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er" sheetId="1" r:id="rId4"/>
    <sheet state="visible" name="sku master" sheetId="2" r:id="rId5"/>
    <sheet state="visible" name="warehouse config" sheetId="3" r:id="rId6"/>
    <sheet state="visible" name="cost master" sheetId="4" r:id="rId7"/>
    <sheet state="visible" name="inventory ledger" sheetId="5" r:id="rId8"/>
    <sheet state="visible" name="inventory balance" sheetId="6" r:id="rId9"/>
    <sheet state="visible" name="storage ledger" sheetId="7" r:id="rId10"/>
    <sheet state="visible" name="calculated costs ledger" sheetId="8" r:id="rId11"/>
    <sheet state="visible" name="invoice input" sheetId="9" r:id="rId12"/>
    <sheet state="visible" name="invoice reconciliation" sheetId="10" r:id="rId13"/>
  </sheets>
  <definedNames>
    <definedName hidden="1" localSheetId="6" name="_xlnm._FilterDatabase">'storage ledger'!$A$1:$K$3996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@umairafzal@trademanenterprise.com @hashar.awan@trademanenterprise.com 
1. this should be FBA # , Amazon Freight #, Carton # (SHIP)
2. this should be SHIP NAME , Contaienr #, Carton # (RECEIVE)
_Assigned to umairafzal@trademanenterprise.com_
	-Jarrar Amjad</t>
      </text>
    </comment>
    <comment authorId="0" ref="B39">
      <text>
        <t xml:space="preserve">for receive enter container, container #
@umairafzal@trademanenterprise.com @hashar.awan@trademanenterprise.com
	-Jarrar Amjad</t>
      </text>
    </comment>
  </commentList>
</comments>
</file>

<file path=xl/sharedStrings.xml><?xml version="1.0" encoding="utf-8"?>
<sst xmlns="http://schemas.openxmlformats.org/spreadsheetml/2006/main" count="1353" uniqueCount="489">
  <si>
    <t>MONDAY DATES</t>
  </si>
  <si>
    <t/>
  </si>
  <si>
    <t>ACTIVE COMBINATIONS</t>
  </si>
  <si>
    <t>SUMMARY</t>
  </si>
  <si>
    <t>Monday_Date</t>
  </si>
  <si>
    <t>Week_Number</t>
  </si>
  <si>
    <t>Warehouse</t>
  </si>
  <si>
    <t>SKU</t>
  </si>
  <si>
    <t>Batch_Lot</t>
  </si>
  <si>
    <t>Total Mondays:</t>
  </si>
  <si>
    <t>Total Combinations:</t>
  </si>
  <si>
    <t>Total Storage Ledger Rows:</t>
  </si>
  <si>
    <t>SKU_Version_ID</t>
  </si>
  <si>
    <t>Batch_Lot_Identifier</t>
  </si>
  <si>
    <t>effective_date</t>
  </si>
  <si>
    <t>end_date</t>
  </si>
  <si>
    <t>ASIN</t>
  </si>
  <si>
    <t>Description</t>
  </si>
  <si>
    <t>Pack_Size</t>
  </si>
  <si>
    <t>Material</t>
  </si>
  <si>
    <t>Unit_Dimensions_cm</t>
  </si>
  <si>
    <t>Unit_Weight_KG</t>
  </si>
  <si>
    <t>Units_Per_Carton</t>
  </si>
  <si>
    <t>Carton_Dimensions_cm</t>
  </si>
  <si>
    <t>Carton_Weight_KG</t>
  </si>
  <si>
    <t>Packaging_Type</t>
  </si>
  <si>
    <t>Notes</t>
  </si>
  <si>
    <t>SKUV-1</t>
  </si>
  <si>
    <t>CS 008</t>
  </si>
  <si>
    <t>DEFAULT_CONFIG</t>
  </si>
  <si>
    <t>B0C7ZQ3VZL</t>
  </si>
  <si>
    <t>Pack of 3 - LD</t>
  </si>
  <si>
    <t>7 Micron</t>
  </si>
  <si>
    <t>25 x 20.5 x 1.2</t>
  </si>
  <si>
    <t>40 x 28 x 29.5</t>
  </si>
  <si>
    <t>Poly bag</t>
  </si>
  <si>
    <t>SKUV-2</t>
  </si>
  <si>
    <t>CS 010</t>
  </si>
  <si>
    <t>B0CR1GSBQ9</t>
  </si>
  <si>
    <t>Pack of 3 - ST</t>
  </si>
  <si>
    <t>15 Micron</t>
  </si>
  <si>
    <t>25 x 20.5 x 2</t>
  </si>
  <si>
    <t>41 x 28 x 39.5</t>
  </si>
  <si>
    <t>SKUV-3</t>
  </si>
  <si>
    <t>CS 007</t>
  </si>
  <si>
    <t>B09HXC3NL8</t>
  </si>
  <si>
    <t>Pack of 6 - LD</t>
  </si>
  <si>
    <t>25 x 20.5 x 2.3</t>
  </si>
  <si>
    <t>40 x 44 x 52.5</t>
  </si>
  <si>
    <t>Box</t>
  </si>
  <si>
    <t>SKUV-4</t>
  </si>
  <si>
    <t>CS 011</t>
  </si>
  <si>
    <t>B0DHDTPGCP</t>
  </si>
  <si>
    <t>Pack of 6 - ST</t>
  </si>
  <si>
    <t>25 x 20.5 x 3.8</t>
  </si>
  <si>
    <t>41 x 26 x 51.5</t>
  </si>
  <si>
    <t>SKUV-5</t>
  </si>
  <si>
    <t>CS 009</t>
  </si>
  <si>
    <t>B0CR1H3VSF</t>
  </si>
  <si>
    <t>Pack of 10 - LD</t>
  </si>
  <si>
    <t>38 x 44 x 52.5</t>
  </si>
  <si>
    <t>SKUV-6</t>
  </si>
  <si>
    <t>CS 012</t>
  </si>
  <si>
    <t>B0DHHCYZSH</t>
  </si>
  <si>
    <t>Pack of 10 - ST</t>
  </si>
  <si>
    <t>25 x 20.5 x 6.3</t>
  </si>
  <si>
    <t>44 x 27 x 51.5</t>
  </si>
  <si>
    <t>SKUV-7</t>
  </si>
  <si>
    <t>CS-CDS-001</t>
  </si>
  <si>
    <t>B0CW3N48K1</t>
  </si>
  <si>
    <t>CDS-001</t>
  </si>
  <si>
    <t>4 oz</t>
  </si>
  <si>
    <t>32 x 60 x 53</t>
  </si>
  <si>
    <t>30 x 20 x 5.5 cm</t>
  </si>
  <si>
    <t>SKUV-8</t>
  </si>
  <si>
    <t>CS-CDS-002</t>
  </si>
  <si>
    <t>B0CW3L6PQH</t>
  </si>
  <si>
    <t>CDS-002</t>
  </si>
  <si>
    <t>32 x 60 x 50</t>
  </si>
  <si>
    <t>30 x 20 x 10 cm</t>
  </si>
  <si>
    <t>WH_Config_ID</t>
  </si>
  <si>
    <t>warehouse</t>
  </si>
  <si>
    <t>storage_cartons_per_pallet</t>
  </si>
  <si>
    <t>shipping_cartons_per_pallet</t>
  </si>
  <si>
    <t>max_stacking_height_cm</t>
  </si>
  <si>
    <t>notes</t>
  </si>
  <si>
    <t>WC-1</t>
  </si>
  <si>
    <t>FMC</t>
  </si>
  <si>
    <t>WC-2</t>
  </si>
  <si>
    <t>WC-3</t>
  </si>
  <si>
    <t>WC-4</t>
  </si>
  <si>
    <t>never sent to fmc</t>
  </si>
  <si>
    <t>WC-5</t>
  </si>
  <si>
    <t>WC-6</t>
  </si>
  <si>
    <t>WC-7</t>
  </si>
  <si>
    <t>WC-8</t>
  </si>
  <si>
    <t>WC-9</t>
  </si>
  <si>
    <t>Vglobal</t>
  </si>
  <si>
    <t>WC-10</t>
  </si>
  <si>
    <t>WC-11</t>
  </si>
  <si>
    <t>WC-12</t>
  </si>
  <si>
    <t>WC-13</t>
  </si>
  <si>
    <t>WC-14</t>
  </si>
  <si>
    <t>WC-15</t>
  </si>
  <si>
    <t>WC-16</t>
  </si>
  <si>
    <t>WC-17</t>
  </si>
  <si>
    <t>4as</t>
  </si>
  <si>
    <t>WC-18</t>
  </si>
  <si>
    <t>Cost_Rate_ID</t>
  </si>
  <si>
    <t>cost_category</t>
  </si>
  <si>
    <t>cost_name</t>
  </si>
  <si>
    <t>cost_value</t>
  </si>
  <si>
    <t>unit_of_measure</t>
  </si>
  <si>
    <t>CR-8</t>
  </si>
  <si>
    <t>Container</t>
  </si>
  <si>
    <t>Terminal Handling Charges</t>
  </si>
  <si>
    <t>container</t>
  </si>
  <si>
    <t>CR-9</t>
  </si>
  <si>
    <t>Container Unloading</t>
  </si>
  <si>
    <t>CR-10</t>
  </si>
  <si>
    <t>Carton</t>
  </si>
  <si>
    <t>Carton Handling Cost</t>
  </si>
  <si>
    <t>carton</t>
  </si>
  <si>
    <t>CR-11</t>
  </si>
  <si>
    <t>Pallet</t>
  </si>
  <si>
    <t>Pallet Unloading Cost</t>
  </si>
  <si>
    <t>pallet</t>
  </si>
  <si>
    <t>CR-12</t>
  </si>
  <si>
    <t>Storage</t>
  </si>
  <si>
    <t>Storage cost per pallet / week</t>
  </si>
  <si>
    <t>pallet/week</t>
  </si>
  <si>
    <t>CR-13</t>
  </si>
  <si>
    <t>Pallet handling</t>
  </si>
  <si>
    <t>CR-1</t>
  </si>
  <si>
    <t>CR-2</t>
  </si>
  <si>
    <t>Port Processing Fee</t>
  </si>
  <si>
    <t>CR-3</t>
  </si>
  <si>
    <t>CR-4</t>
  </si>
  <si>
    <t>CR-5</t>
  </si>
  <si>
    <t>Carton Unloading Cost</t>
  </si>
  <si>
    <t>CR-6</t>
  </si>
  <si>
    <t>CR-7</t>
  </si>
  <si>
    <t>CR-14</t>
  </si>
  <si>
    <t>20 feet container unloading</t>
  </si>
  <si>
    <t>CR-15</t>
  </si>
  <si>
    <t>40 feet container unloading</t>
  </si>
  <si>
    <t>CR-16</t>
  </si>
  <si>
    <t>Unloading/Scanning</t>
  </si>
  <si>
    <t>CR-17</t>
  </si>
  <si>
    <t>Loading to UPS Truck/Handling/ Label Pasting per Carton (2 labels per carton)</t>
  </si>
  <si>
    <t>CR-18</t>
  </si>
  <si>
    <t>Pallets wooden platform/Wrapping/ Labor</t>
  </si>
  <si>
    <t>CR-19</t>
  </si>
  <si>
    <t>Unit</t>
  </si>
  <si>
    <t>Order Fulfilment (per order)</t>
  </si>
  <si>
    <t>unit</t>
  </si>
  <si>
    <t>CR-20</t>
  </si>
  <si>
    <t>Labor charges for preparing pallets</t>
  </si>
  <si>
    <t>CR-21</t>
  </si>
  <si>
    <t>Additional Labelling</t>
  </si>
  <si>
    <t>CR-22</t>
  </si>
  <si>
    <t xml:space="preserve">20 feet container unloading </t>
  </si>
  <si>
    <t>CR-23</t>
  </si>
  <si>
    <t xml:space="preserve">40 feet container unloading </t>
  </si>
  <si>
    <t>CR-24</t>
  </si>
  <si>
    <t xml:space="preserve">Unloading/Scanning </t>
  </si>
  <si>
    <t>CR-25</t>
  </si>
  <si>
    <t>Loading to UPS Truck/Handling/ Label Pasting per Carton</t>
  </si>
  <si>
    <t>CR-26</t>
  </si>
  <si>
    <t>CR-27</t>
  </si>
  <si>
    <t>CR-28</t>
  </si>
  <si>
    <t>Courier charges</t>
  </si>
  <si>
    <t>CR-29</t>
  </si>
  <si>
    <t>used boxes/poly bags and document holders for customs documents</t>
  </si>
  <si>
    <t>CR-30</t>
  </si>
  <si>
    <t>shipment</t>
  </si>
  <si>
    <t>Labour charges for rebarcoding/preparing shipments</t>
  </si>
  <si>
    <t>CR-31</t>
  </si>
  <si>
    <t>Rebarcoding units/FNSKU</t>
  </si>
  <si>
    <t>Timestamp</t>
  </si>
  <si>
    <t>Transaction_ID</t>
  </si>
  <si>
    <t>Shipment</t>
  </si>
  <si>
    <t>Transaction_Type</t>
  </si>
  <si>
    <t>Reference_ID (Email tag)</t>
  </si>
  <si>
    <t>Cartons_In</t>
  </si>
  <si>
    <t>Cartons_Out</t>
  </si>
  <si>
    <t>storage_pallets_in</t>
  </si>
  <si>
    <t>shipping_pallets_out</t>
  </si>
  <si>
    <t>IL-1</t>
  </si>
  <si>
    <t>RECEIVE</t>
  </si>
  <si>
    <t>OOCL Germany</t>
  </si>
  <si>
    <t>IL-2</t>
  </si>
  <si>
    <t>IL-3</t>
  </si>
  <si>
    <t>IL-4</t>
  </si>
  <si>
    <t>IL-5</t>
  </si>
  <si>
    <t>SHIP</t>
  </si>
  <si>
    <t>36 Cartons - LTL 1 - CS007</t>
  </si>
  <si>
    <t>IL-6</t>
  </si>
  <si>
    <t>256 Cartons - LTL 2 - CS-PDS</t>
  </si>
  <si>
    <t>IL-7</t>
  </si>
  <si>
    <t>IL-8</t>
  </si>
  <si>
    <t>IL-9</t>
  </si>
  <si>
    <t>54 Cartons - LTL 2 - CS007</t>
  </si>
  <si>
    <t>IL-10</t>
  </si>
  <si>
    <t>45 Cartons - LTL 3 - CS008</t>
  </si>
  <si>
    <t>IL-11</t>
  </si>
  <si>
    <t>130 Cartons-LTL 3-CS007-009-010</t>
  </si>
  <si>
    <t>IL-12</t>
  </si>
  <si>
    <t>IL-13</t>
  </si>
  <si>
    <t>IL-14</t>
  </si>
  <si>
    <t>72 Cartons-LTL 4-CS007-009</t>
  </si>
  <si>
    <t>IL-15</t>
  </si>
  <si>
    <t>IL-16</t>
  </si>
  <si>
    <t>MSC Idania</t>
  </si>
  <si>
    <t>IL-17</t>
  </si>
  <si>
    <t>IL-18</t>
  </si>
  <si>
    <t>IL-19</t>
  </si>
  <si>
    <t>IL-20</t>
  </si>
  <si>
    <t>IL-21</t>
  </si>
  <si>
    <t>IL-22</t>
  </si>
  <si>
    <t>223 cartons - Mix SKU</t>
  </si>
  <si>
    <t>IL-23</t>
  </si>
  <si>
    <t>IL-24</t>
  </si>
  <si>
    <t>IL-25</t>
  </si>
  <si>
    <t>IL-26</t>
  </si>
  <si>
    <t>IL-27</t>
  </si>
  <si>
    <t>214 Cartons - Mix SKU</t>
  </si>
  <si>
    <t>IL-28</t>
  </si>
  <si>
    <t>IL-29</t>
  </si>
  <si>
    <t>IL-30</t>
  </si>
  <si>
    <t>IL-31</t>
  </si>
  <si>
    <t>OOCL Japan</t>
  </si>
  <si>
    <t>IL-32</t>
  </si>
  <si>
    <t>IL-33</t>
  </si>
  <si>
    <t>IL-34</t>
  </si>
  <si>
    <t>IL-35</t>
  </si>
  <si>
    <t>108 Cartons - CS007</t>
  </si>
  <si>
    <t>IL-36</t>
  </si>
  <si>
    <t>72 Cartons - CS007 CS009</t>
  </si>
  <si>
    <t>IL-37</t>
  </si>
  <si>
    <t>IL-38</t>
  </si>
  <si>
    <t>MSC Ilaria</t>
  </si>
  <si>
    <t>IL-39</t>
  </si>
  <si>
    <t>IL-40</t>
  </si>
  <si>
    <t>IL-41</t>
  </si>
  <si>
    <t>Shipment 1 - UK - DE Mix SKU 5 Pallets</t>
  </si>
  <si>
    <t>IL-42</t>
  </si>
  <si>
    <t>IL-43</t>
  </si>
  <si>
    <t>IL-44</t>
  </si>
  <si>
    <t>IL-45</t>
  </si>
  <si>
    <t>IL-46</t>
  </si>
  <si>
    <t>216 Cartons - Mix SKU</t>
  </si>
  <si>
    <t>IL-47</t>
  </si>
  <si>
    <t>IL-48</t>
  </si>
  <si>
    <t>IL-49</t>
  </si>
  <si>
    <t>IL-50</t>
  </si>
  <si>
    <t>IL-51</t>
  </si>
  <si>
    <t>198 Cartons - Mix SKU - FTL</t>
  </si>
  <si>
    <t>IL-52</t>
  </si>
  <si>
    <t>IL-53</t>
  </si>
  <si>
    <t>IL-54</t>
  </si>
  <si>
    <t>IL-55</t>
  </si>
  <si>
    <t>20 Cartons - CS007 - SPD</t>
  </si>
  <si>
    <t>IL-56</t>
  </si>
  <si>
    <t>36 Cartons - CS007-CS009 - LTL</t>
  </si>
  <si>
    <t>IL-57</t>
  </si>
  <si>
    <t>IL-58</t>
  </si>
  <si>
    <t>OOCL Spain</t>
  </si>
  <si>
    <t>IL-59</t>
  </si>
  <si>
    <t>IL-60</t>
  </si>
  <si>
    <t>IL-61</t>
  </si>
  <si>
    <t>IL-62</t>
  </si>
  <si>
    <t>IL-63</t>
  </si>
  <si>
    <t>IL-64</t>
  </si>
  <si>
    <t>48 Cartons - CS011-CS012</t>
  </si>
  <si>
    <t>IL-65</t>
  </si>
  <si>
    <t>IL-66</t>
  </si>
  <si>
    <t>72 Cartons - Mix SKU - LTL</t>
  </si>
  <si>
    <t>IL-67</t>
  </si>
  <si>
    <t>IL-68</t>
  </si>
  <si>
    <t>IL-69</t>
  </si>
  <si>
    <t>IL-70</t>
  </si>
  <si>
    <t>68 Cartons - Mix SKU - SPD</t>
  </si>
  <si>
    <t>IL-71</t>
  </si>
  <si>
    <t>IL-72</t>
  </si>
  <si>
    <t>IL-73</t>
  </si>
  <si>
    <t>IL-74</t>
  </si>
  <si>
    <t>IL-75</t>
  </si>
  <si>
    <t>IL-76</t>
  </si>
  <si>
    <t>CDS Pakistan - Copiapo</t>
  </si>
  <si>
    <t>IL-77</t>
  </si>
  <si>
    <t>IL-78</t>
  </si>
  <si>
    <t>95 Cartons - Mix SKU - LTL</t>
  </si>
  <si>
    <t>IL-79</t>
  </si>
  <si>
    <t>IL-80</t>
  </si>
  <si>
    <t>IL-81</t>
  </si>
  <si>
    <t>IL-82</t>
  </si>
  <si>
    <t>IL-83</t>
  </si>
  <si>
    <t>IL-84</t>
  </si>
  <si>
    <t>72 Cartons - Mix SKU - LTL-11-Oct</t>
  </si>
  <si>
    <t>IL-85</t>
  </si>
  <si>
    <t>IL-86</t>
  </si>
  <si>
    <t>IL-87</t>
  </si>
  <si>
    <t>IL-88</t>
  </si>
  <si>
    <t>96 Cartons - Mix SKU</t>
  </si>
  <si>
    <t>IL-89</t>
  </si>
  <si>
    <t>IL-90</t>
  </si>
  <si>
    <t>IL-91</t>
  </si>
  <si>
    <t>164 Cartons - Mix SKU</t>
  </si>
  <si>
    <t>IL-92</t>
  </si>
  <si>
    <t>IL-93</t>
  </si>
  <si>
    <t>IL-94</t>
  </si>
  <si>
    <t>IL-95</t>
  </si>
  <si>
    <t>24 Cartons - CS012</t>
  </si>
  <si>
    <t>IL-96</t>
  </si>
  <si>
    <t>114 Cartons - Mix SKU</t>
  </si>
  <si>
    <t>IL-97</t>
  </si>
  <si>
    <t>IL-98</t>
  </si>
  <si>
    <t>48 Cartons CS011 CS012</t>
  </si>
  <si>
    <t>IL-99</t>
  </si>
  <si>
    <t>IL-100</t>
  </si>
  <si>
    <t>72 Cartons - CS007</t>
  </si>
  <si>
    <t>IL-101</t>
  </si>
  <si>
    <t>88 Ctns - Mix SKU - 03 Dec</t>
  </si>
  <si>
    <t>IL-102</t>
  </si>
  <si>
    <t>IL-103</t>
  </si>
  <si>
    <t>IL-104</t>
  </si>
  <si>
    <t>64 Cartons-Mix SKU-LTL-02-Dec</t>
  </si>
  <si>
    <t>IL-105</t>
  </si>
  <si>
    <t>IL-106</t>
  </si>
  <si>
    <t>IL-107</t>
  </si>
  <si>
    <t>24 Cartons - CS011</t>
  </si>
  <si>
    <t>IL-108</t>
  </si>
  <si>
    <t>Batch 4 - Bari Textile Receiving</t>
  </si>
  <si>
    <t>IL-109</t>
  </si>
  <si>
    <t>IL-110</t>
  </si>
  <si>
    <t>IL-111</t>
  </si>
  <si>
    <t>IL-112</t>
  </si>
  <si>
    <t>IL-113</t>
  </si>
  <si>
    <t>72 Ctns - Mix SKU - LTL</t>
  </si>
  <si>
    <t>IL-114</t>
  </si>
  <si>
    <t>IL-115</t>
  </si>
  <si>
    <t>94 Cartons - Mix SKU - LTL</t>
  </si>
  <si>
    <t>IL-116</t>
  </si>
  <si>
    <t>IL-117</t>
  </si>
  <si>
    <t>Batch 13 Received</t>
  </si>
  <si>
    <t>IL-118</t>
  </si>
  <si>
    <t>IL-119</t>
  </si>
  <si>
    <t>IL-120</t>
  </si>
  <si>
    <t>IL-121</t>
  </si>
  <si>
    <t>IL-122</t>
  </si>
  <si>
    <t>IL-123</t>
  </si>
  <si>
    <t>88 Ctns - Mix SKU - LTL</t>
  </si>
  <si>
    <t>IL-124</t>
  </si>
  <si>
    <t>FIFO</t>
  </si>
  <si>
    <t>IL-125</t>
  </si>
  <si>
    <t>IL-126</t>
  </si>
  <si>
    <t>IL-127</t>
  </si>
  <si>
    <t>76 Cartons - Mix SKU - LTL</t>
  </si>
  <si>
    <t>IL-128</t>
  </si>
  <si>
    <t>IL-129</t>
  </si>
  <si>
    <t>IL-130</t>
  </si>
  <si>
    <t>IL-131</t>
  </si>
  <si>
    <t>IL-132</t>
  </si>
  <si>
    <t>72 Ctns - Mix SKU - Vglobal</t>
  </si>
  <si>
    <t>IL-133</t>
  </si>
  <si>
    <t>IL-134</t>
  </si>
  <si>
    <t>72 Ctns - Mix SKU - FMC</t>
  </si>
  <si>
    <t>IL-135</t>
  </si>
  <si>
    <t>IL-136</t>
  </si>
  <si>
    <t>IL-137</t>
  </si>
  <si>
    <t>101 Ctns - Mix SKU - Vglobal</t>
  </si>
  <si>
    <t>IL-138</t>
  </si>
  <si>
    <t>IL-139</t>
  </si>
  <si>
    <t>IL-140</t>
  </si>
  <si>
    <t>IL-141</t>
  </si>
  <si>
    <t>54 Ctns - CS007 - FMC</t>
  </si>
  <si>
    <t>IL-142</t>
  </si>
  <si>
    <t>198 Ctns - Mix SKU - Vglobal</t>
  </si>
  <si>
    <t>IL-143</t>
  </si>
  <si>
    <t>IL-144</t>
  </si>
  <si>
    <t>IL-145</t>
  </si>
  <si>
    <t>IL-146</t>
  </si>
  <si>
    <t>IL-147</t>
  </si>
  <si>
    <t>IL-148</t>
  </si>
  <si>
    <t>Small parcel delivery (SPD) - UPS Pickup</t>
  </si>
  <si>
    <t>IL-149</t>
  </si>
  <si>
    <t>LTL Pickup -- Batch 4 - FBA15K1ZY9VG</t>
  </si>
  <si>
    <t>IL-150</t>
  </si>
  <si>
    <t>IL-151</t>
  </si>
  <si>
    <t>304 Ctns - Mix SKU -Vglobal</t>
  </si>
  <si>
    <t>IL-152</t>
  </si>
  <si>
    <t>IL-153</t>
  </si>
  <si>
    <t>IL-154</t>
  </si>
  <si>
    <t>IL-155</t>
  </si>
  <si>
    <t>IL-156</t>
  </si>
  <si>
    <t>IL-157</t>
  </si>
  <si>
    <t>IL-158</t>
  </si>
  <si>
    <t>IL-159</t>
  </si>
  <si>
    <t>(SPD) - FBA15K42D344 - 80 Boxes</t>
  </si>
  <si>
    <t>IL-160</t>
  </si>
  <si>
    <t>20 Ctns-Vglobal - FBA15K4SRQVN</t>
  </si>
  <si>
    <t>IL-161</t>
  </si>
  <si>
    <t>IL-162</t>
  </si>
  <si>
    <t>216 Ctns - VGlobal FBA15K636C58</t>
  </si>
  <si>
    <t>IL-163</t>
  </si>
  <si>
    <t>IL-164</t>
  </si>
  <si>
    <t>IL-165</t>
  </si>
  <si>
    <t>SPD-65 Boxes-Batch4-Glasgow-FBA15K6P9YYH</t>
  </si>
  <si>
    <t>IL-166</t>
  </si>
  <si>
    <t>IL-167</t>
  </si>
  <si>
    <t>Mix SKU - 25 CTNS - FMC - FBA15K7TRCBF</t>
  </si>
  <si>
    <t>IL-168</t>
  </si>
  <si>
    <t>IL-169</t>
  </si>
  <si>
    <t>VLGLOBAL-INV13-162Boxes-FBA15K9HNNRQ</t>
  </si>
  <si>
    <t>IL-170</t>
  </si>
  <si>
    <t>VGlobal-INV13-64Boxes-FBA15KC3XG8H- AMZ-F#1001970241</t>
  </si>
  <si>
    <t>IL-171</t>
  </si>
  <si>
    <t>UPSLTL-4ASGLOBAL-28Boxes-SKU-CDS-001-FBA15KD7FK64</t>
  </si>
  <si>
    <t>IL-172</t>
  </si>
  <si>
    <t>UPS-LTL-MIX-SKU-43Boxes- FBA15KDRK23D</t>
  </si>
  <si>
    <t>IL-173</t>
  </si>
  <si>
    <t>IL-174</t>
  </si>
  <si>
    <t>IL-175</t>
  </si>
  <si>
    <t>IL-176</t>
  </si>
  <si>
    <t>IL-177</t>
  </si>
  <si>
    <t>IL-178</t>
  </si>
  <si>
    <t>IL-179</t>
  </si>
  <si>
    <t>IL-180</t>
  </si>
  <si>
    <t>IL-181</t>
  </si>
  <si>
    <t>IL-182</t>
  </si>
  <si>
    <t>IL-183</t>
  </si>
  <si>
    <t>IL-184</t>
  </si>
  <si>
    <t>IL-185</t>
  </si>
  <si>
    <t>IL-186</t>
  </si>
  <si>
    <t>IL-187</t>
  </si>
  <si>
    <t>IL-188</t>
  </si>
  <si>
    <t>IL-189</t>
  </si>
  <si>
    <t>IL-190</t>
  </si>
  <si>
    <t>IL-191</t>
  </si>
  <si>
    <t>IL-192</t>
  </si>
  <si>
    <t>IL-193</t>
  </si>
  <si>
    <t>IL-194</t>
  </si>
  <si>
    <t>IL-195</t>
  </si>
  <si>
    <t>IL-196</t>
  </si>
  <si>
    <t>IL-197</t>
  </si>
  <si>
    <t>IL-198</t>
  </si>
  <si>
    <t>IL-199</t>
  </si>
  <si>
    <t>IL-200</t>
  </si>
  <si>
    <t>Current_Carton_Balance</t>
  </si>
  <si>
    <t>Current_Storage_Pallets</t>
  </si>
  <si>
    <t>Current_Unit_Balance</t>
  </si>
  <si>
    <t>Balance Date</t>
  </si>
  <si>
    <t>Storage Pallets</t>
  </si>
  <si>
    <t>Cartons</t>
  </si>
  <si>
    <t>Units</t>
  </si>
  <si>
    <t>SL_ID</t>
  </si>
  <si>
    <t>Week_Ending_Date</t>
  </si>
  <si>
    <t>Cartons_End_of_Monday</t>
  </si>
  <si>
    <t>Storage_Pallets_Charged_Week</t>
  </si>
  <si>
    <t>Applicable_Weekly_Storage_Rate</t>
  </si>
  <si>
    <t>Calculated_Weekly_Storage_Cost</t>
  </si>
  <si>
    <t>Billing_Period_Start</t>
  </si>
  <si>
    <t>Billing_Period_End</t>
  </si>
  <si>
    <t>SL-1</t>
  </si>
  <si>
    <t>SL-3</t>
  </si>
  <si>
    <t>SL-4</t>
  </si>
  <si>
    <t>SL-5</t>
  </si>
  <si>
    <t>SL-6</t>
  </si>
  <si>
    <t>SL-7</t>
  </si>
  <si>
    <t>SL-8</t>
  </si>
  <si>
    <t>SL-9</t>
  </si>
  <si>
    <t>SL-10</t>
  </si>
  <si>
    <t>SL-11</t>
  </si>
  <si>
    <t>SL-12</t>
  </si>
  <si>
    <t>SL-13</t>
  </si>
  <si>
    <t>SL-14</t>
  </si>
  <si>
    <t>SL-15</t>
  </si>
  <si>
    <t>SL-16</t>
  </si>
  <si>
    <t>SL-17</t>
  </si>
  <si>
    <t>SL-19</t>
  </si>
  <si>
    <t>Invoice_Number</t>
  </si>
  <si>
    <t>Cost_Category</t>
  </si>
  <si>
    <t>Cost_Name</t>
  </si>
  <si>
    <t>Expected_Amount</t>
  </si>
  <si>
    <t>Invoiced_Amount</t>
  </si>
  <si>
    <t>Difference</t>
  </si>
  <si>
    <t>Status</t>
  </si>
  <si>
    <t>FMC-2025-001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</si>
</sst>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dd&quot;, &quot;mmmm&quot; &quot;d&quot;, &quot;yyyy"/>
    <numFmt numFmtId="165" formatCode="yyyy-mm-dd"/>
    <numFmt numFmtId="166" formatCode="[$£]#,##0.00"/>
    <numFmt numFmtId="167" formatCode="M/d/yyyy"/>
    <numFmt numFmtId="168" formatCode="&quot; &quot;mmm&quot;-&quot;d&quot;-&quot;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sz val="10.0"/>
      <color theme="1"/>
      <name val="Arial"/>
    </font>
    <font>
      <sz val="10.0"/>
      <color theme="1"/>
      <name val="Arial"/>
      <scheme val="minor"/>
    </font>
    <font>
      <sz val="12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3" numFmtId="4" xfId="0" applyAlignment="1" applyFont="1" applyNumberFormat="1">
      <alignment readingOrder="0" shrinkToFit="0" vertical="bottom" wrapText="0"/>
    </xf>
    <xf borderId="0" fillId="0" fontId="1" numFmtId="4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1" numFmtId="168" xfId="0" applyAlignment="1" applyFont="1" applyNumberFormat="1">
      <alignment horizontal="left" readingOrder="0"/>
    </xf>
    <xf borderId="0" fillId="2" fontId="1" numFmtId="0" xfId="0" applyAlignment="1" applyFill="1" applyFont="1">
      <alignment readingOrder="0"/>
    </xf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3" fontId="1" numFmtId="0" xfId="0" applyFill="1" applyFont="1"/>
    <xf borderId="0" fillId="0" fontId="4" numFmtId="0" xfId="0" applyAlignment="1" applyFont="1">
      <alignment readingOrder="0" shrinkToFit="0" vertical="bottom" wrapText="1"/>
    </xf>
    <xf borderId="0" fillId="0" fontId="1" numFmtId="168" xfId="0" applyFont="1" applyNumberFormat="1"/>
    <xf borderId="0" fillId="2" fontId="5" numFmtId="0" xfId="0" applyFont="1"/>
    <xf borderId="0" fillId="2" fontId="0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4" fontId="1" numFmtId="165" xfId="0" applyAlignment="1" applyFill="1" applyFont="1" applyNumberForma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0" fontId="1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2.13"/>
    <col customWidth="1" min="3" max="3" width="19.63"/>
    <col customWidth="1" min="4" max="4" width="20.25"/>
    <col customWidth="1" min="5" max="5" width="10.75"/>
    <col customWidth="1" min="6" max="6" width="8.5"/>
    <col customWidth="1" min="7" max="7" width="21.5"/>
    <col customWidth="1" min="8" max="8" width="12.25"/>
    <col customWidth="1" min="9" max="9" width="15.63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  <c r="G1" s="1" t="s">
        <v>3</v>
      </c>
    </row>
    <row r="2">
      <c r="A2" s="1" t="s">
        <v>4</v>
      </c>
      <c r="B2" s="1" t="s">
        <v>5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1</v>
      </c>
      <c r="H2" s="1" t="s">
        <v>9</v>
      </c>
      <c r="I2" s="1" t="s">
        <v>10</v>
      </c>
    </row>
    <row r="3">
      <c r="A3" s="2">
        <f>DATE(2025,1,6)</f>
        <v>45663</v>
      </c>
      <c r="B3" s="3">
        <f t="shared" ref="B3:B54" si="1">WEEKNUM(A3,2)</f>
        <v>2</v>
      </c>
      <c r="D3" s="3" t="str">
        <f>IFERROR(__xludf.DUMMYFUNCTION("UNIQUE(FILTER('inventory ledger'!C2:E1000,LEN('inventory ledger'!C2:C1000)&gt;0))"),"FMC")</f>
        <v>FMC</v>
      </c>
      <c r="E3" s="3" t="str">
        <f>IFERROR(__xludf.DUMMYFUNCTION("""COMPUTED_VALUE"""),"CS 007")</f>
        <v>CS 007</v>
      </c>
      <c r="F3" s="3">
        <f>IFERROR(__xludf.DUMMYFUNCTION("""COMPUTED_VALUE"""),8.0)</f>
        <v>8</v>
      </c>
      <c r="G3" s="1" t="s">
        <v>9</v>
      </c>
      <c r="H3" s="3">
        <f>COUNTA(A3:A54)</f>
        <v>52</v>
      </c>
      <c r="I3" s="3">
        <f>COUNTA(D3:D1000)</f>
        <v>34</v>
      </c>
    </row>
    <row r="4">
      <c r="A4" s="2">
        <f t="shared" ref="A4:A54" si="2">A3+7</f>
        <v>45670</v>
      </c>
      <c r="B4" s="3">
        <f t="shared" si="1"/>
        <v>3</v>
      </c>
      <c r="D4" s="3" t="str">
        <f>IFERROR(__xludf.DUMMYFUNCTION("""COMPUTED_VALUE"""),"FMC")</f>
        <v>FMC</v>
      </c>
      <c r="E4" s="3" t="str">
        <f>IFERROR(__xludf.DUMMYFUNCTION("""COMPUTED_VALUE"""),"CS 008")</f>
        <v>CS 008</v>
      </c>
      <c r="F4" s="3">
        <f>IFERROR(__xludf.DUMMYFUNCTION("""COMPUTED_VALUE"""),8.0)</f>
        <v>8</v>
      </c>
    </row>
    <row r="5">
      <c r="A5" s="2">
        <f t="shared" si="2"/>
        <v>45677</v>
      </c>
      <c r="B5" s="3">
        <f t="shared" si="1"/>
        <v>4</v>
      </c>
      <c r="D5" s="3" t="str">
        <f>IFERROR(__xludf.DUMMYFUNCTION("""COMPUTED_VALUE"""),"FMC")</f>
        <v>FMC</v>
      </c>
      <c r="E5" s="3" t="str">
        <f>IFERROR(__xludf.DUMMYFUNCTION("""COMPUTED_VALUE"""),"CS 009")</f>
        <v>CS 009</v>
      </c>
      <c r="F5" s="3">
        <f>IFERROR(__xludf.DUMMYFUNCTION("""COMPUTED_VALUE"""),8.0)</f>
        <v>8</v>
      </c>
      <c r="G5" s="1" t="s">
        <v>11</v>
      </c>
      <c r="H5" s="3">
        <f>H3*I3</f>
        <v>1768</v>
      </c>
    </row>
    <row r="6">
      <c r="A6" s="2">
        <f t="shared" si="2"/>
        <v>45684</v>
      </c>
      <c r="B6" s="3">
        <f t="shared" si="1"/>
        <v>5</v>
      </c>
      <c r="D6" s="3" t="str">
        <f>IFERROR(__xludf.DUMMYFUNCTION("""COMPUTED_VALUE"""),"FMC")</f>
        <v>FMC</v>
      </c>
      <c r="E6" s="3" t="str">
        <f>IFERROR(__xludf.DUMMYFUNCTION("""COMPUTED_VALUE"""),"CS 010")</f>
        <v>CS 010</v>
      </c>
      <c r="F6" s="3">
        <f>IFERROR(__xludf.DUMMYFUNCTION("""COMPUTED_VALUE"""),8.0)</f>
        <v>8</v>
      </c>
    </row>
    <row r="7">
      <c r="A7" s="2">
        <f t="shared" si="2"/>
        <v>45691</v>
      </c>
      <c r="B7" s="3">
        <f t="shared" si="1"/>
        <v>6</v>
      </c>
      <c r="D7" s="3" t="str">
        <f>IFERROR(__xludf.DUMMYFUNCTION("""COMPUTED_VALUE"""),"FMC")</f>
        <v>FMC</v>
      </c>
      <c r="E7" s="3" t="str">
        <f>IFERROR(__xludf.DUMMYFUNCTION("""COMPUTED_VALUE"""),"CS 007")</f>
        <v>CS 007</v>
      </c>
      <c r="F7" s="3">
        <f>IFERROR(__xludf.DUMMYFUNCTION("""COMPUTED_VALUE"""),9.0)</f>
        <v>9</v>
      </c>
    </row>
    <row r="8">
      <c r="A8" s="2">
        <f t="shared" si="2"/>
        <v>45698</v>
      </c>
      <c r="B8" s="3">
        <f t="shared" si="1"/>
        <v>7</v>
      </c>
      <c r="D8" s="3" t="str">
        <f>IFERROR(__xludf.DUMMYFUNCTION("""COMPUTED_VALUE"""),"FMC")</f>
        <v>FMC</v>
      </c>
      <c r="E8" s="3" t="str">
        <f>IFERROR(__xludf.DUMMYFUNCTION("""COMPUTED_VALUE"""),"CS 008")</f>
        <v>CS 008</v>
      </c>
      <c r="F8" s="3">
        <f>IFERROR(__xludf.DUMMYFUNCTION("""COMPUTED_VALUE"""),9.0)</f>
        <v>9</v>
      </c>
    </row>
    <row r="9">
      <c r="A9" s="2">
        <f t="shared" si="2"/>
        <v>45705</v>
      </c>
      <c r="B9" s="3">
        <f t="shared" si="1"/>
        <v>8</v>
      </c>
      <c r="D9" s="3" t="str">
        <f>IFERROR(__xludf.DUMMYFUNCTION("""COMPUTED_VALUE"""),"FMC")</f>
        <v>FMC</v>
      </c>
      <c r="E9" s="3" t="str">
        <f>IFERROR(__xludf.DUMMYFUNCTION("""COMPUTED_VALUE"""),"CS 009")</f>
        <v>CS 009</v>
      </c>
      <c r="F9" s="3">
        <f>IFERROR(__xludf.DUMMYFUNCTION("""COMPUTED_VALUE"""),9.0)</f>
        <v>9</v>
      </c>
    </row>
    <row r="10">
      <c r="A10" s="2">
        <f t="shared" si="2"/>
        <v>45712</v>
      </c>
      <c r="B10" s="3">
        <f t="shared" si="1"/>
        <v>9</v>
      </c>
      <c r="D10" s="3" t="str">
        <f>IFERROR(__xludf.DUMMYFUNCTION("""COMPUTED_VALUE"""),"FMC")</f>
        <v>FMC</v>
      </c>
      <c r="E10" s="3" t="str">
        <f>IFERROR(__xludf.DUMMYFUNCTION("""COMPUTED_VALUE"""),"CS 010")</f>
        <v>CS 010</v>
      </c>
      <c r="F10" s="3">
        <f>IFERROR(__xludf.DUMMYFUNCTION("""COMPUTED_VALUE"""),9.0)</f>
        <v>9</v>
      </c>
    </row>
    <row r="11">
      <c r="A11" s="2">
        <f t="shared" si="2"/>
        <v>45719</v>
      </c>
      <c r="B11" s="3">
        <f t="shared" si="1"/>
        <v>10</v>
      </c>
      <c r="D11" s="3" t="str">
        <f>IFERROR(__xludf.DUMMYFUNCTION("""COMPUTED_VALUE"""),"FMC")</f>
        <v>FMC</v>
      </c>
      <c r="E11" s="3" t="str">
        <f>IFERROR(__xludf.DUMMYFUNCTION("""COMPUTED_VALUE"""),"CS-CDS-001")</f>
        <v>CS-CDS-001</v>
      </c>
      <c r="F11" s="3">
        <f>IFERROR(__xludf.DUMMYFUNCTION("""COMPUTED_VALUE"""),9.0)</f>
        <v>9</v>
      </c>
    </row>
    <row r="12">
      <c r="A12" s="2">
        <f t="shared" si="2"/>
        <v>45726</v>
      </c>
      <c r="B12" s="3">
        <f t="shared" si="1"/>
        <v>11</v>
      </c>
      <c r="D12" s="3" t="str">
        <f>IFERROR(__xludf.DUMMYFUNCTION("""COMPUTED_VALUE"""),"FMC")</f>
        <v>FMC</v>
      </c>
      <c r="E12" s="3" t="str">
        <f>IFERROR(__xludf.DUMMYFUNCTION("""COMPUTED_VALUE"""),"CS-CDS-002")</f>
        <v>CS-CDS-002</v>
      </c>
      <c r="F12" s="3">
        <f>IFERROR(__xludf.DUMMYFUNCTION("""COMPUTED_VALUE"""),9.0)</f>
        <v>9</v>
      </c>
    </row>
    <row r="13">
      <c r="A13" s="2">
        <f t="shared" si="2"/>
        <v>45733</v>
      </c>
      <c r="B13" s="3">
        <f t="shared" si="1"/>
        <v>12</v>
      </c>
      <c r="D13" s="3" t="str">
        <f>IFERROR(__xludf.DUMMYFUNCTION("""COMPUTED_VALUE"""),"FMC")</f>
        <v>FMC</v>
      </c>
      <c r="E13" s="3" t="str">
        <f>IFERROR(__xludf.DUMMYFUNCTION("""COMPUTED_VALUE"""),"CS 007")</f>
        <v>CS 007</v>
      </c>
      <c r="F13" s="3">
        <f>IFERROR(__xludf.DUMMYFUNCTION("""COMPUTED_VALUE"""),10.0)</f>
        <v>10</v>
      </c>
    </row>
    <row r="14">
      <c r="A14" s="2">
        <f t="shared" si="2"/>
        <v>45740</v>
      </c>
      <c r="B14" s="3">
        <f t="shared" si="1"/>
        <v>13</v>
      </c>
      <c r="D14" s="3" t="str">
        <f>IFERROR(__xludf.DUMMYFUNCTION("""COMPUTED_VALUE"""),"FMC")</f>
        <v>FMC</v>
      </c>
      <c r="E14" s="3" t="str">
        <f>IFERROR(__xludf.DUMMYFUNCTION("""COMPUTED_VALUE"""),"CS 009")</f>
        <v>CS 009</v>
      </c>
      <c r="F14" s="3">
        <f>IFERROR(__xludf.DUMMYFUNCTION("""COMPUTED_VALUE"""),10.0)</f>
        <v>10</v>
      </c>
    </row>
    <row r="15">
      <c r="A15" s="2">
        <f t="shared" si="2"/>
        <v>45747</v>
      </c>
      <c r="B15" s="3">
        <f t="shared" si="1"/>
        <v>14</v>
      </c>
      <c r="D15" s="3" t="str">
        <f>IFERROR(__xludf.DUMMYFUNCTION("""COMPUTED_VALUE"""),"FMC")</f>
        <v>FMC</v>
      </c>
      <c r="E15" s="3" t="str">
        <f>IFERROR(__xludf.DUMMYFUNCTION("""COMPUTED_VALUE"""),"CS 010")</f>
        <v>CS 010</v>
      </c>
      <c r="F15" s="3">
        <f>IFERROR(__xludf.DUMMYFUNCTION("""COMPUTED_VALUE"""),10.0)</f>
        <v>10</v>
      </c>
    </row>
    <row r="16">
      <c r="A16" s="2">
        <f t="shared" si="2"/>
        <v>45754</v>
      </c>
      <c r="B16" s="3">
        <f t="shared" si="1"/>
        <v>15</v>
      </c>
      <c r="D16" s="3" t="str">
        <f>IFERROR(__xludf.DUMMYFUNCTION("""COMPUTED_VALUE"""),"FMC")</f>
        <v>FMC</v>
      </c>
      <c r="E16" s="3" t="str">
        <f>IFERROR(__xludf.DUMMYFUNCTION("""COMPUTED_VALUE"""),"CS-CDS-001")</f>
        <v>CS-CDS-001</v>
      </c>
      <c r="F16" s="3">
        <f>IFERROR(__xludf.DUMMYFUNCTION("""COMPUTED_VALUE"""),10.0)</f>
        <v>10</v>
      </c>
    </row>
    <row r="17">
      <c r="A17" s="2">
        <f t="shared" si="2"/>
        <v>45761</v>
      </c>
      <c r="B17" s="3">
        <f t="shared" si="1"/>
        <v>16</v>
      </c>
      <c r="D17" s="3" t="str">
        <f>IFERROR(__xludf.DUMMYFUNCTION("""COMPUTED_VALUE"""),"FMC")</f>
        <v>FMC</v>
      </c>
      <c r="E17" s="3" t="str">
        <f>IFERROR(__xludf.DUMMYFUNCTION("""COMPUTED_VALUE"""),"CS 007")</f>
        <v>CS 007</v>
      </c>
      <c r="F17" s="3">
        <f>IFERROR(__xludf.DUMMYFUNCTION("""COMPUTED_VALUE"""),11.0)</f>
        <v>11</v>
      </c>
    </row>
    <row r="18">
      <c r="A18" s="2">
        <f t="shared" si="2"/>
        <v>45768</v>
      </c>
      <c r="B18" s="3">
        <f t="shared" si="1"/>
        <v>17</v>
      </c>
      <c r="D18" s="3" t="str">
        <f>IFERROR(__xludf.DUMMYFUNCTION("""COMPUTED_VALUE"""),"FMC")</f>
        <v>FMC</v>
      </c>
      <c r="E18" s="3" t="str">
        <f>IFERROR(__xludf.DUMMYFUNCTION("""COMPUTED_VALUE"""),"CS 009")</f>
        <v>CS 009</v>
      </c>
      <c r="F18" s="3">
        <f>IFERROR(__xludf.DUMMYFUNCTION("""COMPUTED_VALUE"""),11.0)</f>
        <v>11</v>
      </c>
    </row>
    <row r="19">
      <c r="A19" s="2">
        <f t="shared" si="2"/>
        <v>45775</v>
      </c>
      <c r="B19" s="3">
        <f t="shared" si="1"/>
        <v>18</v>
      </c>
      <c r="D19" s="3" t="str">
        <f>IFERROR(__xludf.DUMMYFUNCTION("""COMPUTED_VALUE"""),"FMC")</f>
        <v>FMC</v>
      </c>
      <c r="E19" s="3" t="str">
        <f>IFERROR(__xludf.DUMMYFUNCTION("""COMPUTED_VALUE"""),"CS 010")</f>
        <v>CS 010</v>
      </c>
      <c r="F19" s="3">
        <f>IFERROR(__xludf.DUMMYFUNCTION("""COMPUTED_VALUE"""),11.0)</f>
        <v>11</v>
      </c>
    </row>
    <row r="20">
      <c r="A20" s="2">
        <f t="shared" si="2"/>
        <v>45782</v>
      </c>
      <c r="B20" s="3">
        <f t="shared" si="1"/>
        <v>19</v>
      </c>
      <c r="D20" s="3" t="str">
        <f>IFERROR(__xludf.DUMMYFUNCTION("""COMPUTED_VALUE"""),"Vglobal")</f>
        <v>Vglobal</v>
      </c>
      <c r="E20" s="3" t="str">
        <f>IFERROR(__xludf.DUMMYFUNCTION("""COMPUTED_VALUE"""),"CS 007")</f>
        <v>CS 007</v>
      </c>
      <c r="F20" s="3">
        <f>IFERROR(__xludf.DUMMYFUNCTION("""COMPUTED_VALUE"""),12.0)</f>
        <v>12</v>
      </c>
    </row>
    <row r="21">
      <c r="A21" s="2">
        <f t="shared" si="2"/>
        <v>45789</v>
      </c>
      <c r="B21" s="3">
        <f t="shared" si="1"/>
        <v>20</v>
      </c>
      <c r="D21" s="3" t="str">
        <f>IFERROR(__xludf.DUMMYFUNCTION("""COMPUTED_VALUE"""),"Vglobal")</f>
        <v>Vglobal</v>
      </c>
      <c r="E21" s="3" t="str">
        <f>IFERROR(__xludf.DUMMYFUNCTION("""COMPUTED_VALUE"""),"CS 011")</f>
        <v>CS 011</v>
      </c>
      <c r="F21" s="3">
        <f>IFERROR(__xludf.DUMMYFUNCTION("""COMPUTED_VALUE"""),12.0)</f>
        <v>12</v>
      </c>
    </row>
    <row r="22">
      <c r="A22" s="2">
        <f t="shared" si="2"/>
        <v>45796</v>
      </c>
      <c r="B22" s="3">
        <f t="shared" si="1"/>
        <v>21</v>
      </c>
      <c r="D22" s="3" t="str">
        <f>IFERROR(__xludf.DUMMYFUNCTION("""COMPUTED_VALUE"""),"Vglobal")</f>
        <v>Vglobal</v>
      </c>
      <c r="E22" s="3" t="str">
        <f>IFERROR(__xludf.DUMMYFUNCTION("""COMPUTED_VALUE"""),"CS 008")</f>
        <v>CS 008</v>
      </c>
      <c r="F22" s="3">
        <f>IFERROR(__xludf.DUMMYFUNCTION("""COMPUTED_VALUE"""),12.0)</f>
        <v>12</v>
      </c>
    </row>
    <row r="23">
      <c r="A23" s="2">
        <f t="shared" si="2"/>
        <v>45803</v>
      </c>
      <c r="B23" s="3">
        <f t="shared" si="1"/>
        <v>22</v>
      </c>
      <c r="D23" s="3" t="str">
        <f>IFERROR(__xludf.DUMMYFUNCTION("""COMPUTED_VALUE"""),"Vglobal")</f>
        <v>Vglobal</v>
      </c>
      <c r="E23" s="3" t="str">
        <f>IFERROR(__xludf.DUMMYFUNCTION("""COMPUTED_VALUE"""),"CS 010")</f>
        <v>CS 010</v>
      </c>
      <c r="F23" s="3">
        <f>IFERROR(__xludf.DUMMYFUNCTION("""COMPUTED_VALUE"""),12.0)</f>
        <v>12</v>
      </c>
    </row>
    <row r="24">
      <c r="A24" s="2">
        <f t="shared" si="2"/>
        <v>45810</v>
      </c>
      <c r="B24" s="3">
        <f t="shared" si="1"/>
        <v>23</v>
      </c>
      <c r="D24" s="3" t="str">
        <f>IFERROR(__xludf.DUMMYFUNCTION("""COMPUTED_VALUE"""),"Vglobal")</f>
        <v>Vglobal</v>
      </c>
      <c r="E24" s="3" t="str">
        <f>IFERROR(__xludf.DUMMYFUNCTION("""COMPUTED_VALUE"""),"CS 009")</f>
        <v>CS 009</v>
      </c>
      <c r="F24" s="3">
        <f>IFERROR(__xludf.DUMMYFUNCTION("""COMPUTED_VALUE"""),12.0)</f>
        <v>12</v>
      </c>
    </row>
    <row r="25">
      <c r="A25" s="2">
        <f t="shared" si="2"/>
        <v>45817</v>
      </c>
      <c r="B25" s="3">
        <f t="shared" si="1"/>
        <v>24</v>
      </c>
      <c r="D25" s="3" t="str">
        <f>IFERROR(__xludf.DUMMYFUNCTION("""COMPUTED_VALUE"""),"Vglobal")</f>
        <v>Vglobal</v>
      </c>
      <c r="E25" s="3" t="str">
        <f>IFERROR(__xludf.DUMMYFUNCTION("""COMPUTED_VALUE"""),"CS 012")</f>
        <v>CS 012</v>
      </c>
      <c r="F25" s="3">
        <f>IFERROR(__xludf.DUMMYFUNCTION("""COMPUTED_VALUE"""),12.0)</f>
        <v>12</v>
      </c>
    </row>
    <row r="26">
      <c r="A26" s="2">
        <f t="shared" si="2"/>
        <v>45824</v>
      </c>
      <c r="B26" s="3">
        <f t="shared" si="1"/>
        <v>25</v>
      </c>
      <c r="D26" s="3" t="str">
        <f>IFERROR(__xludf.DUMMYFUNCTION("""COMPUTED_VALUE"""),"Vglobal")</f>
        <v>Vglobal</v>
      </c>
      <c r="E26" s="3" t="str">
        <f>IFERROR(__xludf.DUMMYFUNCTION("""COMPUTED_VALUE"""),"CS-CDS-001")</f>
        <v>CS-CDS-001</v>
      </c>
      <c r="F26" s="3">
        <f>IFERROR(__xludf.DUMMYFUNCTION("""COMPUTED_VALUE"""),3.0)</f>
        <v>3</v>
      </c>
    </row>
    <row r="27">
      <c r="A27" s="2">
        <f t="shared" si="2"/>
        <v>45831</v>
      </c>
      <c r="B27" s="3">
        <f t="shared" si="1"/>
        <v>26</v>
      </c>
      <c r="D27" s="3" t="str">
        <f>IFERROR(__xludf.DUMMYFUNCTION("""COMPUTED_VALUE"""),"Vglobal")</f>
        <v>Vglobal</v>
      </c>
      <c r="E27" s="3" t="str">
        <f>IFERROR(__xludf.DUMMYFUNCTION("""COMPUTED_VALUE"""),"CS-CDS-002")</f>
        <v>CS-CDS-002</v>
      </c>
      <c r="F27" s="3">
        <f>IFERROR(__xludf.DUMMYFUNCTION("""COMPUTED_VALUE"""),3.0)</f>
        <v>3</v>
      </c>
    </row>
    <row r="28">
      <c r="A28" s="2">
        <f t="shared" si="2"/>
        <v>45838</v>
      </c>
      <c r="B28" s="3">
        <f t="shared" si="1"/>
        <v>27</v>
      </c>
      <c r="D28" s="3" t="str">
        <f>IFERROR(__xludf.DUMMYFUNCTION("""COMPUTED_VALUE"""),"4as")</f>
        <v>4as</v>
      </c>
      <c r="E28" s="3" t="str">
        <f>IFERROR(__xludf.DUMMYFUNCTION("""COMPUTED_VALUE"""),"CS-CDS-001")</f>
        <v>CS-CDS-001</v>
      </c>
      <c r="F28" s="3">
        <f>IFERROR(__xludf.DUMMYFUNCTION("""COMPUTED_VALUE"""),4.0)</f>
        <v>4</v>
      </c>
    </row>
    <row r="29">
      <c r="A29" s="2">
        <f t="shared" si="2"/>
        <v>45845</v>
      </c>
      <c r="B29" s="3">
        <f t="shared" si="1"/>
        <v>28</v>
      </c>
      <c r="D29" s="3" t="str">
        <f>IFERROR(__xludf.DUMMYFUNCTION("""COMPUTED_VALUE"""),"4as")</f>
        <v>4as</v>
      </c>
      <c r="E29" s="3" t="str">
        <f>IFERROR(__xludf.DUMMYFUNCTION("""COMPUTED_VALUE"""),"CS-CDS-002")</f>
        <v>CS-CDS-002</v>
      </c>
      <c r="F29" s="3">
        <f>IFERROR(__xludf.DUMMYFUNCTION("""COMPUTED_VALUE"""),4.0)</f>
        <v>4</v>
      </c>
    </row>
    <row r="30">
      <c r="A30" s="2">
        <f t="shared" si="2"/>
        <v>45852</v>
      </c>
      <c r="B30" s="3">
        <f t="shared" si="1"/>
        <v>29</v>
      </c>
      <c r="D30" s="3" t="str">
        <f>IFERROR(__xludf.DUMMYFUNCTION("""COMPUTED_VALUE"""),"Vglobal")</f>
        <v>Vglobal</v>
      </c>
      <c r="E30" s="3" t="str">
        <f>IFERROR(__xludf.DUMMYFUNCTION("""COMPUTED_VALUE"""),"CS 007")</f>
        <v>CS 007</v>
      </c>
      <c r="F30" s="3">
        <f>IFERROR(__xludf.DUMMYFUNCTION("""COMPUTED_VALUE"""),13.0)</f>
        <v>13</v>
      </c>
    </row>
    <row r="31">
      <c r="A31" s="2">
        <f t="shared" si="2"/>
        <v>45859</v>
      </c>
      <c r="B31" s="3">
        <f t="shared" si="1"/>
        <v>30</v>
      </c>
      <c r="D31" s="3" t="str">
        <f>IFERROR(__xludf.DUMMYFUNCTION("""COMPUTED_VALUE"""),"Vglobal")</f>
        <v>Vglobal</v>
      </c>
      <c r="E31" s="3" t="str">
        <f>IFERROR(__xludf.DUMMYFUNCTION("""COMPUTED_VALUE"""),"CS 011")</f>
        <v>CS 011</v>
      </c>
      <c r="F31" s="3">
        <f>IFERROR(__xludf.DUMMYFUNCTION("""COMPUTED_VALUE"""),13.0)</f>
        <v>13</v>
      </c>
    </row>
    <row r="32">
      <c r="A32" s="2">
        <f t="shared" si="2"/>
        <v>45866</v>
      </c>
      <c r="B32" s="3">
        <f t="shared" si="1"/>
        <v>31</v>
      </c>
      <c r="D32" s="3" t="str">
        <f>IFERROR(__xludf.DUMMYFUNCTION("""COMPUTED_VALUE"""),"Vglobal")</f>
        <v>Vglobal</v>
      </c>
      <c r="E32" s="3" t="str">
        <f>IFERROR(__xludf.DUMMYFUNCTION("""COMPUTED_VALUE"""),"CS 008")</f>
        <v>CS 008</v>
      </c>
      <c r="F32" s="3">
        <f>IFERROR(__xludf.DUMMYFUNCTION("""COMPUTED_VALUE"""),13.0)</f>
        <v>13</v>
      </c>
    </row>
    <row r="33">
      <c r="A33" s="2">
        <f t="shared" si="2"/>
        <v>45873</v>
      </c>
      <c r="B33" s="3">
        <f t="shared" si="1"/>
        <v>32</v>
      </c>
      <c r="D33" s="3" t="str">
        <f>IFERROR(__xludf.DUMMYFUNCTION("""COMPUTED_VALUE"""),"Vglobal")</f>
        <v>Vglobal</v>
      </c>
      <c r="E33" s="3" t="str">
        <f>IFERROR(__xludf.DUMMYFUNCTION("""COMPUTED_VALUE"""),"CS 010")</f>
        <v>CS 010</v>
      </c>
      <c r="F33" s="3">
        <f>IFERROR(__xludf.DUMMYFUNCTION("""COMPUTED_VALUE"""),13.0)</f>
        <v>13</v>
      </c>
    </row>
    <row r="34">
      <c r="A34" s="2">
        <f t="shared" si="2"/>
        <v>45880</v>
      </c>
      <c r="B34" s="3">
        <f t="shared" si="1"/>
        <v>33</v>
      </c>
      <c r="D34" s="3" t="str">
        <f>IFERROR(__xludf.DUMMYFUNCTION("""COMPUTED_VALUE"""),"Vglobal")</f>
        <v>Vglobal</v>
      </c>
      <c r="E34" s="3" t="str">
        <f>IFERROR(__xludf.DUMMYFUNCTION("""COMPUTED_VALUE"""),"CS 009")</f>
        <v>CS 009</v>
      </c>
      <c r="F34" s="3">
        <f>IFERROR(__xludf.DUMMYFUNCTION("""COMPUTED_VALUE"""),13.0)</f>
        <v>13</v>
      </c>
    </row>
    <row r="35">
      <c r="A35" s="2">
        <f t="shared" si="2"/>
        <v>45887</v>
      </c>
      <c r="B35" s="3">
        <f t="shared" si="1"/>
        <v>34</v>
      </c>
      <c r="D35" s="3" t="str">
        <f>IFERROR(__xludf.DUMMYFUNCTION("""COMPUTED_VALUE"""),"Vglobal")</f>
        <v>Vglobal</v>
      </c>
      <c r="E35" s="3" t="str">
        <f>IFERROR(__xludf.DUMMYFUNCTION("""COMPUTED_VALUE"""),"CS 012")</f>
        <v>CS 012</v>
      </c>
      <c r="F35" s="3">
        <f>IFERROR(__xludf.DUMMYFUNCTION("""COMPUTED_VALUE"""),13.0)</f>
        <v>13</v>
      </c>
    </row>
    <row r="36">
      <c r="A36" s="2">
        <f t="shared" si="2"/>
        <v>45894</v>
      </c>
      <c r="B36" s="3">
        <f t="shared" si="1"/>
        <v>35</v>
      </c>
      <c r="D36" s="3" t="str">
        <f>IFERROR(__xludf.DUMMYFUNCTION("""COMPUTED_VALUE"""),"FMC")</f>
        <v>FMC</v>
      </c>
      <c r="E36" s="3" t="str">
        <f>IFERROR(__xludf.DUMMYFUNCTION("""COMPUTED_VALUE"""),"CS 008")</f>
        <v>CS 008</v>
      </c>
      <c r="F36" s="3">
        <f>IFERROR(__xludf.DUMMYFUNCTION("""COMPUTED_VALUE"""),11.0)</f>
        <v>11</v>
      </c>
    </row>
    <row r="37">
      <c r="A37" s="2">
        <f t="shared" si="2"/>
        <v>45901</v>
      </c>
      <c r="B37" s="3">
        <f t="shared" si="1"/>
        <v>36</v>
      </c>
    </row>
    <row r="38">
      <c r="A38" s="2">
        <f t="shared" si="2"/>
        <v>45908</v>
      </c>
      <c r="B38" s="3">
        <f t="shared" si="1"/>
        <v>37</v>
      </c>
    </row>
    <row r="39">
      <c r="A39" s="2">
        <f t="shared" si="2"/>
        <v>45915</v>
      </c>
      <c r="B39" s="3">
        <f t="shared" si="1"/>
        <v>38</v>
      </c>
    </row>
    <row r="40">
      <c r="A40" s="2">
        <f t="shared" si="2"/>
        <v>45922</v>
      </c>
      <c r="B40" s="3">
        <f t="shared" si="1"/>
        <v>39</v>
      </c>
    </row>
    <row r="41">
      <c r="A41" s="2">
        <f t="shared" si="2"/>
        <v>45929</v>
      </c>
      <c r="B41" s="3">
        <f t="shared" si="1"/>
        <v>40</v>
      </c>
    </row>
    <row r="42">
      <c r="A42" s="2">
        <f t="shared" si="2"/>
        <v>45936</v>
      </c>
      <c r="B42" s="3">
        <f t="shared" si="1"/>
        <v>41</v>
      </c>
    </row>
    <row r="43">
      <c r="A43" s="2">
        <f t="shared" si="2"/>
        <v>45943</v>
      </c>
      <c r="B43" s="3">
        <f t="shared" si="1"/>
        <v>42</v>
      </c>
    </row>
    <row r="44">
      <c r="A44" s="2">
        <f t="shared" si="2"/>
        <v>45950</v>
      </c>
      <c r="B44" s="3">
        <f t="shared" si="1"/>
        <v>43</v>
      </c>
    </row>
    <row r="45">
      <c r="A45" s="2">
        <f t="shared" si="2"/>
        <v>45957</v>
      </c>
      <c r="B45" s="3">
        <f t="shared" si="1"/>
        <v>44</v>
      </c>
    </row>
    <row r="46">
      <c r="A46" s="2">
        <f t="shared" si="2"/>
        <v>45964</v>
      </c>
      <c r="B46" s="3">
        <f t="shared" si="1"/>
        <v>45</v>
      </c>
    </row>
    <row r="47">
      <c r="A47" s="2">
        <f t="shared" si="2"/>
        <v>45971</v>
      </c>
      <c r="B47" s="3">
        <f t="shared" si="1"/>
        <v>46</v>
      </c>
    </row>
    <row r="48">
      <c r="A48" s="2">
        <f t="shared" si="2"/>
        <v>45978</v>
      </c>
      <c r="B48" s="3">
        <f t="shared" si="1"/>
        <v>47</v>
      </c>
    </row>
    <row r="49">
      <c r="A49" s="2">
        <f t="shared" si="2"/>
        <v>45985</v>
      </c>
      <c r="B49" s="3">
        <f t="shared" si="1"/>
        <v>48</v>
      </c>
    </row>
    <row r="50">
      <c r="A50" s="2">
        <f t="shared" si="2"/>
        <v>45992</v>
      </c>
      <c r="B50" s="3">
        <f t="shared" si="1"/>
        <v>49</v>
      </c>
    </row>
    <row r="51">
      <c r="A51" s="2">
        <f t="shared" si="2"/>
        <v>45999</v>
      </c>
      <c r="B51" s="3">
        <f t="shared" si="1"/>
        <v>50</v>
      </c>
    </row>
    <row r="52">
      <c r="A52" s="2">
        <f t="shared" si="2"/>
        <v>46006</v>
      </c>
      <c r="B52" s="3">
        <f t="shared" si="1"/>
        <v>51</v>
      </c>
    </row>
    <row r="53">
      <c r="A53" s="2">
        <f t="shared" si="2"/>
        <v>46013</v>
      </c>
      <c r="B53" s="3">
        <f t="shared" si="1"/>
        <v>52</v>
      </c>
    </row>
    <row r="54">
      <c r="A54" s="2">
        <f t="shared" si="2"/>
        <v>46020</v>
      </c>
      <c r="B54" s="3">
        <f t="shared" si="1"/>
        <v>53</v>
      </c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0.75"/>
    <col customWidth="1" min="3" max="3" width="17.13"/>
    <col customWidth="1" min="4" max="4" width="12.13"/>
    <col customWidth="1" min="5" max="5" width="9.5"/>
    <col customWidth="1" min="6" max="6" width="12.38"/>
    <col customWidth="1" min="7" max="7" width="18.75"/>
    <col customWidth="1" min="8" max="8" width="9.13"/>
    <col customWidth="1" min="9" max="9" width="8.38"/>
    <col customWidth="1" min="10" max="10" width="18.0"/>
    <col customWidth="1" min="11" max="11" width="14.13"/>
    <col customWidth="1" min="12" max="12" width="14.25"/>
    <col customWidth="1" min="13" max="13" width="18.75"/>
    <col customWidth="1" min="14" max="14" width="15.38"/>
    <col customWidth="1" min="15" max="15" width="13.38"/>
    <col customWidth="1" min="16" max="16" width="40.38"/>
  </cols>
  <sheetData>
    <row r="1">
      <c r="A1" s="4" t="s">
        <v>12</v>
      </c>
      <c r="B1" s="4" t="s">
        <v>7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1" t="s">
        <v>26</v>
      </c>
    </row>
    <row r="2">
      <c r="A2" s="1" t="s">
        <v>27</v>
      </c>
      <c r="B2" s="1" t="s">
        <v>28</v>
      </c>
      <c r="C2" s="1" t="s">
        <v>29</v>
      </c>
      <c r="D2" s="5">
        <v>45292.0</v>
      </c>
      <c r="E2" s="1"/>
      <c r="F2" s="1" t="s">
        <v>30</v>
      </c>
      <c r="G2" s="1" t="s">
        <v>31</v>
      </c>
      <c r="H2" s="1">
        <v>3.0</v>
      </c>
      <c r="I2" s="1" t="s">
        <v>32</v>
      </c>
      <c r="J2" s="1" t="s">
        <v>33</v>
      </c>
      <c r="K2" s="1">
        <v>0.16</v>
      </c>
      <c r="L2" s="1">
        <v>60.0</v>
      </c>
      <c r="M2" s="1" t="s">
        <v>34</v>
      </c>
      <c r="N2" s="1">
        <v>10.0</v>
      </c>
      <c r="O2" s="1" t="s">
        <v>35</v>
      </c>
    </row>
    <row r="3">
      <c r="A3" s="1" t="s">
        <v>36</v>
      </c>
      <c r="B3" s="1" t="s">
        <v>37</v>
      </c>
      <c r="C3" s="1" t="s">
        <v>29</v>
      </c>
      <c r="D3" s="5">
        <v>45292.0</v>
      </c>
      <c r="E3" s="1"/>
      <c r="F3" s="1" t="s">
        <v>38</v>
      </c>
      <c r="G3" s="1" t="s">
        <v>39</v>
      </c>
      <c r="H3" s="1">
        <v>3.0</v>
      </c>
      <c r="I3" s="1" t="s">
        <v>40</v>
      </c>
      <c r="J3" s="1" t="s">
        <v>41</v>
      </c>
      <c r="K3" s="1">
        <v>0.41</v>
      </c>
      <c r="L3" s="1">
        <v>52.0</v>
      </c>
      <c r="M3" s="1" t="s">
        <v>42</v>
      </c>
      <c r="N3" s="1">
        <v>21.0</v>
      </c>
      <c r="O3" s="1" t="s">
        <v>35</v>
      </c>
    </row>
    <row r="4">
      <c r="A4" s="1" t="s">
        <v>43</v>
      </c>
      <c r="B4" s="1" t="s">
        <v>44</v>
      </c>
      <c r="C4" s="1" t="s">
        <v>29</v>
      </c>
      <c r="D4" s="5">
        <v>45292.0</v>
      </c>
      <c r="E4" s="1"/>
      <c r="F4" s="1" t="s">
        <v>45</v>
      </c>
      <c r="G4" s="1" t="s">
        <v>46</v>
      </c>
      <c r="H4" s="1">
        <v>6.0</v>
      </c>
      <c r="I4" s="1" t="s">
        <v>32</v>
      </c>
      <c r="J4" s="1" t="s">
        <v>47</v>
      </c>
      <c r="K4" s="1">
        <v>0.35</v>
      </c>
      <c r="L4" s="1">
        <v>60.0</v>
      </c>
      <c r="M4" s="1" t="s">
        <v>48</v>
      </c>
      <c r="N4" s="1">
        <v>21.3</v>
      </c>
      <c r="O4" s="1" t="s">
        <v>49</v>
      </c>
    </row>
    <row r="5">
      <c r="A5" s="1" t="s">
        <v>50</v>
      </c>
      <c r="B5" s="1" t="s">
        <v>51</v>
      </c>
      <c r="C5" s="1" t="s">
        <v>29</v>
      </c>
      <c r="D5" s="5">
        <v>45292.0</v>
      </c>
      <c r="E5" s="1"/>
      <c r="F5" s="1" t="s">
        <v>52</v>
      </c>
      <c r="G5" s="1" t="s">
        <v>53</v>
      </c>
      <c r="H5" s="1">
        <v>6.0</v>
      </c>
      <c r="I5" s="1" t="s">
        <v>40</v>
      </c>
      <c r="J5" s="1" t="s">
        <v>54</v>
      </c>
      <c r="K5" s="1">
        <v>0.84</v>
      </c>
      <c r="L5" s="1">
        <v>24.0</v>
      </c>
      <c r="M5" s="1" t="s">
        <v>55</v>
      </c>
      <c r="N5" s="1">
        <v>20.0</v>
      </c>
      <c r="O5" s="1" t="s">
        <v>49</v>
      </c>
    </row>
    <row r="6">
      <c r="A6" s="1" t="s">
        <v>56</v>
      </c>
      <c r="B6" s="1" t="s">
        <v>57</v>
      </c>
      <c r="C6" s="1" t="s">
        <v>29</v>
      </c>
      <c r="D6" s="5">
        <v>45292.0</v>
      </c>
      <c r="E6" s="1"/>
      <c r="F6" s="1" t="s">
        <v>58</v>
      </c>
      <c r="G6" s="1" t="s">
        <v>59</v>
      </c>
      <c r="H6" s="1">
        <v>10.0</v>
      </c>
      <c r="I6" s="1" t="s">
        <v>32</v>
      </c>
      <c r="J6" s="1" t="s">
        <v>54</v>
      </c>
      <c r="K6" s="1">
        <v>0.56</v>
      </c>
      <c r="L6" s="1">
        <v>36.0</v>
      </c>
      <c r="M6" s="1" t="s">
        <v>60</v>
      </c>
      <c r="N6" s="1">
        <v>20.4</v>
      </c>
      <c r="O6" s="1" t="s">
        <v>49</v>
      </c>
    </row>
    <row r="7">
      <c r="A7" s="1" t="s">
        <v>61</v>
      </c>
      <c r="B7" s="1" t="s">
        <v>62</v>
      </c>
      <c r="C7" s="1" t="s">
        <v>29</v>
      </c>
      <c r="D7" s="5">
        <v>45292.0</v>
      </c>
      <c r="E7" s="1"/>
      <c r="F7" s="1" t="s">
        <v>63</v>
      </c>
      <c r="G7" s="1" t="s">
        <v>64</v>
      </c>
      <c r="H7" s="1">
        <v>10.0</v>
      </c>
      <c r="I7" s="1" t="s">
        <v>40</v>
      </c>
      <c r="J7" s="1" t="s">
        <v>65</v>
      </c>
      <c r="K7" s="1">
        <v>1.36</v>
      </c>
      <c r="L7" s="1">
        <v>16.0</v>
      </c>
      <c r="M7" s="1" t="s">
        <v>66</v>
      </c>
      <c r="N7" s="1">
        <v>22.0</v>
      </c>
      <c r="O7" s="1" t="s">
        <v>49</v>
      </c>
    </row>
    <row r="8">
      <c r="A8" s="1" t="s">
        <v>67</v>
      </c>
      <c r="B8" s="1" t="s">
        <v>68</v>
      </c>
      <c r="C8" s="1" t="s">
        <v>29</v>
      </c>
      <c r="D8" s="5">
        <v>45292.0</v>
      </c>
      <c r="E8" s="1"/>
      <c r="F8" s="1" t="s">
        <v>69</v>
      </c>
      <c r="G8" s="1" t="s">
        <v>70</v>
      </c>
      <c r="H8" s="1">
        <v>1.0</v>
      </c>
      <c r="I8" s="1" t="s">
        <v>71</v>
      </c>
      <c r="J8" s="1" t="s">
        <v>72</v>
      </c>
      <c r="K8" s="1">
        <v>0.68</v>
      </c>
      <c r="L8" s="1">
        <v>33.0</v>
      </c>
      <c r="M8" s="1" t="s">
        <v>73</v>
      </c>
      <c r="N8" s="1">
        <v>22.44</v>
      </c>
      <c r="O8" s="1" t="s">
        <v>49</v>
      </c>
    </row>
    <row r="9">
      <c r="A9" s="1" t="s">
        <v>74</v>
      </c>
      <c r="B9" s="1" t="s">
        <v>75</v>
      </c>
      <c r="C9" s="1" t="s">
        <v>29</v>
      </c>
      <c r="D9" s="5">
        <v>45292.0</v>
      </c>
      <c r="E9" s="1"/>
      <c r="F9" s="1" t="s">
        <v>76</v>
      </c>
      <c r="G9" s="1" t="s">
        <v>77</v>
      </c>
      <c r="H9" s="1">
        <v>1.0</v>
      </c>
      <c r="I9" s="1" t="s">
        <v>71</v>
      </c>
      <c r="J9" s="1" t="s">
        <v>78</v>
      </c>
      <c r="K9" s="1">
        <v>1.38</v>
      </c>
      <c r="L9" s="1">
        <v>14.0</v>
      </c>
      <c r="M9" s="1" t="s">
        <v>79</v>
      </c>
      <c r="N9" s="1">
        <v>19.32</v>
      </c>
      <c r="O9" s="1" t="s">
        <v>49</v>
      </c>
    </row>
    <row r="10">
      <c r="D10" s="5"/>
      <c r="E10" s="5"/>
    </row>
    <row r="11">
      <c r="D11" s="5"/>
      <c r="E1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9.13"/>
    <col customWidth="1" min="3" max="3" width="10.75"/>
    <col customWidth="1" min="4" max="4" width="21.25"/>
    <col customWidth="1" min="5" max="5" width="21.88"/>
    <col customWidth="1" min="6" max="6" width="19.75"/>
    <col customWidth="1" min="7" max="7" width="11.38"/>
    <col customWidth="1" min="8" max="8" width="8.0"/>
    <col customWidth="1" min="9" max="9" width="13.75"/>
  </cols>
  <sheetData>
    <row r="1">
      <c r="A1" s="1" t="s">
        <v>80</v>
      </c>
      <c r="B1" s="1" t="s">
        <v>81</v>
      </c>
      <c r="C1" s="1" t="s">
        <v>7</v>
      </c>
      <c r="D1" s="1" t="s">
        <v>82</v>
      </c>
      <c r="E1" s="1" t="s">
        <v>83</v>
      </c>
      <c r="F1" s="1" t="s">
        <v>84</v>
      </c>
      <c r="G1" s="1" t="s">
        <v>14</v>
      </c>
      <c r="H1" s="1" t="s">
        <v>15</v>
      </c>
      <c r="I1" s="1" t="s">
        <v>85</v>
      </c>
    </row>
    <row r="2">
      <c r="A2" s="1" t="s">
        <v>86</v>
      </c>
      <c r="B2" s="1" t="s">
        <v>87</v>
      </c>
      <c r="C2" s="1" t="s">
        <v>28</v>
      </c>
      <c r="D2" s="1">
        <v>36.0</v>
      </c>
      <c r="E2" s="1">
        <v>16.0</v>
      </c>
      <c r="F2" s="1">
        <v>160.0</v>
      </c>
      <c r="G2" s="5">
        <v>45292.0</v>
      </c>
      <c r="I2" s="1"/>
    </row>
    <row r="3">
      <c r="A3" s="1" t="s">
        <v>88</v>
      </c>
      <c r="B3" s="1" t="s">
        <v>87</v>
      </c>
      <c r="C3" s="1" t="s">
        <v>37</v>
      </c>
      <c r="D3" s="1">
        <v>36.0</v>
      </c>
      <c r="E3" s="1">
        <v>16.0</v>
      </c>
      <c r="F3" s="1">
        <v>160.0</v>
      </c>
      <c r="G3" s="5">
        <v>45292.0</v>
      </c>
      <c r="I3" s="1"/>
    </row>
    <row r="4">
      <c r="A4" s="1" t="s">
        <v>89</v>
      </c>
      <c r="B4" s="1" t="s">
        <v>87</v>
      </c>
      <c r="C4" s="1" t="s">
        <v>44</v>
      </c>
      <c r="D4" s="1">
        <v>14.0</v>
      </c>
      <c r="E4" s="1">
        <v>16.0</v>
      </c>
      <c r="F4" s="1">
        <v>160.0</v>
      </c>
      <c r="G4" s="5">
        <v>45292.0</v>
      </c>
      <c r="I4" s="1"/>
    </row>
    <row r="5">
      <c r="A5" s="1" t="s">
        <v>90</v>
      </c>
      <c r="B5" s="1" t="s">
        <v>87</v>
      </c>
      <c r="C5" s="1" t="s">
        <v>51</v>
      </c>
      <c r="D5" s="1">
        <v>14.0</v>
      </c>
      <c r="E5" s="1">
        <v>16.0</v>
      </c>
      <c r="F5" s="1">
        <v>160.0</v>
      </c>
      <c r="G5" s="5">
        <v>45292.0</v>
      </c>
      <c r="I5" s="1" t="s">
        <v>91</v>
      </c>
    </row>
    <row r="6">
      <c r="A6" s="1" t="s">
        <v>92</v>
      </c>
      <c r="B6" s="1" t="s">
        <v>87</v>
      </c>
      <c r="C6" s="1" t="s">
        <v>57</v>
      </c>
      <c r="D6" s="1">
        <v>14.0</v>
      </c>
      <c r="E6" s="1">
        <v>16.0</v>
      </c>
      <c r="F6" s="1">
        <v>160.0</v>
      </c>
      <c r="G6" s="5">
        <v>45292.0</v>
      </c>
      <c r="I6" s="1"/>
    </row>
    <row r="7">
      <c r="A7" s="1" t="s">
        <v>93</v>
      </c>
      <c r="B7" s="1" t="s">
        <v>87</v>
      </c>
      <c r="C7" s="1" t="s">
        <v>62</v>
      </c>
      <c r="D7" s="1">
        <v>10.0</v>
      </c>
      <c r="E7" s="1">
        <v>16.0</v>
      </c>
      <c r="F7" s="1">
        <v>160.0</v>
      </c>
      <c r="G7" s="5">
        <v>45292.0</v>
      </c>
      <c r="I7" s="1" t="s">
        <v>91</v>
      </c>
    </row>
    <row r="8">
      <c r="A8" s="1" t="s">
        <v>94</v>
      </c>
      <c r="B8" s="1" t="s">
        <v>87</v>
      </c>
      <c r="C8" s="1" t="s">
        <v>68</v>
      </c>
      <c r="D8" s="1">
        <v>12.0</v>
      </c>
      <c r="E8" s="1">
        <v>18.0</v>
      </c>
      <c r="F8" s="1">
        <v>160.0</v>
      </c>
      <c r="G8" s="5">
        <v>45292.0</v>
      </c>
      <c r="I8" s="1"/>
    </row>
    <row r="9">
      <c r="A9" s="1" t="s">
        <v>95</v>
      </c>
      <c r="B9" s="1" t="s">
        <v>87</v>
      </c>
      <c r="C9" s="1" t="s">
        <v>75</v>
      </c>
      <c r="D9" s="1">
        <v>12.0</v>
      </c>
      <c r="E9" s="1">
        <v>20.0</v>
      </c>
      <c r="F9" s="1">
        <v>160.0</v>
      </c>
      <c r="G9" s="5">
        <v>45292.0</v>
      </c>
      <c r="I9" s="1"/>
    </row>
    <row r="10">
      <c r="A10" s="1" t="s">
        <v>96</v>
      </c>
      <c r="B10" s="1" t="s">
        <v>97</v>
      </c>
      <c r="C10" s="1" t="s">
        <v>28</v>
      </c>
      <c r="D10" s="1">
        <v>45.0</v>
      </c>
      <c r="E10" s="1">
        <v>45.0</v>
      </c>
      <c r="F10" s="1">
        <v>160.0</v>
      </c>
      <c r="G10" s="5">
        <v>45292.0</v>
      </c>
      <c r="I10" s="1"/>
    </row>
    <row r="11">
      <c r="A11" s="1" t="s">
        <v>98</v>
      </c>
      <c r="B11" s="1" t="s">
        <v>97</v>
      </c>
      <c r="C11" s="1" t="s">
        <v>37</v>
      </c>
      <c r="D11" s="1">
        <v>24.0</v>
      </c>
      <c r="E11" s="1">
        <v>40.0</v>
      </c>
      <c r="F11" s="1">
        <v>160.0</v>
      </c>
      <c r="G11" s="5">
        <v>45292.0</v>
      </c>
      <c r="I11" s="1"/>
    </row>
    <row r="12">
      <c r="A12" s="1" t="s">
        <v>99</v>
      </c>
      <c r="B12" s="1" t="s">
        <v>97</v>
      </c>
      <c r="C12" s="1" t="s">
        <v>44</v>
      </c>
      <c r="D12" s="1">
        <v>16.0</v>
      </c>
      <c r="E12" s="1">
        <v>18.0</v>
      </c>
      <c r="F12" s="1">
        <v>160.0</v>
      </c>
      <c r="G12" s="5">
        <v>45292.0</v>
      </c>
      <c r="I12" s="1"/>
    </row>
    <row r="13">
      <c r="A13" s="1" t="s">
        <v>100</v>
      </c>
      <c r="B13" s="1" t="s">
        <v>97</v>
      </c>
      <c r="C13" s="1" t="s">
        <v>51</v>
      </c>
      <c r="D13" s="1">
        <v>20.0</v>
      </c>
      <c r="E13" s="1">
        <v>24.0</v>
      </c>
      <c r="F13" s="1">
        <v>160.0</v>
      </c>
      <c r="G13" s="5">
        <v>45292.0</v>
      </c>
      <c r="I13" s="1"/>
    </row>
    <row r="14">
      <c r="A14" s="1" t="s">
        <v>101</v>
      </c>
      <c r="B14" s="1" t="s">
        <v>97</v>
      </c>
      <c r="C14" s="1" t="s">
        <v>57</v>
      </c>
      <c r="D14" s="1">
        <v>16.0</v>
      </c>
      <c r="E14" s="1">
        <v>18.0</v>
      </c>
      <c r="F14" s="1">
        <v>160.0</v>
      </c>
      <c r="G14" s="5">
        <v>45292.0</v>
      </c>
      <c r="I14" s="1"/>
    </row>
    <row r="15">
      <c r="A15" s="1" t="s">
        <v>102</v>
      </c>
      <c r="B15" s="1" t="s">
        <v>97</v>
      </c>
      <c r="C15" s="1" t="s">
        <v>62</v>
      </c>
      <c r="D15" s="1">
        <v>20.0</v>
      </c>
      <c r="E15" s="1">
        <v>24.0</v>
      </c>
      <c r="F15" s="1">
        <v>160.0</v>
      </c>
      <c r="G15" s="5">
        <v>45292.0</v>
      </c>
      <c r="I15" s="1"/>
    </row>
    <row r="16">
      <c r="A16" s="1" t="s">
        <v>103</v>
      </c>
      <c r="B16" s="1" t="s">
        <v>97</v>
      </c>
      <c r="C16" s="1" t="s">
        <v>68</v>
      </c>
      <c r="D16" s="1">
        <v>16.0</v>
      </c>
      <c r="E16" s="1">
        <v>18.0</v>
      </c>
      <c r="F16" s="1">
        <v>160.0</v>
      </c>
      <c r="G16" s="5">
        <v>45292.0</v>
      </c>
      <c r="I16" s="1"/>
    </row>
    <row r="17">
      <c r="A17" s="1" t="s">
        <v>104</v>
      </c>
      <c r="B17" s="1" t="s">
        <v>97</v>
      </c>
      <c r="C17" s="1" t="s">
        <v>75</v>
      </c>
      <c r="D17" s="1">
        <v>16.0</v>
      </c>
      <c r="E17" s="1">
        <v>20.0</v>
      </c>
      <c r="F17" s="1">
        <v>160.0</v>
      </c>
      <c r="G17" s="5">
        <v>45292.0</v>
      </c>
    </row>
    <row r="18">
      <c r="A18" s="1" t="s">
        <v>105</v>
      </c>
      <c r="B18" s="1" t="s">
        <v>106</v>
      </c>
      <c r="C18" s="1" t="s">
        <v>68</v>
      </c>
      <c r="D18" s="1">
        <v>20.0</v>
      </c>
      <c r="E18" s="1">
        <v>18.0</v>
      </c>
      <c r="F18" s="1">
        <v>180.0</v>
      </c>
      <c r="G18" s="5">
        <v>45292.0</v>
      </c>
    </row>
    <row r="19">
      <c r="A19" s="1" t="s">
        <v>107</v>
      </c>
      <c r="B19" s="1" t="s">
        <v>106</v>
      </c>
      <c r="C19" s="1" t="s">
        <v>75</v>
      </c>
      <c r="D19" s="1">
        <v>20.0</v>
      </c>
      <c r="E19" s="1">
        <v>20.0</v>
      </c>
      <c r="F19" s="1">
        <v>180.0</v>
      </c>
      <c r="G19" s="5">
        <v>45292.0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2.25"/>
    <col customWidth="1" min="3" max="3" width="14.75"/>
    <col customWidth="1" min="4" max="4" width="58.88"/>
    <col customWidth="1" min="5" max="5" width="12.13"/>
    <col customWidth="1" min="6" max="6" width="16.88"/>
    <col customWidth="1" min="7" max="7" width="14.63"/>
    <col customWidth="1" min="8" max="8" width="10.88"/>
    <col customWidth="1" min="9" max="9" width="8.0"/>
  </cols>
  <sheetData>
    <row r="1">
      <c r="A1" s="1" t="s">
        <v>108</v>
      </c>
      <c r="B1" s="1" t="s">
        <v>81</v>
      </c>
      <c r="C1" s="1" t="s">
        <v>109</v>
      </c>
      <c r="D1" s="6" t="s">
        <v>110</v>
      </c>
      <c r="E1" s="7" t="s">
        <v>111</v>
      </c>
      <c r="F1" s="1" t="s">
        <v>112</v>
      </c>
      <c r="G1" s="1" t="s">
        <v>14</v>
      </c>
      <c r="H1" s="1" t="s">
        <v>15</v>
      </c>
      <c r="I1" s="1" t="s">
        <v>85</v>
      </c>
    </row>
    <row r="2">
      <c r="A2" s="1" t="s">
        <v>113</v>
      </c>
      <c r="B2" s="1" t="s">
        <v>97</v>
      </c>
      <c r="C2" s="1" t="s">
        <v>114</v>
      </c>
      <c r="D2" s="6" t="s">
        <v>115</v>
      </c>
      <c r="E2" s="7">
        <v>185.0</v>
      </c>
      <c r="F2" s="1" t="s">
        <v>116</v>
      </c>
      <c r="G2" s="5">
        <v>45658.0</v>
      </c>
      <c r="H2" s="1"/>
    </row>
    <row r="3">
      <c r="A3" s="1" t="s">
        <v>117</v>
      </c>
      <c r="B3" s="1" t="s">
        <v>97</v>
      </c>
      <c r="C3" s="1" t="s">
        <v>114</v>
      </c>
      <c r="D3" s="6" t="s">
        <v>118</v>
      </c>
      <c r="E3" s="7">
        <v>390.0</v>
      </c>
      <c r="F3" s="1" t="s">
        <v>116</v>
      </c>
      <c r="G3" s="5">
        <v>45658.0</v>
      </c>
      <c r="H3" s="1"/>
    </row>
    <row r="4">
      <c r="A4" s="1" t="s">
        <v>119</v>
      </c>
      <c r="B4" s="1" t="s">
        <v>97</v>
      </c>
      <c r="C4" s="1" t="s">
        <v>120</v>
      </c>
      <c r="D4" s="6" t="s">
        <v>121</v>
      </c>
      <c r="E4" s="7">
        <v>1.4</v>
      </c>
      <c r="F4" s="1" t="s">
        <v>122</v>
      </c>
      <c r="G4" s="5">
        <v>45658.0</v>
      </c>
      <c r="H4" s="1"/>
    </row>
    <row r="5">
      <c r="A5" s="1" t="s">
        <v>123</v>
      </c>
      <c r="B5" s="1" t="s">
        <v>97</v>
      </c>
      <c r="C5" s="1" t="s">
        <v>124</v>
      </c>
      <c r="D5" s="6" t="s">
        <v>125</v>
      </c>
      <c r="E5" s="7">
        <v>11.7</v>
      </c>
      <c r="F5" s="1" t="s">
        <v>126</v>
      </c>
      <c r="G5" s="5">
        <v>45658.0</v>
      </c>
      <c r="H5" s="1"/>
    </row>
    <row r="6">
      <c r="A6" s="1" t="s">
        <v>127</v>
      </c>
      <c r="B6" s="1" t="s">
        <v>97</v>
      </c>
      <c r="C6" s="1" t="s">
        <v>128</v>
      </c>
      <c r="D6" s="6" t="s">
        <v>129</v>
      </c>
      <c r="E6" s="7">
        <v>2.6</v>
      </c>
      <c r="F6" s="1" t="s">
        <v>130</v>
      </c>
      <c r="G6" s="5">
        <v>45658.0</v>
      </c>
      <c r="H6" s="1"/>
    </row>
    <row r="7">
      <c r="A7" s="1" t="s">
        <v>131</v>
      </c>
      <c r="B7" s="1" t="s">
        <v>97</v>
      </c>
      <c r="C7" s="1" t="s">
        <v>124</v>
      </c>
      <c r="D7" s="6" t="s">
        <v>132</v>
      </c>
      <c r="E7" s="7">
        <v>6.95</v>
      </c>
      <c r="F7" s="1" t="s">
        <v>126</v>
      </c>
      <c r="G7" s="5">
        <v>45658.0</v>
      </c>
      <c r="H7" s="1"/>
    </row>
    <row r="8">
      <c r="A8" s="1" t="s">
        <v>133</v>
      </c>
      <c r="B8" s="1" t="s">
        <v>87</v>
      </c>
      <c r="C8" s="1" t="s">
        <v>114</v>
      </c>
      <c r="D8" s="6" t="s">
        <v>115</v>
      </c>
      <c r="E8" s="7">
        <v>185.0</v>
      </c>
      <c r="F8" s="1" t="s">
        <v>116</v>
      </c>
      <c r="G8" s="5">
        <v>45658.0</v>
      </c>
      <c r="H8" s="1"/>
    </row>
    <row r="9">
      <c r="A9" s="1" t="s">
        <v>134</v>
      </c>
      <c r="B9" s="1" t="s">
        <v>87</v>
      </c>
      <c r="C9" s="1" t="s">
        <v>114</v>
      </c>
      <c r="D9" s="6" t="s">
        <v>135</v>
      </c>
      <c r="E9" s="7">
        <v>24.5</v>
      </c>
      <c r="F9" s="1" t="s">
        <v>116</v>
      </c>
      <c r="G9" s="5">
        <v>45658.0</v>
      </c>
      <c r="H9" s="1"/>
    </row>
    <row r="10">
      <c r="A10" s="1" t="s">
        <v>136</v>
      </c>
      <c r="B10" s="1" t="s">
        <v>87</v>
      </c>
      <c r="C10" s="1" t="s">
        <v>114</v>
      </c>
      <c r="D10" s="6" t="s">
        <v>118</v>
      </c>
      <c r="E10" s="7">
        <v>500.0</v>
      </c>
      <c r="F10" s="1" t="s">
        <v>116</v>
      </c>
      <c r="G10" s="5">
        <v>45658.0</v>
      </c>
      <c r="H10" s="1"/>
    </row>
    <row r="11">
      <c r="A11" s="1" t="s">
        <v>137</v>
      </c>
      <c r="B11" s="1" t="s">
        <v>87</v>
      </c>
      <c r="C11" s="1" t="s">
        <v>120</v>
      </c>
      <c r="D11" s="6" t="s">
        <v>121</v>
      </c>
      <c r="E11" s="7">
        <v>1.3</v>
      </c>
      <c r="F11" s="1" t="s">
        <v>122</v>
      </c>
      <c r="G11" s="5">
        <v>45658.0</v>
      </c>
      <c r="H11" s="1"/>
    </row>
    <row r="12">
      <c r="A12" s="1" t="s">
        <v>138</v>
      </c>
      <c r="B12" s="1" t="s">
        <v>87</v>
      </c>
      <c r="C12" s="1" t="s">
        <v>120</v>
      </c>
      <c r="D12" s="6" t="s">
        <v>139</v>
      </c>
      <c r="E12" s="7">
        <v>1.75</v>
      </c>
      <c r="F12" s="1" t="s">
        <v>122</v>
      </c>
      <c r="G12" s="5">
        <v>45658.0</v>
      </c>
      <c r="H12" s="1"/>
    </row>
    <row r="13">
      <c r="A13" s="1" t="s">
        <v>140</v>
      </c>
      <c r="B13" s="1" t="s">
        <v>87</v>
      </c>
      <c r="C13" s="1" t="s">
        <v>128</v>
      </c>
      <c r="D13" s="6" t="s">
        <v>129</v>
      </c>
      <c r="E13" s="7">
        <v>3.9</v>
      </c>
      <c r="F13" s="1" t="s">
        <v>130</v>
      </c>
      <c r="G13" s="5">
        <v>45658.0</v>
      </c>
      <c r="H13" s="1"/>
    </row>
    <row r="14">
      <c r="A14" s="1" t="s">
        <v>141</v>
      </c>
      <c r="B14" s="1" t="s">
        <v>87</v>
      </c>
      <c r="C14" s="1" t="s">
        <v>124</v>
      </c>
      <c r="D14" s="6" t="s">
        <v>132</v>
      </c>
      <c r="E14" s="7">
        <v>6.75</v>
      </c>
      <c r="F14" s="1" t="s">
        <v>126</v>
      </c>
      <c r="G14" s="5">
        <v>45658.0</v>
      </c>
      <c r="H14" s="1"/>
    </row>
    <row r="15">
      <c r="A15" s="1" t="s">
        <v>142</v>
      </c>
      <c r="B15" s="1" t="s">
        <v>87</v>
      </c>
      <c r="C15" s="1" t="s">
        <v>114</v>
      </c>
      <c r="D15" s="6" t="s">
        <v>143</v>
      </c>
      <c r="E15" s="7">
        <v>300.0</v>
      </c>
      <c r="F15" s="1" t="s">
        <v>116</v>
      </c>
      <c r="G15" s="5">
        <v>45658.0</v>
      </c>
    </row>
    <row r="16">
      <c r="A16" s="1" t="s">
        <v>144</v>
      </c>
      <c r="B16" s="1" t="s">
        <v>87</v>
      </c>
      <c r="C16" s="1" t="s">
        <v>114</v>
      </c>
      <c r="D16" s="6" t="s">
        <v>145</v>
      </c>
      <c r="E16" s="7">
        <v>500.0</v>
      </c>
      <c r="F16" s="1" t="s">
        <v>116</v>
      </c>
      <c r="G16" s="5">
        <v>45658.0</v>
      </c>
    </row>
    <row r="17">
      <c r="A17" s="1" t="s">
        <v>146</v>
      </c>
      <c r="B17" s="1" t="s">
        <v>87</v>
      </c>
      <c r="C17" s="1" t="s">
        <v>120</v>
      </c>
      <c r="D17" s="6" t="s">
        <v>147</v>
      </c>
      <c r="E17" s="7">
        <v>1.75</v>
      </c>
      <c r="F17" s="1" t="s">
        <v>122</v>
      </c>
      <c r="G17" s="5">
        <v>45658.0</v>
      </c>
    </row>
    <row r="18">
      <c r="A18" s="1" t="s">
        <v>148</v>
      </c>
      <c r="B18" s="1" t="s">
        <v>87</v>
      </c>
      <c r="C18" s="1" t="s">
        <v>120</v>
      </c>
      <c r="D18" s="6" t="s">
        <v>149</v>
      </c>
      <c r="E18" s="7">
        <v>1.3</v>
      </c>
      <c r="F18" s="1" t="s">
        <v>122</v>
      </c>
      <c r="G18" s="5">
        <v>45658.0</v>
      </c>
    </row>
    <row r="19">
      <c r="A19" s="1" t="s">
        <v>150</v>
      </c>
      <c r="B19" s="1" t="s">
        <v>87</v>
      </c>
      <c r="C19" s="1" t="s">
        <v>124</v>
      </c>
      <c r="D19" s="6" t="s">
        <v>151</v>
      </c>
      <c r="E19" s="7">
        <v>6.75</v>
      </c>
      <c r="F19" s="1" t="s">
        <v>126</v>
      </c>
      <c r="G19" s="5">
        <v>45658.0</v>
      </c>
    </row>
    <row r="20">
      <c r="A20" s="1" t="s">
        <v>152</v>
      </c>
      <c r="B20" s="1" t="s">
        <v>87</v>
      </c>
      <c r="C20" s="1" t="s">
        <v>153</v>
      </c>
      <c r="D20" s="6" t="s">
        <v>154</v>
      </c>
      <c r="E20" s="7">
        <v>4.5</v>
      </c>
      <c r="F20" s="1" t="s">
        <v>155</v>
      </c>
      <c r="G20" s="5">
        <v>45658.0</v>
      </c>
    </row>
    <row r="21">
      <c r="A21" s="1" t="s">
        <v>156</v>
      </c>
      <c r="B21" s="1" t="s">
        <v>87</v>
      </c>
      <c r="C21" s="1" t="s">
        <v>124</v>
      </c>
      <c r="D21" s="6" t="s">
        <v>157</v>
      </c>
      <c r="E21" s="7">
        <v>15.0</v>
      </c>
      <c r="F21" s="1" t="s">
        <v>126</v>
      </c>
      <c r="G21" s="5">
        <v>45658.0</v>
      </c>
    </row>
    <row r="22">
      <c r="A22" s="1" t="s">
        <v>158</v>
      </c>
      <c r="B22" s="1" t="s">
        <v>87</v>
      </c>
      <c r="C22" s="1" t="s">
        <v>120</v>
      </c>
      <c r="D22" s="6" t="s">
        <v>159</v>
      </c>
      <c r="E22" s="7">
        <v>0.15</v>
      </c>
      <c r="F22" s="1" t="s">
        <v>122</v>
      </c>
      <c r="G22" s="5">
        <v>45658.0</v>
      </c>
    </row>
    <row r="23">
      <c r="A23" s="1" t="s">
        <v>160</v>
      </c>
      <c r="B23" s="1" t="s">
        <v>106</v>
      </c>
      <c r="C23" s="1" t="s">
        <v>114</v>
      </c>
      <c r="D23" s="6" t="s">
        <v>161</v>
      </c>
      <c r="E23" s="7">
        <v>350.0</v>
      </c>
      <c r="F23" s="1" t="s">
        <v>116</v>
      </c>
      <c r="G23" s="5">
        <v>45658.0</v>
      </c>
    </row>
    <row r="24">
      <c r="A24" s="1" t="s">
        <v>162</v>
      </c>
      <c r="B24" s="1" t="s">
        <v>106</v>
      </c>
      <c r="C24" s="1" t="s">
        <v>114</v>
      </c>
      <c r="D24" s="6" t="s">
        <v>163</v>
      </c>
      <c r="E24" s="7">
        <v>500.0</v>
      </c>
      <c r="F24" s="1" t="s">
        <v>116</v>
      </c>
      <c r="G24" s="5">
        <v>45658.0</v>
      </c>
    </row>
    <row r="25">
      <c r="A25" s="1" t="s">
        <v>164</v>
      </c>
      <c r="B25" s="1" t="s">
        <v>106</v>
      </c>
      <c r="C25" s="1" t="s">
        <v>120</v>
      </c>
      <c r="D25" s="6" t="s">
        <v>165</v>
      </c>
      <c r="E25" s="7">
        <v>1.75</v>
      </c>
      <c r="F25" s="1" t="s">
        <v>122</v>
      </c>
      <c r="G25" s="5">
        <v>45658.0</v>
      </c>
    </row>
    <row r="26">
      <c r="A26" s="1" t="s">
        <v>166</v>
      </c>
      <c r="B26" s="1" t="s">
        <v>106</v>
      </c>
      <c r="C26" s="1" t="s">
        <v>120</v>
      </c>
      <c r="D26" s="8" t="s">
        <v>167</v>
      </c>
      <c r="E26" s="7">
        <v>1.3</v>
      </c>
      <c r="F26" s="1" t="s">
        <v>122</v>
      </c>
      <c r="G26" s="5">
        <v>45658.0</v>
      </c>
    </row>
    <row r="27">
      <c r="A27" s="1" t="s">
        <v>168</v>
      </c>
      <c r="B27" s="1" t="s">
        <v>106</v>
      </c>
      <c r="C27" s="1" t="s">
        <v>128</v>
      </c>
      <c r="D27" s="6" t="s">
        <v>129</v>
      </c>
      <c r="E27" s="7">
        <v>9.0</v>
      </c>
      <c r="F27" s="1" t="s">
        <v>130</v>
      </c>
      <c r="G27" s="5">
        <v>45658.0</v>
      </c>
    </row>
    <row r="28">
      <c r="A28" s="1" t="s">
        <v>169</v>
      </c>
      <c r="B28" s="1" t="s">
        <v>106</v>
      </c>
      <c r="C28" s="1" t="s">
        <v>124</v>
      </c>
      <c r="D28" s="6" t="s">
        <v>151</v>
      </c>
      <c r="E28" s="7">
        <v>15.0</v>
      </c>
      <c r="F28" s="1" t="s">
        <v>126</v>
      </c>
      <c r="G28" s="5">
        <v>45658.0</v>
      </c>
    </row>
    <row r="29">
      <c r="A29" s="1" t="s">
        <v>170</v>
      </c>
      <c r="B29" s="1" t="s">
        <v>106</v>
      </c>
      <c r="C29" s="1" t="s">
        <v>120</v>
      </c>
      <c r="D29" s="6" t="s">
        <v>171</v>
      </c>
      <c r="E29" s="7">
        <v>3.75</v>
      </c>
      <c r="F29" s="1" t="s">
        <v>122</v>
      </c>
      <c r="G29" s="5">
        <v>45658.0</v>
      </c>
    </row>
    <row r="30">
      <c r="A30" s="1" t="s">
        <v>172</v>
      </c>
      <c r="B30" s="1" t="s">
        <v>106</v>
      </c>
      <c r="C30" s="1" t="s">
        <v>120</v>
      </c>
      <c r="D30" s="6" t="s">
        <v>173</v>
      </c>
      <c r="E30" s="7">
        <v>4.0</v>
      </c>
      <c r="F30" s="1" t="s">
        <v>122</v>
      </c>
      <c r="G30" s="5">
        <v>45658.0</v>
      </c>
    </row>
    <row r="31">
      <c r="A31" s="1" t="s">
        <v>174</v>
      </c>
      <c r="B31" s="1" t="s">
        <v>106</v>
      </c>
      <c r="C31" s="1" t="s">
        <v>175</v>
      </c>
      <c r="D31" s="6" t="s">
        <v>176</v>
      </c>
      <c r="E31" s="7">
        <v>15.0</v>
      </c>
      <c r="F31" s="1" t="s">
        <v>175</v>
      </c>
      <c r="G31" s="5">
        <v>45658.0</v>
      </c>
    </row>
    <row r="32">
      <c r="A32" s="1" t="s">
        <v>177</v>
      </c>
      <c r="B32" s="1" t="s">
        <v>106</v>
      </c>
      <c r="C32" s="1" t="s">
        <v>153</v>
      </c>
      <c r="D32" s="6" t="s">
        <v>178</v>
      </c>
      <c r="E32" s="7">
        <v>0.2</v>
      </c>
      <c r="F32" s="1" t="s">
        <v>155</v>
      </c>
      <c r="G32" s="5">
        <v>45658.0</v>
      </c>
    </row>
    <row r="33">
      <c r="D33" s="9"/>
      <c r="E33" s="10"/>
      <c r="F33" s="11"/>
      <c r="G33" s="11"/>
    </row>
    <row r="34">
      <c r="D34" s="9"/>
      <c r="E34" s="10"/>
      <c r="F34" s="11"/>
      <c r="G34" s="11"/>
    </row>
    <row r="35">
      <c r="D35" s="9"/>
      <c r="E35" s="10"/>
      <c r="F35" s="11"/>
      <c r="G35" s="11"/>
    </row>
    <row r="36">
      <c r="D36" s="9"/>
      <c r="E36" s="10"/>
      <c r="F36" s="11"/>
      <c r="G36" s="11"/>
    </row>
    <row r="37">
      <c r="D37" s="9"/>
      <c r="E37" s="10"/>
      <c r="F37" s="11"/>
      <c r="G37" s="11"/>
    </row>
    <row r="38">
      <c r="D38" s="9"/>
      <c r="E38" s="10"/>
      <c r="F38" s="11"/>
      <c r="G38" s="11"/>
    </row>
    <row r="39">
      <c r="D39" s="9"/>
      <c r="E39" s="10"/>
      <c r="F39" s="11"/>
      <c r="G39" s="11"/>
    </row>
    <row r="40">
      <c r="D40" s="9"/>
      <c r="E40" s="10"/>
      <c r="F40" s="11"/>
      <c r="G40" s="11"/>
    </row>
    <row r="41">
      <c r="D41" s="9"/>
      <c r="E41" s="10"/>
      <c r="F41" s="11"/>
      <c r="G41" s="11"/>
    </row>
    <row r="42">
      <c r="D42" s="9"/>
      <c r="E42" s="10"/>
      <c r="F42" s="11"/>
      <c r="G42" s="11"/>
    </row>
    <row r="43">
      <c r="D43" s="9"/>
      <c r="E43" s="10"/>
      <c r="F43" s="11"/>
      <c r="G43" s="11"/>
    </row>
    <row r="44">
      <c r="D44" s="9"/>
      <c r="E44" s="10"/>
      <c r="F44" s="11"/>
      <c r="G44" s="11"/>
    </row>
    <row r="45">
      <c r="D45" s="9"/>
      <c r="E45" s="10"/>
      <c r="F45" s="11"/>
      <c r="G45" s="11"/>
    </row>
    <row r="46">
      <c r="D46" s="9"/>
      <c r="E46" s="10"/>
      <c r="F46" s="11"/>
      <c r="G46" s="11"/>
    </row>
    <row r="47">
      <c r="D47" s="9"/>
      <c r="E47" s="10"/>
      <c r="F47" s="11"/>
      <c r="G47" s="11"/>
    </row>
    <row r="48">
      <c r="D48" s="9"/>
      <c r="E48" s="10"/>
      <c r="F48" s="11"/>
      <c r="G48" s="11"/>
    </row>
    <row r="49">
      <c r="D49" s="9"/>
      <c r="E49" s="10"/>
      <c r="F49" s="11"/>
      <c r="G49" s="11"/>
    </row>
    <row r="50">
      <c r="D50" s="9"/>
      <c r="E50" s="10"/>
      <c r="F50" s="11"/>
      <c r="G50" s="11"/>
    </row>
    <row r="51">
      <c r="D51" s="9"/>
      <c r="E51" s="10"/>
      <c r="F51" s="11"/>
      <c r="G51" s="11"/>
    </row>
    <row r="52">
      <c r="D52" s="9"/>
      <c r="E52" s="10"/>
      <c r="F52" s="11"/>
      <c r="G52" s="11"/>
    </row>
    <row r="53">
      <c r="D53" s="9"/>
      <c r="E53" s="10"/>
      <c r="F53" s="11"/>
      <c r="G53" s="11"/>
    </row>
    <row r="54">
      <c r="D54" s="9"/>
      <c r="E54" s="10"/>
      <c r="F54" s="11"/>
      <c r="G54" s="11"/>
    </row>
    <row r="55">
      <c r="D55" s="9"/>
      <c r="E55" s="10"/>
      <c r="F55" s="11"/>
      <c r="G55" s="11"/>
    </row>
    <row r="56">
      <c r="D56" s="9"/>
      <c r="E56" s="10"/>
      <c r="F56" s="11"/>
      <c r="G56" s="11"/>
    </row>
    <row r="57">
      <c r="D57" s="9"/>
      <c r="E57" s="10"/>
      <c r="F57" s="11"/>
      <c r="G57" s="11"/>
    </row>
    <row r="58">
      <c r="D58" s="9"/>
      <c r="E58" s="10"/>
      <c r="F58" s="11"/>
      <c r="G58" s="11"/>
    </row>
    <row r="59">
      <c r="D59" s="9"/>
      <c r="E59" s="10"/>
      <c r="F59" s="11"/>
      <c r="G59" s="11"/>
    </row>
    <row r="60">
      <c r="D60" s="9"/>
      <c r="E60" s="10"/>
      <c r="F60" s="11"/>
      <c r="G60" s="11"/>
    </row>
    <row r="61">
      <c r="D61" s="9"/>
      <c r="E61" s="10"/>
      <c r="F61" s="11"/>
      <c r="G61" s="11"/>
    </row>
    <row r="62">
      <c r="D62" s="9"/>
      <c r="E62" s="10"/>
      <c r="F62" s="11"/>
      <c r="G62" s="11"/>
    </row>
    <row r="63">
      <c r="D63" s="9"/>
      <c r="E63" s="10"/>
      <c r="F63" s="11"/>
      <c r="G63" s="11"/>
    </row>
    <row r="64">
      <c r="D64" s="9"/>
      <c r="E64" s="10"/>
      <c r="F64" s="11"/>
      <c r="G64" s="11"/>
    </row>
    <row r="65">
      <c r="D65" s="9"/>
      <c r="E65" s="10"/>
      <c r="F65" s="11"/>
      <c r="G65" s="11"/>
    </row>
    <row r="66">
      <c r="D66" s="9"/>
      <c r="E66" s="10"/>
      <c r="F66" s="11"/>
      <c r="G66" s="11"/>
    </row>
    <row r="67">
      <c r="D67" s="9"/>
      <c r="E67" s="10"/>
      <c r="F67" s="11"/>
      <c r="G67" s="11"/>
    </row>
    <row r="68">
      <c r="D68" s="9"/>
      <c r="E68" s="10"/>
      <c r="F68" s="11"/>
      <c r="G68" s="11"/>
    </row>
    <row r="69">
      <c r="D69" s="9"/>
      <c r="E69" s="10"/>
      <c r="F69" s="11"/>
      <c r="G69" s="11"/>
    </row>
    <row r="70">
      <c r="D70" s="9"/>
      <c r="E70" s="10"/>
      <c r="F70" s="11"/>
      <c r="G70" s="11"/>
    </row>
    <row r="71">
      <c r="D71" s="9"/>
      <c r="E71" s="10"/>
      <c r="F71" s="11"/>
      <c r="G71" s="11"/>
    </row>
    <row r="72">
      <c r="D72" s="9"/>
      <c r="E72" s="10"/>
      <c r="F72" s="11"/>
      <c r="G72" s="11"/>
    </row>
    <row r="73">
      <c r="D73" s="9"/>
      <c r="E73" s="10"/>
      <c r="F73" s="11"/>
      <c r="G73" s="11"/>
    </row>
    <row r="74">
      <c r="D74" s="9"/>
      <c r="E74" s="10"/>
      <c r="F74" s="11"/>
      <c r="G74" s="11"/>
    </row>
    <row r="75">
      <c r="D75" s="9"/>
      <c r="E75" s="10"/>
      <c r="F75" s="11"/>
      <c r="G75" s="11"/>
    </row>
    <row r="76">
      <c r="D76" s="9"/>
      <c r="E76" s="10"/>
      <c r="F76" s="11"/>
      <c r="G76" s="11"/>
    </row>
    <row r="77">
      <c r="D77" s="9"/>
      <c r="E77" s="10"/>
      <c r="F77" s="11"/>
      <c r="G77" s="11"/>
    </row>
    <row r="78">
      <c r="D78" s="9"/>
      <c r="E78" s="10"/>
      <c r="F78" s="11"/>
      <c r="G78" s="11"/>
    </row>
    <row r="79">
      <c r="D79" s="9"/>
      <c r="E79" s="10"/>
      <c r="F79" s="11"/>
      <c r="G79" s="11"/>
    </row>
    <row r="80">
      <c r="D80" s="9"/>
      <c r="E80" s="10"/>
      <c r="F80" s="11"/>
      <c r="G80" s="11"/>
    </row>
    <row r="81">
      <c r="D81" s="9"/>
      <c r="E81" s="10"/>
      <c r="F81" s="11"/>
      <c r="G81" s="11"/>
    </row>
    <row r="82">
      <c r="D82" s="9"/>
      <c r="E82" s="10"/>
      <c r="F82" s="11"/>
      <c r="G82" s="11"/>
    </row>
    <row r="83">
      <c r="D83" s="9"/>
      <c r="E83" s="10"/>
      <c r="F83" s="11"/>
      <c r="G83" s="11"/>
    </row>
    <row r="84">
      <c r="D84" s="9"/>
      <c r="E84" s="10"/>
      <c r="F84" s="11"/>
      <c r="G84" s="11"/>
    </row>
    <row r="85">
      <c r="D85" s="9"/>
      <c r="E85" s="10"/>
      <c r="F85" s="11"/>
      <c r="G85" s="11"/>
    </row>
    <row r="86">
      <c r="D86" s="9"/>
      <c r="E86" s="10"/>
      <c r="F86" s="11"/>
      <c r="G86" s="11"/>
    </row>
    <row r="87">
      <c r="D87" s="9"/>
      <c r="E87" s="10"/>
      <c r="F87" s="11"/>
      <c r="G87" s="11"/>
    </row>
    <row r="88">
      <c r="D88" s="9"/>
      <c r="E88" s="10"/>
      <c r="F88" s="11"/>
      <c r="G88" s="11"/>
    </row>
    <row r="89">
      <c r="D89" s="9"/>
      <c r="E89" s="10"/>
      <c r="F89" s="11"/>
      <c r="G89" s="11"/>
    </row>
    <row r="90">
      <c r="D90" s="9"/>
      <c r="E90" s="10"/>
      <c r="F90" s="11"/>
      <c r="G90" s="11"/>
    </row>
    <row r="91">
      <c r="D91" s="9"/>
      <c r="E91" s="10"/>
      <c r="F91" s="11"/>
      <c r="G91" s="11"/>
    </row>
    <row r="92">
      <c r="D92" s="9"/>
      <c r="E92" s="10"/>
      <c r="F92" s="11"/>
      <c r="G92" s="11"/>
    </row>
    <row r="93">
      <c r="D93" s="9"/>
      <c r="E93" s="10"/>
      <c r="F93" s="11"/>
      <c r="G93" s="11"/>
    </row>
    <row r="94">
      <c r="D94" s="9"/>
      <c r="E94" s="10"/>
      <c r="F94" s="11"/>
      <c r="G94" s="11"/>
    </row>
    <row r="95">
      <c r="D95" s="9"/>
      <c r="E95" s="10"/>
      <c r="F95" s="11"/>
      <c r="G95" s="11"/>
    </row>
    <row r="96">
      <c r="D96" s="9"/>
      <c r="E96" s="10"/>
      <c r="F96" s="11"/>
      <c r="G96" s="11"/>
    </row>
    <row r="97">
      <c r="D97" s="9"/>
      <c r="E97" s="10"/>
      <c r="F97" s="11"/>
      <c r="G97" s="11"/>
    </row>
    <row r="98">
      <c r="D98" s="9"/>
      <c r="E98" s="10"/>
      <c r="F98" s="11"/>
      <c r="G98" s="11"/>
    </row>
    <row r="99">
      <c r="D99" s="9"/>
      <c r="E99" s="10"/>
      <c r="F99" s="11"/>
      <c r="G99" s="11"/>
    </row>
    <row r="100">
      <c r="D100" s="9"/>
      <c r="E100" s="10"/>
      <c r="F100" s="11"/>
      <c r="G100" s="11"/>
    </row>
    <row r="101">
      <c r="D101" s="9"/>
      <c r="E101" s="10"/>
      <c r="F101" s="11"/>
      <c r="G101" s="11"/>
    </row>
    <row r="102">
      <c r="D102" s="9"/>
      <c r="E102" s="10"/>
      <c r="F102" s="11"/>
      <c r="G102" s="11"/>
    </row>
    <row r="103">
      <c r="D103" s="9"/>
      <c r="E103" s="10"/>
      <c r="F103" s="11"/>
      <c r="G103" s="11"/>
    </row>
    <row r="104">
      <c r="D104" s="9"/>
      <c r="E104" s="10"/>
      <c r="F104" s="11"/>
      <c r="G104" s="11"/>
    </row>
    <row r="105">
      <c r="D105" s="9"/>
      <c r="E105" s="10"/>
      <c r="F105" s="11"/>
      <c r="G105" s="11"/>
    </row>
    <row r="106">
      <c r="D106" s="9"/>
      <c r="E106" s="10"/>
      <c r="F106" s="11"/>
      <c r="G106" s="11"/>
    </row>
    <row r="107">
      <c r="D107" s="9"/>
      <c r="E107" s="10"/>
      <c r="F107" s="11"/>
      <c r="G107" s="11"/>
    </row>
    <row r="108">
      <c r="D108" s="9"/>
      <c r="E108" s="10"/>
      <c r="F108" s="11"/>
      <c r="G108" s="11"/>
    </row>
    <row r="109">
      <c r="D109" s="9"/>
      <c r="E109" s="10"/>
      <c r="F109" s="11"/>
      <c r="G109" s="11"/>
    </row>
    <row r="110">
      <c r="D110" s="9"/>
      <c r="E110" s="10"/>
      <c r="F110" s="11"/>
      <c r="G110" s="11"/>
    </row>
    <row r="111">
      <c r="D111" s="9"/>
      <c r="E111" s="10"/>
      <c r="F111" s="11"/>
      <c r="G111" s="11"/>
    </row>
    <row r="112">
      <c r="D112" s="9"/>
      <c r="E112" s="10"/>
      <c r="F112" s="11"/>
      <c r="G112" s="11"/>
    </row>
    <row r="113">
      <c r="D113" s="9"/>
      <c r="E113" s="10"/>
      <c r="F113" s="11"/>
      <c r="G113" s="11"/>
    </row>
    <row r="114">
      <c r="D114" s="9"/>
      <c r="E114" s="10"/>
      <c r="F114" s="11"/>
      <c r="G114" s="11"/>
    </row>
    <row r="115">
      <c r="D115" s="9"/>
      <c r="E115" s="10"/>
      <c r="F115" s="11"/>
      <c r="G115" s="11"/>
    </row>
    <row r="116">
      <c r="D116" s="9"/>
      <c r="E116" s="10"/>
      <c r="F116" s="11"/>
      <c r="G116" s="11"/>
    </row>
    <row r="117">
      <c r="D117" s="9"/>
      <c r="E117" s="10"/>
      <c r="F117" s="11"/>
      <c r="G117" s="11"/>
    </row>
    <row r="118">
      <c r="D118" s="9"/>
      <c r="E118" s="10"/>
      <c r="F118" s="11"/>
      <c r="G118" s="11"/>
    </row>
    <row r="119">
      <c r="D119" s="9"/>
      <c r="E119" s="10"/>
      <c r="F119" s="11"/>
      <c r="G119" s="11"/>
    </row>
    <row r="120">
      <c r="D120" s="9"/>
      <c r="E120" s="10"/>
      <c r="F120" s="11"/>
      <c r="G120" s="11"/>
    </row>
    <row r="121">
      <c r="D121" s="9"/>
      <c r="E121" s="10"/>
      <c r="F121" s="11"/>
      <c r="G121" s="11"/>
    </row>
    <row r="122">
      <c r="D122" s="9"/>
      <c r="E122" s="10"/>
      <c r="F122" s="11"/>
      <c r="G122" s="11"/>
    </row>
    <row r="123">
      <c r="D123" s="9"/>
      <c r="E123" s="10"/>
      <c r="F123" s="11"/>
      <c r="G123" s="11"/>
    </row>
    <row r="124">
      <c r="D124" s="9"/>
      <c r="E124" s="10"/>
      <c r="F124" s="11"/>
      <c r="G124" s="11"/>
    </row>
    <row r="125">
      <c r="D125" s="9"/>
      <c r="E125" s="10"/>
      <c r="F125" s="11"/>
      <c r="G125" s="11"/>
    </row>
    <row r="126">
      <c r="D126" s="9"/>
      <c r="E126" s="10"/>
      <c r="F126" s="11"/>
      <c r="G126" s="11"/>
    </row>
    <row r="127">
      <c r="D127" s="9"/>
      <c r="E127" s="10"/>
      <c r="F127" s="11"/>
      <c r="G127" s="11"/>
    </row>
    <row r="128">
      <c r="D128" s="9"/>
      <c r="E128" s="10"/>
      <c r="F128" s="11"/>
      <c r="G128" s="11"/>
    </row>
    <row r="129">
      <c r="D129" s="9"/>
      <c r="E129" s="10"/>
      <c r="F129" s="11"/>
      <c r="G129" s="11"/>
    </row>
    <row r="130">
      <c r="D130" s="9"/>
      <c r="E130" s="10"/>
      <c r="F130" s="11"/>
      <c r="G130" s="11"/>
    </row>
    <row r="131">
      <c r="D131" s="9"/>
      <c r="E131" s="10"/>
      <c r="F131" s="11"/>
      <c r="G131" s="11"/>
    </row>
    <row r="132">
      <c r="D132" s="9"/>
      <c r="E132" s="10"/>
      <c r="F132" s="11"/>
      <c r="G132" s="11"/>
    </row>
    <row r="133">
      <c r="D133" s="9"/>
      <c r="E133" s="10"/>
      <c r="F133" s="11"/>
      <c r="G133" s="11"/>
    </row>
    <row r="134">
      <c r="D134" s="9"/>
      <c r="E134" s="10"/>
      <c r="F134" s="11"/>
      <c r="G134" s="11"/>
    </row>
    <row r="135">
      <c r="D135" s="9"/>
      <c r="E135" s="10"/>
      <c r="F135" s="11"/>
      <c r="G135" s="11"/>
    </row>
    <row r="136">
      <c r="D136" s="9"/>
      <c r="E136" s="10"/>
      <c r="F136" s="11"/>
      <c r="G136" s="11"/>
    </row>
    <row r="137">
      <c r="D137" s="9"/>
      <c r="E137" s="10"/>
      <c r="F137" s="11"/>
      <c r="G137" s="11"/>
    </row>
    <row r="138">
      <c r="D138" s="9"/>
      <c r="E138" s="10"/>
      <c r="F138" s="11"/>
      <c r="G138" s="11"/>
    </row>
    <row r="139">
      <c r="D139" s="9"/>
      <c r="E139" s="10"/>
      <c r="F139" s="11"/>
      <c r="G139" s="11"/>
    </row>
    <row r="140">
      <c r="D140" s="9"/>
      <c r="E140" s="10"/>
      <c r="F140" s="11"/>
      <c r="G140" s="11"/>
    </row>
    <row r="141">
      <c r="D141" s="9"/>
      <c r="E141" s="10"/>
      <c r="F141" s="11"/>
      <c r="G141" s="11"/>
    </row>
    <row r="142">
      <c r="D142" s="9"/>
      <c r="E142" s="10"/>
      <c r="F142" s="11"/>
      <c r="G142" s="11"/>
    </row>
    <row r="143">
      <c r="D143" s="9"/>
      <c r="E143" s="10"/>
      <c r="F143" s="11"/>
      <c r="G143" s="11"/>
    </row>
    <row r="144">
      <c r="D144" s="9"/>
      <c r="E144" s="10"/>
      <c r="F144" s="11"/>
      <c r="G144" s="11"/>
    </row>
    <row r="145">
      <c r="D145" s="9"/>
      <c r="E145" s="10"/>
      <c r="F145" s="11"/>
      <c r="G145" s="11"/>
    </row>
    <row r="146">
      <c r="D146" s="9"/>
      <c r="E146" s="10"/>
      <c r="F146" s="11"/>
      <c r="G146" s="11"/>
    </row>
    <row r="147">
      <c r="D147" s="9"/>
      <c r="E147" s="10"/>
      <c r="F147" s="11"/>
      <c r="G147" s="11"/>
    </row>
    <row r="148">
      <c r="D148" s="9"/>
      <c r="E148" s="10"/>
      <c r="F148" s="11"/>
      <c r="G148" s="11"/>
    </row>
    <row r="149">
      <c r="D149" s="9"/>
      <c r="E149" s="10"/>
      <c r="F149" s="11"/>
      <c r="G149" s="11"/>
    </row>
    <row r="150">
      <c r="D150" s="9"/>
      <c r="E150" s="10"/>
      <c r="F150" s="11"/>
      <c r="G150" s="11"/>
    </row>
    <row r="151">
      <c r="D151" s="9"/>
      <c r="E151" s="10"/>
      <c r="F151" s="11"/>
      <c r="G151" s="11"/>
    </row>
    <row r="152">
      <c r="D152" s="9"/>
      <c r="E152" s="10"/>
      <c r="F152" s="11"/>
      <c r="G152" s="11"/>
    </row>
    <row r="153">
      <c r="D153" s="9"/>
      <c r="E153" s="10"/>
      <c r="F153" s="11"/>
      <c r="G153" s="11"/>
    </row>
    <row r="154">
      <c r="D154" s="9"/>
      <c r="E154" s="10"/>
      <c r="F154" s="11"/>
      <c r="G154" s="11"/>
    </row>
    <row r="155">
      <c r="D155" s="9"/>
      <c r="E155" s="10"/>
      <c r="F155" s="11"/>
      <c r="G155" s="11"/>
    </row>
    <row r="156">
      <c r="D156" s="9"/>
      <c r="E156" s="10"/>
      <c r="F156" s="11"/>
      <c r="G156" s="11"/>
    </row>
    <row r="157">
      <c r="D157" s="9"/>
      <c r="E157" s="10"/>
      <c r="F157" s="11"/>
      <c r="G157" s="11"/>
    </row>
    <row r="158">
      <c r="D158" s="9"/>
      <c r="E158" s="10"/>
      <c r="F158" s="11"/>
      <c r="G158" s="11"/>
    </row>
    <row r="159">
      <c r="D159" s="9"/>
      <c r="E159" s="10"/>
      <c r="F159" s="11"/>
      <c r="G159" s="11"/>
    </row>
    <row r="160">
      <c r="D160" s="9"/>
      <c r="E160" s="10"/>
      <c r="F160" s="11"/>
      <c r="G160" s="11"/>
    </row>
    <row r="161">
      <c r="D161" s="9"/>
      <c r="E161" s="10"/>
      <c r="F161" s="11"/>
      <c r="G161" s="11"/>
    </row>
    <row r="162">
      <c r="D162" s="9"/>
      <c r="E162" s="10"/>
      <c r="F162" s="11"/>
      <c r="G162" s="11"/>
    </row>
    <row r="163">
      <c r="D163" s="9"/>
      <c r="E163" s="10"/>
      <c r="F163" s="11"/>
      <c r="G163" s="11"/>
    </row>
    <row r="164">
      <c r="D164" s="9"/>
      <c r="E164" s="10"/>
      <c r="F164" s="11"/>
      <c r="G164" s="11"/>
    </row>
    <row r="165">
      <c r="D165" s="9"/>
      <c r="E165" s="10"/>
      <c r="F165" s="11"/>
      <c r="G165" s="11"/>
    </row>
    <row r="166">
      <c r="D166" s="9"/>
      <c r="E166" s="10"/>
      <c r="F166" s="11"/>
      <c r="G166" s="11"/>
    </row>
    <row r="167">
      <c r="D167" s="9"/>
      <c r="E167" s="10"/>
      <c r="F167" s="11"/>
      <c r="G167" s="11"/>
    </row>
    <row r="168">
      <c r="D168" s="9"/>
      <c r="E168" s="10"/>
      <c r="F168" s="11"/>
      <c r="G168" s="11"/>
    </row>
    <row r="169">
      <c r="D169" s="9"/>
      <c r="E169" s="10"/>
      <c r="F169" s="11"/>
      <c r="G169" s="11"/>
    </row>
    <row r="170">
      <c r="D170" s="9"/>
      <c r="E170" s="10"/>
      <c r="F170" s="11"/>
      <c r="G170" s="11"/>
    </row>
    <row r="171">
      <c r="D171" s="9"/>
      <c r="E171" s="10"/>
      <c r="F171" s="11"/>
      <c r="G171" s="11"/>
    </row>
    <row r="172">
      <c r="D172" s="9"/>
      <c r="E172" s="10"/>
      <c r="F172" s="11"/>
      <c r="G172" s="11"/>
    </row>
    <row r="173">
      <c r="D173" s="9"/>
      <c r="E173" s="10"/>
      <c r="F173" s="11"/>
      <c r="G173" s="11"/>
    </row>
    <row r="174">
      <c r="D174" s="9"/>
      <c r="E174" s="10"/>
      <c r="F174" s="11"/>
      <c r="G174" s="11"/>
    </row>
    <row r="175">
      <c r="D175" s="9"/>
      <c r="E175" s="10"/>
      <c r="F175" s="11"/>
      <c r="G175" s="11"/>
    </row>
    <row r="176">
      <c r="D176" s="9"/>
      <c r="E176" s="10"/>
      <c r="F176" s="11"/>
      <c r="G176" s="11"/>
    </row>
    <row r="177">
      <c r="D177" s="9"/>
      <c r="E177" s="10"/>
      <c r="F177" s="11"/>
      <c r="G177" s="11"/>
    </row>
    <row r="178">
      <c r="D178" s="9"/>
      <c r="E178" s="10"/>
      <c r="F178" s="11"/>
      <c r="G178" s="11"/>
    </row>
    <row r="179">
      <c r="D179" s="9"/>
      <c r="E179" s="10"/>
      <c r="F179" s="11"/>
      <c r="G179" s="11"/>
    </row>
    <row r="180">
      <c r="D180" s="9"/>
      <c r="E180" s="10"/>
      <c r="F180" s="11"/>
      <c r="G180" s="11"/>
    </row>
    <row r="181">
      <c r="D181" s="9"/>
      <c r="E181" s="10"/>
      <c r="F181" s="11"/>
      <c r="G181" s="11"/>
    </row>
    <row r="182">
      <c r="D182" s="9"/>
      <c r="E182" s="10"/>
      <c r="F182" s="11"/>
      <c r="G182" s="11"/>
    </row>
    <row r="183">
      <c r="D183" s="9"/>
      <c r="E183" s="10"/>
      <c r="F183" s="11"/>
      <c r="G183" s="11"/>
    </row>
    <row r="184">
      <c r="D184" s="9"/>
      <c r="E184" s="10"/>
      <c r="F184" s="11"/>
      <c r="G184" s="11"/>
    </row>
    <row r="185">
      <c r="D185" s="9"/>
      <c r="E185" s="10"/>
      <c r="F185" s="11"/>
      <c r="G185" s="11"/>
    </row>
    <row r="186">
      <c r="D186" s="9"/>
      <c r="E186" s="10"/>
      <c r="F186" s="11"/>
      <c r="G186" s="11"/>
    </row>
    <row r="187">
      <c r="D187" s="9"/>
      <c r="E187" s="10"/>
      <c r="F187" s="11"/>
      <c r="G187" s="11"/>
    </row>
    <row r="188">
      <c r="D188" s="9"/>
      <c r="E188" s="10"/>
      <c r="F188" s="11"/>
      <c r="G188" s="11"/>
    </row>
    <row r="189">
      <c r="D189" s="9"/>
      <c r="E189" s="10"/>
      <c r="F189" s="11"/>
      <c r="G189" s="11"/>
    </row>
    <row r="190">
      <c r="D190" s="9"/>
      <c r="E190" s="10"/>
      <c r="F190" s="11"/>
      <c r="G190" s="11"/>
    </row>
    <row r="191">
      <c r="D191" s="9"/>
      <c r="E191" s="10"/>
      <c r="F191" s="11"/>
      <c r="G191" s="11"/>
    </row>
    <row r="192">
      <c r="D192" s="9"/>
      <c r="E192" s="10"/>
      <c r="F192" s="11"/>
      <c r="G192" s="11"/>
    </row>
    <row r="193">
      <c r="D193" s="9"/>
      <c r="E193" s="10"/>
      <c r="F193" s="11"/>
      <c r="G193" s="11"/>
    </row>
    <row r="194">
      <c r="D194" s="9"/>
      <c r="E194" s="10"/>
      <c r="F194" s="11"/>
      <c r="G194" s="11"/>
    </row>
    <row r="195">
      <c r="D195" s="9"/>
      <c r="E195" s="10"/>
      <c r="F195" s="11"/>
      <c r="G195" s="11"/>
    </row>
    <row r="196">
      <c r="D196" s="9"/>
      <c r="E196" s="10"/>
      <c r="F196" s="11"/>
      <c r="G196" s="11"/>
    </row>
    <row r="197">
      <c r="D197" s="9"/>
      <c r="E197" s="10"/>
      <c r="F197" s="11"/>
      <c r="G197" s="11"/>
    </row>
    <row r="198">
      <c r="D198" s="9"/>
      <c r="E198" s="10"/>
      <c r="F198" s="11"/>
      <c r="G198" s="11"/>
    </row>
    <row r="199">
      <c r="D199" s="9"/>
      <c r="E199" s="10"/>
      <c r="F199" s="11"/>
      <c r="G199" s="11"/>
    </row>
    <row r="200">
      <c r="D200" s="9"/>
      <c r="E200" s="10"/>
      <c r="F200" s="11"/>
      <c r="G200" s="11"/>
    </row>
    <row r="201">
      <c r="D201" s="9"/>
      <c r="E201" s="10"/>
      <c r="F201" s="11"/>
      <c r="G201" s="11"/>
    </row>
    <row r="202">
      <c r="D202" s="9"/>
      <c r="E202" s="10"/>
      <c r="F202" s="11"/>
      <c r="G202" s="11"/>
    </row>
    <row r="203">
      <c r="D203" s="9"/>
      <c r="E203" s="10"/>
      <c r="F203" s="11"/>
      <c r="G203" s="11"/>
    </row>
    <row r="204">
      <c r="D204" s="9"/>
      <c r="E204" s="10"/>
      <c r="F204" s="11"/>
      <c r="G204" s="11"/>
    </row>
    <row r="205">
      <c r="D205" s="9"/>
      <c r="E205" s="10"/>
      <c r="F205" s="11"/>
      <c r="G205" s="11"/>
    </row>
    <row r="206">
      <c r="D206" s="9"/>
      <c r="E206" s="10"/>
      <c r="F206" s="11"/>
      <c r="G206" s="11"/>
    </row>
    <row r="207">
      <c r="D207" s="9"/>
      <c r="E207" s="10"/>
      <c r="F207" s="11"/>
      <c r="G207" s="11"/>
    </row>
    <row r="208">
      <c r="D208" s="9"/>
      <c r="E208" s="10"/>
      <c r="F208" s="11"/>
      <c r="G208" s="11"/>
    </row>
    <row r="209">
      <c r="D209" s="9"/>
      <c r="E209" s="10"/>
      <c r="F209" s="11"/>
      <c r="G209" s="11"/>
    </row>
    <row r="210">
      <c r="D210" s="9"/>
      <c r="E210" s="10"/>
      <c r="F210" s="11"/>
      <c r="G210" s="11"/>
    </row>
    <row r="211">
      <c r="D211" s="9"/>
      <c r="E211" s="10"/>
      <c r="F211" s="11"/>
      <c r="G211" s="11"/>
    </row>
    <row r="212">
      <c r="D212" s="9"/>
      <c r="E212" s="10"/>
      <c r="F212" s="11"/>
      <c r="G212" s="11"/>
    </row>
    <row r="213">
      <c r="D213" s="9"/>
      <c r="E213" s="10"/>
      <c r="F213" s="11"/>
      <c r="G213" s="11"/>
    </row>
    <row r="214">
      <c r="D214" s="9"/>
      <c r="E214" s="10"/>
      <c r="F214" s="11"/>
      <c r="G214" s="11"/>
    </row>
    <row r="215">
      <c r="D215" s="9"/>
      <c r="E215" s="10"/>
      <c r="F215" s="11"/>
      <c r="G215" s="11"/>
    </row>
    <row r="216">
      <c r="D216" s="9"/>
      <c r="E216" s="10"/>
      <c r="F216" s="11"/>
      <c r="G216" s="11"/>
    </row>
    <row r="217">
      <c r="D217" s="9"/>
      <c r="E217" s="10"/>
      <c r="F217" s="11"/>
      <c r="G217" s="11"/>
    </row>
    <row r="218">
      <c r="D218" s="9"/>
      <c r="E218" s="10"/>
      <c r="F218" s="11"/>
      <c r="G218" s="11"/>
    </row>
    <row r="219">
      <c r="D219" s="9"/>
      <c r="E219" s="10"/>
      <c r="F219" s="11"/>
      <c r="G219" s="11"/>
    </row>
    <row r="220">
      <c r="D220" s="9"/>
      <c r="E220" s="10"/>
      <c r="F220" s="11"/>
      <c r="G220" s="11"/>
    </row>
    <row r="221">
      <c r="D221" s="9"/>
      <c r="E221" s="10"/>
      <c r="F221" s="11"/>
      <c r="G221" s="11"/>
    </row>
    <row r="222">
      <c r="D222" s="9"/>
      <c r="E222" s="10"/>
      <c r="F222" s="11"/>
      <c r="G222" s="11"/>
    </row>
    <row r="223">
      <c r="D223" s="9"/>
      <c r="E223" s="10"/>
      <c r="F223" s="11"/>
      <c r="G223" s="11"/>
    </row>
    <row r="224">
      <c r="D224" s="9"/>
      <c r="E224" s="10"/>
      <c r="F224" s="11"/>
      <c r="G224" s="11"/>
    </row>
    <row r="225">
      <c r="D225" s="9"/>
      <c r="E225" s="10"/>
      <c r="F225" s="11"/>
      <c r="G225" s="11"/>
    </row>
    <row r="226">
      <c r="D226" s="9"/>
      <c r="E226" s="10"/>
      <c r="F226" s="11"/>
      <c r="G226" s="11"/>
    </row>
    <row r="227">
      <c r="D227" s="9"/>
      <c r="E227" s="10"/>
      <c r="F227" s="11"/>
      <c r="G227" s="11"/>
    </row>
    <row r="228">
      <c r="D228" s="9"/>
      <c r="E228" s="10"/>
      <c r="F228" s="11"/>
      <c r="G228" s="11"/>
    </row>
    <row r="229">
      <c r="D229" s="9"/>
      <c r="E229" s="10"/>
      <c r="F229" s="11"/>
      <c r="G229" s="11"/>
    </row>
    <row r="230">
      <c r="D230" s="9"/>
      <c r="E230" s="10"/>
      <c r="F230" s="11"/>
      <c r="G230" s="11"/>
    </row>
    <row r="231">
      <c r="D231" s="9"/>
      <c r="E231" s="10"/>
      <c r="F231" s="11"/>
      <c r="G231" s="11"/>
    </row>
    <row r="232">
      <c r="D232" s="9"/>
      <c r="E232" s="10"/>
      <c r="F232" s="11"/>
      <c r="G232" s="11"/>
    </row>
    <row r="233">
      <c r="D233" s="9"/>
      <c r="E233" s="10"/>
      <c r="F233" s="11"/>
      <c r="G233" s="11"/>
    </row>
    <row r="234">
      <c r="D234" s="9"/>
      <c r="E234" s="10"/>
      <c r="F234" s="11"/>
      <c r="G234" s="11"/>
    </row>
    <row r="235">
      <c r="D235" s="9"/>
      <c r="E235" s="10"/>
      <c r="F235" s="11"/>
      <c r="G235" s="11"/>
    </row>
    <row r="236">
      <c r="D236" s="9"/>
      <c r="E236" s="10"/>
      <c r="F236" s="11"/>
      <c r="G236" s="11"/>
    </row>
    <row r="237">
      <c r="D237" s="9"/>
      <c r="E237" s="10"/>
      <c r="F237" s="11"/>
      <c r="G237" s="11"/>
    </row>
    <row r="238">
      <c r="D238" s="9"/>
      <c r="E238" s="10"/>
      <c r="F238" s="11"/>
      <c r="G238" s="11"/>
    </row>
    <row r="239">
      <c r="D239" s="9"/>
      <c r="E239" s="10"/>
      <c r="F239" s="11"/>
      <c r="G239" s="11"/>
    </row>
    <row r="240">
      <c r="D240" s="9"/>
      <c r="E240" s="10"/>
      <c r="F240" s="11"/>
      <c r="G240" s="11"/>
    </row>
    <row r="241">
      <c r="D241" s="9"/>
      <c r="E241" s="10"/>
      <c r="F241" s="11"/>
      <c r="G241" s="11"/>
    </row>
    <row r="242">
      <c r="D242" s="9"/>
      <c r="E242" s="10"/>
      <c r="F242" s="11"/>
      <c r="G242" s="11"/>
    </row>
    <row r="243">
      <c r="D243" s="9"/>
      <c r="E243" s="10"/>
      <c r="F243" s="11"/>
      <c r="G243" s="11"/>
    </row>
    <row r="244">
      <c r="D244" s="9"/>
      <c r="E244" s="10"/>
      <c r="F244" s="11"/>
      <c r="G244" s="11"/>
    </row>
    <row r="245">
      <c r="D245" s="9"/>
      <c r="E245" s="10"/>
      <c r="F245" s="11"/>
      <c r="G245" s="11"/>
    </row>
    <row r="246">
      <c r="D246" s="9"/>
      <c r="E246" s="10"/>
      <c r="F246" s="11"/>
      <c r="G246" s="11"/>
    </row>
    <row r="247">
      <c r="D247" s="9"/>
      <c r="E247" s="10"/>
      <c r="F247" s="11"/>
      <c r="G247" s="11"/>
    </row>
    <row r="248">
      <c r="D248" s="9"/>
      <c r="E248" s="10"/>
      <c r="F248" s="11"/>
      <c r="G248" s="11"/>
    </row>
    <row r="249">
      <c r="D249" s="9"/>
      <c r="E249" s="10"/>
      <c r="F249" s="11"/>
      <c r="G249" s="11"/>
    </row>
    <row r="250">
      <c r="D250" s="9"/>
      <c r="E250" s="10"/>
      <c r="F250" s="11"/>
      <c r="G250" s="11"/>
    </row>
    <row r="251">
      <c r="D251" s="9"/>
      <c r="E251" s="10"/>
      <c r="F251" s="11"/>
      <c r="G251" s="11"/>
    </row>
    <row r="252">
      <c r="D252" s="9"/>
      <c r="E252" s="10"/>
      <c r="F252" s="11"/>
      <c r="G252" s="11"/>
    </row>
    <row r="253">
      <c r="D253" s="9"/>
      <c r="E253" s="10"/>
      <c r="F253" s="11"/>
      <c r="G253" s="11"/>
    </row>
    <row r="254">
      <c r="D254" s="9"/>
      <c r="E254" s="10"/>
      <c r="F254" s="11"/>
      <c r="G254" s="11"/>
    </row>
    <row r="255">
      <c r="D255" s="9"/>
      <c r="E255" s="10"/>
      <c r="F255" s="11"/>
      <c r="G255" s="11"/>
    </row>
    <row r="256">
      <c r="D256" s="9"/>
      <c r="E256" s="10"/>
      <c r="F256" s="11"/>
      <c r="G256" s="11"/>
    </row>
    <row r="257">
      <c r="D257" s="9"/>
      <c r="E257" s="10"/>
      <c r="F257" s="11"/>
      <c r="G257" s="11"/>
    </row>
    <row r="258">
      <c r="D258" s="9"/>
      <c r="E258" s="10"/>
      <c r="F258" s="11"/>
      <c r="G258" s="11"/>
    </row>
    <row r="259">
      <c r="D259" s="9"/>
      <c r="E259" s="10"/>
      <c r="F259" s="11"/>
      <c r="G259" s="11"/>
    </row>
    <row r="260">
      <c r="D260" s="9"/>
      <c r="E260" s="10"/>
      <c r="F260" s="11"/>
      <c r="G260" s="11"/>
    </row>
    <row r="261">
      <c r="D261" s="9"/>
      <c r="E261" s="10"/>
      <c r="F261" s="11"/>
      <c r="G261" s="11"/>
    </row>
    <row r="262">
      <c r="D262" s="9"/>
      <c r="E262" s="10"/>
      <c r="F262" s="11"/>
      <c r="G262" s="11"/>
    </row>
    <row r="263">
      <c r="D263" s="9"/>
      <c r="E263" s="10"/>
      <c r="F263" s="11"/>
      <c r="G263" s="11"/>
    </row>
    <row r="264">
      <c r="D264" s="9"/>
      <c r="E264" s="10"/>
      <c r="F264" s="11"/>
      <c r="G264" s="11"/>
    </row>
    <row r="265">
      <c r="D265" s="9"/>
      <c r="E265" s="10"/>
      <c r="F265" s="11"/>
      <c r="G265" s="11"/>
    </row>
    <row r="266">
      <c r="D266" s="9"/>
      <c r="E266" s="10"/>
      <c r="F266" s="11"/>
      <c r="G266" s="11"/>
    </row>
    <row r="267">
      <c r="D267" s="9"/>
      <c r="E267" s="10"/>
      <c r="F267" s="11"/>
      <c r="G267" s="11"/>
    </row>
    <row r="268">
      <c r="D268" s="9"/>
      <c r="E268" s="10"/>
      <c r="F268" s="11"/>
      <c r="G268" s="11"/>
    </row>
    <row r="269">
      <c r="D269" s="9"/>
      <c r="E269" s="10"/>
      <c r="F269" s="11"/>
      <c r="G269" s="11"/>
    </row>
    <row r="270">
      <c r="D270" s="9"/>
      <c r="E270" s="10"/>
      <c r="F270" s="11"/>
      <c r="G270" s="11"/>
    </row>
    <row r="271">
      <c r="D271" s="9"/>
      <c r="E271" s="10"/>
      <c r="F271" s="11"/>
      <c r="G271" s="11"/>
    </row>
    <row r="272">
      <c r="D272" s="9"/>
      <c r="E272" s="10"/>
      <c r="F272" s="11"/>
      <c r="G272" s="11"/>
    </row>
    <row r="273">
      <c r="D273" s="9"/>
      <c r="E273" s="10"/>
      <c r="F273" s="11"/>
      <c r="G273" s="11"/>
    </row>
    <row r="274">
      <c r="D274" s="9"/>
      <c r="E274" s="10"/>
      <c r="F274" s="11"/>
      <c r="G274" s="11"/>
    </row>
    <row r="275">
      <c r="D275" s="9"/>
      <c r="E275" s="10"/>
      <c r="F275" s="11"/>
      <c r="G275" s="11"/>
    </row>
    <row r="276">
      <c r="D276" s="9"/>
      <c r="E276" s="10"/>
      <c r="F276" s="11"/>
      <c r="G276" s="11"/>
    </row>
    <row r="277">
      <c r="D277" s="9"/>
      <c r="E277" s="10"/>
      <c r="F277" s="11"/>
      <c r="G277" s="11"/>
    </row>
    <row r="278">
      <c r="D278" s="9"/>
      <c r="E278" s="10"/>
      <c r="F278" s="11"/>
      <c r="G278" s="11"/>
    </row>
    <row r="279">
      <c r="D279" s="9"/>
      <c r="E279" s="10"/>
      <c r="F279" s="11"/>
      <c r="G279" s="11"/>
    </row>
    <row r="280">
      <c r="D280" s="9"/>
      <c r="E280" s="10"/>
      <c r="F280" s="11"/>
      <c r="G280" s="11"/>
    </row>
    <row r="281">
      <c r="D281" s="9"/>
      <c r="E281" s="10"/>
      <c r="F281" s="11"/>
      <c r="G281" s="11"/>
    </row>
    <row r="282">
      <c r="D282" s="9"/>
      <c r="E282" s="10"/>
      <c r="F282" s="11"/>
      <c r="G282" s="11"/>
    </row>
    <row r="283">
      <c r="D283" s="9"/>
      <c r="E283" s="10"/>
      <c r="F283" s="11"/>
      <c r="G283" s="11"/>
    </row>
    <row r="284">
      <c r="D284" s="9"/>
      <c r="E284" s="10"/>
      <c r="F284" s="11"/>
      <c r="G284" s="11"/>
    </row>
    <row r="285">
      <c r="D285" s="9"/>
      <c r="E285" s="10"/>
      <c r="F285" s="11"/>
      <c r="G285" s="11"/>
    </row>
    <row r="286">
      <c r="D286" s="9"/>
      <c r="E286" s="10"/>
      <c r="F286" s="11"/>
      <c r="G286" s="11"/>
    </row>
    <row r="287">
      <c r="D287" s="9"/>
      <c r="E287" s="10"/>
      <c r="F287" s="11"/>
      <c r="G287" s="11"/>
    </row>
    <row r="288">
      <c r="D288" s="9"/>
      <c r="E288" s="10"/>
      <c r="F288" s="11"/>
      <c r="G288" s="11"/>
    </row>
    <row r="289">
      <c r="D289" s="9"/>
      <c r="E289" s="10"/>
      <c r="F289" s="11"/>
      <c r="G289" s="11"/>
    </row>
    <row r="290">
      <c r="D290" s="9"/>
      <c r="E290" s="10"/>
      <c r="F290" s="11"/>
      <c r="G290" s="11"/>
    </row>
    <row r="291">
      <c r="D291" s="9"/>
      <c r="E291" s="10"/>
      <c r="F291" s="11"/>
      <c r="G291" s="11"/>
    </row>
    <row r="292">
      <c r="D292" s="9"/>
      <c r="E292" s="10"/>
      <c r="F292" s="11"/>
      <c r="G292" s="11"/>
    </row>
    <row r="293">
      <c r="D293" s="9"/>
      <c r="E293" s="10"/>
      <c r="F293" s="11"/>
      <c r="G293" s="11"/>
    </row>
    <row r="294">
      <c r="D294" s="9"/>
      <c r="E294" s="10"/>
      <c r="F294" s="11"/>
      <c r="G294" s="11"/>
    </row>
    <row r="295">
      <c r="D295" s="9"/>
      <c r="E295" s="10"/>
      <c r="F295" s="11"/>
      <c r="G295" s="11"/>
    </row>
    <row r="296">
      <c r="D296" s="9"/>
      <c r="E296" s="10"/>
      <c r="F296" s="11"/>
      <c r="G296" s="11"/>
    </row>
    <row r="297">
      <c r="D297" s="9"/>
      <c r="E297" s="10"/>
      <c r="F297" s="11"/>
      <c r="G297" s="11"/>
    </row>
    <row r="298">
      <c r="D298" s="9"/>
      <c r="E298" s="10"/>
      <c r="F298" s="11"/>
      <c r="G298" s="11"/>
    </row>
    <row r="299">
      <c r="D299" s="9"/>
      <c r="E299" s="10"/>
      <c r="F299" s="11"/>
      <c r="G299" s="11"/>
    </row>
    <row r="300">
      <c r="D300" s="9"/>
      <c r="E300" s="10"/>
      <c r="F300" s="11"/>
      <c r="G300" s="11"/>
    </row>
    <row r="301">
      <c r="D301" s="9"/>
      <c r="E301" s="10"/>
      <c r="F301" s="11"/>
      <c r="G301" s="11"/>
    </row>
    <row r="302">
      <c r="D302" s="9"/>
      <c r="E302" s="10"/>
      <c r="F302" s="11"/>
      <c r="G302" s="11"/>
    </row>
    <row r="303">
      <c r="D303" s="9"/>
      <c r="E303" s="10"/>
      <c r="F303" s="11"/>
      <c r="G303" s="11"/>
    </row>
    <row r="304">
      <c r="D304" s="9"/>
      <c r="E304" s="10"/>
      <c r="F304" s="11"/>
      <c r="G304" s="11"/>
    </row>
    <row r="305">
      <c r="D305" s="9"/>
      <c r="E305" s="10"/>
      <c r="F305" s="11"/>
      <c r="G305" s="11"/>
    </row>
    <row r="306">
      <c r="D306" s="9"/>
      <c r="E306" s="10"/>
      <c r="F306" s="11"/>
      <c r="G306" s="11"/>
    </row>
    <row r="307">
      <c r="D307" s="9"/>
      <c r="E307" s="10"/>
      <c r="F307" s="11"/>
      <c r="G307" s="11"/>
    </row>
    <row r="308">
      <c r="D308" s="9"/>
      <c r="E308" s="10"/>
      <c r="F308" s="11"/>
      <c r="G308" s="11"/>
    </row>
    <row r="309">
      <c r="D309" s="9"/>
      <c r="E309" s="10"/>
      <c r="F309" s="11"/>
      <c r="G309" s="11"/>
    </row>
    <row r="310">
      <c r="D310" s="9"/>
      <c r="E310" s="10"/>
      <c r="F310" s="11"/>
      <c r="G310" s="11"/>
    </row>
    <row r="311">
      <c r="D311" s="9"/>
      <c r="E311" s="10"/>
      <c r="F311" s="11"/>
      <c r="G311" s="11"/>
    </row>
    <row r="312">
      <c r="D312" s="9"/>
      <c r="E312" s="10"/>
      <c r="F312" s="11"/>
      <c r="G312" s="11"/>
    </row>
    <row r="313">
      <c r="D313" s="9"/>
      <c r="E313" s="10"/>
      <c r="F313" s="11"/>
      <c r="G313" s="11"/>
    </row>
    <row r="314">
      <c r="D314" s="9"/>
      <c r="E314" s="10"/>
      <c r="F314" s="11"/>
      <c r="G314" s="11"/>
    </row>
    <row r="315">
      <c r="D315" s="9"/>
      <c r="E315" s="10"/>
      <c r="F315" s="11"/>
      <c r="G315" s="11"/>
    </row>
    <row r="316">
      <c r="D316" s="9"/>
      <c r="E316" s="10"/>
      <c r="F316" s="11"/>
      <c r="G316" s="11"/>
    </row>
    <row r="317">
      <c r="D317" s="9"/>
      <c r="E317" s="10"/>
      <c r="F317" s="11"/>
      <c r="G317" s="11"/>
    </row>
    <row r="318">
      <c r="D318" s="9"/>
      <c r="E318" s="10"/>
      <c r="F318" s="11"/>
      <c r="G318" s="11"/>
    </row>
    <row r="319">
      <c r="D319" s="9"/>
      <c r="E319" s="10"/>
      <c r="F319" s="11"/>
      <c r="G319" s="11"/>
    </row>
    <row r="320">
      <c r="D320" s="9"/>
      <c r="E320" s="10"/>
      <c r="F320" s="11"/>
      <c r="G320" s="11"/>
    </row>
    <row r="321">
      <c r="D321" s="9"/>
      <c r="E321" s="10"/>
      <c r="F321" s="11"/>
      <c r="G321" s="11"/>
    </row>
    <row r="322">
      <c r="D322" s="9"/>
      <c r="E322" s="10"/>
      <c r="F322" s="11"/>
      <c r="G322" s="11"/>
    </row>
    <row r="323">
      <c r="D323" s="9"/>
      <c r="E323" s="10"/>
      <c r="F323" s="11"/>
      <c r="G323" s="11"/>
    </row>
    <row r="324">
      <c r="D324" s="9"/>
      <c r="E324" s="10"/>
      <c r="F324" s="11"/>
      <c r="G324" s="11"/>
    </row>
    <row r="325">
      <c r="D325" s="9"/>
      <c r="E325" s="10"/>
      <c r="F325" s="11"/>
      <c r="G325" s="11"/>
    </row>
    <row r="326">
      <c r="D326" s="9"/>
      <c r="E326" s="10"/>
      <c r="F326" s="11"/>
      <c r="G326" s="11"/>
    </row>
    <row r="327">
      <c r="D327" s="9"/>
      <c r="E327" s="10"/>
      <c r="F327" s="11"/>
      <c r="G327" s="11"/>
    </row>
    <row r="328">
      <c r="D328" s="9"/>
      <c r="E328" s="10"/>
      <c r="F328" s="11"/>
      <c r="G328" s="11"/>
    </row>
    <row r="329">
      <c r="D329" s="9"/>
      <c r="E329" s="10"/>
      <c r="F329" s="11"/>
      <c r="G329" s="11"/>
    </row>
    <row r="330">
      <c r="D330" s="9"/>
      <c r="E330" s="10"/>
      <c r="F330" s="11"/>
      <c r="G330" s="11"/>
    </row>
    <row r="331">
      <c r="D331" s="9"/>
      <c r="E331" s="10"/>
      <c r="F331" s="11"/>
      <c r="G331" s="11"/>
    </row>
    <row r="332">
      <c r="D332" s="9"/>
      <c r="E332" s="10"/>
      <c r="F332" s="11"/>
      <c r="G332" s="11"/>
    </row>
    <row r="333">
      <c r="D333" s="9"/>
      <c r="E333" s="10"/>
      <c r="F333" s="11"/>
      <c r="G333" s="11"/>
    </row>
    <row r="334">
      <c r="D334" s="9"/>
      <c r="E334" s="10"/>
      <c r="F334" s="11"/>
      <c r="G334" s="11"/>
    </row>
    <row r="335">
      <c r="D335" s="9"/>
      <c r="E335" s="10"/>
      <c r="F335" s="11"/>
      <c r="G335" s="11"/>
    </row>
    <row r="336">
      <c r="D336" s="9"/>
      <c r="E336" s="10"/>
      <c r="F336" s="11"/>
      <c r="G336" s="11"/>
    </row>
    <row r="337">
      <c r="D337" s="9"/>
      <c r="E337" s="10"/>
      <c r="F337" s="11"/>
      <c r="G337" s="11"/>
    </row>
    <row r="338">
      <c r="D338" s="9"/>
      <c r="E338" s="10"/>
      <c r="F338" s="11"/>
      <c r="G338" s="11"/>
    </row>
    <row r="339">
      <c r="D339" s="9"/>
      <c r="E339" s="10"/>
      <c r="F339" s="11"/>
      <c r="G339" s="11"/>
    </row>
    <row r="340">
      <c r="D340" s="9"/>
      <c r="E340" s="10"/>
      <c r="F340" s="11"/>
      <c r="G340" s="11"/>
    </row>
    <row r="341">
      <c r="D341" s="9"/>
      <c r="E341" s="10"/>
      <c r="F341" s="11"/>
      <c r="G341" s="11"/>
    </row>
    <row r="342">
      <c r="D342" s="9"/>
      <c r="E342" s="10"/>
      <c r="F342" s="11"/>
      <c r="G342" s="11"/>
    </row>
    <row r="343">
      <c r="D343" s="9"/>
      <c r="E343" s="10"/>
      <c r="F343" s="11"/>
      <c r="G343" s="11"/>
    </row>
    <row r="344">
      <c r="D344" s="9"/>
      <c r="E344" s="10"/>
      <c r="F344" s="11"/>
      <c r="G344" s="11"/>
    </row>
    <row r="345">
      <c r="D345" s="9"/>
      <c r="E345" s="10"/>
      <c r="F345" s="11"/>
      <c r="G345" s="11"/>
    </row>
    <row r="346">
      <c r="D346" s="9"/>
      <c r="E346" s="10"/>
      <c r="F346" s="11"/>
      <c r="G346" s="11"/>
    </row>
    <row r="347">
      <c r="D347" s="9"/>
      <c r="E347" s="10"/>
      <c r="F347" s="11"/>
      <c r="G347" s="11"/>
    </row>
    <row r="348">
      <c r="D348" s="9"/>
      <c r="E348" s="10"/>
      <c r="F348" s="11"/>
      <c r="G348" s="11"/>
    </row>
    <row r="349">
      <c r="D349" s="9"/>
      <c r="E349" s="10"/>
      <c r="F349" s="11"/>
      <c r="G349" s="11"/>
    </row>
    <row r="350">
      <c r="D350" s="9"/>
      <c r="E350" s="10"/>
      <c r="F350" s="11"/>
      <c r="G350" s="11"/>
    </row>
    <row r="351">
      <c r="D351" s="9"/>
      <c r="E351" s="10"/>
      <c r="F351" s="11"/>
      <c r="G351" s="11"/>
    </row>
    <row r="352">
      <c r="D352" s="9"/>
      <c r="E352" s="10"/>
      <c r="F352" s="11"/>
      <c r="G352" s="11"/>
    </row>
    <row r="353">
      <c r="D353" s="9"/>
      <c r="E353" s="10"/>
      <c r="F353" s="11"/>
      <c r="G353" s="11"/>
    </row>
    <row r="354">
      <c r="D354" s="9"/>
      <c r="E354" s="10"/>
      <c r="F354" s="11"/>
      <c r="G354" s="11"/>
    </row>
    <row r="355">
      <c r="D355" s="9"/>
      <c r="E355" s="10"/>
      <c r="F355" s="11"/>
      <c r="G355" s="11"/>
    </row>
    <row r="356">
      <c r="D356" s="9"/>
      <c r="E356" s="10"/>
      <c r="F356" s="11"/>
      <c r="G356" s="11"/>
    </row>
    <row r="357">
      <c r="D357" s="9"/>
      <c r="E357" s="10"/>
      <c r="F357" s="11"/>
      <c r="G357" s="11"/>
    </row>
    <row r="358">
      <c r="D358" s="9"/>
      <c r="E358" s="10"/>
      <c r="F358" s="11"/>
      <c r="G358" s="11"/>
    </row>
    <row r="359">
      <c r="D359" s="9"/>
      <c r="E359" s="10"/>
      <c r="F359" s="11"/>
      <c r="G359" s="11"/>
    </row>
    <row r="360">
      <c r="D360" s="9"/>
      <c r="E360" s="10"/>
      <c r="F360" s="11"/>
      <c r="G360" s="11"/>
    </row>
    <row r="361">
      <c r="D361" s="9"/>
      <c r="E361" s="10"/>
      <c r="F361" s="11"/>
      <c r="G361" s="11"/>
    </row>
    <row r="362">
      <c r="D362" s="9"/>
      <c r="E362" s="10"/>
      <c r="F362" s="11"/>
      <c r="G362" s="11"/>
    </row>
    <row r="363">
      <c r="D363" s="9"/>
      <c r="E363" s="10"/>
      <c r="F363" s="11"/>
      <c r="G363" s="11"/>
    </row>
    <row r="364">
      <c r="D364" s="9"/>
      <c r="E364" s="10"/>
      <c r="F364" s="11"/>
      <c r="G364" s="11"/>
    </row>
    <row r="365">
      <c r="D365" s="9"/>
      <c r="E365" s="10"/>
      <c r="F365" s="11"/>
      <c r="G365" s="11"/>
    </row>
    <row r="366">
      <c r="D366" s="9"/>
      <c r="E366" s="10"/>
      <c r="F366" s="11"/>
      <c r="G366" s="11"/>
    </row>
    <row r="367">
      <c r="D367" s="9"/>
      <c r="E367" s="10"/>
      <c r="F367" s="11"/>
      <c r="G367" s="11"/>
    </row>
    <row r="368">
      <c r="D368" s="9"/>
      <c r="E368" s="10"/>
      <c r="F368" s="11"/>
      <c r="G368" s="11"/>
    </row>
    <row r="369">
      <c r="D369" s="9"/>
      <c r="E369" s="10"/>
      <c r="F369" s="11"/>
      <c r="G369" s="11"/>
    </row>
    <row r="370">
      <c r="D370" s="9"/>
      <c r="E370" s="10"/>
      <c r="F370" s="11"/>
      <c r="G370" s="11"/>
    </row>
    <row r="371">
      <c r="D371" s="9"/>
      <c r="E371" s="10"/>
      <c r="F371" s="11"/>
      <c r="G371" s="11"/>
    </row>
    <row r="372">
      <c r="D372" s="9"/>
      <c r="E372" s="10"/>
      <c r="F372" s="11"/>
      <c r="G372" s="11"/>
    </row>
    <row r="373">
      <c r="D373" s="9"/>
      <c r="E373" s="10"/>
      <c r="F373" s="11"/>
      <c r="G373" s="11"/>
    </row>
    <row r="374">
      <c r="D374" s="9"/>
      <c r="E374" s="10"/>
      <c r="F374" s="11"/>
      <c r="G374" s="11"/>
    </row>
    <row r="375">
      <c r="D375" s="9"/>
      <c r="E375" s="10"/>
      <c r="F375" s="11"/>
      <c r="G375" s="11"/>
    </row>
    <row r="376">
      <c r="D376" s="9"/>
      <c r="E376" s="10"/>
      <c r="F376" s="11"/>
      <c r="G376" s="11"/>
    </row>
    <row r="377">
      <c r="D377" s="9"/>
      <c r="E377" s="10"/>
      <c r="F377" s="11"/>
      <c r="G377" s="11"/>
    </row>
    <row r="378">
      <c r="D378" s="9"/>
      <c r="E378" s="10"/>
      <c r="F378" s="11"/>
      <c r="G378" s="11"/>
    </row>
    <row r="379">
      <c r="D379" s="9"/>
      <c r="E379" s="10"/>
      <c r="F379" s="11"/>
      <c r="G379" s="11"/>
    </row>
    <row r="380">
      <c r="D380" s="9"/>
      <c r="E380" s="10"/>
      <c r="F380" s="11"/>
      <c r="G380" s="11"/>
    </row>
    <row r="381">
      <c r="D381" s="9"/>
      <c r="E381" s="10"/>
      <c r="F381" s="11"/>
      <c r="G381" s="11"/>
    </row>
    <row r="382">
      <c r="D382" s="9"/>
      <c r="E382" s="10"/>
      <c r="F382" s="11"/>
      <c r="G382" s="11"/>
    </row>
    <row r="383">
      <c r="D383" s="9"/>
      <c r="E383" s="10"/>
      <c r="F383" s="11"/>
      <c r="G383" s="11"/>
    </row>
    <row r="384">
      <c r="D384" s="9"/>
      <c r="E384" s="10"/>
      <c r="F384" s="11"/>
      <c r="G384" s="11"/>
    </row>
    <row r="385">
      <c r="D385" s="9"/>
      <c r="E385" s="10"/>
      <c r="F385" s="11"/>
      <c r="G385" s="11"/>
    </row>
    <row r="386">
      <c r="D386" s="9"/>
      <c r="E386" s="10"/>
      <c r="F386" s="11"/>
      <c r="G386" s="11"/>
    </row>
    <row r="387">
      <c r="D387" s="9"/>
      <c r="E387" s="10"/>
      <c r="F387" s="11"/>
      <c r="G387" s="11"/>
    </row>
    <row r="388">
      <c r="D388" s="9"/>
      <c r="E388" s="10"/>
      <c r="F388" s="11"/>
      <c r="G388" s="11"/>
    </row>
    <row r="389">
      <c r="D389" s="9"/>
      <c r="E389" s="10"/>
      <c r="F389" s="11"/>
      <c r="G389" s="11"/>
    </row>
    <row r="390">
      <c r="D390" s="9"/>
      <c r="E390" s="10"/>
      <c r="F390" s="11"/>
      <c r="G390" s="11"/>
    </row>
    <row r="391">
      <c r="D391" s="9"/>
      <c r="E391" s="10"/>
      <c r="F391" s="11"/>
      <c r="G391" s="11"/>
    </row>
    <row r="392">
      <c r="D392" s="9"/>
      <c r="E392" s="10"/>
      <c r="F392" s="11"/>
      <c r="G392" s="11"/>
    </row>
    <row r="393">
      <c r="D393" s="9"/>
      <c r="E393" s="10"/>
      <c r="F393" s="11"/>
      <c r="G393" s="11"/>
    </row>
    <row r="394">
      <c r="D394" s="9"/>
      <c r="E394" s="10"/>
      <c r="F394" s="11"/>
      <c r="G394" s="11"/>
    </row>
    <row r="395">
      <c r="D395" s="9"/>
      <c r="E395" s="10"/>
      <c r="F395" s="11"/>
      <c r="G395" s="11"/>
    </row>
    <row r="396">
      <c r="D396" s="9"/>
      <c r="E396" s="10"/>
      <c r="F396" s="11"/>
      <c r="G396" s="11"/>
    </row>
    <row r="397">
      <c r="D397" s="9"/>
      <c r="E397" s="10"/>
      <c r="F397" s="11"/>
      <c r="G397" s="11"/>
    </row>
    <row r="398">
      <c r="D398" s="9"/>
      <c r="E398" s="10"/>
      <c r="F398" s="11"/>
      <c r="G398" s="11"/>
    </row>
    <row r="399">
      <c r="D399" s="9"/>
      <c r="E399" s="10"/>
      <c r="F399" s="11"/>
      <c r="G399" s="11"/>
    </row>
    <row r="400">
      <c r="D400" s="9"/>
      <c r="E400" s="10"/>
      <c r="F400" s="11"/>
      <c r="G400" s="11"/>
    </row>
    <row r="401">
      <c r="D401" s="9"/>
      <c r="E401" s="10"/>
      <c r="F401" s="11"/>
      <c r="G401" s="11"/>
    </row>
    <row r="402">
      <c r="D402" s="9"/>
      <c r="E402" s="10"/>
      <c r="F402" s="11"/>
      <c r="G402" s="11"/>
    </row>
    <row r="403">
      <c r="D403" s="9"/>
      <c r="E403" s="10"/>
      <c r="F403" s="11"/>
      <c r="G403" s="11"/>
    </row>
    <row r="404">
      <c r="D404" s="9"/>
      <c r="E404" s="10"/>
      <c r="F404" s="11"/>
      <c r="G404" s="11"/>
    </row>
    <row r="405">
      <c r="D405" s="9"/>
      <c r="E405" s="10"/>
      <c r="F405" s="11"/>
      <c r="G405" s="11"/>
    </row>
    <row r="406">
      <c r="D406" s="9"/>
      <c r="E406" s="10"/>
      <c r="F406" s="11"/>
      <c r="G406" s="11"/>
    </row>
    <row r="407">
      <c r="D407" s="9"/>
      <c r="E407" s="10"/>
      <c r="F407" s="11"/>
      <c r="G407" s="11"/>
    </row>
    <row r="408">
      <c r="D408" s="9"/>
      <c r="E408" s="10"/>
      <c r="F408" s="11"/>
      <c r="G408" s="11"/>
    </row>
    <row r="409">
      <c r="D409" s="9"/>
      <c r="E409" s="10"/>
      <c r="F409" s="11"/>
      <c r="G409" s="11"/>
    </row>
    <row r="410">
      <c r="D410" s="9"/>
      <c r="E410" s="10"/>
      <c r="F410" s="11"/>
      <c r="G410" s="11"/>
    </row>
    <row r="411">
      <c r="D411" s="9"/>
      <c r="E411" s="10"/>
      <c r="F411" s="11"/>
      <c r="G411" s="11"/>
    </row>
    <row r="412">
      <c r="D412" s="9"/>
      <c r="E412" s="10"/>
      <c r="F412" s="11"/>
      <c r="G412" s="11"/>
    </row>
    <row r="413">
      <c r="D413" s="9"/>
      <c r="E413" s="10"/>
      <c r="F413" s="11"/>
      <c r="G413" s="11"/>
    </row>
    <row r="414">
      <c r="D414" s="9"/>
      <c r="E414" s="10"/>
      <c r="F414" s="11"/>
      <c r="G414" s="11"/>
    </row>
    <row r="415">
      <c r="D415" s="9"/>
      <c r="E415" s="10"/>
      <c r="F415" s="11"/>
      <c r="G415" s="11"/>
    </row>
    <row r="416">
      <c r="D416" s="9"/>
      <c r="E416" s="10"/>
      <c r="F416" s="11"/>
      <c r="G416" s="11"/>
    </row>
    <row r="417">
      <c r="D417" s="9"/>
      <c r="E417" s="10"/>
      <c r="F417" s="11"/>
      <c r="G417" s="11"/>
    </row>
    <row r="418">
      <c r="D418" s="9"/>
      <c r="E418" s="10"/>
      <c r="F418" s="11"/>
      <c r="G418" s="11"/>
    </row>
    <row r="419">
      <c r="D419" s="9"/>
      <c r="E419" s="10"/>
      <c r="F419" s="11"/>
      <c r="G419" s="11"/>
    </row>
    <row r="420">
      <c r="D420" s="9"/>
      <c r="E420" s="10"/>
      <c r="F420" s="11"/>
      <c r="G420" s="11"/>
    </row>
    <row r="421">
      <c r="D421" s="9"/>
      <c r="E421" s="10"/>
      <c r="F421" s="11"/>
      <c r="G421" s="11"/>
    </row>
    <row r="422">
      <c r="D422" s="9"/>
      <c r="E422" s="10"/>
      <c r="F422" s="11"/>
      <c r="G422" s="11"/>
    </row>
    <row r="423">
      <c r="D423" s="9"/>
      <c r="E423" s="10"/>
      <c r="F423" s="11"/>
      <c r="G423" s="11"/>
    </row>
    <row r="424">
      <c r="D424" s="9"/>
      <c r="E424" s="10"/>
      <c r="F424" s="11"/>
      <c r="G424" s="11"/>
    </row>
    <row r="425">
      <c r="D425" s="9"/>
      <c r="E425" s="10"/>
      <c r="F425" s="11"/>
      <c r="G425" s="11"/>
    </row>
    <row r="426">
      <c r="D426" s="9"/>
      <c r="E426" s="10"/>
      <c r="F426" s="11"/>
      <c r="G426" s="11"/>
    </row>
    <row r="427">
      <c r="D427" s="9"/>
      <c r="E427" s="10"/>
      <c r="F427" s="11"/>
      <c r="G427" s="11"/>
    </row>
    <row r="428">
      <c r="D428" s="9"/>
      <c r="E428" s="10"/>
      <c r="F428" s="11"/>
      <c r="G428" s="11"/>
    </row>
    <row r="429">
      <c r="D429" s="9"/>
      <c r="E429" s="10"/>
      <c r="F429" s="11"/>
      <c r="G429" s="11"/>
    </row>
    <row r="430">
      <c r="D430" s="9"/>
      <c r="E430" s="10"/>
      <c r="F430" s="11"/>
      <c r="G430" s="11"/>
    </row>
    <row r="431">
      <c r="D431" s="9"/>
      <c r="E431" s="10"/>
      <c r="F431" s="11"/>
      <c r="G431" s="11"/>
    </row>
    <row r="432">
      <c r="D432" s="9"/>
      <c r="E432" s="10"/>
      <c r="F432" s="11"/>
      <c r="G432" s="11"/>
    </row>
    <row r="433">
      <c r="D433" s="9"/>
      <c r="E433" s="10"/>
      <c r="F433" s="11"/>
      <c r="G433" s="11"/>
    </row>
    <row r="434">
      <c r="D434" s="9"/>
      <c r="E434" s="10"/>
      <c r="F434" s="11"/>
      <c r="G434" s="11"/>
    </row>
    <row r="435">
      <c r="D435" s="9"/>
      <c r="E435" s="10"/>
      <c r="F435" s="11"/>
      <c r="G435" s="11"/>
    </row>
    <row r="436">
      <c r="D436" s="9"/>
      <c r="E436" s="10"/>
      <c r="F436" s="11"/>
      <c r="G436" s="11"/>
    </row>
    <row r="437">
      <c r="D437" s="9"/>
      <c r="E437" s="10"/>
      <c r="F437" s="11"/>
      <c r="G437" s="11"/>
    </row>
    <row r="438">
      <c r="D438" s="9"/>
      <c r="E438" s="10"/>
      <c r="F438" s="11"/>
      <c r="G438" s="11"/>
    </row>
    <row r="439">
      <c r="D439" s="9"/>
      <c r="E439" s="10"/>
      <c r="F439" s="11"/>
      <c r="G439" s="11"/>
    </row>
    <row r="440">
      <c r="D440" s="9"/>
      <c r="E440" s="10"/>
      <c r="F440" s="11"/>
      <c r="G440" s="11"/>
    </row>
    <row r="441">
      <c r="D441" s="9"/>
      <c r="E441" s="10"/>
      <c r="F441" s="11"/>
      <c r="G441" s="11"/>
    </row>
    <row r="442">
      <c r="D442" s="9"/>
      <c r="E442" s="10"/>
      <c r="F442" s="11"/>
      <c r="G442" s="11"/>
    </row>
    <row r="443">
      <c r="D443" s="9"/>
      <c r="E443" s="10"/>
      <c r="F443" s="11"/>
      <c r="G443" s="11"/>
    </row>
    <row r="444">
      <c r="D444" s="9"/>
      <c r="E444" s="10"/>
      <c r="F444" s="11"/>
      <c r="G444" s="11"/>
    </row>
    <row r="445">
      <c r="D445" s="9"/>
      <c r="E445" s="10"/>
      <c r="F445" s="11"/>
      <c r="G445" s="11"/>
    </row>
    <row r="446">
      <c r="D446" s="9"/>
      <c r="E446" s="10"/>
      <c r="F446" s="11"/>
      <c r="G446" s="11"/>
    </row>
    <row r="447">
      <c r="D447" s="9"/>
      <c r="E447" s="10"/>
      <c r="F447" s="11"/>
      <c r="G447" s="11"/>
    </row>
    <row r="448">
      <c r="D448" s="9"/>
      <c r="E448" s="10"/>
      <c r="F448" s="11"/>
      <c r="G448" s="11"/>
    </row>
    <row r="449">
      <c r="D449" s="9"/>
      <c r="E449" s="10"/>
      <c r="F449" s="11"/>
      <c r="G449" s="11"/>
    </row>
    <row r="450">
      <c r="D450" s="9"/>
      <c r="E450" s="10"/>
      <c r="F450" s="11"/>
      <c r="G450" s="11"/>
    </row>
    <row r="451">
      <c r="D451" s="9"/>
      <c r="E451" s="10"/>
      <c r="F451" s="11"/>
      <c r="G451" s="11"/>
    </row>
    <row r="452">
      <c r="D452" s="9"/>
      <c r="E452" s="10"/>
      <c r="F452" s="11"/>
      <c r="G452" s="11"/>
    </row>
    <row r="453">
      <c r="D453" s="9"/>
      <c r="E453" s="10"/>
      <c r="F453" s="11"/>
      <c r="G453" s="11"/>
    </row>
    <row r="454">
      <c r="D454" s="9"/>
      <c r="E454" s="10"/>
      <c r="F454" s="11"/>
      <c r="G454" s="11"/>
    </row>
    <row r="455">
      <c r="D455" s="9"/>
      <c r="E455" s="10"/>
      <c r="F455" s="11"/>
      <c r="G455" s="11"/>
    </row>
    <row r="456">
      <c r="D456" s="9"/>
      <c r="E456" s="10"/>
      <c r="F456" s="11"/>
      <c r="G456" s="11"/>
    </row>
    <row r="457">
      <c r="D457" s="9"/>
      <c r="E457" s="10"/>
      <c r="F457" s="11"/>
      <c r="G457" s="11"/>
    </row>
    <row r="458">
      <c r="D458" s="9"/>
      <c r="E458" s="10"/>
      <c r="F458" s="11"/>
      <c r="G458" s="11"/>
    </row>
    <row r="459">
      <c r="D459" s="9"/>
      <c r="E459" s="10"/>
      <c r="F459" s="11"/>
      <c r="G459" s="11"/>
    </row>
    <row r="460">
      <c r="D460" s="9"/>
      <c r="E460" s="10"/>
      <c r="F460" s="11"/>
      <c r="G460" s="11"/>
    </row>
    <row r="461">
      <c r="D461" s="9"/>
      <c r="E461" s="10"/>
      <c r="F461" s="11"/>
      <c r="G461" s="11"/>
    </row>
    <row r="462">
      <c r="D462" s="9"/>
      <c r="E462" s="10"/>
      <c r="F462" s="11"/>
      <c r="G462" s="11"/>
    </row>
    <row r="463">
      <c r="D463" s="9"/>
      <c r="E463" s="10"/>
      <c r="F463" s="11"/>
      <c r="G463" s="11"/>
    </row>
    <row r="464">
      <c r="D464" s="9"/>
      <c r="E464" s="10"/>
      <c r="F464" s="11"/>
      <c r="G464" s="11"/>
    </row>
    <row r="465">
      <c r="D465" s="9"/>
      <c r="E465" s="10"/>
      <c r="F465" s="11"/>
      <c r="G465" s="11"/>
    </row>
    <row r="466">
      <c r="D466" s="9"/>
      <c r="E466" s="10"/>
      <c r="F466" s="11"/>
      <c r="G466" s="11"/>
    </row>
    <row r="467">
      <c r="D467" s="9"/>
      <c r="E467" s="10"/>
      <c r="F467" s="11"/>
      <c r="G467" s="11"/>
    </row>
    <row r="468">
      <c r="D468" s="9"/>
      <c r="E468" s="10"/>
      <c r="F468" s="11"/>
      <c r="G468" s="11"/>
    </row>
    <row r="469">
      <c r="D469" s="9"/>
      <c r="E469" s="10"/>
      <c r="F469" s="11"/>
      <c r="G469" s="11"/>
    </row>
    <row r="470">
      <c r="D470" s="9"/>
      <c r="E470" s="10"/>
      <c r="F470" s="11"/>
      <c r="G470" s="11"/>
    </row>
    <row r="471">
      <c r="D471" s="9"/>
      <c r="E471" s="10"/>
      <c r="F471" s="11"/>
      <c r="G471" s="11"/>
    </row>
    <row r="472">
      <c r="D472" s="9"/>
      <c r="E472" s="10"/>
      <c r="F472" s="11"/>
      <c r="G472" s="11"/>
    </row>
    <row r="473">
      <c r="D473" s="9"/>
      <c r="E473" s="10"/>
      <c r="F473" s="11"/>
      <c r="G473" s="11"/>
    </row>
    <row r="474">
      <c r="D474" s="9"/>
      <c r="E474" s="10"/>
      <c r="F474" s="11"/>
      <c r="G474" s="11"/>
    </row>
    <row r="475">
      <c r="D475" s="9"/>
      <c r="E475" s="10"/>
      <c r="F475" s="11"/>
      <c r="G475" s="11"/>
    </row>
    <row r="476">
      <c r="D476" s="9"/>
      <c r="E476" s="10"/>
      <c r="F476" s="11"/>
      <c r="G476" s="11"/>
    </row>
    <row r="477">
      <c r="D477" s="9"/>
      <c r="E477" s="10"/>
      <c r="F477" s="11"/>
      <c r="G477" s="11"/>
    </row>
    <row r="478">
      <c r="D478" s="9"/>
      <c r="E478" s="10"/>
      <c r="F478" s="11"/>
      <c r="G478" s="11"/>
    </row>
    <row r="479">
      <c r="D479" s="9"/>
      <c r="E479" s="10"/>
      <c r="F479" s="11"/>
      <c r="G479" s="11"/>
    </row>
    <row r="480">
      <c r="D480" s="9"/>
      <c r="E480" s="10"/>
      <c r="F480" s="11"/>
      <c r="G480" s="11"/>
    </row>
    <row r="481">
      <c r="D481" s="9"/>
      <c r="E481" s="10"/>
      <c r="F481" s="11"/>
      <c r="G481" s="11"/>
    </row>
    <row r="482">
      <c r="D482" s="9"/>
      <c r="E482" s="10"/>
      <c r="F482" s="11"/>
      <c r="G482" s="11"/>
    </row>
    <row r="483">
      <c r="D483" s="9"/>
      <c r="E483" s="10"/>
      <c r="F483" s="11"/>
      <c r="G483" s="11"/>
    </row>
    <row r="484">
      <c r="D484" s="9"/>
      <c r="E484" s="10"/>
      <c r="F484" s="11"/>
      <c r="G484" s="11"/>
    </row>
    <row r="485">
      <c r="D485" s="9"/>
      <c r="E485" s="10"/>
      <c r="F485" s="11"/>
      <c r="G485" s="11"/>
    </row>
    <row r="486">
      <c r="D486" s="9"/>
      <c r="E486" s="10"/>
      <c r="F486" s="11"/>
      <c r="G486" s="11"/>
    </row>
    <row r="487">
      <c r="D487" s="9"/>
      <c r="E487" s="10"/>
      <c r="F487" s="11"/>
      <c r="G487" s="11"/>
    </row>
    <row r="488">
      <c r="D488" s="9"/>
      <c r="E488" s="10"/>
      <c r="F488" s="11"/>
      <c r="G488" s="11"/>
    </row>
    <row r="489">
      <c r="D489" s="9"/>
      <c r="E489" s="10"/>
      <c r="F489" s="11"/>
      <c r="G489" s="11"/>
    </row>
    <row r="490">
      <c r="D490" s="9"/>
      <c r="E490" s="10"/>
      <c r="F490" s="11"/>
      <c r="G490" s="11"/>
    </row>
    <row r="491">
      <c r="D491" s="9"/>
      <c r="E491" s="10"/>
      <c r="F491" s="11"/>
      <c r="G491" s="11"/>
    </row>
    <row r="492">
      <c r="D492" s="9"/>
      <c r="E492" s="10"/>
      <c r="F492" s="11"/>
      <c r="G492" s="11"/>
    </row>
    <row r="493">
      <c r="D493" s="9"/>
      <c r="E493" s="10"/>
      <c r="F493" s="11"/>
      <c r="G493" s="11"/>
    </row>
    <row r="494">
      <c r="D494" s="9"/>
      <c r="E494" s="10"/>
      <c r="F494" s="11"/>
      <c r="G494" s="11"/>
    </row>
    <row r="495">
      <c r="D495" s="9"/>
      <c r="E495" s="10"/>
      <c r="F495" s="11"/>
      <c r="G495" s="11"/>
    </row>
    <row r="496">
      <c r="D496" s="9"/>
      <c r="E496" s="10"/>
      <c r="F496" s="11"/>
      <c r="G496" s="11"/>
    </row>
    <row r="497">
      <c r="D497" s="9"/>
      <c r="E497" s="10"/>
      <c r="F497" s="11"/>
      <c r="G497" s="11"/>
    </row>
    <row r="498">
      <c r="D498" s="9"/>
      <c r="E498" s="10"/>
      <c r="F498" s="11"/>
      <c r="G498" s="11"/>
    </row>
    <row r="499">
      <c r="D499" s="9"/>
      <c r="E499" s="10"/>
      <c r="F499" s="11"/>
      <c r="G499" s="11"/>
    </row>
    <row r="500">
      <c r="D500" s="9"/>
      <c r="E500" s="10"/>
      <c r="F500" s="11"/>
      <c r="G500" s="11"/>
    </row>
    <row r="501">
      <c r="D501" s="9"/>
      <c r="E501" s="10"/>
      <c r="F501" s="11"/>
      <c r="G501" s="11"/>
    </row>
    <row r="502">
      <c r="D502" s="9"/>
      <c r="E502" s="10"/>
      <c r="F502" s="11"/>
      <c r="G502" s="11"/>
    </row>
    <row r="503">
      <c r="D503" s="9"/>
      <c r="E503" s="10"/>
      <c r="F503" s="11"/>
      <c r="G503" s="11"/>
    </row>
    <row r="504">
      <c r="D504" s="9"/>
      <c r="E504" s="10"/>
      <c r="F504" s="11"/>
      <c r="G504" s="11"/>
    </row>
    <row r="505">
      <c r="D505" s="9"/>
      <c r="E505" s="10"/>
      <c r="F505" s="11"/>
      <c r="G505" s="11"/>
    </row>
    <row r="506">
      <c r="D506" s="9"/>
      <c r="E506" s="10"/>
      <c r="F506" s="11"/>
      <c r="G506" s="11"/>
    </row>
    <row r="507">
      <c r="D507" s="9"/>
      <c r="E507" s="10"/>
      <c r="F507" s="11"/>
      <c r="G507" s="11"/>
    </row>
    <row r="508">
      <c r="D508" s="9"/>
      <c r="E508" s="10"/>
      <c r="F508" s="11"/>
      <c r="G508" s="11"/>
    </row>
    <row r="509">
      <c r="D509" s="9"/>
      <c r="E509" s="10"/>
      <c r="F509" s="11"/>
      <c r="G509" s="11"/>
    </row>
    <row r="510">
      <c r="D510" s="9"/>
      <c r="E510" s="10"/>
      <c r="F510" s="11"/>
      <c r="G510" s="11"/>
    </row>
    <row r="511">
      <c r="D511" s="9"/>
      <c r="E511" s="10"/>
      <c r="F511" s="11"/>
      <c r="G511" s="11"/>
    </row>
    <row r="512">
      <c r="D512" s="9"/>
      <c r="E512" s="10"/>
      <c r="F512" s="11"/>
      <c r="G512" s="11"/>
    </row>
    <row r="513">
      <c r="D513" s="9"/>
      <c r="E513" s="10"/>
      <c r="F513" s="11"/>
      <c r="G513" s="11"/>
    </row>
    <row r="514">
      <c r="D514" s="9"/>
      <c r="E514" s="10"/>
      <c r="F514" s="11"/>
      <c r="G514" s="11"/>
    </row>
    <row r="515">
      <c r="D515" s="9"/>
      <c r="E515" s="10"/>
      <c r="F515" s="11"/>
      <c r="G515" s="11"/>
    </row>
    <row r="516">
      <c r="D516" s="9"/>
      <c r="E516" s="10"/>
      <c r="F516" s="11"/>
      <c r="G516" s="11"/>
    </row>
    <row r="517">
      <c r="D517" s="9"/>
      <c r="E517" s="10"/>
      <c r="F517" s="11"/>
      <c r="G517" s="11"/>
    </row>
    <row r="518">
      <c r="D518" s="9"/>
      <c r="E518" s="10"/>
      <c r="F518" s="11"/>
      <c r="G518" s="11"/>
    </row>
    <row r="519">
      <c r="D519" s="9"/>
      <c r="E519" s="10"/>
      <c r="F519" s="11"/>
      <c r="G519" s="11"/>
    </row>
    <row r="520">
      <c r="D520" s="9"/>
      <c r="E520" s="10"/>
      <c r="F520" s="11"/>
      <c r="G520" s="11"/>
    </row>
    <row r="521">
      <c r="D521" s="9"/>
      <c r="E521" s="10"/>
      <c r="F521" s="11"/>
      <c r="G521" s="11"/>
    </row>
    <row r="522">
      <c r="D522" s="9"/>
      <c r="E522" s="10"/>
      <c r="F522" s="11"/>
      <c r="G522" s="11"/>
    </row>
    <row r="523">
      <c r="D523" s="9"/>
      <c r="E523" s="10"/>
      <c r="F523" s="11"/>
      <c r="G523" s="11"/>
    </row>
    <row r="524">
      <c r="D524" s="9"/>
      <c r="E524" s="10"/>
      <c r="F524" s="11"/>
      <c r="G524" s="11"/>
    </row>
    <row r="525">
      <c r="D525" s="9"/>
      <c r="E525" s="10"/>
      <c r="F525" s="11"/>
      <c r="G525" s="11"/>
    </row>
    <row r="526">
      <c r="D526" s="9"/>
      <c r="E526" s="10"/>
      <c r="F526" s="11"/>
      <c r="G526" s="11"/>
    </row>
    <row r="527">
      <c r="D527" s="9"/>
      <c r="E527" s="10"/>
      <c r="F527" s="11"/>
      <c r="G527" s="11"/>
    </row>
    <row r="528">
      <c r="D528" s="9"/>
      <c r="E528" s="10"/>
      <c r="F528" s="11"/>
      <c r="G528" s="11"/>
    </row>
    <row r="529">
      <c r="D529" s="9"/>
      <c r="E529" s="10"/>
      <c r="F529" s="11"/>
      <c r="G529" s="11"/>
    </row>
    <row r="530">
      <c r="D530" s="9"/>
      <c r="E530" s="10"/>
      <c r="F530" s="11"/>
      <c r="G530" s="11"/>
    </row>
    <row r="531">
      <c r="D531" s="9"/>
      <c r="E531" s="10"/>
      <c r="F531" s="11"/>
      <c r="G531" s="11"/>
    </row>
    <row r="532">
      <c r="D532" s="9"/>
      <c r="E532" s="10"/>
      <c r="F532" s="11"/>
      <c r="G532" s="11"/>
    </row>
    <row r="533">
      <c r="D533" s="9"/>
      <c r="E533" s="10"/>
      <c r="F533" s="11"/>
      <c r="G533" s="11"/>
    </row>
    <row r="534">
      <c r="D534" s="9"/>
      <c r="E534" s="10"/>
      <c r="F534" s="11"/>
      <c r="G534" s="11"/>
    </row>
    <row r="535">
      <c r="D535" s="9"/>
      <c r="E535" s="10"/>
      <c r="F535" s="11"/>
      <c r="G535" s="11"/>
    </row>
    <row r="536">
      <c r="D536" s="9"/>
      <c r="E536" s="10"/>
      <c r="F536" s="11"/>
      <c r="G536" s="11"/>
    </row>
    <row r="537">
      <c r="D537" s="9"/>
      <c r="E537" s="10"/>
      <c r="F537" s="11"/>
      <c r="G537" s="11"/>
    </row>
    <row r="538">
      <c r="D538" s="9"/>
      <c r="E538" s="10"/>
      <c r="F538" s="11"/>
      <c r="G538" s="11"/>
    </row>
    <row r="539">
      <c r="D539" s="9"/>
      <c r="E539" s="10"/>
      <c r="F539" s="11"/>
      <c r="G539" s="11"/>
    </row>
    <row r="540">
      <c r="D540" s="9"/>
      <c r="E540" s="10"/>
      <c r="F540" s="11"/>
      <c r="G540" s="11"/>
    </row>
    <row r="541">
      <c r="D541" s="9"/>
      <c r="E541" s="10"/>
      <c r="F541" s="11"/>
      <c r="G541" s="11"/>
    </row>
    <row r="542">
      <c r="D542" s="9"/>
      <c r="E542" s="10"/>
      <c r="F542" s="11"/>
      <c r="G542" s="11"/>
    </row>
    <row r="543">
      <c r="D543" s="9"/>
      <c r="E543" s="10"/>
      <c r="F543" s="11"/>
      <c r="G543" s="11"/>
    </row>
    <row r="544">
      <c r="D544" s="9"/>
      <c r="E544" s="10"/>
      <c r="F544" s="11"/>
      <c r="G544" s="11"/>
    </row>
    <row r="545">
      <c r="D545" s="9"/>
      <c r="E545" s="10"/>
      <c r="F545" s="11"/>
      <c r="G545" s="11"/>
    </row>
    <row r="546">
      <c r="D546" s="9"/>
      <c r="E546" s="10"/>
      <c r="F546" s="11"/>
      <c r="G546" s="11"/>
    </row>
    <row r="547">
      <c r="D547" s="9"/>
      <c r="E547" s="10"/>
      <c r="F547" s="11"/>
      <c r="G547" s="11"/>
    </row>
    <row r="548">
      <c r="D548" s="9"/>
      <c r="E548" s="10"/>
      <c r="F548" s="11"/>
      <c r="G548" s="11"/>
    </row>
    <row r="549">
      <c r="D549" s="9"/>
      <c r="E549" s="10"/>
      <c r="F549" s="11"/>
      <c r="G549" s="11"/>
    </row>
    <row r="550">
      <c r="D550" s="9"/>
      <c r="E550" s="10"/>
      <c r="F550" s="11"/>
      <c r="G550" s="11"/>
    </row>
    <row r="551">
      <c r="D551" s="9"/>
      <c r="E551" s="10"/>
      <c r="F551" s="11"/>
      <c r="G551" s="11"/>
    </row>
    <row r="552">
      <c r="D552" s="9"/>
      <c r="E552" s="10"/>
      <c r="F552" s="11"/>
      <c r="G552" s="11"/>
    </row>
    <row r="553">
      <c r="D553" s="9"/>
      <c r="E553" s="10"/>
      <c r="F553" s="11"/>
      <c r="G553" s="11"/>
    </row>
    <row r="554">
      <c r="D554" s="9"/>
      <c r="E554" s="10"/>
      <c r="F554" s="11"/>
      <c r="G554" s="11"/>
    </row>
    <row r="555">
      <c r="D555" s="9"/>
      <c r="E555" s="10"/>
      <c r="F555" s="11"/>
      <c r="G555" s="11"/>
    </row>
    <row r="556">
      <c r="D556" s="9"/>
      <c r="E556" s="10"/>
      <c r="F556" s="11"/>
      <c r="G556" s="11"/>
    </row>
    <row r="557">
      <c r="D557" s="9"/>
      <c r="E557" s="10"/>
      <c r="F557" s="11"/>
      <c r="G557" s="11"/>
    </row>
    <row r="558">
      <c r="D558" s="9"/>
      <c r="E558" s="10"/>
      <c r="F558" s="11"/>
      <c r="G558" s="11"/>
    </row>
    <row r="559">
      <c r="D559" s="9"/>
      <c r="E559" s="10"/>
      <c r="F559" s="11"/>
      <c r="G559" s="11"/>
    </row>
    <row r="560">
      <c r="D560" s="9"/>
      <c r="E560" s="10"/>
      <c r="F560" s="11"/>
      <c r="G560" s="11"/>
    </row>
    <row r="561">
      <c r="D561" s="9"/>
      <c r="E561" s="10"/>
      <c r="F561" s="11"/>
      <c r="G561" s="11"/>
    </row>
    <row r="562">
      <c r="D562" s="9"/>
      <c r="E562" s="10"/>
      <c r="F562" s="11"/>
      <c r="G562" s="11"/>
    </row>
    <row r="563">
      <c r="D563" s="9"/>
      <c r="E563" s="10"/>
      <c r="F563" s="11"/>
      <c r="G563" s="11"/>
    </row>
    <row r="564">
      <c r="D564" s="9"/>
      <c r="E564" s="10"/>
      <c r="F564" s="11"/>
      <c r="G564" s="11"/>
    </row>
    <row r="565">
      <c r="D565" s="9"/>
      <c r="E565" s="10"/>
      <c r="F565" s="11"/>
      <c r="G565" s="11"/>
    </row>
    <row r="566">
      <c r="D566" s="9"/>
      <c r="E566" s="10"/>
      <c r="F566" s="11"/>
      <c r="G566" s="11"/>
    </row>
    <row r="567">
      <c r="D567" s="9"/>
      <c r="E567" s="10"/>
      <c r="F567" s="11"/>
      <c r="G567" s="11"/>
    </row>
    <row r="568">
      <c r="D568" s="9"/>
      <c r="E568" s="10"/>
      <c r="F568" s="11"/>
      <c r="G568" s="11"/>
    </row>
    <row r="569">
      <c r="D569" s="9"/>
      <c r="E569" s="10"/>
      <c r="F569" s="11"/>
      <c r="G569" s="11"/>
    </row>
    <row r="570">
      <c r="D570" s="9"/>
      <c r="E570" s="10"/>
      <c r="F570" s="11"/>
      <c r="G570" s="11"/>
    </row>
    <row r="571">
      <c r="D571" s="9"/>
      <c r="E571" s="10"/>
      <c r="F571" s="11"/>
      <c r="G571" s="11"/>
    </row>
    <row r="572">
      <c r="D572" s="9"/>
      <c r="E572" s="10"/>
      <c r="F572" s="11"/>
      <c r="G572" s="11"/>
    </row>
    <row r="573">
      <c r="D573" s="9"/>
      <c r="E573" s="10"/>
      <c r="F573" s="11"/>
      <c r="G573" s="11"/>
    </row>
    <row r="574">
      <c r="D574" s="9"/>
      <c r="E574" s="10"/>
      <c r="F574" s="11"/>
      <c r="G574" s="11"/>
    </row>
    <row r="575">
      <c r="D575" s="9"/>
      <c r="E575" s="10"/>
      <c r="F575" s="11"/>
      <c r="G575" s="11"/>
    </row>
    <row r="576">
      <c r="D576" s="9"/>
      <c r="E576" s="10"/>
      <c r="F576" s="11"/>
      <c r="G576" s="11"/>
    </row>
    <row r="577">
      <c r="D577" s="9"/>
      <c r="E577" s="10"/>
      <c r="F577" s="11"/>
      <c r="G577" s="11"/>
    </row>
    <row r="578">
      <c r="D578" s="9"/>
      <c r="E578" s="10"/>
      <c r="F578" s="11"/>
      <c r="G578" s="11"/>
    </row>
    <row r="579">
      <c r="D579" s="9"/>
      <c r="E579" s="10"/>
      <c r="F579" s="11"/>
      <c r="G579" s="11"/>
    </row>
    <row r="580">
      <c r="D580" s="9"/>
      <c r="E580" s="10"/>
      <c r="F580" s="11"/>
      <c r="G580" s="11"/>
    </row>
    <row r="581">
      <c r="D581" s="9"/>
      <c r="E581" s="10"/>
      <c r="F581" s="11"/>
      <c r="G581" s="11"/>
    </row>
    <row r="582">
      <c r="D582" s="9"/>
      <c r="E582" s="10"/>
      <c r="F582" s="11"/>
      <c r="G582" s="11"/>
    </row>
    <row r="583">
      <c r="D583" s="9"/>
      <c r="E583" s="10"/>
      <c r="F583" s="11"/>
      <c r="G583" s="11"/>
    </row>
    <row r="584">
      <c r="D584" s="9"/>
      <c r="E584" s="10"/>
      <c r="F584" s="11"/>
      <c r="G584" s="11"/>
    </row>
    <row r="585">
      <c r="D585" s="9"/>
      <c r="E585" s="10"/>
      <c r="F585" s="11"/>
      <c r="G585" s="11"/>
    </row>
    <row r="586">
      <c r="D586" s="9"/>
      <c r="E586" s="10"/>
      <c r="F586" s="11"/>
      <c r="G586" s="11"/>
    </row>
    <row r="587">
      <c r="D587" s="9"/>
      <c r="E587" s="10"/>
      <c r="F587" s="11"/>
      <c r="G587" s="11"/>
    </row>
    <row r="588">
      <c r="D588" s="9"/>
      <c r="E588" s="10"/>
      <c r="F588" s="11"/>
      <c r="G588" s="11"/>
    </row>
    <row r="589">
      <c r="D589" s="9"/>
      <c r="E589" s="10"/>
      <c r="F589" s="11"/>
      <c r="G589" s="11"/>
    </row>
    <row r="590">
      <c r="D590" s="9"/>
      <c r="E590" s="10"/>
      <c r="F590" s="11"/>
      <c r="G590" s="11"/>
    </row>
    <row r="591">
      <c r="D591" s="9"/>
      <c r="E591" s="10"/>
      <c r="F591" s="11"/>
      <c r="G591" s="11"/>
    </row>
    <row r="592">
      <c r="D592" s="9"/>
      <c r="E592" s="10"/>
      <c r="F592" s="11"/>
      <c r="G592" s="11"/>
    </row>
    <row r="593">
      <c r="D593" s="9"/>
      <c r="E593" s="10"/>
      <c r="F593" s="11"/>
      <c r="G593" s="11"/>
    </row>
    <row r="594">
      <c r="D594" s="9"/>
      <c r="E594" s="10"/>
      <c r="F594" s="11"/>
      <c r="G594" s="11"/>
    </row>
    <row r="595">
      <c r="D595" s="9"/>
      <c r="E595" s="10"/>
      <c r="F595" s="11"/>
      <c r="G595" s="11"/>
    </row>
    <row r="596">
      <c r="D596" s="9"/>
      <c r="E596" s="10"/>
      <c r="F596" s="11"/>
      <c r="G596" s="11"/>
    </row>
    <row r="597">
      <c r="D597" s="9"/>
      <c r="E597" s="10"/>
      <c r="F597" s="11"/>
      <c r="G597" s="11"/>
    </row>
    <row r="598">
      <c r="D598" s="9"/>
      <c r="E598" s="10"/>
      <c r="F598" s="11"/>
      <c r="G598" s="11"/>
    </row>
    <row r="599">
      <c r="D599" s="9"/>
      <c r="E599" s="10"/>
      <c r="F599" s="11"/>
      <c r="G599" s="11"/>
    </row>
    <row r="600">
      <c r="D600" s="9"/>
      <c r="E600" s="10"/>
      <c r="F600" s="11"/>
      <c r="G600" s="11"/>
    </row>
    <row r="601">
      <c r="D601" s="9"/>
      <c r="E601" s="10"/>
      <c r="F601" s="11"/>
      <c r="G601" s="11"/>
    </row>
    <row r="602">
      <c r="D602" s="9"/>
      <c r="E602" s="10"/>
      <c r="F602" s="11"/>
      <c r="G602" s="11"/>
    </row>
    <row r="603">
      <c r="D603" s="9"/>
      <c r="E603" s="10"/>
      <c r="F603" s="11"/>
      <c r="G603" s="11"/>
    </row>
    <row r="604">
      <c r="D604" s="9"/>
      <c r="E604" s="10"/>
      <c r="F604" s="11"/>
      <c r="G604" s="11"/>
    </row>
    <row r="605">
      <c r="D605" s="9"/>
      <c r="E605" s="10"/>
      <c r="F605" s="11"/>
      <c r="G605" s="11"/>
    </row>
    <row r="606">
      <c r="D606" s="9"/>
      <c r="E606" s="10"/>
      <c r="F606" s="11"/>
      <c r="G606" s="11"/>
    </row>
    <row r="607">
      <c r="D607" s="9"/>
      <c r="E607" s="10"/>
      <c r="F607" s="11"/>
      <c r="G607" s="11"/>
    </row>
    <row r="608">
      <c r="D608" s="9"/>
      <c r="E608" s="10"/>
      <c r="F608" s="11"/>
      <c r="G608" s="11"/>
    </row>
    <row r="609">
      <c r="D609" s="9"/>
      <c r="E609" s="10"/>
      <c r="F609" s="11"/>
      <c r="G609" s="11"/>
    </row>
    <row r="610">
      <c r="D610" s="9"/>
      <c r="E610" s="10"/>
      <c r="F610" s="11"/>
      <c r="G610" s="11"/>
    </row>
    <row r="611">
      <c r="D611" s="9"/>
      <c r="E611" s="10"/>
      <c r="F611" s="11"/>
      <c r="G611" s="11"/>
    </row>
    <row r="612">
      <c r="D612" s="9"/>
      <c r="E612" s="10"/>
      <c r="F612" s="11"/>
      <c r="G612" s="11"/>
    </row>
    <row r="613">
      <c r="D613" s="9"/>
      <c r="E613" s="10"/>
      <c r="F613" s="11"/>
      <c r="G613" s="11"/>
    </row>
    <row r="614">
      <c r="D614" s="9"/>
      <c r="E614" s="10"/>
      <c r="F614" s="11"/>
      <c r="G614" s="11"/>
    </row>
    <row r="615">
      <c r="D615" s="9"/>
      <c r="E615" s="10"/>
      <c r="F615" s="11"/>
      <c r="G615" s="11"/>
    </row>
    <row r="616">
      <c r="D616" s="9"/>
      <c r="E616" s="10"/>
      <c r="F616" s="11"/>
      <c r="G616" s="11"/>
    </row>
    <row r="617">
      <c r="D617" s="9"/>
      <c r="E617" s="10"/>
      <c r="F617" s="11"/>
      <c r="G617" s="11"/>
    </row>
    <row r="618">
      <c r="D618" s="9"/>
      <c r="E618" s="10"/>
      <c r="F618" s="11"/>
      <c r="G618" s="11"/>
    </row>
    <row r="619">
      <c r="D619" s="9"/>
      <c r="E619" s="10"/>
      <c r="F619" s="11"/>
      <c r="G619" s="11"/>
    </row>
    <row r="620">
      <c r="D620" s="9"/>
      <c r="E620" s="10"/>
      <c r="F620" s="11"/>
      <c r="G620" s="11"/>
    </row>
    <row r="621">
      <c r="D621" s="9"/>
      <c r="E621" s="10"/>
      <c r="F621" s="11"/>
      <c r="G621" s="11"/>
    </row>
    <row r="622">
      <c r="D622" s="9"/>
      <c r="E622" s="10"/>
      <c r="F622" s="11"/>
      <c r="G622" s="11"/>
    </row>
    <row r="623">
      <c r="D623" s="9"/>
      <c r="E623" s="10"/>
      <c r="F623" s="11"/>
      <c r="G623" s="11"/>
    </row>
    <row r="624">
      <c r="D624" s="9"/>
      <c r="E624" s="10"/>
      <c r="F624" s="11"/>
      <c r="G624" s="11"/>
    </row>
    <row r="625">
      <c r="D625" s="9"/>
      <c r="E625" s="10"/>
      <c r="F625" s="11"/>
      <c r="G625" s="11"/>
    </row>
    <row r="626">
      <c r="D626" s="9"/>
      <c r="E626" s="10"/>
      <c r="F626" s="11"/>
      <c r="G626" s="11"/>
    </row>
    <row r="627">
      <c r="D627" s="9"/>
      <c r="E627" s="10"/>
      <c r="F627" s="11"/>
      <c r="G627" s="11"/>
    </row>
    <row r="628">
      <c r="D628" s="9"/>
      <c r="E628" s="10"/>
      <c r="F628" s="11"/>
      <c r="G628" s="11"/>
    </row>
    <row r="629">
      <c r="D629" s="9"/>
      <c r="E629" s="10"/>
      <c r="F629" s="11"/>
      <c r="G629" s="11"/>
    </row>
    <row r="630">
      <c r="D630" s="9"/>
      <c r="E630" s="10"/>
      <c r="F630" s="11"/>
      <c r="G630" s="11"/>
    </row>
    <row r="631">
      <c r="D631" s="9"/>
      <c r="E631" s="10"/>
      <c r="F631" s="11"/>
      <c r="G631" s="11"/>
    </row>
    <row r="632">
      <c r="D632" s="9"/>
      <c r="E632" s="10"/>
      <c r="F632" s="11"/>
      <c r="G632" s="11"/>
    </row>
    <row r="633">
      <c r="D633" s="9"/>
      <c r="E633" s="10"/>
      <c r="F633" s="11"/>
      <c r="G633" s="11"/>
    </row>
    <row r="634">
      <c r="D634" s="9"/>
      <c r="E634" s="10"/>
      <c r="F634" s="11"/>
      <c r="G634" s="11"/>
    </row>
    <row r="635">
      <c r="D635" s="9"/>
      <c r="E635" s="10"/>
      <c r="F635" s="11"/>
      <c r="G635" s="11"/>
    </row>
    <row r="636">
      <c r="D636" s="9"/>
      <c r="E636" s="10"/>
      <c r="F636" s="11"/>
      <c r="G636" s="11"/>
    </row>
    <row r="637">
      <c r="D637" s="9"/>
      <c r="E637" s="10"/>
      <c r="F637" s="11"/>
      <c r="G637" s="11"/>
    </row>
    <row r="638">
      <c r="D638" s="9"/>
      <c r="E638" s="10"/>
      <c r="F638" s="11"/>
      <c r="G638" s="11"/>
    </row>
    <row r="639">
      <c r="D639" s="9"/>
      <c r="E639" s="10"/>
      <c r="F639" s="11"/>
      <c r="G639" s="11"/>
    </row>
    <row r="640">
      <c r="D640" s="9"/>
      <c r="E640" s="10"/>
      <c r="F640" s="11"/>
      <c r="G640" s="11"/>
    </row>
    <row r="641">
      <c r="D641" s="9"/>
      <c r="E641" s="10"/>
      <c r="F641" s="11"/>
      <c r="G641" s="11"/>
    </row>
    <row r="642">
      <c r="D642" s="9"/>
      <c r="E642" s="10"/>
      <c r="F642" s="11"/>
      <c r="G642" s="11"/>
    </row>
    <row r="643">
      <c r="D643" s="9"/>
      <c r="E643" s="10"/>
      <c r="F643" s="11"/>
      <c r="G643" s="11"/>
    </row>
    <row r="644">
      <c r="D644" s="9"/>
      <c r="E644" s="10"/>
      <c r="F644" s="11"/>
      <c r="G644" s="11"/>
    </row>
    <row r="645">
      <c r="D645" s="9"/>
      <c r="E645" s="10"/>
      <c r="F645" s="11"/>
      <c r="G645" s="11"/>
    </row>
    <row r="646">
      <c r="D646" s="9"/>
      <c r="E646" s="10"/>
      <c r="F646" s="11"/>
      <c r="G646" s="11"/>
    </row>
    <row r="647">
      <c r="D647" s="9"/>
      <c r="E647" s="10"/>
      <c r="F647" s="11"/>
      <c r="G647" s="11"/>
    </row>
    <row r="648">
      <c r="D648" s="9"/>
      <c r="E648" s="10"/>
      <c r="F648" s="11"/>
      <c r="G648" s="11"/>
    </row>
    <row r="649">
      <c r="D649" s="9"/>
      <c r="E649" s="10"/>
      <c r="F649" s="11"/>
      <c r="G649" s="11"/>
    </row>
    <row r="650">
      <c r="D650" s="9"/>
      <c r="E650" s="10"/>
      <c r="F650" s="11"/>
      <c r="G650" s="11"/>
    </row>
    <row r="651">
      <c r="D651" s="9"/>
      <c r="E651" s="10"/>
      <c r="F651" s="11"/>
      <c r="G651" s="11"/>
    </row>
    <row r="652">
      <c r="D652" s="9"/>
      <c r="E652" s="10"/>
      <c r="F652" s="11"/>
      <c r="G652" s="11"/>
    </row>
    <row r="653">
      <c r="D653" s="9"/>
      <c r="E653" s="10"/>
      <c r="F653" s="11"/>
      <c r="G653" s="11"/>
    </row>
    <row r="654">
      <c r="D654" s="9"/>
      <c r="E654" s="10"/>
      <c r="F654" s="11"/>
      <c r="G654" s="11"/>
    </row>
    <row r="655">
      <c r="D655" s="9"/>
      <c r="E655" s="10"/>
      <c r="F655" s="11"/>
      <c r="G655" s="11"/>
    </row>
    <row r="656">
      <c r="D656" s="9"/>
      <c r="E656" s="10"/>
      <c r="F656" s="11"/>
      <c r="G656" s="11"/>
    </row>
    <row r="657">
      <c r="D657" s="9"/>
      <c r="E657" s="10"/>
      <c r="F657" s="11"/>
      <c r="G657" s="11"/>
    </row>
    <row r="658">
      <c r="D658" s="9"/>
      <c r="E658" s="10"/>
      <c r="F658" s="11"/>
      <c r="G658" s="11"/>
    </row>
    <row r="659">
      <c r="D659" s="9"/>
      <c r="E659" s="10"/>
      <c r="F659" s="11"/>
      <c r="G659" s="11"/>
    </row>
    <row r="660">
      <c r="D660" s="9"/>
      <c r="E660" s="10"/>
      <c r="F660" s="11"/>
      <c r="G660" s="11"/>
    </row>
    <row r="661">
      <c r="D661" s="9"/>
      <c r="E661" s="10"/>
      <c r="F661" s="11"/>
      <c r="G661" s="11"/>
    </row>
    <row r="662">
      <c r="D662" s="9"/>
      <c r="E662" s="10"/>
      <c r="F662" s="11"/>
      <c r="G662" s="11"/>
    </row>
    <row r="663">
      <c r="D663" s="9"/>
      <c r="E663" s="10"/>
      <c r="F663" s="11"/>
      <c r="G663" s="11"/>
    </row>
    <row r="664">
      <c r="D664" s="9"/>
      <c r="E664" s="10"/>
      <c r="F664" s="11"/>
      <c r="G664" s="11"/>
    </row>
    <row r="665">
      <c r="D665" s="9"/>
      <c r="E665" s="10"/>
      <c r="F665" s="11"/>
      <c r="G665" s="11"/>
    </row>
    <row r="666">
      <c r="D666" s="9"/>
      <c r="E666" s="10"/>
      <c r="F666" s="11"/>
      <c r="G666" s="11"/>
    </row>
    <row r="667">
      <c r="D667" s="9"/>
      <c r="E667" s="10"/>
      <c r="F667" s="11"/>
      <c r="G667" s="11"/>
    </row>
    <row r="668">
      <c r="D668" s="9"/>
      <c r="E668" s="10"/>
      <c r="F668" s="11"/>
      <c r="G668" s="11"/>
    </row>
    <row r="669">
      <c r="D669" s="9"/>
      <c r="E669" s="10"/>
      <c r="F669" s="11"/>
      <c r="G669" s="11"/>
    </row>
    <row r="670">
      <c r="D670" s="9"/>
      <c r="E670" s="10"/>
      <c r="F670" s="11"/>
      <c r="G670" s="11"/>
    </row>
    <row r="671">
      <c r="D671" s="9"/>
      <c r="E671" s="10"/>
      <c r="F671" s="11"/>
      <c r="G671" s="11"/>
    </row>
    <row r="672">
      <c r="D672" s="9"/>
      <c r="E672" s="10"/>
      <c r="F672" s="11"/>
      <c r="G672" s="11"/>
    </row>
    <row r="673">
      <c r="D673" s="9"/>
      <c r="E673" s="10"/>
      <c r="F673" s="11"/>
      <c r="G673" s="11"/>
    </row>
    <row r="674">
      <c r="D674" s="9"/>
      <c r="E674" s="10"/>
      <c r="F674" s="11"/>
      <c r="G674" s="11"/>
    </row>
    <row r="675">
      <c r="D675" s="9"/>
      <c r="E675" s="10"/>
      <c r="F675" s="11"/>
      <c r="G675" s="11"/>
    </row>
    <row r="676">
      <c r="D676" s="9"/>
      <c r="E676" s="10"/>
      <c r="F676" s="11"/>
      <c r="G676" s="11"/>
    </row>
    <row r="677">
      <c r="D677" s="9"/>
      <c r="E677" s="10"/>
      <c r="F677" s="11"/>
      <c r="G677" s="11"/>
    </row>
    <row r="678">
      <c r="D678" s="9"/>
      <c r="E678" s="10"/>
      <c r="F678" s="11"/>
      <c r="G678" s="11"/>
    </row>
    <row r="679">
      <c r="D679" s="9"/>
      <c r="E679" s="10"/>
      <c r="F679" s="11"/>
      <c r="G679" s="11"/>
    </row>
    <row r="680">
      <c r="D680" s="9"/>
      <c r="E680" s="10"/>
      <c r="F680" s="11"/>
      <c r="G680" s="11"/>
    </row>
    <row r="681">
      <c r="D681" s="9"/>
      <c r="E681" s="10"/>
      <c r="F681" s="11"/>
      <c r="G681" s="11"/>
    </row>
    <row r="682">
      <c r="D682" s="9"/>
      <c r="E682" s="10"/>
      <c r="F682" s="11"/>
      <c r="G682" s="11"/>
    </row>
    <row r="683">
      <c r="D683" s="9"/>
      <c r="E683" s="10"/>
      <c r="F683" s="11"/>
      <c r="G683" s="11"/>
    </row>
    <row r="684">
      <c r="D684" s="9"/>
      <c r="E684" s="10"/>
      <c r="F684" s="11"/>
      <c r="G684" s="11"/>
    </row>
    <row r="685">
      <c r="D685" s="9"/>
      <c r="E685" s="10"/>
      <c r="F685" s="11"/>
      <c r="G685" s="11"/>
    </row>
    <row r="686">
      <c r="D686" s="9"/>
      <c r="E686" s="10"/>
      <c r="F686" s="11"/>
      <c r="G686" s="11"/>
    </row>
    <row r="687">
      <c r="D687" s="9"/>
      <c r="E687" s="10"/>
      <c r="F687" s="11"/>
      <c r="G687" s="11"/>
    </row>
    <row r="688">
      <c r="D688" s="9"/>
      <c r="E688" s="10"/>
      <c r="F688" s="11"/>
      <c r="G688" s="11"/>
    </row>
    <row r="689">
      <c r="D689" s="9"/>
      <c r="E689" s="10"/>
      <c r="F689" s="11"/>
      <c r="G689" s="11"/>
    </row>
    <row r="690">
      <c r="D690" s="9"/>
      <c r="E690" s="10"/>
      <c r="F690" s="11"/>
      <c r="G690" s="11"/>
    </row>
    <row r="691">
      <c r="D691" s="9"/>
      <c r="E691" s="10"/>
      <c r="F691" s="11"/>
      <c r="G691" s="11"/>
    </row>
    <row r="692">
      <c r="D692" s="9"/>
      <c r="E692" s="10"/>
      <c r="F692" s="11"/>
      <c r="G692" s="11"/>
    </row>
    <row r="693">
      <c r="D693" s="9"/>
      <c r="E693" s="10"/>
      <c r="F693" s="11"/>
      <c r="G693" s="11"/>
    </row>
    <row r="694">
      <c r="D694" s="9"/>
      <c r="E694" s="10"/>
      <c r="F694" s="11"/>
      <c r="G694" s="11"/>
    </row>
    <row r="695">
      <c r="D695" s="9"/>
      <c r="E695" s="10"/>
      <c r="F695" s="11"/>
      <c r="G695" s="11"/>
    </row>
    <row r="696">
      <c r="D696" s="9"/>
      <c r="E696" s="10"/>
      <c r="F696" s="11"/>
      <c r="G696" s="11"/>
    </row>
    <row r="697">
      <c r="D697" s="9"/>
      <c r="E697" s="10"/>
      <c r="F697" s="11"/>
      <c r="G697" s="11"/>
    </row>
    <row r="698">
      <c r="D698" s="9"/>
      <c r="E698" s="10"/>
      <c r="F698" s="11"/>
      <c r="G698" s="11"/>
    </row>
    <row r="699">
      <c r="D699" s="9"/>
      <c r="E699" s="10"/>
      <c r="F699" s="11"/>
      <c r="G699" s="11"/>
    </row>
    <row r="700">
      <c r="D700" s="9"/>
      <c r="E700" s="10"/>
      <c r="F700" s="11"/>
      <c r="G700" s="11"/>
    </row>
    <row r="701">
      <c r="D701" s="9"/>
      <c r="E701" s="10"/>
      <c r="F701" s="11"/>
      <c r="G701" s="11"/>
    </row>
    <row r="702">
      <c r="D702" s="9"/>
      <c r="E702" s="10"/>
      <c r="F702" s="11"/>
      <c r="G702" s="11"/>
    </row>
    <row r="703">
      <c r="D703" s="9"/>
      <c r="E703" s="10"/>
      <c r="F703" s="11"/>
      <c r="G703" s="11"/>
    </row>
    <row r="704">
      <c r="D704" s="9"/>
      <c r="E704" s="10"/>
      <c r="F704" s="11"/>
      <c r="G704" s="11"/>
    </row>
    <row r="705">
      <c r="D705" s="9"/>
      <c r="E705" s="10"/>
      <c r="F705" s="11"/>
      <c r="G705" s="11"/>
    </row>
    <row r="706">
      <c r="D706" s="9"/>
      <c r="E706" s="10"/>
      <c r="F706" s="11"/>
      <c r="G706" s="11"/>
    </row>
    <row r="707">
      <c r="D707" s="9"/>
      <c r="E707" s="10"/>
      <c r="F707" s="11"/>
      <c r="G707" s="11"/>
    </row>
    <row r="708">
      <c r="D708" s="9"/>
      <c r="E708" s="10"/>
      <c r="F708" s="11"/>
      <c r="G708" s="11"/>
    </row>
    <row r="709">
      <c r="D709" s="9"/>
      <c r="E709" s="10"/>
      <c r="F709" s="11"/>
      <c r="G709" s="11"/>
    </row>
    <row r="710">
      <c r="D710" s="9"/>
      <c r="E710" s="10"/>
      <c r="F710" s="11"/>
      <c r="G710" s="11"/>
    </row>
    <row r="711">
      <c r="D711" s="9"/>
      <c r="E711" s="10"/>
      <c r="F711" s="11"/>
      <c r="G711" s="11"/>
    </row>
    <row r="712">
      <c r="D712" s="9"/>
      <c r="E712" s="10"/>
      <c r="F712" s="11"/>
      <c r="G712" s="11"/>
    </row>
    <row r="713">
      <c r="D713" s="9"/>
      <c r="E713" s="10"/>
      <c r="F713" s="11"/>
      <c r="G713" s="11"/>
    </row>
    <row r="714">
      <c r="D714" s="9"/>
      <c r="E714" s="10"/>
      <c r="F714" s="11"/>
      <c r="G714" s="11"/>
    </row>
    <row r="715">
      <c r="D715" s="9"/>
      <c r="E715" s="10"/>
      <c r="F715" s="11"/>
      <c r="G715" s="11"/>
    </row>
    <row r="716">
      <c r="D716" s="9"/>
      <c r="E716" s="10"/>
      <c r="F716" s="11"/>
      <c r="G716" s="11"/>
    </row>
    <row r="717">
      <c r="D717" s="9"/>
      <c r="E717" s="10"/>
      <c r="F717" s="11"/>
      <c r="G717" s="11"/>
    </row>
    <row r="718">
      <c r="D718" s="9"/>
      <c r="E718" s="10"/>
      <c r="F718" s="11"/>
      <c r="G718" s="11"/>
    </row>
    <row r="719">
      <c r="D719" s="9"/>
      <c r="E719" s="10"/>
      <c r="F719" s="11"/>
      <c r="G719" s="11"/>
    </row>
    <row r="720">
      <c r="D720" s="9"/>
      <c r="E720" s="10"/>
      <c r="F720" s="11"/>
      <c r="G720" s="11"/>
    </row>
    <row r="721">
      <c r="D721" s="9"/>
      <c r="E721" s="10"/>
      <c r="F721" s="11"/>
      <c r="G721" s="11"/>
    </row>
    <row r="722">
      <c r="D722" s="9"/>
      <c r="E722" s="10"/>
      <c r="F722" s="11"/>
      <c r="G722" s="11"/>
    </row>
    <row r="723">
      <c r="D723" s="9"/>
      <c r="E723" s="10"/>
      <c r="F723" s="11"/>
      <c r="G723" s="11"/>
    </row>
    <row r="724">
      <c r="D724" s="9"/>
      <c r="E724" s="10"/>
      <c r="F724" s="11"/>
      <c r="G724" s="11"/>
    </row>
    <row r="725">
      <c r="D725" s="9"/>
      <c r="E725" s="10"/>
      <c r="F725" s="11"/>
      <c r="G725" s="11"/>
    </row>
    <row r="726">
      <c r="D726" s="9"/>
      <c r="E726" s="10"/>
      <c r="F726" s="11"/>
      <c r="G726" s="11"/>
    </row>
    <row r="727">
      <c r="D727" s="9"/>
      <c r="E727" s="10"/>
      <c r="F727" s="11"/>
      <c r="G727" s="11"/>
    </row>
    <row r="728">
      <c r="D728" s="9"/>
      <c r="E728" s="10"/>
      <c r="F728" s="11"/>
      <c r="G728" s="11"/>
    </row>
    <row r="729">
      <c r="D729" s="9"/>
      <c r="E729" s="10"/>
      <c r="F729" s="11"/>
      <c r="G729" s="11"/>
    </row>
    <row r="730">
      <c r="D730" s="9"/>
      <c r="E730" s="10"/>
      <c r="F730" s="11"/>
      <c r="G730" s="11"/>
    </row>
    <row r="731">
      <c r="D731" s="9"/>
      <c r="E731" s="10"/>
      <c r="F731" s="11"/>
      <c r="G731" s="11"/>
    </row>
    <row r="732">
      <c r="D732" s="9"/>
      <c r="E732" s="10"/>
      <c r="F732" s="11"/>
      <c r="G732" s="11"/>
    </row>
    <row r="733">
      <c r="D733" s="9"/>
      <c r="E733" s="10"/>
      <c r="F733" s="11"/>
      <c r="G733" s="11"/>
    </row>
    <row r="734">
      <c r="D734" s="9"/>
      <c r="E734" s="10"/>
      <c r="F734" s="11"/>
      <c r="G734" s="11"/>
    </row>
    <row r="735">
      <c r="D735" s="9"/>
      <c r="E735" s="10"/>
      <c r="F735" s="11"/>
      <c r="G735" s="11"/>
    </row>
    <row r="736">
      <c r="D736" s="9"/>
      <c r="E736" s="10"/>
      <c r="F736" s="11"/>
      <c r="G736" s="11"/>
    </row>
    <row r="737">
      <c r="D737" s="9"/>
      <c r="E737" s="10"/>
      <c r="F737" s="11"/>
      <c r="G737" s="11"/>
    </row>
    <row r="738">
      <c r="D738" s="9"/>
      <c r="E738" s="10"/>
      <c r="F738" s="11"/>
      <c r="G738" s="11"/>
    </row>
    <row r="739">
      <c r="D739" s="9"/>
      <c r="E739" s="10"/>
      <c r="F739" s="11"/>
      <c r="G739" s="11"/>
    </row>
    <row r="740">
      <c r="D740" s="9"/>
      <c r="E740" s="10"/>
      <c r="F740" s="11"/>
      <c r="G740" s="11"/>
    </row>
    <row r="741">
      <c r="D741" s="9"/>
      <c r="E741" s="10"/>
      <c r="F741" s="11"/>
      <c r="G741" s="11"/>
    </row>
    <row r="742">
      <c r="D742" s="9"/>
      <c r="E742" s="10"/>
      <c r="F742" s="11"/>
      <c r="G742" s="11"/>
    </row>
    <row r="743">
      <c r="D743" s="9"/>
      <c r="E743" s="10"/>
      <c r="F743" s="11"/>
      <c r="G743" s="11"/>
    </row>
    <row r="744">
      <c r="D744" s="9"/>
      <c r="E744" s="10"/>
      <c r="F744" s="11"/>
      <c r="G744" s="11"/>
    </row>
    <row r="745">
      <c r="D745" s="9"/>
      <c r="E745" s="10"/>
      <c r="F745" s="11"/>
      <c r="G745" s="11"/>
    </row>
    <row r="746">
      <c r="D746" s="9"/>
      <c r="E746" s="10"/>
      <c r="F746" s="11"/>
      <c r="G746" s="11"/>
    </row>
    <row r="747">
      <c r="D747" s="9"/>
      <c r="E747" s="10"/>
      <c r="F747" s="11"/>
      <c r="G747" s="11"/>
    </row>
    <row r="748">
      <c r="D748" s="9"/>
      <c r="E748" s="10"/>
      <c r="F748" s="11"/>
      <c r="G748" s="11"/>
    </row>
    <row r="749">
      <c r="D749" s="9"/>
      <c r="E749" s="10"/>
      <c r="F749" s="11"/>
      <c r="G749" s="11"/>
    </row>
    <row r="750">
      <c r="D750" s="9"/>
      <c r="E750" s="10"/>
      <c r="F750" s="11"/>
      <c r="G750" s="11"/>
    </row>
    <row r="751">
      <c r="D751" s="9"/>
      <c r="E751" s="10"/>
      <c r="F751" s="11"/>
      <c r="G751" s="11"/>
    </row>
    <row r="752">
      <c r="D752" s="9"/>
      <c r="E752" s="10"/>
      <c r="F752" s="11"/>
      <c r="G752" s="11"/>
    </row>
    <row r="753">
      <c r="D753" s="9"/>
      <c r="E753" s="10"/>
      <c r="F753" s="11"/>
      <c r="G753" s="11"/>
    </row>
    <row r="754">
      <c r="D754" s="9"/>
      <c r="E754" s="10"/>
      <c r="F754" s="11"/>
      <c r="G754" s="11"/>
    </row>
    <row r="755">
      <c r="D755" s="9"/>
      <c r="E755" s="10"/>
      <c r="F755" s="11"/>
      <c r="G755" s="11"/>
    </row>
    <row r="756">
      <c r="D756" s="9"/>
      <c r="E756" s="10"/>
      <c r="F756" s="11"/>
      <c r="G756" s="11"/>
    </row>
    <row r="757">
      <c r="D757" s="9"/>
      <c r="E757" s="10"/>
      <c r="F757" s="11"/>
      <c r="G757" s="11"/>
    </row>
    <row r="758">
      <c r="D758" s="9"/>
      <c r="E758" s="10"/>
      <c r="F758" s="11"/>
      <c r="G758" s="11"/>
    </row>
    <row r="759">
      <c r="D759" s="9"/>
      <c r="E759" s="10"/>
      <c r="F759" s="11"/>
      <c r="G759" s="11"/>
    </row>
    <row r="760">
      <c r="D760" s="9"/>
      <c r="E760" s="10"/>
      <c r="F760" s="11"/>
      <c r="G760" s="11"/>
    </row>
    <row r="761">
      <c r="D761" s="9"/>
      <c r="E761" s="10"/>
      <c r="F761" s="11"/>
      <c r="G761" s="11"/>
    </row>
    <row r="762">
      <c r="D762" s="9"/>
      <c r="E762" s="10"/>
      <c r="F762" s="11"/>
      <c r="G762" s="11"/>
    </row>
    <row r="763">
      <c r="D763" s="9"/>
      <c r="E763" s="10"/>
      <c r="F763" s="11"/>
      <c r="G763" s="11"/>
    </row>
    <row r="764">
      <c r="D764" s="9"/>
      <c r="E764" s="10"/>
      <c r="F764" s="11"/>
      <c r="G764" s="11"/>
    </row>
    <row r="765">
      <c r="D765" s="9"/>
      <c r="E765" s="10"/>
      <c r="F765" s="11"/>
      <c r="G765" s="11"/>
    </row>
    <row r="766">
      <c r="D766" s="9"/>
      <c r="E766" s="10"/>
      <c r="F766" s="11"/>
      <c r="G766" s="11"/>
    </row>
    <row r="767">
      <c r="D767" s="9"/>
      <c r="E767" s="10"/>
      <c r="F767" s="11"/>
      <c r="G767" s="11"/>
    </row>
    <row r="768">
      <c r="D768" s="9"/>
      <c r="E768" s="10"/>
      <c r="F768" s="11"/>
      <c r="G768" s="11"/>
    </row>
    <row r="769">
      <c r="D769" s="9"/>
      <c r="E769" s="10"/>
      <c r="F769" s="11"/>
      <c r="G769" s="11"/>
    </row>
    <row r="770">
      <c r="D770" s="9"/>
      <c r="E770" s="10"/>
      <c r="F770" s="11"/>
      <c r="G770" s="11"/>
    </row>
    <row r="771">
      <c r="D771" s="9"/>
      <c r="E771" s="10"/>
      <c r="F771" s="11"/>
      <c r="G771" s="11"/>
    </row>
    <row r="772">
      <c r="D772" s="9"/>
      <c r="E772" s="10"/>
      <c r="F772" s="11"/>
      <c r="G772" s="11"/>
    </row>
    <row r="773">
      <c r="D773" s="9"/>
      <c r="E773" s="10"/>
      <c r="F773" s="11"/>
      <c r="G773" s="11"/>
    </row>
    <row r="774">
      <c r="D774" s="9"/>
      <c r="E774" s="10"/>
      <c r="F774" s="11"/>
      <c r="G774" s="11"/>
    </row>
    <row r="775">
      <c r="D775" s="9"/>
      <c r="E775" s="10"/>
      <c r="F775" s="11"/>
      <c r="G775" s="11"/>
    </row>
    <row r="776">
      <c r="D776" s="9"/>
      <c r="E776" s="10"/>
      <c r="F776" s="11"/>
      <c r="G776" s="11"/>
    </row>
    <row r="777">
      <c r="D777" s="9"/>
      <c r="E777" s="10"/>
      <c r="F777" s="11"/>
      <c r="G777" s="11"/>
    </row>
    <row r="778">
      <c r="D778" s="9"/>
      <c r="E778" s="10"/>
      <c r="F778" s="11"/>
      <c r="G778" s="11"/>
    </row>
    <row r="779">
      <c r="D779" s="9"/>
      <c r="E779" s="10"/>
      <c r="F779" s="11"/>
      <c r="G779" s="11"/>
    </row>
    <row r="780">
      <c r="D780" s="9"/>
      <c r="E780" s="10"/>
      <c r="F780" s="11"/>
      <c r="G780" s="11"/>
    </row>
    <row r="781">
      <c r="D781" s="9"/>
      <c r="E781" s="10"/>
      <c r="F781" s="11"/>
      <c r="G781" s="11"/>
    </row>
    <row r="782">
      <c r="D782" s="9"/>
      <c r="E782" s="10"/>
      <c r="F782" s="11"/>
      <c r="G782" s="11"/>
    </row>
    <row r="783">
      <c r="D783" s="9"/>
      <c r="E783" s="10"/>
      <c r="F783" s="11"/>
      <c r="G783" s="11"/>
    </row>
    <row r="784">
      <c r="D784" s="9"/>
      <c r="E784" s="10"/>
      <c r="F784" s="11"/>
      <c r="G784" s="11"/>
    </row>
    <row r="785">
      <c r="D785" s="9"/>
      <c r="E785" s="10"/>
      <c r="F785" s="11"/>
      <c r="G785" s="11"/>
    </row>
    <row r="786">
      <c r="D786" s="9"/>
      <c r="E786" s="10"/>
      <c r="F786" s="11"/>
      <c r="G786" s="11"/>
    </row>
    <row r="787">
      <c r="D787" s="9"/>
      <c r="E787" s="10"/>
      <c r="F787" s="11"/>
      <c r="G787" s="11"/>
    </row>
    <row r="788">
      <c r="D788" s="9"/>
      <c r="E788" s="10"/>
      <c r="F788" s="11"/>
      <c r="G788" s="11"/>
    </row>
    <row r="789">
      <c r="D789" s="9"/>
      <c r="E789" s="10"/>
      <c r="F789" s="11"/>
      <c r="G789" s="11"/>
    </row>
    <row r="790">
      <c r="D790" s="9"/>
      <c r="E790" s="10"/>
      <c r="F790" s="11"/>
      <c r="G790" s="11"/>
    </row>
    <row r="791">
      <c r="D791" s="9"/>
      <c r="E791" s="10"/>
      <c r="F791" s="11"/>
      <c r="G791" s="11"/>
    </row>
    <row r="792">
      <c r="D792" s="9"/>
      <c r="E792" s="10"/>
      <c r="F792" s="11"/>
      <c r="G792" s="11"/>
    </row>
    <row r="793">
      <c r="D793" s="9"/>
      <c r="E793" s="10"/>
      <c r="F793" s="11"/>
      <c r="G793" s="11"/>
    </row>
    <row r="794">
      <c r="D794" s="9"/>
      <c r="E794" s="10"/>
      <c r="F794" s="11"/>
      <c r="G794" s="11"/>
    </row>
    <row r="795">
      <c r="D795" s="9"/>
      <c r="E795" s="10"/>
      <c r="F795" s="11"/>
      <c r="G795" s="11"/>
    </row>
    <row r="796">
      <c r="D796" s="9"/>
      <c r="E796" s="10"/>
      <c r="F796" s="11"/>
      <c r="G796" s="11"/>
    </row>
    <row r="797">
      <c r="D797" s="9"/>
      <c r="E797" s="10"/>
      <c r="F797" s="11"/>
      <c r="G797" s="11"/>
    </row>
    <row r="798">
      <c r="D798" s="9"/>
      <c r="E798" s="10"/>
      <c r="F798" s="11"/>
      <c r="G798" s="11"/>
    </row>
    <row r="799">
      <c r="D799" s="9"/>
      <c r="E799" s="10"/>
      <c r="F799" s="11"/>
      <c r="G799" s="11"/>
    </row>
    <row r="800">
      <c r="D800" s="9"/>
      <c r="E800" s="10"/>
      <c r="F800" s="11"/>
      <c r="G800" s="11"/>
    </row>
    <row r="801">
      <c r="D801" s="9"/>
      <c r="E801" s="10"/>
      <c r="F801" s="11"/>
      <c r="G801" s="11"/>
    </row>
    <row r="802">
      <c r="D802" s="9"/>
      <c r="E802" s="10"/>
      <c r="F802" s="11"/>
      <c r="G802" s="11"/>
    </row>
    <row r="803">
      <c r="D803" s="9"/>
      <c r="E803" s="10"/>
      <c r="F803" s="11"/>
      <c r="G803" s="11"/>
    </row>
    <row r="804">
      <c r="D804" s="9"/>
      <c r="E804" s="10"/>
      <c r="F804" s="11"/>
      <c r="G804" s="11"/>
    </row>
    <row r="805">
      <c r="D805" s="9"/>
      <c r="E805" s="10"/>
      <c r="F805" s="11"/>
      <c r="G805" s="11"/>
    </row>
    <row r="806">
      <c r="D806" s="9"/>
      <c r="E806" s="10"/>
      <c r="F806" s="11"/>
      <c r="G806" s="11"/>
    </row>
    <row r="807">
      <c r="D807" s="9"/>
      <c r="E807" s="10"/>
      <c r="F807" s="11"/>
      <c r="G807" s="11"/>
    </row>
    <row r="808">
      <c r="D808" s="9"/>
      <c r="E808" s="10"/>
      <c r="F808" s="11"/>
      <c r="G808" s="11"/>
    </row>
    <row r="809">
      <c r="D809" s="9"/>
      <c r="E809" s="10"/>
      <c r="F809" s="11"/>
      <c r="G809" s="11"/>
    </row>
    <row r="810">
      <c r="D810" s="9"/>
      <c r="E810" s="10"/>
      <c r="F810" s="11"/>
      <c r="G810" s="11"/>
    </row>
    <row r="811">
      <c r="D811" s="9"/>
      <c r="E811" s="10"/>
      <c r="F811" s="11"/>
      <c r="G811" s="11"/>
    </row>
    <row r="812">
      <c r="D812" s="9"/>
      <c r="E812" s="10"/>
      <c r="F812" s="11"/>
      <c r="G812" s="11"/>
    </row>
    <row r="813">
      <c r="D813" s="9"/>
      <c r="E813" s="10"/>
      <c r="F813" s="11"/>
      <c r="G813" s="11"/>
    </row>
    <row r="814">
      <c r="D814" s="9"/>
      <c r="E814" s="10"/>
      <c r="F814" s="11"/>
      <c r="G814" s="11"/>
    </row>
    <row r="815">
      <c r="D815" s="9"/>
      <c r="E815" s="10"/>
      <c r="F815" s="11"/>
      <c r="G815" s="11"/>
    </row>
    <row r="816">
      <c r="D816" s="9"/>
      <c r="E816" s="10"/>
      <c r="F816" s="11"/>
      <c r="G816" s="11"/>
    </row>
    <row r="817">
      <c r="D817" s="9"/>
      <c r="E817" s="10"/>
      <c r="F817" s="11"/>
      <c r="G817" s="11"/>
    </row>
    <row r="818">
      <c r="D818" s="9"/>
      <c r="E818" s="10"/>
      <c r="F818" s="11"/>
      <c r="G818" s="11"/>
    </row>
    <row r="819">
      <c r="D819" s="9"/>
      <c r="E819" s="10"/>
      <c r="F819" s="11"/>
      <c r="G819" s="11"/>
    </row>
    <row r="820">
      <c r="D820" s="9"/>
      <c r="E820" s="10"/>
      <c r="F820" s="11"/>
      <c r="G820" s="11"/>
    </row>
    <row r="821">
      <c r="D821" s="9"/>
      <c r="E821" s="10"/>
      <c r="F821" s="11"/>
      <c r="G821" s="11"/>
    </row>
    <row r="822">
      <c r="D822" s="9"/>
      <c r="E822" s="10"/>
      <c r="F822" s="11"/>
      <c r="G822" s="11"/>
    </row>
    <row r="823">
      <c r="D823" s="9"/>
      <c r="E823" s="10"/>
      <c r="F823" s="11"/>
      <c r="G823" s="11"/>
    </row>
    <row r="824">
      <c r="D824" s="9"/>
      <c r="E824" s="10"/>
      <c r="F824" s="11"/>
      <c r="G824" s="11"/>
    </row>
    <row r="825">
      <c r="D825" s="9"/>
      <c r="E825" s="10"/>
      <c r="F825" s="11"/>
      <c r="G825" s="11"/>
    </row>
    <row r="826">
      <c r="D826" s="9"/>
      <c r="E826" s="10"/>
      <c r="F826" s="11"/>
      <c r="G826" s="11"/>
    </row>
    <row r="827">
      <c r="D827" s="9"/>
      <c r="E827" s="10"/>
      <c r="F827" s="11"/>
      <c r="G827" s="11"/>
    </row>
    <row r="828">
      <c r="D828" s="9"/>
      <c r="E828" s="10"/>
      <c r="F828" s="11"/>
      <c r="G828" s="11"/>
    </row>
    <row r="829">
      <c r="D829" s="9"/>
      <c r="E829" s="10"/>
      <c r="F829" s="11"/>
      <c r="G829" s="11"/>
    </row>
    <row r="830">
      <c r="D830" s="9"/>
      <c r="E830" s="10"/>
      <c r="F830" s="11"/>
      <c r="G830" s="11"/>
    </row>
    <row r="831">
      <c r="D831" s="9"/>
      <c r="E831" s="10"/>
      <c r="F831" s="11"/>
      <c r="G831" s="11"/>
    </row>
    <row r="832">
      <c r="D832" s="9"/>
      <c r="E832" s="10"/>
      <c r="F832" s="11"/>
      <c r="G832" s="11"/>
    </row>
    <row r="833">
      <c r="D833" s="9"/>
      <c r="E833" s="10"/>
      <c r="F833" s="11"/>
      <c r="G833" s="11"/>
    </row>
    <row r="834">
      <c r="D834" s="9"/>
      <c r="E834" s="10"/>
      <c r="F834" s="11"/>
      <c r="G834" s="11"/>
    </row>
    <row r="835">
      <c r="D835" s="9"/>
      <c r="E835" s="10"/>
      <c r="F835" s="11"/>
      <c r="G835" s="11"/>
    </row>
    <row r="836">
      <c r="D836" s="9"/>
      <c r="E836" s="10"/>
      <c r="F836" s="11"/>
      <c r="G836" s="11"/>
    </row>
    <row r="837">
      <c r="D837" s="9"/>
      <c r="E837" s="10"/>
      <c r="F837" s="11"/>
      <c r="G837" s="11"/>
    </row>
    <row r="838">
      <c r="D838" s="9"/>
      <c r="E838" s="10"/>
      <c r="F838" s="11"/>
      <c r="G838" s="11"/>
    </row>
    <row r="839">
      <c r="D839" s="9"/>
      <c r="E839" s="10"/>
      <c r="F839" s="11"/>
      <c r="G839" s="11"/>
    </row>
    <row r="840">
      <c r="D840" s="9"/>
      <c r="E840" s="10"/>
      <c r="F840" s="11"/>
      <c r="G840" s="11"/>
    </row>
    <row r="841">
      <c r="D841" s="9"/>
      <c r="E841" s="10"/>
      <c r="F841" s="11"/>
      <c r="G841" s="11"/>
    </row>
    <row r="842">
      <c r="D842" s="9"/>
      <c r="E842" s="10"/>
      <c r="F842" s="11"/>
      <c r="G842" s="11"/>
    </row>
    <row r="843">
      <c r="D843" s="9"/>
      <c r="E843" s="10"/>
      <c r="F843" s="11"/>
      <c r="G843" s="11"/>
    </row>
    <row r="844">
      <c r="D844" s="9"/>
      <c r="E844" s="10"/>
      <c r="F844" s="11"/>
      <c r="G844" s="11"/>
    </row>
    <row r="845">
      <c r="D845" s="9"/>
      <c r="E845" s="10"/>
      <c r="F845" s="11"/>
      <c r="G845" s="11"/>
    </row>
    <row r="846">
      <c r="D846" s="9"/>
      <c r="E846" s="10"/>
      <c r="F846" s="11"/>
      <c r="G846" s="11"/>
    </row>
    <row r="847">
      <c r="D847" s="9"/>
      <c r="E847" s="10"/>
      <c r="F847" s="11"/>
      <c r="G847" s="11"/>
    </row>
    <row r="848">
      <c r="D848" s="9"/>
      <c r="E848" s="10"/>
      <c r="F848" s="11"/>
      <c r="G848" s="11"/>
    </row>
    <row r="849">
      <c r="D849" s="9"/>
      <c r="E849" s="10"/>
      <c r="F849" s="11"/>
      <c r="G849" s="11"/>
    </row>
    <row r="850">
      <c r="D850" s="9"/>
      <c r="E850" s="10"/>
      <c r="F850" s="11"/>
      <c r="G850" s="11"/>
    </row>
    <row r="851">
      <c r="D851" s="9"/>
      <c r="E851" s="10"/>
      <c r="F851" s="11"/>
      <c r="G851" s="11"/>
    </row>
    <row r="852">
      <c r="D852" s="9"/>
      <c r="E852" s="10"/>
      <c r="F852" s="11"/>
      <c r="G852" s="11"/>
    </row>
    <row r="853">
      <c r="D853" s="9"/>
      <c r="E853" s="10"/>
      <c r="F853" s="11"/>
      <c r="G853" s="11"/>
    </row>
    <row r="854">
      <c r="D854" s="9"/>
      <c r="E854" s="10"/>
      <c r="F854" s="11"/>
      <c r="G854" s="11"/>
    </row>
    <row r="855">
      <c r="D855" s="9"/>
      <c r="E855" s="10"/>
      <c r="F855" s="11"/>
      <c r="G855" s="11"/>
    </row>
    <row r="856">
      <c r="D856" s="9"/>
      <c r="E856" s="10"/>
      <c r="F856" s="11"/>
      <c r="G856" s="11"/>
    </row>
    <row r="857">
      <c r="D857" s="9"/>
      <c r="E857" s="10"/>
      <c r="F857" s="11"/>
      <c r="G857" s="11"/>
    </row>
    <row r="858">
      <c r="D858" s="9"/>
      <c r="E858" s="10"/>
      <c r="F858" s="11"/>
      <c r="G858" s="11"/>
    </row>
    <row r="859">
      <c r="D859" s="9"/>
      <c r="E859" s="10"/>
      <c r="F859" s="11"/>
      <c r="G859" s="11"/>
    </row>
    <row r="860">
      <c r="D860" s="9"/>
      <c r="E860" s="10"/>
      <c r="F860" s="11"/>
      <c r="G860" s="11"/>
    </row>
    <row r="861">
      <c r="D861" s="9"/>
      <c r="E861" s="10"/>
      <c r="F861" s="11"/>
      <c r="G861" s="11"/>
    </row>
    <row r="862">
      <c r="D862" s="9"/>
      <c r="E862" s="10"/>
      <c r="F862" s="11"/>
      <c r="G862" s="11"/>
    </row>
    <row r="863">
      <c r="D863" s="9"/>
      <c r="E863" s="10"/>
      <c r="F863" s="11"/>
      <c r="G863" s="11"/>
    </row>
    <row r="864">
      <c r="D864" s="9"/>
      <c r="E864" s="10"/>
      <c r="F864" s="11"/>
      <c r="G864" s="11"/>
    </row>
    <row r="865">
      <c r="D865" s="9"/>
      <c r="E865" s="10"/>
      <c r="F865" s="11"/>
      <c r="G865" s="11"/>
    </row>
    <row r="866">
      <c r="D866" s="9"/>
      <c r="E866" s="10"/>
      <c r="F866" s="11"/>
      <c r="G866" s="11"/>
    </row>
    <row r="867">
      <c r="D867" s="9"/>
      <c r="E867" s="10"/>
      <c r="F867" s="11"/>
      <c r="G867" s="11"/>
    </row>
    <row r="868">
      <c r="D868" s="9"/>
      <c r="E868" s="10"/>
      <c r="F868" s="11"/>
      <c r="G868" s="11"/>
    </row>
    <row r="869">
      <c r="D869" s="9"/>
      <c r="E869" s="10"/>
      <c r="F869" s="11"/>
      <c r="G869" s="11"/>
    </row>
    <row r="870">
      <c r="D870" s="9"/>
      <c r="E870" s="10"/>
      <c r="F870" s="11"/>
      <c r="G870" s="11"/>
    </row>
    <row r="871">
      <c r="D871" s="9"/>
      <c r="E871" s="10"/>
      <c r="F871" s="11"/>
      <c r="G871" s="11"/>
    </row>
    <row r="872">
      <c r="D872" s="9"/>
      <c r="E872" s="10"/>
      <c r="F872" s="11"/>
      <c r="G872" s="11"/>
    </row>
    <row r="873">
      <c r="D873" s="9"/>
      <c r="E873" s="10"/>
      <c r="F873" s="11"/>
      <c r="G873" s="11"/>
    </row>
    <row r="874">
      <c r="D874" s="9"/>
      <c r="E874" s="10"/>
      <c r="F874" s="11"/>
      <c r="G874" s="11"/>
    </row>
    <row r="875">
      <c r="D875" s="9"/>
      <c r="E875" s="10"/>
      <c r="F875" s="11"/>
      <c r="G875" s="11"/>
    </row>
    <row r="876">
      <c r="D876" s="9"/>
      <c r="E876" s="10"/>
      <c r="F876" s="11"/>
      <c r="G876" s="11"/>
    </row>
    <row r="877">
      <c r="D877" s="9"/>
      <c r="E877" s="10"/>
      <c r="F877" s="11"/>
      <c r="G877" s="11"/>
    </row>
    <row r="878">
      <c r="D878" s="9"/>
      <c r="E878" s="10"/>
      <c r="F878" s="11"/>
      <c r="G878" s="11"/>
    </row>
    <row r="879">
      <c r="D879" s="9"/>
      <c r="E879" s="10"/>
      <c r="F879" s="11"/>
      <c r="G879" s="11"/>
    </row>
    <row r="880">
      <c r="D880" s="9"/>
      <c r="E880" s="10"/>
      <c r="F880" s="11"/>
      <c r="G880" s="11"/>
    </row>
    <row r="881">
      <c r="D881" s="9"/>
      <c r="E881" s="10"/>
      <c r="F881" s="11"/>
      <c r="G881" s="11"/>
    </row>
    <row r="882">
      <c r="D882" s="9"/>
      <c r="E882" s="10"/>
      <c r="F882" s="11"/>
      <c r="G882" s="11"/>
    </row>
    <row r="883">
      <c r="D883" s="9"/>
      <c r="E883" s="10"/>
      <c r="F883" s="11"/>
      <c r="G883" s="11"/>
    </row>
    <row r="884">
      <c r="D884" s="9"/>
      <c r="E884" s="10"/>
      <c r="F884" s="11"/>
      <c r="G884" s="11"/>
    </row>
    <row r="885">
      <c r="D885" s="9"/>
      <c r="E885" s="10"/>
      <c r="F885" s="11"/>
      <c r="G885" s="11"/>
    </row>
    <row r="886">
      <c r="D886" s="9"/>
      <c r="E886" s="10"/>
      <c r="F886" s="11"/>
      <c r="G886" s="11"/>
    </row>
    <row r="887">
      <c r="D887" s="9"/>
      <c r="E887" s="10"/>
      <c r="F887" s="11"/>
      <c r="G887" s="11"/>
    </row>
    <row r="888">
      <c r="D888" s="9"/>
      <c r="E888" s="10"/>
      <c r="F888" s="11"/>
      <c r="G888" s="11"/>
    </row>
    <row r="889">
      <c r="D889" s="9"/>
      <c r="E889" s="10"/>
      <c r="F889" s="11"/>
      <c r="G889" s="11"/>
    </row>
    <row r="890">
      <c r="D890" s="9"/>
      <c r="E890" s="10"/>
      <c r="F890" s="11"/>
      <c r="G890" s="11"/>
    </row>
    <row r="891">
      <c r="D891" s="9"/>
      <c r="E891" s="10"/>
      <c r="F891" s="11"/>
      <c r="G891" s="11"/>
    </row>
    <row r="892">
      <c r="D892" s="9"/>
      <c r="E892" s="10"/>
      <c r="F892" s="11"/>
      <c r="G892" s="11"/>
    </row>
    <row r="893">
      <c r="D893" s="9"/>
      <c r="E893" s="10"/>
      <c r="F893" s="11"/>
      <c r="G893" s="11"/>
    </row>
    <row r="894">
      <c r="D894" s="9"/>
      <c r="E894" s="10"/>
      <c r="F894" s="11"/>
      <c r="G894" s="11"/>
    </row>
    <row r="895">
      <c r="D895" s="9"/>
      <c r="E895" s="10"/>
      <c r="F895" s="11"/>
      <c r="G895" s="11"/>
    </row>
    <row r="896">
      <c r="D896" s="9"/>
      <c r="E896" s="10"/>
      <c r="F896" s="11"/>
      <c r="G896" s="11"/>
    </row>
    <row r="897">
      <c r="D897" s="9"/>
      <c r="E897" s="10"/>
      <c r="F897" s="11"/>
      <c r="G897" s="11"/>
    </row>
    <row r="898">
      <c r="D898" s="9"/>
      <c r="E898" s="10"/>
      <c r="F898" s="11"/>
      <c r="G898" s="11"/>
    </row>
    <row r="899">
      <c r="D899" s="9"/>
      <c r="E899" s="10"/>
      <c r="F899" s="11"/>
      <c r="G899" s="11"/>
    </row>
    <row r="900">
      <c r="D900" s="9"/>
      <c r="E900" s="10"/>
      <c r="F900" s="11"/>
      <c r="G900" s="11"/>
    </row>
    <row r="901">
      <c r="D901" s="9"/>
      <c r="E901" s="10"/>
      <c r="F901" s="11"/>
      <c r="G901" s="11"/>
    </row>
    <row r="902">
      <c r="D902" s="9"/>
      <c r="E902" s="10"/>
      <c r="F902" s="11"/>
      <c r="G902" s="11"/>
    </row>
    <row r="903">
      <c r="D903" s="9"/>
      <c r="E903" s="10"/>
      <c r="F903" s="11"/>
      <c r="G903" s="11"/>
    </row>
    <row r="904">
      <c r="D904" s="9"/>
      <c r="E904" s="10"/>
      <c r="F904" s="11"/>
      <c r="G904" s="11"/>
    </row>
    <row r="905">
      <c r="D905" s="9"/>
      <c r="E905" s="10"/>
      <c r="F905" s="11"/>
      <c r="G905" s="11"/>
    </row>
    <row r="906">
      <c r="D906" s="9"/>
      <c r="E906" s="10"/>
      <c r="F906" s="11"/>
      <c r="G906" s="11"/>
    </row>
    <row r="907">
      <c r="D907" s="9"/>
      <c r="E907" s="10"/>
      <c r="F907" s="11"/>
      <c r="G907" s="11"/>
    </row>
    <row r="908">
      <c r="D908" s="9"/>
      <c r="E908" s="10"/>
      <c r="F908" s="11"/>
      <c r="G908" s="11"/>
    </row>
    <row r="909">
      <c r="D909" s="9"/>
      <c r="E909" s="10"/>
      <c r="F909" s="11"/>
      <c r="G909" s="11"/>
    </row>
    <row r="910">
      <c r="D910" s="9"/>
      <c r="E910" s="10"/>
      <c r="F910" s="11"/>
      <c r="G910" s="11"/>
    </row>
    <row r="911">
      <c r="D911" s="9"/>
      <c r="E911" s="10"/>
      <c r="F911" s="11"/>
      <c r="G911" s="11"/>
    </row>
    <row r="912">
      <c r="D912" s="9"/>
      <c r="E912" s="10"/>
      <c r="F912" s="11"/>
      <c r="G912" s="11"/>
    </row>
    <row r="913">
      <c r="D913" s="9"/>
      <c r="E913" s="10"/>
      <c r="F913" s="11"/>
      <c r="G913" s="11"/>
    </row>
    <row r="914">
      <c r="D914" s="9"/>
      <c r="E914" s="10"/>
      <c r="F914" s="11"/>
      <c r="G914" s="11"/>
    </row>
    <row r="915">
      <c r="D915" s="9"/>
      <c r="E915" s="10"/>
      <c r="F915" s="11"/>
      <c r="G915" s="11"/>
    </row>
    <row r="916">
      <c r="D916" s="9"/>
      <c r="E916" s="10"/>
      <c r="F916" s="11"/>
      <c r="G916" s="11"/>
    </row>
    <row r="917">
      <c r="D917" s="9"/>
      <c r="E917" s="10"/>
      <c r="F917" s="11"/>
      <c r="G917" s="11"/>
    </row>
    <row r="918">
      <c r="D918" s="9"/>
      <c r="E918" s="10"/>
      <c r="F918" s="11"/>
      <c r="G918" s="11"/>
    </row>
    <row r="919">
      <c r="D919" s="9"/>
      <c r="E919" s="10"/>
      <c r="F919" s="11"/>
      <c r="G919" s="11"/>
    </row>
    <row r="920">
      <c r="D920" s="9"/>
      <c r="E920" s="10"/>
      <c r="F920" s="11"/>
      <c r="G920" s="11"/>
    </row>
    <row r="921">
      <c r="D921" s="9"/>
      <c r="E921" s="10"/>
      <c r="F921" s="11"/>
      <c r="G921" s="11"/>
    </row>
    <row r="922">
      <c r="D922" s="9"/>
      <c r="E922" s="10"/>
      <c r="F922" s="11"/>
      <c r="G922" s="11"/>
    </row>
    <row r="923">
      <c r="D923" s="9"/>
      <c r="E923" s="10"/>
      <c r="F923" s="11"/>
      <c r="G923" s="11"/>
    </row>
    <row r="924">
      <c r="D924" s="9"/>
      <c r="E924" s="10"/>
      <c r="F924" s="11"/>
      <c r="G924" s="11"/>
    </row>
    <row r="925">
      <c r="D925" s="9"/>
      <c r="E925" s="10"/>
      <c r="F925" s="11"/>
      <c r="G925" s="11"/>
    </row>
    <row r="926">
      <c r="D926" s="9"/>
      <c r="E926" s="10"/>
      <c r="F926" s="11"/>
      <c r="G926" s="11"/>
    </row>
    <row r="927">
      <c r="D927" s="9"/>
      <c r="E927" s="10"/>
      <c r="F927" s="11"/>
      <c r="G927" s="11"/>
    </row>
    <row r="928">
      <c r="D928" s="9"/>
      <c r="E928" s="10"/>
      <c r="F928" s="11"/>
      <c r="G928" s="11"/>
    </row>
    <row r="929">
      <c r="D929" s="9"/>
      <c r="E929" s="10"/>
      <c r="F929" s="11"/>
      <c r="G929" s="11"/>
    </row>
    <row r="930">
      <c r="D930" s="9"/>
      <c r="E930" s="10"/>
      <c r="F930" s="11"/>
      <c r="G930" s="11"/>
    </row>
    <row r="931">
      <c r="D931" s="9"/>
      <c r="E931" s="10"/>
      <c r="F931" s="11"/>
      <c r="G931" s="11"/>
    </row>
    <row r="932">
      <c r="D932" s="9"/>
      <c r="E932" s="10"/>
      <c r="F932" s="11"/>
      <c r="G932" s="11"/>
    </row>
    <row r="933">
      <c r="D933" s="9"/>
      <c r="E933" s="10"/>
      <c r="F933" s="11"/>
      <c r="G933" s="11"/>
    </row>
    <row r="934">
      <c r="D934" s="9"/>
      <c r="E934" s="10"/>
      <c r="F934" s="11"/>
      <c r="G934" s="11"/>
    </row>
    <row r="935">
      <c r="D935" s="9"/>
      <c r="E935" s="10"/>
      <c r="F935" s="11"/>
      <c r="G935" s="11"/>
    </row>
    <row r="936">
      <c r="D936" s="9"/>
      <c r="E936" s="10"/>
      <c r="F936" s="11"/>
      <c r="G936" s="11"/>
    </row>
    <row r="937">
      <c r="D937" s="9"/>
      <c r="E937" s="10"/>
      <c r="F937" s="11"/>
      <c r="G937" s="11"/>
    </row>
    <row r="938">
      <c r="D938" s="9"/>
      <c r="E938" s="10"/>
      <c r="F938" s="11"/>
      <c r="G938" s="11"/>
    </row>
    <row r="939">
      <c r="D939" s="9"/>
      <c r="E939" s="10"/>
      <c r="F939" s="11"/>
      <c r="G939" s="11"/>
    </row>
    <row r="940">
      <c r="D940" s="9"/>
      <c r="E940" s="10"/>
      <c r="F940" s="11"/>
      <c r="G940" s="11"/>
    </row>
    <row r="941">
      <c r="D941" s="9"/>
      <c r="E941" s="10"/>
      <c r="F941" s="11"/>
      <c r="G941" s="11"/>
    </row>
    <row r="942">
      <c r="D942" s="9"/>
      <c r="E942" s="10"/>
      <c r="F942" s="11"/>
      <c r="G942" s="11"/>
    </row>
    <row r="943">
      <c r="D943" s="9"/>
      <c r="E943" s="10"/>
      <c r="F943" s="11"/>
      <c r="G943" s="11"/>
    </row>
    <row r="944">
      <c r="D944" s="9"/>
      <c r="E944" s="10"/>
      <c r="F944" s="11"/>
      <c r="G944" s="11"/>
    </row>
    <row r="945">
      <c r="D945" s="9"/>
      <c r="E945" s="10"/>
      <c r="F945" s="11"/>
      <c r="G945" s="11"/>
    </row>
    <row r="946">
      <c r="D946" s="9"/>
      <c r="E946" s="10"/>
      <c r="F946" s="11"/>
      <c r="G946" s="11"/>
    </row>
    <row r="947">
      <c r="D947" s="9"/>
      <c r="E947" s="10"/>
      <c r="F947" s="11"/>
      <c r="G947" s="11"/>
    </row>
    <row r="948">
      <c r="D948" s="9"/>
      <c r="E948" s="10"/>
      <c r="F948" s="11"/>
      <c r="G948" s="11"/>
    </row>
    <row r="949">
      <c r="D949" s="9"/>
      <c r="E949" s="10"/>
      <c r="F949" s="11"/>
      <c r="G949" s="11"/>
    </row>
    <row r="950">
      <c r="D950" s="9"/>
      <c r="E950" s="10"/>
      <c r="F950" s="11"/>
      <c r="G950" s="11"/>
    </row>
    <row r="951">
      <c r="D951" s="9"/>
      <c r="E951" s="10"/>
      <c r="F951" s="11"/>
      <c r="G951" s="11"/>
    </row>
    <row r="952">
      <c r="D952" s="9"/>
      <c r="E952" s="10"/>
      <c r="F952" s="11"/>
      <c r="G952" s="11"/>
    </row>
    <row r="953">
      <c r="D953" s="9"/>
      <c r="E953" s="10"/>
      <c r="F953" s="11"/>
      <c r="G953" s="11"/>
    </row>
    <row r="954">
      <c r="D954" s="9"/>
      <c r="E954" s="10"/>
      <c r="F954" s="11"/>
      <c r="G954" s="11"/>
    </row>
    <row r="955">
      <c r="D955" s="9"/>
      <c r="E955" s="10"/>
      <c r="F955" s="11"/>
      <c r="G955" s="11"/>
    </row>
    <row r="956">
      <c r="D956" s="9"/>
      <c r="E956" s="10"/>
      <c r="F956" s="11"/>
      <c r="G956" s="11"/>
    </row>
    <row r="957">
      <c r="D957" s="9"/>
      <c r="E957" s="10"/>
      <c r="F957" s="11"/>
      <c r="G957" s="11"/>
    </row>
    <row r="958">
      <c r="D958" s="9"/>
      <c r="E958" s="10"/>
      <c r="F958" s="11"/>
      <c r="G958" s="11"/>
    </row>
    <row r="959">
      <c r="D959" s="9"/>
      <c r="E959" s="10"/>
      <c r="F959" s="11"/>
      <c r="G959" s="11"/>
    </row>
    <row r="960">
      <c r="D960" s="9"/>
      <c r="E960" s="10"/>
      <c r="F960" s="11"/>
      <c r="G960" s="11"/>
    </row>
    <row r="961">
      <c r="D961" s="9"/>
      <c r="E961" s="10"/>
      <c r="F961" s="11"/>
      <c r="G961" s="11"/>
    </row>
    <row r="962">
      <c r="D962" s="9"/>
      <c r="E962" s="10"/>
      <c r="F962" s="11"/>
      <c r="G962" s="11"/>
    </row>
    <row r="963">
      <c r="D963" s="9"/>
      <c r="E963" s="10"/>
      <c r="F963" s="11"/>
      <c r="G963" s="11"/>
    </row>
    <row r="964">
      <c r="D964" s="9"/>
      <c r="E964" s="10"/>
      <c r="F964" s="11"/>
      <c r="G964" s="11"/>
    </row>
    <row r="965">
      <c r="D965" s="9"/>
      <c r="E965" s="10"/>
      <c r="F965" s="11"/>
      <c r="G965" s="11"/>
    </row>
    <row r="966">
      <c r="D966" s="9"/>
      <c r="E966" s="10"/>
      <c r="F966" s="11"/>
      <c r="G966" s="11"/>
    </row>
    <row r="967">
      <c r="D967" s="9"/>
      <c r="E967" s="10"/>
      <c r="F967" s="11"/>
      <c r="G967" s="11"/>
    </row>
    <row r="968">
      <c r="D968" s="9"/>
      <c r="E968" s="10"/>
      <c r="F968" s="11"/>
      <c r="G968" s="11"/>
    </row>
    <row r="969">
      <c r="D969" s="9"/>
      <c r="E969" s="10"/>
      <c r="F969" s="11"/>
      <c r="G969" s="11"/>
    </row>
    <row r="970">
      <c r="D970" s="9"/>
      <c r="E970" s="10"/>
      <c r="F970" s="11"/>
      <c r="G970" s="11"/>
    </row>
    <row r="971">
      <c r="D971" s="9"/>
      <c r="E971" s="10"/>
      <c r="F971" s="11"/>
      <c r="G971" s="11"/>
    </row>
    <row r="972">
      <c r="D972" s="9"/>
      <c r="E972" s="10"/>
      <c r="F972" s="11"/>
      <c r="G972" s="11"/>
    </row>
    <row r="973">
      <c r="D973" s="9"/>
      <c r="E973" s="10"/>
      <c r="F973" s="11"/>
      <c r="G973" s="11"/>
    </row>
    <row r="974">
      <c r="D974" s="9"/>
      <c r="E974" s="10"/>
      <c r="F974" s="11"/>
      <c r="G974" s="11"/>
    </row>
    <row r="975">
      <c r="D975" s="9"/>
      <c r="E975" s="10"/>
      <c r="F975" s="11"/>
      <c r="G975" s="11"/>
    </row>
    <row r="976">
      <c r="D976" s="9"/>
      <c r="E976" s="10"/>
      <c r="F976" s="11"/>
      <c r="G976" s="11"/>
    </row>
    <row r="977">
      <c r="D977" s="9"/>
      <c r="E977" s="10"/>
      <c r="F977" s="11"/>
      <c r="G977" s="11"/>
    </row>
    <row r="978">
      <c r="D978" s="9"/>
      <c r="E978" s="10"/>
      <c r="F978" s="11"/>
      <c r="G978" s="11"/>
    </row>
    <row r="979">
      <c r="D979" s="9"/>
      <c r="E979" s="10"/>
      <c r="F979" s="11"/>
      <c r="G979" s="11"/>
    </row>
    <row r="980">
      <c r="D980" s="9"/>
      <c r="E980" s="10"/>
      <c r="F980" s="11"/>
      <c r="G980" s="11"/>
    </row>
    <row r="981">
      <c r="D981" s="9"/>
      <c r="E981" s="10"/>
      <c r="F981" s="11"/>
      <c r="G981" s="11"/>
    </row>
    <row r="982">
      <c r="D982" s="9"/>
      <c r="E982" s="10"/>
      <c r="F982" s="11"/>
      <c r="G982" s="11"/>
    </row>
    <row r="983">
      <c r="D983" s="9"/>
      <c r="E983" s="10"/>
      <c r="F983" s="11"/>
      <c r="G983" s="11"/>
    </row>
    <row r="984">
      <c r="D984" s="9"/>
      <c r="E984" s="10"/>
      <c r="F984" s="11"/>
      <c r="G984" s="11"/>
    </row>
    <row r="985">
      <c r="D985" s="9"/>
      <c r="E985" s="10"/>
      <c r="F985" s="11"/>
      <c r="G985" s="11"/>
    </row>
    <row r="986">
      <c r="D986" s="9"/>
      <c r="E986" s="10"/>
      <c r="F986" s="11"/>
      <c r="G986" s="11"/>
    </row>
    <row r="987">
      <c r="D987" s="9"/>
      <c r="E987" s="10"/>
      <c r="F987" s="11"/>
      <c r="G987" s="11"/>
    </row>
    <row r="988">
      <c r="D988" s="9"/>
      <c r="E988" s="10"/>
      <c r="F988" s="11"/>
      <c r="G988" s="11"/>
    </row>
    <row r="989">
      <c r="D989" s="9"/>
      <c r="E989" s="10"/>
      <c r="F989" s="11"/>
      <c r="G989" s="11"/>
    </row>
    <row r="990">
      <c r="D990" s="9"/>
      <c r="E990" s="10"/>
      <c r="F990" s="11"/>
      <c r="G990" s="11"/>
    </row>
    <row r="991">
      <c r="D991" s="9"/>
      <c r="E991" s="10"/>
      <c r="F991" s="11"/>
      <c r="G991" s="11"/>
    </row>
    <row r="992">
      <c r="D992" s="9"/>
      <c r="E992" s="10"/>
      <c r="F992" s="11"/>
      <c r="G992" s="11"/>
    </row>
    <row r="993">
      <c r="D993" s="9"/>
      <c r="E993" s="10"/>
      <c r="F993" s="11"/>
      <c r="G993" s="11"/>
    </row>
    <row r="994">
      <c r="D994" s="9"/>
      <c r="E994" s="10"/>
      <c r="F994" s="11"/>
      <c r="G994" s="11"/>
    </row>
    <row r="995">
      <c r="D995" s="9"/>
      <c r="E995" s="10"/>
      <c r="F995" s="11"/>
      <c r="G995" s="11"/>
    </row>
    <row r="996">
      <c r="E996" s="10"/>
      <c r="F996" s="11"/>
      <c r="G996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12.25"/>
    <col customWidth="1" min="3" max="3" width="9.5"/>
    <col customWidth="1" min="4" max="4" width="10.75"/>
    <col customWidth="1" min="5" max="5" width="8.0"/>
    <col customWidth="1" min="6" max="6" width="14.13"/>
    <col customWidth="1" min="7" max="7" width="36.63"/>
    <col customWidth="1" min="8" max="8" width="9.13"/>
    <col customWidth="1" min="9" max="9" width="10.5"/>
    <col customWidth="1" min="10" max="10" width="14.5"/>
    <col customWidth="1" min="11" max="11" width="16.25"/>
    <col customWidth="1" min="12" max="13" width="15.75"/>
    <col customWidth="1" min="14" max="14" width="5.38"/>
    <col customWidth="1" min="15" max="26" width="15.75"/>
  </cols>
  <sheetData>
    <row r="1">
      <c r="A1" s="12" t="s">
        <v>179</v>
      </c>
      <c r="B1" s="1" t="s">
        <v>180</v>
      </c>
      <c r="C1" s="1" t="s">
        <v>6</v>
      </c>
      <c r="D1" s="1" t="s">
        <v>7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3" t="s">
        <v>186</v>
      </c>
      <c r="K1" s="13" t="s">
        <v>187</v>
      </c>
      <c r="N1" s="1" t="s">
        <v>26</v>
      </c>
    </row>
    <row r="2">
      <c r="A2" s="14">
        <v>45429.0</v>
      </c>
      <c r="B2" s="1" t="s">
        <v>188</v>
      </c>
      <c r="C2" s="1" t="s">
        <v>87</v>
      </c>
      <c r="D2" s="1" t="s">
        <v>44</v>
      </c>
      <c r="E2" s="1">
        <v>8.0</v>
      </c>
      <c r="F2" s="1" t="s">
        <v>189</v>
      </c>
      <c r="G2" s="1" t="s">
        <v>190</v>
      </c>
      <c r="H2" s="1">
        <v>385.0</v>
      </c>
      <c r="I2" s="1">
        <v>0.0</v>
      </c>
      <c r="J2" s="3">
        <f>IFERROR(__xludf.DUMMYFUNCTION("IF(H2&gt;0, IFERROR(ROUNDUP(H2 / MAX(1, INDEX(FILTER('warehouse config'!$D:$D, ('warehouse config'!$B:$B=C2) * ('warehouse config'!$C:$C=D2) * ('warehouse config'!$G:$G&lt;=A2) * (('warehouse config'!$H:$H&gt;=A2) + ISBLANK('warehouse config'!$H:$H))),1))), 0), 0)"),28.0)</f>
        <v>28</v>
      </c>
      <c r="K2" s="3">
        <f>IFERROR(__xludf.DUMMYFUNCTION("IF(I2&gt;0, IFERROR(ROUNDUP(I2 / MAX(1, INDEX(FILTER('warehouse config'!$E:$E, ('warehouse config'!$B:$B=C2) * ('warehouse config'!$C:$C=D2) * ('warehouse config'!$G:$G&lt;=A2) * (('warehouse config'!$H:$H&gt;=A2) + ISBLANK('warehouse config'!$H:$H))),1))), 0), 0)"),0.0)</f>
        <v>0</v>
      </c>
    </row>
    <row r="3">
      <c r="A3" s="14">
        <v>45429.0</v>
      </c>
      <c r="B3" s="1" t="s">
        <v>191</v>
      </c>
      <c r="C3" s="1" t="s">
        <v>87</v>
      </c>
      <c r="D3" s="1" t="s">
        <v>28</v>
      </c>
      <c r="E3" s="1">
        <v>8.0</v>
      </c>
      <c r="F3" s="1" t="s">
        <v>189</v>
      </c>
      <c r="G3" s="1" t="s">
        <v>190</v>
      </c>
      <c r="H3" s="1">
        <v>60.0</v>
      </c>
      <c r="I3" s="1">
        <v>0.0</v>
      </c>
      <c r="J3" s="3">
        <f>IFERROR(__xludf.DUMMYFUNCTION("IF(H3&gt;0, IFERROR(ROUNDUP(H3 / MAX(1, INDEX(FILTER('warehouse config'!$D:$D, ('warehouse config'!$B:$B=C3) * ('warehouse config'!$C:$C=D3) * ('warehouse config'!$G:$G&lt;=A3) * (('warehouse config'!$H:$H&gt;=A3) + ISBLANK('warehouse config'!$H:$H))),1))), 0), 0)"),2.0)</f>
        <v>2</v>
      </c>
      <c r="K3" s="3">
        <f>IFERROR(__xludf.DUMMYFUNCTION("IF(I3&gt;0, IFERROR(ROUNDUP(I3 / MAX(1, INDEX(FILTER('warehouse config'!$E:$E, ('warehouse config'!$B:$B=C3) * ('warehouse config'!$C:$C=D3) * ('warehouse config'!$G:$G&lt;=A3) * (('warehouse config'!$H:$H&gt;=A3) + ISBLANK('warehouse config'!$H:$H))),1))), 0), 0)"),0.0)</f>
        <v>0</v>
      </c>
    </row>
    <row r="4">
      <c r="A4" s="14">
        <v>45429.0</v>
      </c>
      <c r="B4" s="1" t="s">
        <v>192</v>
      </c>
      <c r="C4" s="1" t="s">
        <v>87</v>
      </c>
      <c r="D4" s="1" t="s">
        <v>57</v>
      </c>
      <c r="E4" s="1">
        <v>8.0</v>
      </c>
      <c r="F4" s="1" t="s">
        <v>189</v>
      </c>
      <c r="G4" s="1" t="s">
        <v>190</v>
      </c>
      <c r="H4" s="1">
        <v>169.0</v>
      </c>
      <c r="I4" s="1">
        <v>0.0</v>
      </c>
      <c r="J4" s="3">
        <f>IFERROR(__xludf.DUMMYFUNCTION("IF(H4&gt;0, IFERROR(ROUNDUP(H4 / MAX(1, INDEX(FILTER('warehouse config'!$D:$D, ('warehouse config'!$B:$B=C4) * ('warehouse config'!$C:$C=D4) * ('warehouse config'!$G:$G&lt;=A4) * (('warehouse config'!$H:$H&gt;=A4) + ISBLANK('warehouse config'!$H:$H))),1))), 0), 0)"),13.0)</f>
        <v>13</v>
      </c>
      <c r="K4" s="3">
        <f>IFERROR(__xludf.DUMMYFUNCTION("IF(I4&gt;0, IFERROR(ROUNDUP(I4 / MAX(1, INDEX(FILTER('warehouse config'!$E:$E, ('warehouse config'!$B:$B=C4) * ('warehouse config'!$C:$C=D4) * ('warehouse config'!$G:$G&lt;=A4) * (('warehouse config'!$H:$H&gt;=A4) + ISBLANK('warehouse config'!$H:$H))),1))), 0), 0)"),0.0)</f>
        <v>0</v>
      </c>
    </row>
    <row r="5">
      <c r="A5" s="14">
        <v>45429.0</v>
      </c>
      <c r="B5" s="1" t="s">
        <v>193</v>
      </c>
      <c r="C5" s="1" t="s">
        <v>87</v>
      </c>
      <c r="D5" s="1" t="s">
        <v>37</v>
      </c>
      <c r="E5" s="1">
        <v>8.0</v>
      </c>
      <c r="F5" s="1" t="s">
        <v>189</v>
      </c>
      <c r="G5" s="1" t="s">
        <v>190</v>
      </c>
      <c r="H5" s="1">
        <v>135.0</v>
      </c>
      <c r="I5" s="1">
        <v>0.0</v>
      </c>
      <c r="J5" s="3">
        <f>IFERROR(__xludf.DUMMYFUNCTION("IF(H5&gt;0, IFERROR(ROUNDUP(H5 / MAX(1, INDEX(FILTER('warehouse config'!$D:$D, ('warehouse config'!$B:$B=C5) * ('warehouse config'!$C:$C=D5) * ('warehouse config'!$G:$G&lt;=A5) * (('warehouse config'!$H:$H&gt;=A5) + ISBLANK('warehouse config'!$H:$H))),1))), 0), 0)"),4.0)</f>
        <v>4</v>
      </c>
      <c r="K5" s="3">
        <f>IFERROR(__xludf.DUMMYFUNCTION("IF(I5&gt;0, IFERROR(ROUNDUP(I5 / MAX(1, INDEX(FILTER('warehouse config'!$E:$E, ('warehouse config'!$B:$B=C5) * ('warehouse config'!$C:$C=D5) * ('warehouse config'!$G:$G&lt;=A5) * (('warehouse config'!$H:$H&gt;=A5) + ISBLANK('warehouse config'!$H:$H))),1))), 0), 0)"),0.0)</f>
        <v>0</v>
      </c>
    </row>
    <row r="6">
      <c r="A6" s="14">
        <v>45432.0</v>
      </c>
      <c r="B6" s="1" t="s">
        <v>194</v>
      </c>
      <c r="C6" s="1" t="s">
        <v>87</v>
      </c>
      <c r="D6" s="1" t="s">
        <v>44</v>
      </c>
      <c r="E6" s="1">
        <v>8.0</v>
      </c>
      <c r="F6" s="15" t="s">
        <v>195</v>
      </c>
      <c r="G6" s="1" t="s">
        <v>196</v>
      </c>
      <c r="H6" s="1">
        <v>0.0</v>
      </c>
      <c r="I6" s="1">
        <v>36.0</v>
      </c>
      <c r="J6" s="3">
        <f>IFERROR(__xludf.DUMMYFUNCTION("IF(H6&gt;0, IFERROR(ROUNDUP(H6 / MAX(1, INDEX(FILTER('warehouse config'!$D:$D, ('warehouse config'!$B:$B=C6) * ('warehouse config'!$C:$C=D6) * ('warehouse config'!$G:$G&lt;=A6) * (('warehouse config'!$H:$H&gt;=A6) + ISBLANK('warehouse config'!$H:$H))),1))), 0), 0)"),0.0)</f>
        <v>0</v>
      </c>
      <c r="K6" s="3">
        <f>IFERROR(__xludf.DUMMYFUNCTION("IF(I6&gt;0, IFERROR(ROUNDUP(I6 / MAX(1, INDEX(FILTER('warehouse config'!$E:$E, ('warehouse config'!$B:$B=C6) * ('warehouse config'!$C:$C=D6) * ('warehouse config'!$G:$G&lt;=A6) * (('warehouse config'!$H:$H&gt;=A6) + ISBLANK('warehouse config'!$H:$H))),1))), 0), 0)"),3.0)</f>
        <v>3</v>
      </c>
    </row>
    <row r="7">
      <c r="A7" s="14">
        <v>45434.0</v>
      </c>
      <c r="B7" s="1" t="s">
        <v>197</v>
      </c>
      <c r="C7" s="1" t="s">
        <v>87</v>
      </c>
      <c r="D7" s="1" t="s">
        <v>44</v>
      </c>
      <c r="E7" s="1">
        <v>8.0</v>
      </c>
      <c r="F7" s="15" t="s">
        <v>195</v>
      </c>
      <c r="G7" s="15" t="s">
        <v>198</v>
      </c>
      <c r="H7" s="1">
        <v>0.0</v>
      </c>
      <c r="I7" s="1">
        <v>162.0</v>
      </c>
      <c r="J7" s="3">
        <f>IFERROR(__xludf.DUMMYFUNCTION("IF(H7&gt;0, IFERROR(ROUNDUP(H7 / MAX(1, INDEX(FILTER('warehouse config'!$D:$D, ('warehouse config'!$B:$B=C7) * ('warehouse config'!$C:$C=D7) * ('warehouse config'!$G:$G&lt;=A7) * (('warehouse config'!$H:$H&gt;=A7) + ISBLANK('warehouse config'!$H:$H))),1))), 0), 0)"),0.0)</f>
        <v>0</v>
      </c>
      <c r="K7" s="3">
        <f>IFERROR(__xludf.DUMMYFUNCTION("IF(I7&gt;0, IFERROR(ROUNDUP(I7 / MAX(1, INDEX(FILTER('warehouse config'!$E:$E, ('warehouse config'!$B:$B=C7) * ('warehouse config'!$C:$C=D7) * ('warehouse config'!$G:$G&lt;=A7) * (('warehouse config'!$H:$H&gt;=A7) + ISBLANK('warehouse config'!$H:$H))),1))), 0), 0)"),11.0)</f>
        <v>11</v>
      </c>
    </row>
    <row r="8">
      <c r="A8" s="14">
        <v>45434.0</v>
      </c>
      <c r="B8" s="1" t="s">
        <v>199</v>
      </c>
      <c r="C8" s="1" t="s">
        <v>87</v>
      </c>
      <c r="D8" s="1" t="s">
        <v>57</v>
      </c>
      <c r="E8" s="1">
        <v>8.0</v>
      </c>
      <c r="F8" s="1" t="s">
        <v>195</v>
      </c>
      <c r="G8" s="1" t="s">
        <v>198</v>
      </c>
      <c r="H8" s="1">
        <v>0.0</v>
      </c>
      <c r="I8" s="1">
        <v>54.0</v>
      </c>
      <c r="J8" s="3">
        <f>IFERROR(__xludf.DUMMYFUNCTION("IF(H8&gt;0, IFERROR(ROUNDUP(H8 / MAX(1, INDEX(FILTER('warehouse config'!$D:$D, ('warehouse config'!$B:$B=C8) * ('warehouse config'!$C:$C=D8) * ('warehouse config'!$G:$G&lt;=A8) * (('warehouse config'!$H:$H&gt;=A8) + ISBLANK('warehouse config'!$H:$H))),1))), 0), 0)"),0.0)</f>
        <v>0</v>
      </c>
      <c r="K8" s="3">
        <f>IFERROR(__xludf.DUMMYFUNCTION("IF(I8&gt;0, IFERROR(ROUNDUP(I8 / MAX(1, INDEX(FILTER('warehouse config'!$E:$E, ('warehouse config'!$B:$B=C8) * ('warehouse config'!$C:$C=D8) * ('warehouse config'!$G:$G&lt;=A8) * (('warehouse config'!$H:$H&gt;=A8) + ISBLANK('warehouse config'!$H:$H))),1))), 0), 0)"),4.0)</f>
        <v>4</v>
      </c>
    </row>
    <row r="9">
      <c r="A9" s="14">
        <v>45434.0</v>
      </c>
      <c r="B9" s="1" t="s">
        <v>200</v>
      </c>
      <c r="C9" s="1" t="s">
        <v>87</v>
      </c>
      <c r="D9" s="1" t="s">
        <v>37</v>
      </c>
      <c r="E9" s="1">
        <v>8.0</v>
      </c>
      <c r="F9" s="1" t="s">
        <v>195</v>
      </c>
      <c r="G9" s="1" t="s">
        <v>198</v>
      </c>
      <c r="H9" s="1">
        <v>0.0</v>
      </c>
      <c r="I9" s="1">
        <v>40.0</v>
      </c>
      <c r="J9" s="3">
        <f>IFERROR(__xludf.DUMMYFUNCTION("IF(H9&gt;0, IFERROR(ROUNDUP(H9 / MAX(1, INDEX(FILTER('warehouse config'!$D:$D, ('warehouse config'!$B:$B=C9) * ('warehouse config'!$C:$C=D9) * ('warehouse config'!$G:$G&lt;=A9) * (('warehouse config'!$H:$H&gt;=A9) + ISBLANK('warehouse config'!$H:$H))),1))), 0), 0)"),0.0)</f>
        <v>0</v>
      </c>
      <c r="K9" s="3">
        <f>IFERROR(__xludf.DUMMYFUNCTION("IF(I9&gt;0, IFERROR(ROUNDUP(I9 / MAX(1, INDEX(FILTER('warehouse config'!$E:$E, ('warehouse config'!$B:$B=C9) * ('warehouse config'!$C:$C=D9) * ('warehouse config'!$G:$G&lt;=A9) * (('warehouse config'!$H:$H&gt;=A9) + ISBLANK('warehouse config'!$H:$H))),1))), 0), 0)"),3.0)</f>
        <v>3</v>
      </c>
    </row>
    <row r="10">
      <c r="A10" s="14">
        <v>45449.0</v>
      </c>
      <c r="B10" s="1" t="s">
        <v>201</v>
      </c>
      <c r="C10" s="1" t="s">
        <v>87</v>
      </c>
      <c r="D10" s="1" t="s">
        <v>44</v>
      </c>
      <c r="E10" s="1">
        <v>8.0</v>
      </c>
      <c r="F10" s="1" t="s">
        <v>195</v>
      </c>
      <c r="G10" s="1" t="s">
        <v>202</v>
      </c>
      <c r="H10" s="1">
        <v>0.0</v>
      </c>
      <c r="I10" s="1">
        <v>54.0</v>
      </c>
      <c r="J10" s="3">
        <f>IFERROR(__xludf.DUMMYFUNCTION("IF(H10&gt;0, IFERROR(ROUNDUP(H10 / MAX(1, INDEX(FILTER('warehouse config'!$D:$D, ('warehouse config'!$B:$B=C10) * ('warehouse config'!$C:$C=D10) * ('warehouse config'!$G:$G&lt;=A10) * (('warehouse config'!$H:$H&gt;=A10) + ISBLANK('warehouse config'!$H:$H))),1))), "&amp;"0), 0)"),0.0)</f>
        <v>0</v>
      </c>
      <c r="K10" s="3">
        <f>IFERROR(__xludf.DUMMYFUNCTION("IF(I10&gt;0, IFERROR(ROUNDUP(I10 / MAX(1, INDEX(FILTER('warehouse config'!$E:$E, ('warehouse config'!$B:$B=C10) * ('warehouse config'!$C:$C=D10) * ('warehouse config'!$G:$G&lt;=A10) * (('warehouse config'!$H:$H&gt;=A10) + ISBLANK('warehouse config'!$H:$H))),1))), "&amp;"0), 0)"),4.0)</f>
        <v>4</v>
      </c>
      <c r="N10" s="16"/>
    </row>
    <row r="11">
      <c r="A11" s="14">
        <v>45454.0</v>
      </c>
      <c r="B11" s="1" t="s">
        <v>203</v>
      </c>
      <c r="C11" s="1" t="s">
        <v>87</v>
      </c>
      <c r="D11" s="1" t="s">
        <v>28</v>
      </c>
      <c r="E11" s="1">
        <v>8.0</v>
      </c>
      <c r="F11" s="1" t="s">
        <v>195</v>
      </c>
      <c r="G11" s="1" t="s">
        <v>204</v>
      </c>
      <c r="H11" s="1">
        <v>0.0</v>
      </c>
      <c r="I11" s="1">
        <v>45.0</v>
      </c>
      <c r="J11" s="3">
        <f>IFERROR(__xludf.DUMMYFUNCTION("IF(H11&gt;0, IFERROR(ROUNDUP(H11 / MAX(1, INDEX(FILTER('warehouse config'!$D:$D, ('warehouse config'!$B:$B=C11) * ('warehouse config'!$C:$C=D11) * ('warehouse config'!$G:$G&lt;=A11) * (('warehouse config'!$H:$H&gt;=A11) + ISBLANK('warehouse config'!$H:$H))),1))), "&amp;"0), 0)"),0.0)</f>
        <v>0</v>
      </c>
      <c r="K11" s="3">
        <f>IFERROR(__xludf.DUMMYFUNCTION("IF(I11&gt;0, IFERROR(ROUNDUP(I11 / MAX(1, INDEX(FILTER('warehouse config'!$E:$E, ('warehouse config'!$B:$B=C11) * ('warehouse config'!$C:$C=D11) * ('warehouse config'!$G:$G&lt;=A11) * (('warehouse config'!$H:$H&gt;=A11) + ISBLANK('warehouse config'!$H:$H))),1))), "&amp;"0), 0)"),3.0)</f>
        <v>3</v>
      </c>
    </row>
    <row r="12">
      <c r="A12" s="14">
        <v>45468.0</v>
      </c>
      <c r="B12" s="1" t="s">
        <v>205</v>
      </c>
      <c r="C12" s="1" t="s">
        <v>87</v>
      </c>
      <c r="D12" s="1" t="s">
        <v>44</v>
      </c>
      <c r="E12" s="1">
        <v>8.0</v>
      </c>
      <c r="F12" s="1" t="s">
        <v>195</v>
      </c>
      <c r="G12" s="1" t="s">
        <v>206</v>
      </c>
      <c r="H12" s="1">
        <v>0.0</v>
      </c>
      <c r="I12" s="1">
        <v>72.0</v>
      </c>
      <c r="J12" s="3">
        <f>IFERROR(__xludf.DUMMYFUNCTION("IF(H12&gt;0, IFERROR(ROUNDUP(H12 / MAX(1, INDEX(FILTER('warehouse config'!$D:$D, ('warehouse config'!$B:$B=C12) * ('warehouse config'!$C:$C=D12) * ('warehouse config'!$G:$G&lt;=A12) * (('warehouse config'!$H:$H&gt;=A12) + ISBLANK('warehouse config'!$H:$H))),1))), "&amp;"0), 0)"),0.0)</f>
        <v>0</v>
      </c>
      <c r="K12" s="3">
        <f>IFERROR(__xludf.DUMMYFUNCTION("IF(I12&gt;0, IFERROR(ROUNDUP(I12 / MAX(1, INDEX(FILTER('warehouse config'!$E:$E, ('warehouse config'!$B:$B=C12) * ('warehouse config'!$C:$C=D12) * ('warehouse config'!$G:$G&lt;=A12) * (('warehouse config'!$H:$H&gt;=A12) + ISBLANK('warehouse config'!$H:$H))),1))), "&amp;"0), 0)"),5.0)</f>
        <v>5</v>
      </c>
    </row>
    <row r="13">
      <c r="A13" s="14">
        <v>45468.0</v>
      </c>
      <c r="B13" s="1" t="s">
        <v>207</v>
      </c>
      <c r="C13" s="1" t="s">
        <v>87</v>
      </c>
      <c r="D13" s="1" t="s">
        <v>57</v>
      </c>
      <c r="E13" s="1">
        <v>8.0</v>
      </c>
      <c r="F13" s="1" t="s">
        <v>195</v>
      </c>
      <c r="G13" s="1" t="s">
        <v>206</v>
      </c>
      <c r="H13" s="1">
        <v>0.0</v>
      </c>
      <c r="I13" s="1">
        <v>18.0</v>
      </c>
      <c r="J13" s="3">
        <f>IFERROR(__xludf.DUMMYFUNCTION("IF(H13&gt;0, IFERROR(ROUNDUP(H13 / MAX(1, INDEX(FILTER('warehouse config'!$D:$D, ('warehouse config'!$B:$B=C13) * ('warehouse config'!$C:$C=D13) * ('warehouse config'!$G:$G&lt;=A13) * (('warehouse config'!$H:$H&gt;=A13) + ISBLANK('warehouse config'!$H:$H))),1))), "&amp;"0), 0)"),0.0)</f>
        <v>0</v>
      </c>
      <c r="K13" s="3">
        <f>IFERROR(__xludf.DUMMYFUNCTION("IF(I13&gt;0, IFERROR(ROUNDUP(I13 / MAX(1, INDEX(FILTER('warehouse config'!$E:$E, ('warehouse config'!$B:$B=C13) * ('warehouse config'!$C:$C=D13) * ('warehouse config'!$G:$G&lt;=A13) * (('warehouse config'!$H:$H&gt;=A13) + ISBLANK('warehouse config'!$H:$H))),1))), "&amp;"0), 0)"),2.0)</f>
        <v>2</v>
      </c>
    </row>
    <row r="14">
      <c r="A14" s="14">
        <v>45468.0</v>
      </c>
      <c r="B14" s="1" t="s">
        <v>208</v>
      </c>
      <c r="C14" s="1" t="s">
        <v>87</v>
      </c>
      <c r="D14" s="1" t="s">
        <v>37</v>
      </c>
      <c r="E14" s="1">
        <v>8.0</v>
      </c>
      <c r="F14" s="1" t="s">
        <v>195</v>
      </c>
      <c r="G14" s="1" t="s">
        <v>206</v>
      </c>
      <c r="H14" s="1">
        <v>0.0</v>
      </c>
      <c r="I14" s="1">
        <v>40.0</v>
      </c>
      <c r="J14" s="3">
        <f>IFERROR(__xludf.DUMMYFUNCTION("IF(H14&gt;0, IFERROR(ROUNDUP(H14 / MAX(1, INDEX(FILTER('warehouse config'!$D:$D, ('warehouse config'!$B:$B=C14) * ('warehouse config'!$C:$C=D14) * ('warehouse config'!$G:$G&lt;=A14) * (('warehouse config'!$H:$H&gt;=A14) + ISBLANK('warehouse config'!$H:$H))),1))), "&amp;"0), 0)"),0.0)</f>
        <v>0</v>
      </c>
      <c r="K14" s="3">
        <f>IFERROR(__xludf.DUMMYFUNCTION("IF(I14&gt;0, IFERROR(ROUNDUP(I14 / MAX(1, INDEX(FILTER('warehouse config'!$E:$E, ('warehouse config'!$B:$B=C14) * ('warehouse config'!$C:$C=D14) * ('warehouse config'!$G:$G&lt;=A14) * (('warehouse config'!$H:$H&gt;=A14) + ISBLANK('warehouse config'!$H:$H))),1))), "&amp;"0), 0)"),3.0)</f>
        <v>3</v>
      </c>
    </row>
    <row r="15">
      <c r="A15" s="14">
        <v>45476.0</v>
      </c>
      <c r="B15" s="1" t="s">
        <v>209</v>
      </c>
      <c r="C15" s="1" t="s">
        <v>87</v>
      </c>
      <c r="D15" s="1" t="s">
        <v>44</v>
      </c>
      <c r="E15" s="1">
        <v>8.0</v>
      </c>
      <c r="F15" s="1" t="s">
        <v>195</v>
      </c>
      <c r="G15" s="1" t="s">
        <v>210</v>
      </c>
      <c r="H15" s="1">
        <v>0.0</v>
      </c>
      <c r="I15" s="1">
        <v>54.0</v>
      </c>
      <c r="J15" s="3">
        <f>IFERROR(__xludf.DUMMYFUNCTION("IF(H15&gt;0, IFERROR(ROUNDUP(H15 / MAX(1, INDEX(FILTER('warehouse config'!$D:$D, ('warehouse config'!$B:$B=C15) * ('warehouse config'!$C:$C=D15) * ('warehouse config'!$G:$G&lt;=A15) * (('warehouse config'!$H:$H&gt;=A15) + ISBLANK('warehouse config'!$H:$H))),1))), "&amp;"0), 0)"),0.0)</f>
        <v>0</v>
      </c>
      <c r="K15" s="3">
        <f>IFERROR(__xludf.DUMMYFUNCTION("IF(I15&gt;0, IFERROR(ROUNDUP(I15 / MAX(1, INDEX(FILTER('warehouse config'!$E:$E, ('warehouse config'!$B:$B=C15) * ('warehouse config'!$C:$C=D15) * ('warehouse config'!$G:$G&lt;=A15) * (('warehouse config'!$H:$H&gt;=A15) + ISBLANK('warehouse config'!$H:$H))),1))), "&amp;"0), 0)"),4.0)</f>
        <v>4</v>
      </c>
    </row>
    <row r="16">
      <c r="A16" s="14">
        <v>45476.0</v>
      </c>
      <c r="B16" s="1" t="s">
        <v>211</v>
      </c>
      <c r="C16" s="1" t="s">
        <v>87</v>
      </c>
      <c r="D16" s="1" t="s">
        <v>57</v>
      </c>
      <c r="E16" s="1">
        <v>8.0</v>
      </c>
      <c r="F16" s="1" t="s">
        <v>195</v>
      </c>
      <c r="G16" s="1" t="s">
        <v>210</v>
      </c>
      <c r="H16" s="1">
        <v>0.0</v>
      </c>
      <c r="I16" s="1">
        <v>18.0</v>
      </c>
      <c r="J16" s="3">
        <f>IFERROR(__xludf.DUMMYFUNCTION("IF(H16&gt;0, IFERROR(ROUNDUP(H16 / MAX(1, INDEX(FILTER('warehouse config'!$D:$D, ('warehouse config'!$B:$B=C16) * ('warehouse config'!$C:$C=D16) * ('warehouse config'!$G:$G&lt;=A16) * (('warehouse config'!$H:$H&gt;=A16) + ISBLANK('warehouse config'!$H:$H))),1))), "&amp;"0), 0)"),0.0)</f>
        <v>0</v>
      </c>
      <c r="K16" s="3">
        <f>IFERROR(__xludf.DUMMYFUNCTION("IF(I16&gt;0, IFERROR(ROUNDUP(I16 / MAX(1, INDEX(FILTER('warehouse config'!$E:$E, ('warehouse config'!$B:$B=C16) * ('warehouse config'!$C:$C=D16) * ('warehouse config'!$G:$G&lt;=A16) * (('warehouse config'!$H:$H&gt;=A16) + ISBLANK('warehouse config'!$H:$H))),1))), "&amp;"0), 0)"),2.0)</f>
        <v>2</v>
      </c>
    </row>
    <row r="17">
      <c r="A17" s="14">
        <v>45481.0</v>
      </c>
      <c r="B17" s="1" t="s">
        <v>212</v>
      </c>
      <c r="C17" s="1" t="s">
        <v>87</v>
      </c>
      <c r="D17" s="1" t="s">
        <v>44</v>
      </c>
      <c r="E17" s="1">
        <v>9.0</v>
      </c>
      <c r="F17" s="1" t="s">
        <v>189</v>
      </c>
      <c r="G17" s="1" t="s">
        <v>213</v>
      </c>
      <c r="H17" s="1">
        <v>220.0</v>
      </c>
      <c r="I17" s="1">
        <v>0.0</v>
      </c>
      <c r="J17" s="3">
        <f>IFERROR(__xludf.DUMMYFUNCTION("IF(H17&gt;0, IFERROR(ROUNDUP(H17 / MAX(1, INDEX(FILTER('warehouse config'!$D:$D, ('warehouse config'!$B:$B=C17) * ('warehouse config'!$C:$C=D17) * ('warehouse config'!$G:$G&lt;=A17) * (('warehouse config'!$H:$H&gt;=A17) + ISBLANK('warehouse config'!$H:$H))),1))), "&amp;"0), 0)"),16.0)</f>
        <v>16</v>
      </c>
      <c r="K17" s="3">
        <f>IFERROR(__xludf.DUMMYFUNCTION("IF(I17&gt;0, IFERROR(ROUNDUP(I17 / MAX(1, INDEX(FILTER('warehouse config'!$E:$E, ('warehouse config'!$B:$B=C17) * ('warehouse config'!$C:$C=D17) * ('warehouse config'!$G:$G&lt;=A17) * (('warehouse config'!$H:$H&gt;=A17) + ISBLANK('warehouse config'!$H:$H))),1))), "&amp;"0), 0)"),0.0)</f>
        <v>0</v>
      </c>
    </row>
    <row r="18">
      <c r="A18" s="14">
        <v>45481.0</v>
      </c>
      <c r="B18" s="1" t="s">
        <v>214</v>
      </c>
      <c r="C18" s="1" t="s">
        <v>87</v>
      </c>
      <c r="D18" s="1" t="s">
        <v>28</v>
      </c>
      <c r="E18" s="1">
        <v>9.0</v>
      </c>
      <c r="F18" s="1" t="s">
        <v>189</v>
      </c>
      <c r="G18" s="1" t="s">
        <v>213</v>
      </c>
      <c r="H18" s="1">
        <v>17.0</v>
      </c>
      <c r="I18" s="1">
        <v>0.0</v>
      </c>
      <c r="J18" s="3">
        <f>IFERROR(__xludf.DUMMYFUNCTION("IF(H18&gt;0, IFERROR(ROUNDUP(H18 / MAX(1, INDEX(FILTER('warehouse config'!$D:$D, ('warehouse config'!$B:$B=C18) * ('warehouse config'!$C:$C=D18) * ('warehouse config'!$G:$G&lt;=A18) * (('warehouse config'!$H:$H&gt;=A18) + ISBLANK('warehouse config'!$H:$H))),1))), "&amp;"0), 0)"),1.0)</f>
        <v>1</v>
      </c>
      <c r="K18" s="3">
        <f>IFERROR(__xludf.DUMMYFUNCTION("IF(I18&gt;0, IFERROR(ROUNDUP(I18 / MAX(1, INDEX(FILTER('warehouse config'!$E:$E, ('warehouse config'!$B:$B=C18) * ('warehouse config'!$C:$C=D18) * ('warehouse config'!$G:$G&lt;=A18) * (('warehouse config'!$H:$H&gt;=A18) + ISBLANK('warehouse config'!$H:$H))),1))), "&amp;"0), 0)"),0.0)</f>
        <v>0</v>
      </c>
    </row>
    <row r="19">
      <c r="A19" s="14">
        <v>45481.0</v>
      </c>
      <c r="B19" s="1" t="s">
        <v>215</v>
      </c>
      <c r="C19" s="1" t="s">
        <v>87</v>
      </c>
      <c r="D19" s="1" t="s">
        <v>57</v>
      </c>
      <c r="E19" s="1">
        <v>9.0</v>
      </c>
      <c r="F19" s="1" t="s">
        <v>189</v>
      </c>
      <c r="G19" s="1" t="s">
        <v>213</v>
      </c>
      <c r="H19" s="1">
        <v>55.0</v>
      </c>
      <c r="I19" s="1">
        <v>0.0</v>
      </c>
      <c r="J19" s="3">
        <f>IFERROR(__xludf.DUMMYFUNCTION("IF(H19&gt;0, IFERROR(ROUNDUP(H19 / MAX(1, INDEX(FILTER('warehouse config'!$D:$D, ('warehouse config'!$B:$B=C19) * ('warehouse config'!$C:$C=D19) * ('warehouse config'!$G:$G&lt;=A19) * (('warehouse config'!$H:$H&gt;=A19) + ISBLANK('warehouse config'!$H:$H))),1))), "&amp;"0), 0)"),4.0)</f>
        <v>4</v>
      </c>
      <c r="K19" s="3">
        <f>IFERROR(__xludf.DUMMYFUNCTION("IF(I19&gt;0, IFERROR(ROUNDUP(I19 / MAX(1, INDEX(FILTER('warehouse config'!$E:$E, ('warehouse config'!$B:$B=C19) * ('warehouse config'!$C:$C=D19) * ('warehouse config'!$G:$G&lt;=A19) * (('warehouse config'!$H:$H&gt;=A19) + ISBLANK('warehouse config'!$H:$H))),1))), "&amp;"0), 0)"),0.0)</f>
        <v>0</v>
      </c>
    </row>
    <row r="20">
      <c r="A20" s="14">
        <v>45481.0</v>
      </c>
      <c r="B20" s="1" t="s">
        <v>216</v>
      </c>
      <c r="C20" s="1" t="s">
        <v>87</v>
      </c>
      <c r="D20" s="1" t="s">
        <v>37</v>
      </c>
      <c r="E20" s="1">
        <v>9.0</v>
      </c>
      <c r="F20" s="1" t="s">
        <v>189</v>
      </c>
      <c r="G20" s="1" t="s">
        <v>213</v>
      </c>
      <c r="H20" s="1">
        <v>51.0</v>
      </c>
      <c r="I20" s="1">
        <v>0.0</v>
      </c>
      <c r="J20" s="3">
        <f>IFERROR(__xludf.DUMMYFUNCTION("IF(H20&gt;0, IFERROR(ROUNDUP(H20 / MAX(1, INDEX(FILTER('warehouse config'!$D:$D, ('warehouse config'!$B:$B=C20) * ('warehouse config'!$C:$C=D20) * ('warehouse config'!$G:$G&lt;=A20) * (('warehouse config'!$H:$H&gt;=A20) + ISBLANK('warehouse config'!$H:$H))),1))), "&amp;"0), 0)"),2.0)</f>
        <v>2</v>
      </c>
      <c r="K20" s="3">
        <f>IFERROR(__xludf.DUMMYFUNCTION("IF(I20&gt;0, IFERROR(ROUNDUP(I20 / MAX(1, INDEX(FILTER('warehouse config'!$E:$E, ('warehouse config'!$B:$B=C20) * ('warehouse config'!$C:$C=D20) * ('warehouse config'!$G:$G&lt;=A20) * (('warehouse config'!$H:$H&gt;=A20) + ISBLANK('warehouse config'!$H:$H))),1))), "&amp;"0), 0)"),0.0)</f>
        <v>0</v>
      </c>
    </row>
    <row r="21">
      <c r="A21" s="14">
        <v>45481.0</v>
      </c>
      <c r="B21" s="1" t="s">
        <v>217</v>
      </c>
      <c r="C21" s="1" t="s">
        <v>87</v>
      </c>
      <c r="D21" s="1" t="s">
        <v>68</v>
      </c>
      <c r="E21" s="1">
        <v>9.0</v>
      </c>
      <c r="F21" s="1" t="s">
        <v>189</v>
      </c>
      <c r="G21" s="1" t="s">
        <v>213</v>
      </c>
      <c r="H21" s="1">
        <v>145.0</v>
      </c>
      <c r="I21" s="1">
        <v>0.0</v>
      </c>
      <c r="J21" s="3">
        <f>IFERROR(__xludf.DUMMYFUNCTION("IF(H21&gt;0, IFERROR(ROUNDUP(H21 / MAX(1, INDEX(FILTER('warehouse config'!$D:$D, ('warehouse config'!$B:$B=C21) * ('warehouse config'!$C:$C=D21) * ('warehouse config'!$G:$G&lt;=A21) * (('warehouse config'!$H:$H&gt;=A21) + ISBLANK('warehouse config'!$H:$H))),1))), "&amp;"0), 0)"),13.0)</f>
        <v>13</v>
      </c>
      <c r="K21" s="3">
        <f>IFERROR(__xludf.DUMMYFUNCTION("IF(I21&gt;0, IFERROR(ROUNDUP(I21 / MAX(1, INDEX(FILTER('warehouse config'!$E:$E, ('warehouse config'!$B:$B=C21) * ('warehouse config'!$C:$C=D21) * ('warehouse config'!$G:$G&lt;=A21) * (('warehouse config'!$H:$H&gt;=A21) + ISBLANK('warehouse config'!$H:$H))),1))), "&amp;"0), 0)"),0.0)</f>
        <v>0</v>
      </c>
    </row>
    <row r="22">
      <c r="A22" s="14">
        <v>45481.0</v>
      </c>
      <c r="B22" s="1" t="s">
        <v>218</v>
      </c>
      <c r="C22" s="1" t="s">
        <v>87</v>
      </c>
      <c r="D22" s="1" t="s">
        <v>75</v>
      </c>
      <c r="E22" s="1">
        <v>9.0</v>
      </c>
      <c r="F22" s="1" t="s">
        <v>189</v>
      </c>
      <c r="G22" s="1" t="s">
        <v>213</v>
      </c>
      <c r="H22" s="1">
        <v>200.0</v>
      </c>
      <c r="I22" s="1">
        <v>0.0</v>
      </c>
      <c r="J22" s="3">
        <f>IFERROR(__xludf.DUMMYFUNCTION("IF(H22&gt;0, IFERROR(ROUNDUP(H22 / MAX(1, INDEX(FILTER('warehouse config'!$D:$D, ('warehouse config'!$B:$B=C22) * ('warehouse config'!$C:$C=D22) * ('warehouse config'!$G:$G&lt;=A22) * (('warehouse config'!$H:$H&gt;=A22) + ISBLANK('warehouse config'!$H:$H))),1))), "&amp;"0), 0)"),17.0)</f>
        <v>17</v>
      </c>
      <c r="K22" s="3">
        <f>IFERROR(__xludf.DUMMYFUNCTION("IF(I22&gt;0, IFERROR(ROUNDUP(I22 / MAX(1, INDEX(FILTER('warehouse config'!$E:$E, ('warehouse config'!$B:$B=C22) * ('warehouse config'!$C:$C=D22) * ('warehouse config'!$G:$G&lt;=A22) * (('warehouse config'!$H:$H&gt;=A22) + ISBLANK('warehouse config'!$H:$H))),1))), "&amp;"0), 0)"),0.0)</f>
        <v>0</v>
      </c>
    </row>
    <row r="23">
      <c r="A23" s="14">
        <v>45483.0</v>
      </c>
      <c r="B23" s="1" t="s">
        <v>219</v>
      </c>
      <c r="C23" s="1" t="s">
        <v>87</v>
      </c>
      <c r="D23" s="1" t="s">
        <v>44</v>
      </c>
      <c r="E23" s="1">
        <v>8.0</v>
      </c>
      <c r="F23" s="1" t="s">
        <v>195</v>
      </c>
      <c r="G23" s="1" t="s">
        <v>220</v>
      </c>
      <c r="H23" s="1">
        <v>0.0</v>
      </c>
      <c r="I23" s="1">
        <v>7.0</v>
      </c>
      <c r="J23" s="3">
        <f>IFERROR(__xludf.DUMMYFUNCTION("IF(H23&gt;0, IFERROR(ROUNDUP(H23 / MAX(1, INDEX(FILTER('warehouse config'!$D:$D, ('warehouse config'!$B:$B=C23) * ('warehouse config'!$C:$C=D23) * ('warehouse config'!$G:$G&lt;=A23) * (('warehouse config'!$H:$H&gt;=A23) + ISBLANK('warehouse config'!$H:$H))),1))), "&amp;"0), 0)"),0.0)</f>
        <v>0</v>
      </c>
      <c r="K23" s="3">
        <f>IFERROR(__xludf.DUMMYFUNCTION("IF(I23&gt;0, IFERROR(ROUNDUP(I23 / MAX(1, INDEX(FILTER('warehouse config'!$E:$E, ('warehouse config'!$B:$B=C23) * ('warehouse config'!$C:$C=D23) * ('warehouse config'!$G:$G&lt;=A23) * (('warehouse config'!$H:$H&gt;=A23) + ISBLANK('warehouse config'!$H:$H))),1))), "&amp;"0), 0)"),1.0)</f>
        <v>1</v>
      </c>
    </row>
    <row r="24">
      <c r="A24" s="14">
        <v>45483.0</v>
      </c>
      <c r="B24" s="1" t="s">
        <v>221</v>
      </c>
      <c r="C24" s="1" t="s">
        <v>87</v>
      </c>
      <c r="D24" s="1" t="s">
        <v>57</v>
      </c>
      <c r="E24" s="1">
        <v>8.0</v>
      </c>
      <c r="F24" s="1" t="s">
        <v>195</v>
      </c>
      <c r="G24" s="1" t="s">
        <v>220</v>
      </c>
      <c r="H24" s="1">
        <v>0.0</v>
      </c>
      <c r="I24" s="1">
        <v>36.0</v>
      </c>
      <c r="J24" s="3">
        <f>IFERROR(__xludf.DUMMYFUNCTION("IF(H24&gt;0, IFERROR(ROUNDUP(H24 / MAX(1, INDEX(FILTER('warehouse config'!$D:$D, ('warehouse config'!$B:$B=C24) * ('warehouse config'!$C:$C=D24) * ('warehouse config'!$G:$G&lt;=A24) * (('warehouse config'!$H:$H&gt;=A24) + ISBLANK('warehouse config'!$H:$H))),1))), "&amp;"0), 0)"),0.0)</f>
        <v>0</v>
      </c>
      <c r="K24" s="3">
        <f>IFERROR(__xludf.DUMMYFUNCTION("IF(I24&gt;0, IFERROR(ROUNDUP(I24 / MAX(1, INDEX(FILTER('warehouse config'!$E:$E, ('warehouse config'!$B:$B=C24) * ('warehouse config'!$C:$C=D24) * ('warehouse config'!$G:$G&lt;=A24) * (('warehouse config'!$H:$H&gt;=A24) + ISBLANK('warehouse config'!$H:$H))),1))), "&amp;"0), 0)"),3.0)</f>
        <v>3</v>
      </c>
    </row>
    <row r="25">
      <c r="A25" s="14">
        <v>45483.0</v>
      </c>
      <c r="B25" s="1" t="s">
        <v>222</v>
      </c>
      <c r="C25" s="1" t="s">
        <v>87</v>
      </c>
      <c r="D25" s="1" t="s">
        <v>44</v>
      </c>
      <c r="E25" s="1">
        <v>9.0</v>
      </c>
      <c r="F25" s="1" t="s">
        <v>195</v>
      </c>
      <c r="G25" s="1" t="s">
        <v>220</v>
      </c>
      <c r="H25" s="1">
        <v>0.0</v>
      </c>
      <c r="I25" s="1">
        <v>72.0</v>
      </c>
      <c r="J25" s="3">
        <f>IFERROR(__xludf.DUMMYFUNCTION("IF(H25&gt;0, IFERROR(ROUNDUP(H25 / MAX(1, INDEX(FILTER('warehouse config'!$D:$D, ('warehouse config'!$B:$B=C25) * ('warehouse config'!$C:$C=D25) * ('warehouse config'!$G:$G&lt;=A25) * (('warehouse config'!$H:$H&gt;=A25) + ISBLANK('warehouse config'!$H:$H))),1))), "&amp;"0), 0)"),0.0)</f>
        <v>0</v>
      </c>
      <c r="K25" s="3">
        <f>IFERROR(__xludf.DUMMYFUNCTION("IF(I25&gt;0, IFERROR(ROUNDUP(I25 / MAX(1, INDEX(FILTER('warehouse config'!$E:$E, ('warehouse config'!$B:$B=C25) * ('warehouse config'!$C:$C=D25) * ('warehouse config'!$G:$G&lt;=A25) * (('warehouse config'!$H:$H&gt;=A25) + ISBLANK('warehouse config'!$H:$H))),1))), "&amp;"0), 0)"),5.0)</f>
        <v>5</v>
      </c>
    </row>
    <row r="26">
      <c r="A26" s="14">
        <v>45483.0</v>
      </c>
      <c r="B26" s="1" t="s">
        <v>223</v>
      </c>
      <c r="C26" s="1" t="s">
        <v>87</v>
      </c>
      <c r="D26" s="1" t="s">
        <v>68</v>
      </c>
      <c r="E26" s="1">
        <v>9.0</v>
      </c>
      <c r="F26" s="1" t="s">
        <v>195</v>
      </c>
      <c r="G26" s="1" t="s">
        <v>220</v>
      </c>
      <c r="H26" s="1">
        <v>0.0</v>
      </c>
      <c r="I26" s="1">
        <v>54.0</v>
      </c>
      <c r="J26" s="3">
        <f>IFERROR(__xludf.DUMMYFUNCTION("IF(H26&gt;0, IFERROR(ROUNDUP(H26 / MAX(1, INDEX(FILTER('warehouse config'!$D:$D, ('warehouse config'!$B:$B=C26) * ('warehouse config'!$C:$C=D26) * ('warehouse config'!$G:$G&lt;=A26) * (('warehouse config'!$H:$H&gt;=A26) + ISBLANK('warehouse config'!$H:$H))),1))), "&amp;"0), 0)"),0.0)</f>
        <v>0</v>
      </c>
      <c r="K26" s="3">
        <f>IFERROR(__xludf.DUMMYFUNCTION("IF(I26&gt;0, IFERROR(ROUNDUP(I26 / MAX(1, INDEX(FILTER('warehouse config'!$E:$E, ('warehouse config'!$B:$B=C26) * ('warehouse config'!$C:$C=D26) * ('warehouse config'!$G:$G&lt;=A26) * (('warehouse config'!$H:$H&gt;=A26) + ISBLANK('warehouse config'!$H:$H))),1))), "&amp;"0), 0)"),3.0)</f>
        <v>3</v>
      </c>
    </row>
    <row r="27">
      <c r="A27" s="14">
        <v>45483.0</v>
      </c>
      <c r="B27" s="1" t="s">
        <v>224</v>
      </c>
      <c r="C27" s="1" t="s">
        <v>87</v>
      </c>
      <c r="D27" s="1" t="s">
        <v>75</v>
      </c>
      <c r="E27" s="1">
        <v>9.0</v>
      </c>
      <c r="F27" s="1" t="s">
        <v>195</v>
      </c>
      <c r="G27" s="1" t="s">
        <v>220</v>
      </c>
      <c r="H27" s="1">
        <v>0.0</v>
      </c>
      <c r="I27" s="1">
        <v>54.0</v>
      </c>
      <c r="J27" s="3">
        <f>IFERROR(__xludf.DUMMYFUNCTION("IF(H27&gt;0, IFERROR(ROUNDUP(H27 / MAX(1, INDEX(FILTER('warehouse config'!$D:$D, ('warehouse config'!$B:$B=C27) * ('warehouse config'!$C:$C=D27) * ('warehouse config'!$G:$G&lt;=A27) * (('warehouse config'!$H:$H&gt;=A27) + ISBLANK('warehouse config'!$H:$H))),1))), "&amp;"0), 0)"),0.0)</f>
        <v>0</v>
      </c>
      <c r="K27" s="3">
        <f>IFERROR(__xludf.DUMMYFUNCTION("IF(I27&gt;0, IFERROR(ROUNDUP(I27 / MAX(1, INDEX(FILTER('warehouse config'!$E:$E, ('warehouse config'!$B:$B=C27) * ('warehouse config'!$C:$C=D27) * ('warehouse config'!$G:$G&lt;=A27) * (('warehouse config'!$H:$H&gt;=A27) + ISBLANK('warehouse config'!$H:$H))),1))), "&amp;"0), 0)"),3.0)</f>
        <v>3</v>
      </c>
    </row>
    <row r="28">
      <c r="A28" s="14">
        <v>45496.0</v>
      </c>
      <c r="B28" s="1" t="s">
        <v>225</v>
      </c>
      <c r="C28" s="1" t="s">
        <v>87</v>
      </c>
      <c r="D28" s="1" t="s">
        <v>44</v>
      </c>
      <c r="E28" s="1">
        <v>9.0</v>
      </c>
      <c r="F28" s="1" t="s">
        <v>195</v>
      </c>
      <c r="G28" s="1" t="s">
        <v>226</v>
      </c>
      <c r="H28" s="1">
        <v>0.0</v>
      </c>
      <c r="I28" s="1">
        <v>112.0</v>
      </c>
      <c r="J28" s="3">
        <f>IFERROR(__xludf.DUMMYFUNCTION("IF(H28&gt;0, IFERROR(ROUNDUP(H28 / MAX(1, INDEX(FILTER('warehouse config'!$D:$D, ('warehouse config'!$B:$B=C28) * ('warehouse config'!$C:$C=D28) * ('warehouse config'!$G:$G&lt;=A28) * (('warehouse config'!$H:$H&gt;=A28) + ISBLANK('warehouse config'!$H:$H))),1))), "&amp;"0), 0)"),0.0)</f>
        <v>0</v>
      </c>
      <c r="K28" s="3">
        <f>IFERROR(__xludf.DUMMYFUNCTION("IF(I28&gt;0, IFERROR(ROUNDUP(I28 / MAX(1, INDEX(FILTER('warehouse config'!$E:$E, ('warehouse config'!$B:$B=C28) * ('warehouse config'!$C:$C=D28) * ('warehouse config'!$G:$G&lt;=A28) * (('warehouse config'!$H:$H&gt;=A28) + ISBLANK('warehouse config'!$H:$H))),1))), "&amp;"0), 0)"),7.0)</f>
        <v>7</v>
      </c>
    </row>
    <row r="29">
      <c r="A29" s="14">
        <v>45496.0</v>
      </c>
      <c r="B29" s="1" t="s">
        <v>227</v>
      </c>
      <c r="C29" s="1" t="s">
        <v>87</v>
      </c>
      <c r="D29" s="1" t="s">
        <v>57</v>
      </c>
      <c r="E29" s="1">
        <v>8.0</v>
      </c>
      <c r="F29" s="1" t="s">
        <v>195</v>
      </c>
      <c r="G29" s="1" t="s">
        <v>226</v>
      </c>
      <c r="H29" s="1">
        <v>0.0</v>
      </c>
      <c r="I29" s="1">
        <v>43.0</v>
      </c>
      <c r="J29" s="3">
        <f>IFERROR(__xludf.DUMMYFUNCTION("IF(H29&gt;0, IFERROR(ROUNDUP(H29 / MAX(1, INDEX(FILTER('warehouse config'!$D:$D, ('warehouse config'!$B:$B=C29) * ('warehouse config'!$C:$C=D29) * ('warehouse config'!$G:$G&lt;=A29) * (('warehouse config'!$H:$H&gt;=A29) + ISBLANK('warehouse config'!$H:$H))),1))), "&amp;"0), 0)"),0.0)</f>
        <v>0</v>
      </c>
      <c r="K29" s="3">
        <f>IFERROR(__xludf.DUMMYFUNCTION("IF(I29&gt;0, IFERROR(ROUNDUP(I29 / MAX(1, INDEX(FILTER('warehouse config'!$E:$E, ('warehouse config'!$B:$B=C29) * ('warehouse config'!$C:$C=D29) * ('warehouse config'!$G:$G&lt;=A29) * (('warehouse config'!$H:$H&gt;=A29) + ISBLANK('warehouse config'!$H:$H))),1))), "&amp;"0), 0)"),3.0)</f>
        <v>3</v>
      </c>
    </row>
    <row r="30">
      <c r="A30" s="14">
        <v>45496.0</v>
      </c>
      <c r="B30" s="1" t="s">
        <v>228</v>
      </c>
      <c r="C30" s="1" t="s">
        <v>87</v>
      </c>
      <c r="D30" s="1" t="s">
        <v>37</v>
      </c>
      <c r="E30" s="1">
        <v>8.0</v>
      </c>
      <c r="F30" s="1" t="s">
        <v>195</v>
      </c>
      <c r="G30" s="1" t="s">
        <v>226</v>
      </c>
      <c r="H30" s="1">
        <v>0.0</v>
      </c>
      <c r="I30" s="1">
        <v>40.0</v>
      </c>
      <c r="J30" s="3">
        <f>IFERROR(__xludf.DUMMYFUNCTION("IF(H30&gt;0, IFERROR(ROUNDUP(H30 / MAX(1, INDEX(FILTER('warehouse config'!$D:$D, ('warehouse config'!$B:$B=C30) * ('warehouse config'!$C:$C=D30) * ('warehouse config'!$G:$G&lt;=A30) * (('warehouse config'!$H:$H&gt;=A30) + ISBLANK('warehouse config'!$H:$H))),1))), "&amp;"0), 0)"),0.0)</f>
        <v>0</v>
      </c>
      <c r="K30" s="3">
        <f>IFERROR(__xludf.DUMMYFUNCTION("IF(I30&gt;0, IFERROR(ROUNDUP(I30 / MAX(1, INDEX(FILTER('warehouse config'!$E:$E, ('warehouse config'!$B:$B=C30) * ('warehouse config'!$C:$C=D30) * ('warehouse config'!$G:$G&lt;=A30) * (('warehouse config'!$H:$H&gt;=A30) + ISBLANK('warehouse config'!$H:$H))),1))), "&amp;"0), 0)"),3.0)</f>
        <v>3</v>
      </c>
    </row>
    <row r="31">
      <c r="A31" s="14">
        <v>45496.0</v>
      </c>
      <c r="B31" s="1" t="s">
        <v>229</v>
      </c>
      <c r="C31" s="1" t="s">
        <v>87</v>
      </c>
      <c r="D31" s="1" t="s">
        <v>75</v>
      </c>
      <c r="E31" s="1">
        <v>9.0</v>
      </c>
      <c r="F31" s="1" t="s">
        <v>195</v>
      </c>
      <c r="G31" s="1" t="s">
        <v>226</v>
      </c>
      <c r="H31" s="1">
        <v>0.0</v>
      </c>
      <c r="I31" s="1">
        <v>18.0</v>
      </c>
      <c r="J31" s="3">
        <f>IFERROR(__xludf.DUMMYFUNCTION("IF(H31&gt;0, IFERROR(ROUNDUP(H31 / MAX(1, INDEX(FILTER('warehouse config'!$D:$D, ('warehouse config'!$B:$B=C31) * ('warehouse config'!$C:$C=D31) * ('warehouse config'!$G:$G&lt;=A31) * (('warehouse config'!$H:$H&gt;=A31) + ISBLANK('warehouse config'!$H:$H))),1))), "&amp;"0), 0)"),0.0)</f>
        <v>0</v>
      </c>
      <c r="K31" s="3">
        <f>IFERROR(__xludf.DUMMYFUNCTION("IF(I31&gt;0, IFERROR(ROUNDUP(I31 / MAX(1, INDEX(FILTER('warehouse config'!$E:$E, ('warehouse config'!$B:$B=C31) * ('warehouse config'!$C:$C=D31) * ('warehouse config'!$G:$G&lt;=A31) * (('warehouse config'!$H:$H&gt;=A31) + ISBLANK('warehouse config'!$H:$H))),1))), "&amp;"0), 0)"),1.0)</f>
        <v>1</v>
      </c>
    </row>
    <row r="32">
      <c r="A32" s="14">
        <v>45505.0</v>
      </c>
      <c r="B32" s="1" t="s">
        <v>230</v>
      </c>
      <c r="C32" s="1" t="s">
        <v>87</v>
      </c>
      <c r="D32" s="1" t="s">
        <v>44</v>
      </c>
      <c r="E32" s="1">
        <v>10.0</v>
      </c>
      <c r="F32" s="1" t="s">
        <v>189</v>
      </c>
      <c r="G32" s="1" t="s">
        <v>231</v>
      </c>
      <c r="H32" s="1">
        <v>400.0</v>
      </c>
      <c r="I32" s="1">
        <v>0.0</v>
      </c>
      <c r="J32" s="3">
        <f>IFERROR(__xludf.DUMMYFUNCTION("IF(H32&gt;0, IFERROR(ROUNDUP(H32 / MAX(1, INDEX(FILTER('warehouse config'!$D:$D, ('warehouse config'!$B:$B=C32) * ('warehouse config'!$C:$C=D32) * ('warehouse config'!$G:$G&lt;=A32) * (('warehouse config'!$H:$H&gt;=A32) + ISBLANK('warehouse config'!$H:$H))),1))), "&amp;"0), 0)"),29.0)</f>
        <v>29</v>
      </c>
      <c r="K32" s="3">
        <f>IFERROR(__xludf.DUMMYFUNCTION("IF(I32&gt;0, IFERROR(ROUNDUP(I32 / MAX(1, INDEX(FILTER('warehouse config'!$E:$E, ('warehouse config'!$B:$B=C32) * ('warehouse config'!$C:$C=D32) * ('warehouse config'!$G:$G&lt;=A32) * (('warehouse config'!$H:$H&gt;=A32) + ISBLANK('warehouse config'!$H:$H))),1))), "&amp;"0), 0)"),0.0)</f>
        <v>0</v>
      </c>
    </row>
    <row r="33">
      <c r="A33" s="14">
        <v>45505.0</v>
      </c>
      <c r="B33" s="1" t="s">
        <v>232</v>
      </c>
      <c r="C33" s="1" t="s">
        <v>87</v>
      </c>
      <c r="D33" s="1" t="s">
        <v>57</v>
      </c>
      <c r="E33" s="1">
        <v>10.0</v>
      </c>
      <c r="F33" s="1" t="s">
        <v>189</v>
      </c>
      <c r="G33" s="1" t="s">
        <v>231</v>
      </c>
      <c r="H33" s="1">
        <v>167.0</v>
      </c>
      <c r="I33" s="1">
        <v>0.0</v>
      </c>
      <c r="J33" s="3">
        <f>IFERROR(__xludf.DUMMYFUNCTION("IF(H33&gt;0, IFERROR(ROUNDUP(H33 / MAX(1, INDEX(FILTER('warehouse config'!$D:$D, ('warehouse config'!$B:$B=C33) * ('warehouse config'!$C:$C=D33) * ('warehouse config'!$G:$G&lt;=A33) * (('warehouse config'!$H:$H&gt;=A33) + ISBLANK('warehouse config'!$H:$H))),1))), "&amp;"0), 0)"),12.0)</f>
        <v>12</v>
      </c>
      <c r="K33" s="3">
        <f>IFERROR(__xludf.DUMMYFUNCTION("IF(I33&gt;0, IFERROR(ROUNDUP(I33 / MAX(1, INDEX(FILTER('warehouse config'!$E:$E, ('warehouse config'!$B:$B=C33) * ('warehouse config'!$C:$C=D33) * ('warehouse config'!$G:$G&lt;=A33) * (('warehouse config'!$H:$H&gt;=A33) + ISBLANK('warehouse config'!$H:$H))),1))), "&amp;"0), 0)"),0.0)</f>
        <v>0</v>
      </c>
    </row>
    <row r="34">
      <c r="A34" s="14">
        <v>45505.0</v>
      </c>
      <c r="B34" s="1" t="s">
        <v>233</v>
      </c>
      <c r="C34" s="1" t="s">
        <v>87</v>
      </c>
      <c r="D34" s="1" t="s">
        <v>37</v>
      </c>
      <c r="E34" s="1">
        <v>10.0</v>
      </c>
      <c r="F34" s="1" t="s">
        <v>189</v>
      </c>
      <c r="G34" s="1" t="s">
        <v>231</v>
      </c>
      <c r="H34" s="1">
        <v>40.0</v>
      </c>
      <c r="I34" s="1">
        <v>0.0</v>
      </c>
      <c r="J34" s="3">
        <f>IFERROR(__xludf.DUMMYFUNCTION("IF(H34&gt;0, IFERROR(ROUNDUP(H34 / MAX(1, INDEX(FILTER('warehouse config'!$D:$D, ('warehouse config'!$B:$B=C34) * ('warehouse config'!$C:$C=D34) * ('warehouse config'!$G:$G&lt;=A34) * (('warehouse config'!$H:$H&gt;=A34) + ISBLANK('warehouse config'!$H:$H))),1))), "&amp;"0), 0)"),2.0)</f>
        <v>2</v>
      </c>
      <c r="K34" s="3">
        <f>IFERROR(__xludf.DUMMYFUNCTION("IF(I34&gt;0, IFERROR(ROUNDUP(I34 / MAX(1, INDEX(FILTER('warehouse config'!$E:$E, ('warehouse config'!$B:$B=C34) * ('warehouse config'!$C:$C=D34) * ('warehouse config'!$G:$G&lt;=A34) * (('warehouse config'!$H:$H&gt;=A34) + ISBLANK('warehouse config'!$H:$H))),1))), "&amp;"0), 0)"),0.0)</f>
        <v>0</v>
      </c>
    </row>
    <row r="35">
      <c r="A35" s="14">
        <v>45505.0</v>
      </c>
      <c r="B35" s="1" t="s">
        <v>234</v>
      </c>
      <c r="C35" s="1" t="s">
        <v>87</v>
      </c>
      <c r="D35" s="1" t="s">
        <v>68</v>
      </c>
      <c r="E35" s="1">
        <v>10.0</v>
      </c>
      <c r="F35" s="1" t="s">
        <v>189</v>
      </c>
      <c r="G35" s="1" t="s">
        <v>231</v>
      </c>
      <c r="H35" s="1">
        <v>80.0</v>
      </c>
      <c r="I35" s="1">
        <v>0.0</v>
      </c>
      <c r="J35" s="3">
        <f>IFERROR(__xludf.DUMMYFUNCTION("IF(H35&gt;0, IFERROR(ROUNDUP(H35 / MAX(1, INDEX(FILTER('warehouse config'!$D:$D, ('warehouse config'!$B:$B=C35) * ('warehouse config'!$C:$C=D35) * ('warehouse config'!$G:$G&lt;=A35) * (('warehouse config'!$H:$H&gt;=A35) + ISBLANK('warehouse config'!$H:$H))),1))), "&amp;"0), 0)"),7.0)</f>
        <v>7</v>
      </c>
      <c r="K35" s="3">
        <f>IFERROR(__xludf.DUMMYFUNCTION("IF(I35&gt;0, IFERROR(ROUNDUP(I35 / MAX(1, INDEX(FILTER('warehouse config'!$E:$E, ('warehouse config'!$B:$B=C35) * ('warehouse config'!$C:$C=D35) * ('warehouse config'!$G:$G&lt;=A35) * (('warehouse config'!$H:$H&gt;=A35) + ISBLANK('warehouse config'!$H:$H))),1))), "&amp;"0), 0)"),0.0)</f>
        <v>0</v>
      </c>
    </row>
    <row r="36">
      <c r="A36" s="14">
        <v>45506.0</v>
      </c>
      <c r="B36" s="1" t="s">
        <v>235</v>
      </c>
      <c r="C36" s="1" t="s">
        <v>87</v>
      </c>
      <c r="D36" s="1" t="s">
        <v>44</v>
      </c>
      <c r="E36" s="1">
        <v>10.0</v>
      </c>
      <c r="F36" s="1" t="s">
        <v>195</v>
      </c>
      <c r="G36" s="1" t="s">
        <v>236</v>
      </c>
      <c r="H36" s="1">
        <v>0.0</v>
      </c>
      <c r="I36" s="1">
        <v>108.0</v>
      </c>
      <c r="J36" s="3">
        <f>IFERROR(__xludf.DUMMYFUNCTION("IF(H36&gt;0, IFERROR(ROUNDUP(H36 / MAX(1, INDEX(FILTER('warehouse config'!$D:$D, ('warehouse config'!$B:$B=C36) * ('warehouse config'!$C:$C=D36) * ('warehouse config'!$G:$G&lt;=A36) * (('warehouse config'!$H:$H&gt;=A36) + ISBLANK('warehouse config'!$H:$H))),1))), "&amp;"0), 0)"),0.0)</f>
        <v>0</v>
      </c>
      <c r="K36" s="3">
        <f>IFERROR(__xludf.DUMMYFUNCTION("IF(I36&gt;0, IFERROR(ROUNDUP(I36 / MAX(1, INDEX(FILTER('warehouse config'!$E:$E, ('warehouse config'!$B:$B=C36) * ('warehouse config'!$C:$C=D36) * ('warehouse config'!$G:$G&lt;=A36) * (('warehouse config'!$H:$H&gt;=A36) + ISBLANK('warehouse config'!$H:$H))),1))), "&amp;"0), 0)"),7.0)</f>
        <v>7</v>
      </c>
    </row>
    <row r="37">
      <c r="A37" s="14">
        <v>45517.0</v>
      </c>
      <c r="B37" s="1" t="s">
        <v>237</v>
      </c>
      <c r="C37" s="1" t="s">
        <v>87</v>
      </c>
      <c r="D37" s="1" t="s">
        <v>44</v>
      </c>
      <c r="E37" s="1">
        <v>9.0</v>
      </c>
      <c r="F37" s="1" t="s">
        <v>195</v>
      </c>
      <c r="G37" s="1" t="s">
        <v>238</v>
      </c>
      <c r="H37" s="1">
        <v>0.0</v>
      </c>
      <c r="I37" s="1">
        <v>36.0</v>
      </c>
      <c r="J37" s="3">
        <f>IFERROR(__xludf.DUMMYFUNCTION("IF(H37&gt;0, IFERROR(ROUNDUP(H37 / MAX(1, INDEX(FILTER('warehouse config'!$D:$D, ('warehouse config'!$B:$B=C37) * ('warehouse config'!$C:$C=D37) * ('warehouse config'!$G:$G&lt;=A37) * (('warehouse config'!$H:$H&gt;=A37) + ISBLANK('warehouse config'!$H:$H))),1))), "&amp;"0), 0)"),0.0)</f>
        <v>0</v>
      </c>
      <c r="K37" s="3">
        <f>IFERROR(__xludf.DUMMYFUNCTION("IF(I37&gt;0, IFERROR(ROUNDUP(I37 / MAX(1, INDEX(FILTER('warehouse config'!$E:$E, ('warehouse config'!$B:$B=C37) * ('warehouse config'!$C:$C=D37) * ('warehouse config'!$G:$G&lt;=A37) * (('warehouse config'!$H:$H&gt;=A37) + ISBLANK('warehouse config'!$H:$H))),1))), "&amp;"0), 0)"),3.0)</f>
        <v>3</v>
      </c>
    </row>
    <row r="38">
      <c r="A38" s="14">
        <v>45517.0</v>
      </c>
      <c r="B38" s="1" t="s">
        <v>239</v>
      </c>
      <c r="C38" s="1" t="s">
        <v>87</v>
      </c>
      <c r="D38" s="1" t="s">
        <v>57</v>
      </c>
      <c r="E38" s="1">
        <v>9.0</v>
      </c>
      <c r="F38" s="1" t="s">
        <v>195</v>
      </c>
      <c r="G38" s="1" t="s">
        <v>238</v>
      </c>
      <c r="H38" s="1">
        <v>0.0</v>
      </c>
      <c r="I38" s="1">
        <v>36.0</v>
      </c>
      <c r="J38" s="3">
        <f>IFERROR(__xludf.DUMMYFUNCTION("IF(H38&gt;0, IFERROR(ROUNDUP(H38 / MAX(1, INDEX(FILTER('warehouse config'!$D:$D, ('warehouse config'!$B:$B=C38) * ('warehouse config'!$C:$C=D38) * ('warehouse config'!$G:$G&lt;=A38) * (('warehouse config'!$H:$H&gt;=A38) + ISBLANK('warehouse config'!$H:$H))),1))), "&amp;"0), 0)"),0.0)</f>
        <v>0</v>
      </c>
      <c r="K38" s="3">
        <f>IFERROR(__xludf.DUMMYFUNCTION("IF(I38&gt;0, IFERROR(ROUNDUP(I38 / MAX(1, INDEX(FILTER('warehouse config'!$E:$E, ('warehouse config'!$B:$B=C38) * ('warehouse config'!$C:$C=D38) * ('warehouse config'!$G:$G&lt;=A38) * (('warehouse config'!$H:$H&gt;=A38) + ISBLANK('warehouse config'!$H:$H))),1))), "&amp;"0), 0)"),3.0)</f>
        <v>3</v>
      </c>
    </row>
    <row r="39">
      <c r="A39" s="14">
        <v>45518.0</v>
      </c>
      <c r="B39" s="1" t="s">
        <v>240</v>
      </c>
      <c r="C39" s="1" t="s">
        <v>87</v>
      </c>
      <c r="D39" s="1" t="s">
        <v>44</v>
      </c>
      <c r="E39" s="1">
        <v>11.0</v>
      </c>
      <c r="F39" s="1" t="s">
        <v>189</v>
      </c>
      <c r="G39" s="1" t="s">
        <v>241</v>
      </c>
      <c r="H39" s="1">
        <v>504.0</v>
      </c>
      <c r="I39" s="1">
        <v>0.0</v>
      </c>
      <c r="J39" s="3">
        <f>IFERROR(__xludf.DUMMYFUNCTION("IF(H39&gt;0, IFERROR(ROUNDUP(H39 / MAX(1, INDEX(FILTER('warehouse config'!$D:$D, ('warehouse config'!$B:$B=C39) * ('warehouse config'!$C:$C=D39) * ('warehouse config'!$G:$G&lt;=A39) * (('warehouse config'!$H:$H&gt;=A39) + ISBLANK('warehouse config'!$H:$H))),1))), "&amp;"0), 0)"),36.0)</f>
        <v>36</v>
      </c>
      <c r="K39" s="3">
        <f>IFERROR(__xludf.DUMMYFUNCTION("IF(I39&gt;0, IFERROR(ROUNDUP(I39 / MAX(1, INDEX(FILTER('warehouse config'!$E:$E, ('warehouse config'!$B:$B=C39) * ('warehouse config'!$C:$C=D39) * ('warehouse config'!$G:$G&lt;=A39) * (('warehouse config'!$H:$H&gt;=A39) + ISBLANK('warehouse config'!$H:$H))),1))), "&amp;"0), 0)"),0.0)</f>
        <v>0</v>
      </c>
    </row>
    <row r="40">
      <c r="A40" s="14">
        <v>45518.0</v>
      </c>
      <c r="B40" s="1" t="s">
        <v>242</v>
      </c>
      <c r="C40" s="1" t="s">
        <v>87</v>
      </c>
      <c r="D40" s="1" t="s">
        <v>57</v>
      </c>
      <c r="E40" s="1">
        <v>11.0</v>
      </c>
      <c r="F40" s="1" t="s">
        <v>189</v>
      </c>
      <c r="G40" s="1" t="s">
        <v>241</v>
      </c>
      <c r="H40" s="1">
        <v>180.0</v>
      </c>
      <c r="I40" s="1">
        <v>0.0</v>
      </c>
      <c r="J40" s="3">
        <f>IFERROR(__xludf.DUMMYFUNCTION("IF(H40&gt;0, IFERROR(ROUNDUP(H40 / MAX(1, INDEX(FILTER('warehouse config'!$D:$D, ('warehouse config'!$B:$B=C40) * ('warehouse config'!$C:$C=D40) * ('warehouse config'!$G:$G&lt;=A40) * (('warehouse config'!$H:$H&gt;=A40) + ISBLANK('warehouse config'!$H:$H))),1))), "&amp;"0), 0)"),13.0)</f>
        <v>13</v>
      </c>
      <c r="K40" s="3">
        <f>IFERROR(__xludf.DUMMYFUNCTION("IF(I40&gt;0, IFERROR(ROUNDUP(I40 / MAX(1, INDEX(FILTER('warehouse config'!$E:$E, ('warehouse config'!$B:$B=C40) * ('warehouse config'!$C:$C=D40) * ('warehouse config'!$G:$G&lt;=A40) * (('warehouse config'!$H:$H&gt;=A40) + ISBLANK('warehouse config'!$H:$H))),1))), "&amp;"0), 0)"),0.0)</f>
        <v>0</v>
      </c>
    </row>
    <row r="41">
      <c r="A41" s="14">
        <v>45518.0</v>
      </c>
      <c r="B41" s="1" t="s">
        <v>243</v>
      </c>
      <c r="C41" s="1" t="s">
        <v>87</v>
      </c>
      <c r="D41" s="1" t="s">
        <v>37</v>
      </c>
      <c r="E41" s="1">
        <v>11.0</v>
      </c>
      <c r="F41" s="1" t="s">
        <v>189</v>
      </c>
      <c r="G41" s="1" t="s">
        <v>241</v>
      </c>
      <c r="H41" s="1">
        <v>46.0</v>
      </c>
      <c r="I41" s="1">
        <v>0.0</v>
      </c>
      <c r="J41" s="3">
        <f>IFERROR(__xludf.DUMMYFUNCTION("IF(H41&gt;0, IFERROR(ROUNDUP(H41 / MAX(1, INDEX(FILTER('warehouse config'!$D:$D, ('warehouse config'!$B:$B=C41) * ('warehouse config'!$C:$C=D41) * ('warehouse config'!$G:$G&lt;=A41) * (('warehouse config'!$H:$H&gt;=A41) + ISBLANK('warehouse config'!$H:$H))),1))), "&amp;"0), 0)"),2.0)</f>
        <v>2</v>
      </c>
      <c r="K41" s="3">
        <f>IFERROR(__xludf.DUMMYFUNCTION("IF(I41&gt;0, IFERROR(ROUNDUP(I41 / MAX(1, INDEX(FILTER('warehouse config'!$E:$E, ('warehouse config'!$B:$B=C41) * ('warehouse config'!$C:$C=D41) * ('warehouse config'!$G:$G&lt;=A41) * (('warehouse config'!$H:$H&gt;=A41) + ISBLANK('warehouse config'!$H:$H))),1))), "&amp;"0), 0)"),0.0)</f>
        <v>0</v>
      </c>
    </row>
    <row r="42">
      <c r="A42" s="14">
        <v>45524.0</v>
      </c>
      <c r="B42" s="1" t="s">
        <v>244</v>
      </c>
      <c r="C42" s="1" t="s">
        <v>87</v>
      </c>
      <c r="D42" s="1" t="s">
        <v>44</v>
      </c>
      <c r="E42" s="1">
        <v>10.0</v>
      </c>
      <c r="F42" s="1" t="s">
        <v>195</v>
      </c>
      <c r="G42" s="1" t="s">
        <v>245</v>
      </c>
      <c r="H42" s="1">
        <v>0.0</v>
      </c>
      <c r="I42" s="1">
        <v>20.0</v>
      </c>
      <c r="J42" s="3">
        <f>IFERROR(__xludf.DUMMYFUNCTION("IF(H42&gt;0, IFERROR(ROUNDUP(H42 / MAX(1, INDEX(FILTER('warehouse config'!$D:$D, ('warehouse config'!$B:$B=C42) * ('warehouse config'!$C:$C=D42) * ('warehouse config'!$G:$G&lt;=A42) * (('warehouse config'!$H:$H&gt;=A42) + ISBLANK('warehouse config'!$H:$H))),1))), "&amp;"0), 0)"),0.0)</f>
        <v>0</v>
      </c>
      <c r="K42" s="3">
        <f>IFERROR(__xludf.DUMMYFUNCTION("IF(I42&gt;0, IFERROR(ROUNDUP(I42 / MAX(1, INDEX(FILTER('warehouse config'!$E:$E, ('warehouse config'!$B:$B=C42) * ('warehouse config'!$C:$C=D42) * ('warehouse config'!$G:$G&lt;=A42) * (('warehouse config'!$H:$H&gt;=A42) + ISBLANK('warehouse config'!$H:$H))),1))), "&amp;"0), 0)"),2.0)</f>
        <v>2</v>
      </c>
    </row>
    <row r="43">
      <c r="A43" s="14">
        <v>45524.0</v>
      </c>
      <c r="B43" s="1" t="s">
        <v>246</v>
      </c>
      <c r="C43" s="1" t="s">
        <v>87</v>
      </c>
      <c r="D43" s="1" t="s">
        <v>28</v>
      </c>
      <c r="E43" s="1">
        <v>8.0</v>
      </c>
      <c r="F43" s="1" t="s">
        <v>195</v>
      </c>
      <c r="G43" s="1" t="s">
        <v>245</v>
      </c>
      <c r="H43" s="1">
        <v>0.0</v>
      </c>
      <c r="I43" s="1">
        <v>4.0</v>
      </c>
      <c r="J43" s="3">
        <f>IFERROR(__xludf.DUMMYFUNCTION("IF(H43&gt;0, IFERROR(ROUNDUP(H43 / MAX(1, INDEX(FILTER('warehouse config'!$D:$D, ('warehouse config'!$B:$B=C43) * ('warehouse config'!$C:$C=D43) * ('warehouse config'!$G:$G&lt;=A43) * (('warehouse config'!$H:$H&gt;=A43) + ISBLANK('warehouse config'!$H:$H))),1))), "&amp;"0), 0)"),0.0)</f>
        <v>0</v>
      </c>
      <c r="K43" s="3">
        <f>IFERROR(__xludf.DUMMYFUNCTION("IF(I43&gt;0, IFERROR(ROUNDUP(I43 / MAX(1, INDEX(FILTER('warehouse config'!$E:$E, ('warehouse config'!$B:$B=C43) * ('warehouse config'!$C:$C=D43) * ('warehouse config'!$G:$G&lt;=A43) * (('warehouse config'!$H:$H&gt;=A43) + ISBLANK('warehouse config'!$H:$H))),1))), "&amp;"0), 0)"),1.0)</f>
        <v>1</v>
      </c>
    </row>
    <row r="44">
      <c r="A44" s="14">
        <v>45524.0</v>
      </c>
      <c r="B44" s="1" t="s">
        <v>247</v>
      </c>
      <c r="C44" s="1" t="s">
        <v>87</v>
      </c>
      <c r="D44" s="1" t="s">
        <v>57</v>
      </c>
      <c r="E44" s="1">
        <v>9.0</v>
      </c>
      <c r="F44" s="1" t="s">
        <v>195</v>
      </c>
      <c r="G44" s="1" t="s">
        <v>245</v>
      </c>
      <c r="H44" s="1">
        <v>0.0</v>
      </c>
      <c r="I44" s="1">
        <v>12.0</v>
      </c>
      <c r="J44" s="3">
        <f>IFERROR(__xludf.DUMMYFUNCTION("IF(H44&gt;0, IFERROR(ROUNDUP(H44 / MAX(1, INDEX(FILTER('warehouse config'!$D:$D, ('warehouse config'!$B:$B=C44) * ('warehouse config'!$C:$C=D44) * ('warehouse config'!$G:$G&lt;=A44) * (('warehouse config'!$H:$H&gt;=A44) + ISBLANK('warehouse config'!$H:$H))),1))), "&amp;"0), 0)"),0.0)</f>
        <v>0</v>
      </c>
      <c r="K44" s="3">
        <f>IFERROR(__xludf.DUMMYFUNCTION("IF(I44&gt;0, IFERROR(ROUNDUP(I44 / MAX(1, INDEX(FILTER('warehouse config'!$E:$E, ('warehouse config'!$B:$B=C44) * ('warehouse config'!$C:$C=D44) * ('warehouse config'!$G:$G&lt;=A44) * (('warehouse config'!$H:$H&gt;=A44) + ISBLANK('warehouse config'!$H:$H))),1))), "&amp;"0), 0)"),1.0)</f>
        <v>1</v>
      </c>
    </row>
    <row r="45">
      <c r="A45" s="14">
        <v>45524.0</v>
      </c>
      <c r="B45" s="1" t="s">
        <v>248</v>
      </c>
      <c r="C45" s="1" t="s">
        <v>87</v>
      </c>
      <c r="D45" s="1" t="s">
        <v>68</v>
      </c>
      <c r="E45" s="1">
        <v>9.0</v>
      </c>
      <c r="F45" s="1" t="s">
        <v>195</v>
      </c>
      <c r="G45" s="1" t="s">
        <v>245</v>
      </c>
      <c r="H45" s="1">
        <v>0.0</v>
      </c>
      <c r="I45" s="1">
        <v>12.0</v>
      </c>
      <c r="J45" s="3">
        <f>IFERROR(__xludf.DUMMYFUNCTION("IF(H45&gt;0, IFERROR(ROUNDUP(H45 / MAX(1, INDEX(FILTER('warehouse config'!$D:$D, ('warehouse config'!$B:$B=C45) * ('warehouse config'!$C:$C=D45) * ('warehouse config'!$G:$G&lt;=A45) * (('warehouse config'!$H:$H&gt;=A45) + ISBLANK('warehouse config'!$H:$H))),1))), "&amp;"0), 0)"),0.0)</f>
        <v>0</v>
      </c>
      <c r="K45" s="3">
        <f>IFERROR(__xludf.DUMMYFUNCTION("IF(I45&gt;0, IFERROR(ROUNDUP(I45 / MAX(1, INDEX(FILTER('warehouse config'!$E:$E, ('warehouse config'!$B:$B=C45) * ('warehouse config'!$C:$C=D45) * ('warehouse config'!$G:$G&lt;=A45) * (('warehouse config'!$H:$H&gt;=A45) + ISBLANK('warehouse config'!$H:$H))),1))), "&amp;"0), 0)"),1.0)</f>
        <v>1</v>
      </c>
    </row>
    <row r="46">
      <c r="A46" s="14">
        <v>45524.0</v>
      </c>
      <c r="B46" s="1" t="s">
        <v>249</v>
      </c>
      <c r="C46" s="1" t="s">
        <v>87</v>
      </c>
      <c r="D46" s="1" t="s">
        <v>75</v>
      </c>
      <c r="E46" s="1">
        <v>9.0</v>
      </c>
      <c r="F46" s="1" t="s">
        <v>195</v>
      </c>
      <c r="G46" s="1" t="s">
        <v>245</v>
      </c>
      <c r="H46" s="1">
        <v>0.0</v>
      </c>
      <c r="I46" s="1">
        <v>12.0</v>
      </c>
      <c r="J46" s="3">
        <f>IFERROR(__xludf.DUMMYFUNCTION("IF(H46&gt;0, IFERROR(ROUNDUP(H46 / MAX(1, INDEX(FILTER('warehouse config'!$D:$D, ('warehouse config'!$B:$B=C46) * ('warehouse config'!$C:$C=D46) * ('warehouse config'!$G:$G&lt;=A46) * (('warehouse config'!$H:$H&gt;=A46) + ISBLANK('warehouse config'!$H:$H))),1))), "&amp;"0), 0)"),0.0)</f>
        <v>0</v>
      </c>
      <c r="K46" s="3">
        <f>IFERROR(__xludf.DUMMYFUNCTION("IF(I46&gt;0, IFERROR(ROUNDUP(I46 / MAX(1, INDEX(FILTER('warehouse config'!$E:$E, ('warehouse config'!$B:$B=C46) * ('warehouse config'!$C:$C=D46) * ('warehouse config'!$G:$G&lt;=A46) * (('warehouse config'!$H:$H&gt;=A46) + ISBLANK('warehouse config'!$H:$H))),1))), "&amp;"0), 0)"),1.0)</f>
        <v>1</v>
      </c>
    </row>
    <row r="47">
      <c r="A47" s="14">
        <v>45526.0</v>
      </c>
      <c r="B47" s="1" t="s">
        <v>250</v>
      </c>
      <c r="C47" s="1" t="s">
        <v>87</v>
      </c>
      <c r="D47" s="1" t="s">
        <v>44</v>
      </c>
      <c r="E47" s="1">
        <v>10.0</v>
      </c>
      <c r="F47" s="1" t="s">
        <v>195</v>
      </c>
      <c r="G47" s="1" t="s">
        <v>251</v>
      </c>
      <c r="H47" s="1">
        <v>0.0</v>
      </c>
      <c r="I47" s="1">
        <v>90.0</v>
      </c>
      <c r="J47" s="3">
        <f>IFERROR(__xludf.DUMMYFUNCTION("IF(H47&gt;0, IFERROR(ROUNDUP(H47 / MAX(1, INDEX(FILTER('warehouse config'!$D:$D, ('warehouse config'!$B:$B=C47) * ('warehouse config'!$C:$C=D47) * ('warehouse config'!$G:$G&lt;=A47) * (('warehouse config'!$H:$H&gt;=A47) + ISBLANK('warehouse config'!$H:$H))),1))), "&amp;"0), 0)"),0.0)</f>
        <v>0</v>
      </c>
      <c r="K47" s="3">
        <f>IFERROR(__xludf.DUMMYFUNCTION("IF(I47&gt;0, IFERROR(ROUNDUP(I47 / MAX(1, INDEX(FILTER('warehouse config'!$E:$E, ('warehouse config'!$B:$B=C47) * ('warehouse config'!$C:$C=D47) * ('warehouse config'!$G:$G&lt;=A47) * (('warehouse config'!$H:$H&gt;=A47) + ISBLANK('warehouse config'!$H:$H))),1))), "&amp;"0), 0)"),6.0)</f>
        <v>6</v>
      </c>
    </row>
    <row r="48">
      <c r="A48" s="14">
        <v>45526.0</v>
      </c>
      <c r="B48" s="1" t="s">
        <v>252</v>
      </c>
      <c r="C48" s="1" t="s">
        <v>87</v>
      </c>
      <c r="D48" s="1" t="s">
        <v>57</v>
      </c>
      <c r="E48" s="1">
        <v>9.0</v>
      </c>
      <c r="F48" s="1" t="s">
        <v>195</v>
      </c>
      <c r="G48" s="1" t="s">
        <v>251</v>
      </c>
      <c r="H48" s="1">
        <v>0.0</v>
      </c>
      <c r="I48" s="1">
        <v>7.0</v>
      </c>
      <c r="J48" s="3">
        <f>IFERROR(__xludf.DUMMYFUNCTION("IF(H48&gt;0, IFERROR(ROUNDUP(H48 / MAX(1, INDEX(FILTER('warehouse config'!$D:$D, ('warehouse config'!$B:$B=C48) * ('warehouse config'!$C:$C=D48) * ('warehouse config'!$G:$G&lt;=A48) * (('warehouse config'!$H:$H&gt;=A48) + ISBLANK('warehouse config'!$H:$H))),1))), "&amp;"0), 0)"),0.0)</f>
        <v>0</v>
      </c>
      <c r="K48" s="3">
        <f>IFERROR(__xludf.DUMMYFUNCTION("IF(I48&gt;0, IFERROR(ROUNDUP(I48 / MAX(1, INDEX(FILTER('warehouse config'!$E:$E, ('warehouse config'!$B:$B=C48) * ('warehouse config'!$C:$C=D48) * ('warehouse config'!$G:$G&lt;=A48) * (('warehouse config'!$H:$H&gt;=A48) + ISBLANK('warehouse config'!$H:$H))),1))), "&amp;"0), 0)"),1.0)</f>
        <v>1</v>
      </c>
    </row>
    <row r="49">
      <c r="A49" s="14">
        <v>45526.0</v>
      </c>
      <c r="B49" s="1" t="s">
        <v>253</v>
      </c>
      <c r="C49" s="1" t="s">
        <v>87</v>
      </c>
      <c r="D49" s="1" t="s">
        <v>57</v>
      </c>
      <c r="E49" s="1">
        <v>10.0</v>
      </c>
      <c r="F49" s="1" t="s">
        <v>195</v>
      </c>
      <c r="G49" s="1" t="s">
        <v>251</v>
      </c>
      <c r="H49" s="1">
        <v>0.0</v>
      </c>
      <c r="I49" s="1">
        <v>47.0</v>
      </c>
      <c r="J49" s="3">
        <f>IFERROR(__xludf.DUMMYFUNCTION("IF(H49&gt;0, IFERROR(ROUNDUP(H49 / MAX(1, INDEX(FILTER('warehouse config'!$D:$D, ('warehouse config'!$B:$B=C49) * ('warehouse config'!$C:$C=D49) * ('warehouse config'!$G:$G&lt;=A49) * (('warehouse config'!$H:$H&gt;=A49) + ISBLANK('warehouse config'!$H:$H))),1))), "&amp;"0), 0)"),0.0)</f>
        <v>0</v>
      </c>
      <c r="K49" s="3">
        <f>IFERROR(__xludf.DUMMYFUNCTION("IF(I49&gt;0, IFERROR(ROUNDUP(I49 / MAX(1, INDEX(FILTER('warehouse config'!$E:$E, ('warehouse config'!$B:$B=C49) * ('warehouse config'!$C:$C=D49) * ('warehouse config'!$G:$G&lt;=A49) * (('warehouse config'!$H:$H&gt;=A49) + ISBLANK('warehouse config'!$H:$H))),1))), "&amp;"0), 0)"),3.0)</f>
        <v>3</v>
      </c>
    </row>
    <row r="50">
      <c r="A50" s="14">
        <v>45526.0</v>
      </c>
      <c r="B50" s="1" t="s">
        <v>254</v>
      </c>
      <c r="C50" s="1" t="s">
        <v>87</v>
      </c>
      <c r="D50" s="1" t="s">
        <v>68</v>
      </c>
      <c r="E50" s="1">
        <v>9.0</v>
      </c>
      <c r="F50" s="1" t="s">
        <v>195</v>
      </c>
      <c r="G50" s="1" t="s">
        <v>251</v>
      </c>
      <c r="H50" s="1">
        <v>0.0</v>
      </c>
      <c r="I50" s="1">
        <v>18.0</v>
      </c>
      <c r="J50" s="3">
        <f>IFERROR(__xludf.DUMMYFUNCTION("IF(H50&gt;0, IFERROR(ROUNDUP(H50 / MAX(1, INDEX(FILTER('warehouse config'!$D:$D, ('warehouse config'!$B:$B=C50) * ('warehouse config'!$C:$C=D50) * ('warehouse config'!$G:$G&lt;=A50) * (('warehouse config'!$H:$H&gt;=A50) + ISBLANK('warehouse config'!$H:$H))),1))), "&amp;"0), 0)"),0.0)</f>
        <v>0</v>
      </c>
      <c r="K50" s="3">
        <f>IFERROR(__xludf.DUMMYFUNCTION("IF(I50&gt;0, IFERROR(ROUNDUP(I50 / MAX(1, INDEX(FILTER('warehouse config'!$E:$E, ('warehouse config'!$B:$B=C50) * ('warehouse config'!$C:$C=D50) * ('warehouse config'!$G:$G&lt;=A50) * (('warehouse config'!$H:$H&gt;=A50) + ISBLANK('warehouse config'!$H:$H))),1))), "&amp;"0), 0)"),1.0)</f>
        <v>1</v>
      </c>
    </row>
    <row r="51">
      <c r="A51" s="14">
        <v>45526.0</v>
      </c>
      <c r="B51" s="1" t="s">
        <v>255</v>
      </c>
      <c r="C51" s="1" t="s">
        <v>87</v>
      </c>
      <c r="D51" s="1" t="s">
        <v>75</v>
      </c>
      <c r="E51" s="1">
        <v>9.0</v>
      </c>
      <c r="F51" s="1" t="s">
        <v>195</v>
      </c>
      <c r="G51" s="1" t="s">
        <v>251</v>
      </c>
      <c r="H51" s="1">
        <v>0.0</v>
      </c>
      <c r="I51" s="1">
        <v>54.0</v>
      </c>
      <c r="J51" s="3">
        <f>IFERROR(__xludf.DUMMYFUNCTION("IF(H51&gt;0, IFERROR(ROUNDUP(H51 / MAX(1, INDEX(FILTER('warehouse config'!$D:$D, ('warehouse config'!$B:$B=C51) * ('warehouse config'!$C:$C=D51) * ('warehouse config'!$G:$G&lt;=A51) * (('warehouse config'!$H:$H&gt;=A51) + ISBLANK('warehouse config'!$H:$H))),1))), "&amp;"0), 0)"),0.0)</f>
        <v>0</v>
      </c>
      <c r="K51" s="3">
        <f>IFERROR(__xludf.DUMMYFUNCTION("IF(I51&gt;0, IFERROR(ROUNDUP(I51 / MAX(1, INDEX(FILTER('warehouse config'!$E:$E, ('warehouse config'!$B:$B=C51) * ('warehouse config'!$C:$C=D51) * ('warehouse config'!$G:$G&lt;=A51) * (('warehouse config'!$H:$H&gt;=A51) + ISBLANK('warehouse config'!$H:$H))),1))), "&amp;"0), 0)"),3.0)</f>
        <v>3</v>
      </c>
    </row>
    <row r="52">
      <c r="A52" s="14">
        <v>45546.0</v>
      </c>
      <c r="B52" s="1" t="s">
        <v>256</v>
      </c>
      <c r="C52" s="1" t="s">
        <v>87</v>
      </c>
      <c r="D52" s="1" t="s">
        <v>44</v>
      </c>
      <c r="E52" s="1">
        <v>10.0</v>
      </c>
      <c r="F52" s="1" t="s">
        <v>195</v>
      </c>
      <c r="G52" s="1" t="s">
        <v>257</v>
      </c>
      <c r="H52" s="1">
        <v>0.0</v>
      </c>
      <c r="I52" s="1">
        <v>108.0</v>
      </c>
      <c r="J52" s="3">
        <f>IFERROR(__xludf.DUMMYFUNCTION("IF(H52&gt;0, IFERROR(ROUNDUP(H52 / MAX(1, INDEX(FILTER('warehouse config'!$D:$D, ('warehouse config'!$B:$B=C52) * ('warehouse config'!$C:$C=D52) * ('warehouse config'!$G:$G&lt;=A52) * (('warehouse config'!$H:$H&gt;=A52) + ISBLANK('warehouse config'!$H:$H))),1))), "&amp;"0), 0)"),0.0)</f>
        <v>0</v>
      </c>
      <c r="K52" s="3">
        <f>IFERROR(__xludf.DUMMYFUNCTION("IF(I52&gt;0, IFERROR(ROUNDUP(I52 / MAX(1, INDEX(FILTER('warehouse config'!$E:$E, ('warehouse config'!$B:$B=C52) * ('warehouse config'!$C:$C=D52) * ('warehouse config'!$G:$G&lt;=A52) * (('warehouse config'!$H:$H&gt;=A52) + ISBLANK('warehouse config'!$H:$H))),1))), "&amp;"0), 0)"),7.0)</f>
        <v>7</v>
      </c>
    </row>
    <row r="53">
      <c r="A53" s="14">
        <v>45546.0</v>
      </c>
      <c r="B53" s="1" t="s">
        <v>258</v>
      </c>
      <c r="C53" s="1" t="s">
        <v>87</v>
      </c>
      <c r="D53" s="1" t="s">
        <v>57</v>
      </c>
      <c r="E53" s="1">
        <v>10.0</v>
      </c>
      <c r="F53" s="1" t="s">
        <v>195</v>
      </c>
      <c r="G53" s="1" t="s">
        <v>257</v>
      </c>
      <c r="H53" s="1">
        <v>0.0</v>
      </c>
      <c r="I53" s="1">
        <v>54.0</v>
      </c>
      <c r="J53" s="3">
        <f>IFERROR(__xludf.DUMMYFUNCTION("IF(H53&gt;0, IFERROR(ROUNDUP(H53 / MAX(1, INDEX(FILTER('warehouse config'!$D:$D, ('warehouse config'!$B:$B=C53) * ('warehouse config'!$C:$C=D53) * ('warehouse config'!$G:$G&lt;=A53) * (('warehouse config'!$H:$H&gt;=A53) + ISBLANK('warehouse config'!$H:$H))),1))), "&amp;"0), 0)"),0.0)</f>
        <v>0</v>
      </c>
      <c r="K53" s="3">
        <f>IFERROR(__xludf.DUMMYFUNCTION("IF(I53&gt;0, IFERROR(ROUNDUP(I53 / MAX(1, INDEX(FILTER('warehouse config'!$E:$E, ('warehouse config'!$B:$B=C53) * ('warehouse config'!$C:$C=D53) * ('warehouse config'!$G:$G&lt;=A53) * (('warehouse config'!$H:$H&gt;=A53) + ISBLANK('warehouse config'!$H:$H))),1))), "&amp;"0), 0)"),4.0)</f>
        <v>4</v>
      </c>
    </row>
    <row r="54">
      <c r="A54" s="14">
        <v>45546.0</v>
      </c>
      <c r="B54" s="1" t="s">
        <v>259</v>
      </c>
      <c r="C54" s="1" t="s">
        <v>87</v>
      </c>
      <c r="D54" s="1" t="s">
        <v>68</v>
      </c>
      <c r="E54" s="1">
        <v>9.0</v>
      </c>
      <c r="F54" s="1" t="s">
        <v>195</v>
      </c>
      <c r="G54" s="1" t="s">
        <v>257</v>
      </c>
      <c r="H54" s="1">
        <v>0.0</v>
      </c>
      <c r="I54" s="1">
        <v>18.0</v>
      </c>
      <c r="J54" s="3">
        <f>IFERROR(__xludf.DUMMYFUNCTION("IF(H54&gt;0, IFERROR(ROUNDUP(H54 / MAX(1, INDEX(FILTER('warehouse config'!$D:$D, ('warehouse config'!$B:$B=C54) * ('warehouse config'!$C:$C=D54) * ('warehouse config'!$G:$G&lt;=A54) * (('warehouse config'!$H:$H&gt;=A54) + ISBLANK('warehouse config'!$H:$H))),1))), "&amp;"0), 0)"),0.0)</f>
        <v>0</v>
      </c>
      <c r="K54" s="3">
        <f>IFERROR(__xludf.DUMMYFUNCTION("IF(I54&gt;0, IFERROR(ROUNDUP(I54 / MAX(1, INDEX(FILTER('warehouse config'!$E:$E, ('warehouse config'!$B:$B=C54) * ('warehouse config'!$C:$C=D54) * ('warehouse config'!$G:$G&lt;=A54) * (('warehouse config'!$H:$H&gt;=A54) + ISBLANK('warehouse config'!$H:$H))),1))), "&amp;"0), 0)"),1.0)</f>
        <v>1</v>
      </c>
    </row>
    <row r="55">
      <c r="A55" s="14">
        <v>45546.0</v>
      </c>
      <c r="B55" s="1" t="s">
        <v>260</v>
      </c>
      <c r="C55" s="1" t="s">
        <v>87</v>
      </c>
      <c r="D55" s="1" t="s">
        <v>75</v>
      </c>
      <c r="E55" s="1">
        <v>9.0</v>
      </c>
      <c r="F55" s="1" t="s">
        <v>195</v>
      </c>
      <c r="G55" s="1" t="s">
        <v>257</v>
      </c>
      <c r="H55" s="1">
        <v>0.0</v>
      </c>
      <c r="I55" s="1">
        <v>18.0</v>
      </c>
      <c r="J55" s="3">
        <f>IFERROR(__xludf.DUMMYFUNCTION("IF(H55&gt;0, IFERROR(ROUNDUP(H55 / MAX(1, INDEX(FILTER('warehouse config'!$D:$D, ('warehouse config'!$B:$B=C55) * ('warehouse config'!$C:$C=D55) * ('warehouse config'!$G:$G&lt;=A55) * (('warehouse config'!$H:$H&gt;=A55) + ISBLANK('warehouse config'!$H:$H))),1))), "&amp;"0), 0)"),0.0)</f>
        <v>0</v>
      </c>
      <c r="K55" s="3">
        <f>IFERROR(__xludf.DUMMYFUNCTION("IF(I55&gt;0, IFERROR(ROUNDUP(I55 / MAX(1, INDEX(FILTER('warehouse config'!$E:$E, ('warehouse config'!$B:$B=C55) * ('warehouse config'!$C:$C=D55) * ('warehouse config'!$G:$G&lt;=A55) * (('warehouse config'!$H:$H&gt;=A55) + ISBLANK('warehouse config'!$H:$H))),1))), "&amp;"0), 0)"),1.0)</f>
        <v>1</v>
      </c>
    </row>
    <row r="56">
      <c r="A56" s="14">
        <v>45551.0</v>
      </c>
      <c r="B56" s="1" t="s">
        <v>261</v>
      </c>
      <c r="C56" s="1" t="s">
        <v>87</v>
      </c>
      <c r="D56" s="1" t="s">
        <v>44</v>
      </c>
      <c r="E56" s="1">
        <v>10.0</v>
      </c>
      <c r="F56" s="1" t="s">
        <v>195</v>
      </c>
      <c r="G56" s="1" t="s">
        <v>262</v>
      </c>
      <c r="H56" s="1">
        <v>0.0</v>
      </c>
      <c r="I56" s="1">
        <v>20.0</v>
      </c>
      <c r="J56" s="3">
        <f>IFERROR(__xludf.DUMMYFUNCTION("IF(H56&gt;0, IFERROR(ROUNDUP(H56 / MAX(1, INDEX(FILTER('warehouse config'!$D:$D, ('warehouse config'!$B:$B=C56) * ('warehouse config'!$C:$C=D56) * ('warehouse config'!$G:$G&lt;=A56) * (('warehouse config'!$H:$H&gt;=A56) + ISBLANK('warehouse config'!$H:$H))),1))), "&amp;"0), 0)"),0.0)</f>
        <v>0</v>
      </c>
      <c r="K56" s="3">
        <f>IFERROR(__xludf.DUMMYFUNCTION("IF(I56&gt;0, IFERROR(ROUNDUP(I56 / MAX(1, INDEX(FILTER('warehouse config'!$E:$E, ('warehouse config'!$B:$B=C56) * ('warehouse config'!$C:$C=D56) * ('warehouse config'!$G:$G&lt;=A56) * (('warehouse config'!$H:$H&gt;=A56) + ISBLANK('warehouse config'!$H:$H))),1))), "&amp;"0), 0)"),2.0)</f>
        <v>2</v>
      </c>
    </row>
    <row r="57">
      <c r="A57" s="14">
        <v>45551.0</v>
      </c>
      <c r="B57" s="1" t="s">
        <v>263</v>
      </c>
      <c r="C57" s="1" t="s">
        <v>87</v>
      </c>
      <c r="D57" s="1" t="s">
        <v>44</v>
      </c>
      <c r="E57" s="1">
        <v>10.0</v>
      </c>
      <c r="F57" s="1" t="s">
        <v>195</v>
      </c>
      <c r="G57" s="1" t="s">
        <v>264</v>
      </c>
      <c r="H57" s="1">
        <v>0.0</v>
      </c>
      <c r="I57" s="1">
        <v>18.0</v>
      </c>
      <c r="J57" s="3">
        <f>IFERROR(__xludf.DUMMYFUNCTION("IF(H57&gt;0, IFERROR(ROUNDUP(H57 / MAX(1, INDEX(FILTER('warehouse config'!$D:$D, ('warehouse config'!$B:$B=C57) * ('warehouse config'!$C:$C=D57) * ('warehouse config'!$G:$G&lt;=A57) * (('warehouse config'!$H:$H&gt;=A57) + ISBLANK('warehouse config'!$H:$H))),1))), "&amp;"0), 0)"),0.0)</f>
        <v>0</v>
      </c>
      <c r="K57" s="3">
        <f>IFERROR(__xludf.DUMMYFUNCTION("IF(I57&gt;0, IFERROR(ROUNDUP(I57 / MAX(1, INDEX(FILTER('warehouse config'!$E:$E, ('warehouse config'!$B:$B=C57) * ('warehouse config'!$C:$C=D57) * ('warehouse config'!$G:$G&lt;=A57) * (('warehouse config'!$H:$H&gt;=A57) + ISBLANK('warehouse config'!$H:$H))),1))), "&amp;"0), 0)"),2.0)</f>
        <v>2</v>
      </c>
    </row>
    <row r="58">
      <c r="A58" s="14">
        <v>45551.0</v>
      </c>
      <c r="B58" s="1" t="s">
        <v>265</v>
      </c>
      <c r="C58" s="1" t="s">
        <v>87</v>
      </c>
      <c r="D58" s="1" t="s">
        <v>57</v>
      </c>
      <c r="E58" s="1">
        <v>10.0</v>
      </c>
      <c r="F58" s="1" t="s">
        <v>195</v>
      </c>
      <c r="G58" s="1" t="s">
        <v>264</v>
      </c>
      <c r="H58" s="1">
        <v>0.0</v>
      </c>
      <c r="I58" s="1">
        <v>18.0</v>
      </c>
      <c r="J58" s="3">
        <f>IFERROR(__xludf.DUMMYFUNCTION("IF(H58&gt;0, IFERROR(ROUNDUP(H58 / MAX(1, INDEX(FILTER('warehouse config'!$D:$D, ('warehouse config'!$B:$B=C58) * ('warehouse config'!$C:$C=D58) * ('warehouse config'!$G:$G&lt;=A58) * (('warehouse config'!$H:$H&gt;=A58) + ISBLANK('warehouse config'!$H:$H))),1))), "&amp;"0), 0)"),0.0)</f>
        <v>0</v>
      </c>
      <c r="K58" s="3">
        <f>IFERROR(__xludf.DUMMYFUNCTION("IF(I58&gt;0, IFERROR(ROUNDUP(I58 / MAX(1, INDEX(FILTER('warehouse config'!$E:$E, ('warehouse config'!$B:$B=C58) * ('warehouse config'!$C:$C=D58) * ('warehouse config'!$G:$G&lt;=A58) * (('warehouse config'!$H:$H&gt;=A58) + ISBLANK('warehouse config'!$H:$H))),1))), "&amp;"0), 0)"),2.0)</f>
        <v>2</v>
      </c>
    </row>
    <row r="59">
      <c r="A59" s="14">
        <v>45553.0</v>
      </c>
      <c r="B59" s="1" t="s">
        <v>266</v>
      </c>
      <c r="C59" s="1" t="s">
        <v>97</v>
      </c>
      <c r="D59" s="1" t="s">
        <v>44</v>
      </c>
      <c r="E59" s="1">
        <v>12.0</v>
      </c>
      <c r="F59" s="1" t="s">
        <v>189</v>
      </c>
      <c r="G59" s="1" t="s">
        <v>267</v>
      </c>
      <c r="H59" s="1">
        <v>300.0</v>
      </c>
      <c r="I59" s="1">
        <v>0.0</v>
      </c>
      <c r="J59" s="3">
        <f>IFERROR(__xludf.DUMMYFUNCTION("IF(H59&gt;0, IFERROR(ROUNDUP(H59 / MAX(1, INDEX(FILTER('warehouse config'!$D:$D, ('warehouse config'!$B:$B=C59) * ('warehouse config'!$C:$C=D59) * ('warehouse config'!$G:$G&lt;=A59) * (('warehouse config'!$H:$H&gt;=A59) + ISBLANK('warehouse config'!$H:$H))),1))), "&amp;"0), 0)"),19.0)</f>
        <v>19</v>
      </c>
      <c r="K59" s="3">
        <f>IFERROR(__xludf.DUMMYFUNCTION("IF(I59&gt;0, IFERROR(ROUNDUP(I59 / MAX(1, INDEX(FILTER('warehouse config'!$E:$E, ('warehouse config'!$B:$B=C59) * ('warehouse config'!$C:$C=D59) * ('warehouse config'!$G:$G&lt;=A59) * (('warehouse config'!$H:$H&gt;=A59) + ISBLANK('warehouse config'!$H:$H))),1))), "&amp;"0), 0)"),0.0)</f>
        <v>0</v>
      </c>
    </row>
    <row r="60">
      <c r="A60" s="14">
        <v>45553.0</v>
      </c>
      <c r="B60" s="1" t="s">
        <v>268</v>
      </c>
      <c r="C60" s="1" t="s">
        <v>97</v>
      </c>
      <c r="D60" s="1" t="s">
        <v>51</v>
      </c>
      <c r="E60" s="1">
        <v>12.0</v>
      </c>
      <c r="F60" s="1" t="s">
        <v>189</v>
      </c>
      <c r="G60" s="1" t="s">
        <v>267</v>
      </c>
      <c r="H60" s="1">
        <v>225.0</v>
      </c>
      <c r="I60" s="1">
        <v>0.0</v>
      </c>
      <c r="J60" s="3">
        <f>IFERROR(__xludf.DUMMYFUNCTION("IF(H60&gt;0, IFERROR(ROUNDUP(H60 / MAX(1, INDEX(FILTER('warehouse config'!$D:$D, ('warehouse config'!$B:$B=C60) * ('warehouse config'!$C:$C=D60) * ('warehouse config'!$G:$G&lt;=A60) * (('warehouse config'!$H:$H&gt;=A60) + ISBLANK('warehouse config'!$H:$H))),1))), "&amp;"0), 0)"),12.0)</f>
        <v>12</v>
      </c>
      <c r="K60" s="3">
        <f>IFERROR(__xludf.DUMMYFUNCTION("IF(I60&gt;0, IFERROR(ROUNDUP(I60 / MAX(1, INDEX(FILTER('warehouse config'!$E:$E, ('warehouse config'!$B:$B=C60) * ('warehouse config'!$C:$C=D60) * ('warehouse config'!$G:$G&lt;=A60) * (('warehouse config'!$H:$H&gt;=A60) + ISBLANK('warehouse config'!$H:$H))),1))), "&amp;"0), 0)"),0.0)</f>
        <v>0</v>
      </c>
    </row>
    <row r="61">
      <c r="A61" s="14">
        <v>45553.0</v>
      </c>
      <c r="B61" s="1" t="s">
        <v>269</v>
      </c>
      <c r="C61" s="1" t="s">
        <v>97</v>
      </c>
      <c r="D61" s="1" t="s">
        <v>28</v>
      </c>
      <c r="E61" s="1">
        <v>12.0</v>
      </c>
      <c r="F61" s="1" t="s">
        <v>189</v>
      </c>
      <c r="G61" s="1" t="s">
        <v>267</v>
      </c>
      <c r="H61" s="1">
        <v>20.0</v>
      </c>
      <c r="I61" s="1">
        <v>0.0</v>
      </c>
      <c r="J61" s="3">
        <f>IFERROR(__xludf.DUMMYFUNCTION("IF(H61&gt;0, IFERROR(ROUNDUP(H61 / MAX(1, INDEX(FILTER('warehouse config'!$D:$D, ('warehouse config'!$B:$B=C61) * ('warehouse config'!$C:$C=D61) * ('warehouse config'!$G:$G&lt;=A61) * (('warehouse config'!$H:$H&gt;=A61) + ISBLANK('warehouse config'!$H:$H))),1))), "&amp;"0), 0)"),1.0)</f>
        <v>1</v>
      </c>
      <c r="K61" s="3">
        <f>IFERROR(__xludf.DUMMYFUNCTION("IF(I61&gt;0, IFERROR(ROUNDUP(I61 / MAX(1, INDEX(FILTER('warehouse config'!$E:$E, ('warehouse config'!$B:$B=C61) * ('warehouse config'!$C:$C=D61) * ('warehouse config'!$G:$G&lt;=A61) * (('warehouse config'!$H:$H&gt;=A61) + ISBLANK('warehouse config'!$H:$H))),1))), "&amp;"0), 0)"),0.0)</f>
        <v>0</v>
      </c>
    </row>
    <row r="62">
      <c r="A62" s="14">
        <v>45553.0</v>
      </c>
      <c r="B62" s="1" t="s">
        <v>270</v>
      </c>
      <c r="C62" s="1" t="s">
        <v>97</v>
      </c>
      <c r="D62" s="1" t="s">
        <v>37</v>
      </c>
      <c r="E62" s="1">
        <v>12.0</v>
      </c>
      <c r="F62" s="1" t="s">
        <v>189</v>
      </c>
      <c r="G62" s="1" t="s">
        <v>267</v>
      </c>
      <c r="H62" s="1">
        <v>80.0</v>
      </c>
      <c r="I62" s="1">
        <v>0.0</v>
      </c>
      <c r="J62" s="3">
        <f>IFERROR(__xludf.DUMMYFUNCTION("IF(H62&gt;0, IFERROR(ROUNDUP(H62 / MAX(1, INDEX(FILTER('warehouse config'!$D:$D, ('warehouse config'!$B:$B=C62) * ('warehouse config'!$C:$C=D62) * ('warehouse config'!$G:$G&lt;=A62) * (('warehouse config'!$H:$H&gt;=A62) + ISBLANK('warehouse config'!$H:$H))),1))), "&amp;"0), 0)"),4.0)</f>
        <v>4</v>
      </c>
      <c r="K62" s="3">
        <f>IFERROR(__xludf.DUMMYFUNCTION("IF(I62&gt;0, IFERROR(ROUNDUP(I62 / MAX(1, INDEX(FILTER('warehouse config'!$E:$E, ('warehouse config'!$B:$B=C62) * ('warehouse config'!$C:$C=D62) * ('warehouse config'!$G:$G&lt;=A62) * (('warehouse config'!$H:$H&gt;=A62) + ISBLANK('warehouse config'!$H:$H))),1))), "&amp;"0), 0)"),0.0)</f>
        <v>0</v>
      </c>
    </row>
    <row r="63">
      <c r="A63" s="14">
        <v>45553.0</v>
      </c>
      <c r="B63" s="1" t="s">
        <v>271</v>
      </c>
      <c r="C63" s="1" t="s">
        <v>97</v>
      </c>
      <c r="D63" s="1" t="s">
        <v>57</v>
      </c>
      <c r="E63" s="1">
        <v>12.0</v>
      </c>
      <c r="F63" s="1" t="s">
        <v>189</v>
      </c>
      <c r="G63" s="1" t="s">
        <v>267</v>
      </c>
      <c r="H63" s="1">
        <v>122.0</v>
      </c>
      <c r="I63" s="1">
        <v>0.0</v>
      </c>
      <c r="J63" s="3">
        <f>IFERROR(__xludf.DUMMYFUNCTION("IF(H63&gt;0, IFERROR(ROUNDUP(H63 / MAX(1, INDEX(FILTER('warehouse config'!$D:$D, ('warehouse config'!$B:$B=C63) * ('warehouse config'!$C:$C=D63) * ('warehouse config'!$G:$G&lt;=A63) * (('warehouse config'!$H:$H&gt;=A63) + ISBLANK('warehouse config'!$H:$H))),1))), "&amp;"0), 0)"),8.0)</f>
        <v>8</v>
      </c>
      <c r="K63" s="3">
        <f>IFERROR(__xludf.DUMMYFUNCTION("IF(I63&gt;0, IFERROR(ROUNDUP(I63 / MAX(1, INDEX(FILTER('warehouse config'!$E:$E, ('warehouse config'!$B:$B=C63) * ('warehouse config'!$C:$C=D63) * ('warehouse config'!$G:$G&lt;=A63) * (('warehouse config'!$H:$H&gt;=A63) + ISBLANK('warehouse config'!$H:$H))),1))), "&amp;"0), 0)"),0.0)</f>
        <v>0</v>
      </c>
    </row>
    <row r="64">
      <c r="A64" s="14">
        <v>45553.0</v>
      </c>
      <c r="B64" s="1" t="s">
        <v>272</v>
      </c>
      <c r="C64" s="1" t="s">
        <v>97</v>
      </c>
      <c r="D64" s="1" t="s">
        <v>62</v>
      </c>
      <c r="E64" s="1">
        <v>12.0</v>
      </c>
      <c r="F64" s="1" t="s">
        <v>189</v>
      </c>
      <c r="G64" s="1" t="s">
        <v>267</v>
      </c>
      <c r="H64" s="1">
        <v>150.0</v>
      </c>
      <c r="I64" s="1">
        <v>0.0</v>
      </c>
      <c r="J64" s="3">
        <f>IFERROR(__xludf.DUMMYFUNCTION("IF(H64&gt;0, IFERROR(ROUNDUP(H64 / MAX(1, INDEX(FILTER('warehouse config'!$D:$D, ('warehouse config'!$B:$B=C64) * ('warehouse config'!$C:$C=D64) * ('warehouse config'!$G:$G&lt;=A64) * (('warehouse config'!$H:$H&gt;=A64) + ISBLANK('warehouse config'!$H:$H))),1))), "&amp;"0), 0)"),8.0)</f>
        <v>8</v>
      </c>
      <c r="K64" s="3">
        <f>IFERROR(__xludf.DUMMYFUNCTION("IF(I64&gt;0, IFERROR(ROUNDUP(I64 / MAX(1, INDEX(FILTER('warehouse config'!$E:$E, ('warehouse config'!$B:$B=C64) * ('warehouse config'!$C:$C=D64) * ('warehouse config'!$G:$G&lt;=A64) * (('warehouse config'!$H:$H&gt;=A64) + ISBLANK('warehouse config'!$H:$H))),1))), "&amp;"0), 0)"),0.0)</f>
        <v>0</v>
      </c>
    </row>
    <row r="65">
      <c r="A65" s="14">
        <v>45555.0</v>
      </c>
      <c r="B65" s="1" t="s">
        <v>273</v>
      </c>
      <c r="C65" s="1" t="s">
        <v>97</v>
      </c>
      <c r="D65" s="1" t="s">
        <v>51</v>
      </c>
      <c r="E65" s="1">
        <v>12.0</v>
      </c>
      <c r="F65" s="1" t="s">
        <v>195</v>
      </c>
      <c r="G65" s="1" t="s">
        <v>274</v>
      </c>
      <c r="H65" s="1">
        <v>0.0</v>
      </c>
      <c r="I65" s="1">
        <v>24.0</v>
      </c>
      <c r="J65" s="3">
        <f>IFERROR(__xludf.DUMMYFUNCTION("IF(H65&gt;0, IFERROR(ROUNDUP(H65 / MAX(1, INDEX(FILTER('warehouse config'!$D:$D, ('warehouse config'!$B:$B=C65) * ('warehouse config'!$C:$C=D65) * ('warehouse config'!$G:$G&lt;=A65) * (('warehouse config'!$H:$H&gt;=A65) + ISBLANK('warehouse config'!$H:$H))),1))), "&amp;"0), 0)"),0.0)</f>
        <v>0</v>
      </c>
      <c r="K65" s="3">
        <f>IFERROR(__xludf.DUMMYFUNCTION("IF(I65&gt;0, IFERROR(ROUNDUP(I65 / MAX(1, INDEX(FILTER('warehouse config'!$E:$E, ('warehouse config'!$B:$B=C65) * ('warehouse config'!$C:$C=D65) * ('warehouse config'!$G:$G&lt;=A65) * (('warehouse config'!$H:$H&gt;=A65) + ISBLANK('warehouse config'!$H:$H))),1))), "&amp;"0), 0)"),1.0)</f>
        <v>1</v>
      </c>
    </row>
    <row r="66">
      <c r="A66" s="14">
        <v>45555.0</v>
      </c>
      <c r="B66" s="1" t="s">
        <v>275</v>
      </c>
      <c r="C66" s="1" t="s">
        <v>97</v>
      </c>
      <c r="D66" s="1" t="s">
        <v>62</v>
      </c>
      <c r="E66" s="1">
        <v>12.0</v>
      </c>
      <c r="F66" s="1" t="s">
        <v>195</v>
      </c>
      <c r="G66" s="1" t="s">
        <v>274</v>
      </c>
      <c r="H66" s="1">
        <v>0.0</v>
      </c>
      <c r="I66" s="1">
        <v>24.0</v>
      </c>
      <c r="J66" s="3">
        <f>IFERROR(__xludf.DUMMYFUNCTION("IF(H66&gt;0, IFERROR(ROUNDUP(H66 / MAX(1, INDEX(FILTER('warehouse config'!$D:$D, ('warehouse config'!$B:$B=C66) * ('warehouse config'!$C:$C=D66) * ('warehouse config'!$G:$G&lt;=A66) * (('warehouse config'!$H:$H&gt;=A66) + ISBLANK('warehouse config'!$H:$H))),1))), "&amp;"0), 0)"),0.0)</f>
        <v>0</v>
      </c>
      <c r="K66" s="3">
        <f>IFERROR(__xludf.DUMMYFUNCTION("IF(I66&gt;0, IFERROR(ROUNDUP(I66 / MAX(1, INDEX(FILTER('warehouse config'!$E:$E, ('warehouse config'!$B:$B=C66) * ('warehouse config'!$C:$C=D66) * ('warehouse config'!$G:$G&lt;=A66) * (('warehouse config'!$H:$H&gt;=A66) + ISBLANK('warehouse config'!$H:$H))),1))), "&amp;"0), 0)"),1.0)</f>
        <v>1</v>
      </c>
    </row>
    <row r="67">
      <c r="A67" s="14">
        <v>45558.0</v>
      </c>
      <c r="B67" s="1" t="s">
        <v>276</v>
      </c>
      <c r="C67" s="1" t="s">
        <v>87</v>
      </c>
      <c r="D67" s="1" t="s">
        <v>44</v>
      </c>
      <c r="E67" s="1">
        <v>10.0</v>
      </c>
      <c r="F67" s="1" t="s">
        <v>195</v>
      </c>
      <c r="G67" s="1" t="s">
        <v>277</v>
      </c>
      <c r="H67" s="1">
        <v>0.0</v>
      </c>
      <c r="I67" s="1">
        <v>18.0</v>
      </c>
      <c r="J67" s="3">
        <f>IFERROR(__xludf.DUMMYFUNCTION("IF(H67&gt;0, IFERROR(ROUNDUP(H67 / MAX(1, INDEX(FILTER('warehouse config'!$D:$D, ('warehouse config'!$B:$B=C67) * ('warehouse config'!$C:$C=D67) * ('warehouse config'!$G:$G&lt;=A67) * (('warehouse config'!$H:$H&gt;=A67) + ISBLANK('warehouse config'!$H:$H))),1))), "&amp;"0), 0)"),0.0)</f>
        <v>0</v>
      </c>
      <c r="K67" s="3">
        <f>IFERROR(__xludf.DUMMYFUNCTION("IF(I67&gt;0, IFERROR(ROUNDUP(I67 / MAX(1, INDEX(FILTER('warehouse config'!$E:$E, ('warehouse config'!$B:$B=C67) * ('warehouse config'!$C:$C=D67) * ('warehouse config'!$G:$G&lt;=A67) * (('warehouse config'!$H:$H&gt;=A67) + ISBLANK('warehouse config'!$H:$H))),1))), "&amp;"0), 0)"),2.0)</f>
        <v>2</v>
      </c>
    </row>
    <row r="68">
      <c r="A68" s="14">
        <v>45558.0</v>
      </c>
      <c r="B68" s="1" t="s">
        <v>278</v>
      </c>
      <c r="C68" s="1" t="s">
        <v>87</v>
      </c>
      <c r="D68" s="1" t="s">
        <v>57</v>
      </c>
      <c r="E68" s="1">
        <v>10.0</v>
      </c>
      <c r="F68" s="1" t="s">
        <v>195</v>
      </c>
      <c r="G68" s="1" t="s">
        <v>277</v>
      </c>
      <c r="H68" s="1">
        <v>0.0</v>
      </c>
      <c r="I68" s="1">
        <v>18.0</v>
      </c>
      <c r="J68" s="3">
        <f>IFERROR(__xludf.DUMMYFUNCTION("IF(H68&gt;0, IFERROR(ROUNDUP(H68 / MAX(1, INDEX(FILTER('warehouse config'!$D:$D, ('warehouse config'!$B:$B=C68) * ('warehouse config'!$C:$C=D68) * ('warehouse config'!$G:$G&lt;=A68) * (('warehouse config'!$H:$H&gt;=A68) + ISBLANK('warehouse config'!$H:$H))),1))), "&amp;"0), 0)"),0.0)</f>
        <v>0</v>
      </c>
      <c r="K68" s="3">
        <f>IFERROR(__xludf.DUMMYFUNCTION("IF(I68&gt;0, IFERROR(ROUNDUP(I68 / MAX(1, INDEX(FILTER('warehouse config'!$E:$E, ('warehouse config'!$B:$B=C68) * ('warehouse config'!$C:$C=D68) * ('warehouse config'!$G:$G&lt;=A68) * (('warehouse config'!$H:$H&gt;=A68) + ISBLANK('warehouse config'!$H:$H))),1))), "&amp;"0), 0)"),2.0)</f>
        <v>2</v>
      </c>
    </row>
    <row r="69">
      <c r="A69" s="14">
        <v>45558.0</v>
      </c>
      <c r="B69" s="1" t="s">
        <v>279</v>
      </c>
      <c r="C69" s="1" t="s">
        <v>87</v>
      </c>
      <c r="D69" s="1" t="s">
        <v>68</v>
      </c>
      <c r="E69" s="1">
        <v>9.0</v>
      </c>
      <c r="F69" s="1" t="s">
        <v>195</v>
      </c>
      <c r="G69" s="1" t="s">
        <v>277</v>
      </c>
      <c r="H69" s="1">
        <v>0.0</v>
      </c>
      <c r="I69" s="1">
        <v>18.0</v>
      </c>
      <c r="J69" s="3">
        <f>IFERROR(__xludf.DUMMYFUNCTION("IF(H69&gt;0, IFERROR(ROUNDUP(H69 / MAX(1, INDEX(FILTER('warehouse config'!$D:$D, ('warehouse config'!$B:$B=C69) * ('warehouse config'!$C:$C=D69) * ('warehouse config'!$G:$G&lt;=A69) * (('warehouse config'!$H:$H&gt;=A69) + ISBLANK('warehouse config'!$H:$H))),1))), "&amp;"0), 0)"),0.0)</f>
        <v>0</v>
      </c>
      <c r="K69" s="3">
        <f>IFERROR(__xludf.DUMMYFUNCTION("IF(I69&gt;0, IFERROR(ROUNDUP(I69 / MAX(1, INDEX(FILTER('warehouse config'!$E:$E, ('warehouse config'!$B:$B=C69) * ('warehouse config'!$C:$C=D69) * ('warehouse config'!$G:$G&lt;=A69) * (('warehouse config'!$H:$H&gt;=A69) + ISBLANK('warehouse config'!$H:$H))),1))), "&amp;"0), 0)"),1.0)</f>
        <v>1</v>
      </c>
    </row>
    <row r="70">
      <c r="A70" s="14">
        <v>45558.0</v>
      </c>
      <c r="B70" s="1" t="s">
        <v>280</v>
      </c>
      <c r="C70" s="1" t="s">
        <v>87</v>
      </c>
      <c r="D70" s="1" t="s">
        <v>75</v>
      </c>
      <c r="E70" s="1">
        <v>9.0</v>
      </c>
      <c r="F70" s="1" t="s">
        <v>195</v>
      </c>
      <c r="G70" s="1" t="s">
        <v>277</v>
      </c>
      <c r="H70" s="1">
        <v>0.0</v>
      </c>
      <c r="I70" s="1">
        <v>18.0</v>
      </c>
      <c r="J70" s="3">
        <f>IFERROR(__xludf.DUMMYFUNCTION("IF(H70&gt;0, IFERROR(ROUNDUP(H70 / MAX(1, INDEX(FILTER('warehouse config'!$D:$D, ('warehouse config'!$B:$B=C70) * ('warehouse config'!$C:$C=D70) * ('warehouse config'!$G:$G&lt;=A70) * (('warehouse config'!$H:$H&gt;=A70) + ISBLANK('warehouse config'!$H:$H))),1))), "&amp;"0), 0)"),0.0)</f>
        <v>0</v>
      </c>
      <c r="K70" s="3">
        <f>IFERROR(__xludf.DUMMYFUNCTION("IF(I70&gt;0, IFERROR(ROUNDUP(I70 / MAX(1, INDEX(FILTER('warehouse config'!$E:$E, ('warehouse config'!$B:$B=C70) * ('warehouse config'!$C:$C=D70) * ('warehouse config'!$G:$G&lt;=A70) * (('warehouse config'!$H:$H&gt;=A70) + ISBLANK('warehouse config'!$H:$H))),1))), "&amp;"0), 0)"),1.0)</f>
        <v>1</v>
      </c>
    </row>
    <row r="71">
      <c r="A71" s="14">
        <v>45558.0</v>
      </c>
      <c r="B71" s="1" t="s">
        <v>281</v>
      </c>
      <c r="C71" s="1" t="s">
        <v>87</v>
      </c>
      <c r="D71" s="1" t="s">
        <v>44</v>
      </c>
      <c r="E71" s="1">
        <v>11.0</v>
      </c>
      <c r="F71" s="1" t="s">
        <v>195</v>
      </c>
      <c r="G71" s="1" t="s">
        <v>282</v>
      </c>
      <c r="H71" s="1">
        <v>0.0</v>
      </c>
      <c r="I71" s="1">
        <v>20.0</v>
      </c>
      <c r="J71" s="3">
        <f>IFERROR(__xludf.DUMMYFUNCTION("IF(H71&gt;0, IFERROR(ROUNDUP(H71 / MAX(1, INDEX(FILTER('warehouse config'!$D:$D, ('warehouse config'!$B:$B=C71) * ('warehouse config'!$C:$C=D71) * ('warehouse config'!$G:$G&lt;=A71) * (('warehouse config'!$H:$H&gt;=A71) + ISBLANK('warehouse config'!$H:$H))),1))), "&amp;"0), 0)"),0.0)</f>
        <v>0</v>
      </c>
      <c r="K71" s="3">
        <f>IFERROR(__xludf.DUMMYFUNCTION("IF(I71&gt;0, IFERROR(ROUNDUP(I71 / MAX(1, INDEX(FILTER('warehouse config'!$E:$E, ('warehouse config'!$B:$B=C71) * ('warehouse config'!$C:$C=D71) * ('warehouse config'!$G:$G&lt;=A71) * (('warehouse config'!$H:$H&gt;=A71) + ISBLANK('warehouse config'!$H:$H))),1))), "&amp;"0), 0)"),2.0)</f>
        <v>2</v>
      </c>
    </row>
    <row r="72">
      <c r="A72" s="14">
        <v>45558.0</v>
      </c>
      <c r="B72" s="1" t="s">
        <v>283</v>
      </c>
      <c r="C72" s="1" t="s">
        <v>87</v>
      </c>
      <c r="D72" s="1" t="s">
        <v>57</v>
      </c>
      <c r="E72" s="1">
        <v>10.0</v>
      </c>
      <c r="F72" s="1" t="s">
        <v>195</v>
      </c>
      <c r="G72" s="1" t="s">
        <v>282</v>
      </c>
      <c r="H72" s="1">
        <v>0.0</v>
      </c>
      <c r="I72" s="1">
        <v>18.0</v>
      </c>
      <c r="J72" s="3">
        <f>IFERROR(__xludf.DUMMYFUNCTION("IF(H72&gt;0, IFERROR(ROUNDUP(H72 / MAX(1, INDEX(FILTER('warehouse config'!$D:$D, ('warehouse config'!$B:$B=C72) * ('warehouse config'!$C:$C=D72) * ('warehouse config'!$G:$G&lt;=A72) * (('warehouse config'!$H:$H&gt;=A72) + ISBLANK('warehouse config'!$H:$H))),1))), "&amp;"0), 0)"),0.0)</f>
        <v>0</v>
      </c>
      <c r="K72" s="3">
        <f>IFERROR(__xludf.DUMMYFUNCTION("IF(I72&gt;0, IFERROR(ROUNDUP(I72 / MAX(1, INDEX(FILTER('warehouse config'!$E:$E, ('warehouse config'!$B:$B=C72) * ('warehouse config'!$C:$C=D72) * ('warehouse config'!$G:$G&lt;=A72) * (('warehouse config'!$H:$H&gt;=A72) + ISBLANK('warehouse config'!$H:$H))),1))), "&amp;"0), 0)"),2.0)</f>
        <v>2</v>
      </c>
    </row>
    <row r="73">
      <c r="A73" s="14">
        <v>45558.0</v>
      </c>
      <c r="B73" s="1" t="s">
        <v>284</v>
      </c>
      <c r="C73" s="1" t="s">
        <v>87</v>
      </c>
      <c r="D73" s="1" t="s">
        <v>37</v>
      </c>
      <c r="E73" s="1">
        <v>8.0</v>
      </c>
      <c r="F73" s="1" t="s">
        <v>195</v>
      </c>
      <c r="G73" s="1" t="s">
        <v>282</v>
      </c>
      <c r="H73" s="1">
        <v>0.0</v>
      </c>
      <c r="I73" s="1">
        <v>15.0</v>
      </c>
      <c r="J73" s="3">
        <f>IFERROR(__xludf.DUMMYFUNCTION("IF(H73&gt;0, IFERROR(ROUNDUP(H73 / MAX(1, INDEX(FILTER('warehouse config'!$D:$D, ('warehouse config'!$B:$B=C73) * ('warehouse config'!$C:$C=D73) * ('warehouse config'!$G:$G&lt;=A73) * (('warehouse config'!$H:$H&gt;=A73) + ISBLANK('warehouse config'!$H:$H))),1))), "&amp;"0), 0)"),0.0)</f>
        <v>0</v>
      </c>
      <c r="K73" s="3">
        <f>IFERROR(__xludf.DUMMYFUNCTION("IF(I73&gt;0, IFERROR(ROUNDUP(I73 / MAX(1, INDEX(FILTER('warehouse config'!$E:$E, ('warehouse config'!$B:$B=C73) * ('warehouse config'!$C:$C=D73) * ('warehouse config'!$G:$G&lt;=A73) * (('warehouse config'!$H:$H&gt;=A73) + ISBLANK('warehouse config'!$H:$H))),1))), "&amp;"0), 0)"),1.0)</f>
        <v>1</v>
      </c>
    </row>
    <row r="74">
      <c r="A74" s="14">
        <v>45558.0</v>
      </c>
      <c r="B74" s="1" t="s">
        <v>285</v>
      </c>
      <c r="C74" s="1" t="s">
        <v>87</v>
      </c>
      <c r="D74" s="1" t="s">
        <v>37</v>
      </c>
      <c r="E74" s="1">
        <v>9.0</v>
      </c>
      <c r="F74" s="1" t="s">
        <v>195</v>
      </c>
      <c r="G74" s="1" t="s">
        <v>282</v>
      </c>
      <c r="H74" s="1">
        <v>0.0</v>
      </c>
      <c r="I74" s="1">
        <v>5.0</v>
      </c>
      <c r="J74" s="3">
        <f>IFERROR(__xludf.DUMMYFUNCTION("IF(H74&gt;0, IFERROR(ROUNDUP(H74 / MAX(1, INDEX(FILTER('warehouse config'!$D:$D, ('warehouse config'!$B:$B=C74) * ('warehouse config'!$C:$C=D74) * ('warehouse config'!$G:$G&lt;=A74) * (('warehouse config'!$H:$H&gt;=A74) + ISBLANK('warehouse config'!$H:$H))),1))), "&amp;"0), 0)"),0.0)</f>
        <v>0</v>
      </c>
      <c r="K74" s="3">
        <f>IFERROR(__xludf.DUMMYFUNCTION("IF(I74&gt;0, IFERROR(ROUNDUP(I74 / MAX(1, INDEX(FILTER('warehouse config'!$E:$E, ('warehouse config'!$B:$B=C74) * ('warehouse config'!$C:$C=D74) * ('warehouse config'!$G:$G&lt;=A74) * (('warehouse config'!$H:$H&gt;=A74) + ISBLANK('warehouse config'!$H:$H))),1))), "&amp;"0), 0)"),1.0)</f>
        <v>1</v>
      </c>
    </row>
    <row r="75">
      <c r="A75" s="14">
        <v>45558.0</v>
      </c>
      <c r="B75" s="1" t="s">
        <v>286</v>
      </c>
      <c r="C75" s="1" t="s">
        <v>87</v>
      </c>
      <c r="D75" s="1" t="s">
        <v>68</v>
      </c>
      <c r="E75" s="1">
        <v>9.0</v>
      </c>
      <c r="F75" s="1" t="s">
        <v>195</v>
      </c>
      <c r="G75" s="1" t="s">
        <v>282</v>
      </c>
      <c r="H75" s="1">
        <v>0.0</v>
      </c>
      <c r="I75" s="1">
        <v>5.0</v>
      </c>
      <c r="J75" s="3">
        <f>IFERROR(__xludf.DUMMYFUNCTION("IF(H75&gt;0, IFERROR(ROUNDUP(H75 / MAX(1, INDEX(FILTER('warehouse config'!$D:$D, ('warehouse config'!$B:$B=C75) * ('warehouse config'!$C:$C=D75) * ('warehouse config'!$G:$G&lt;=A75) * (('warehouse config'!$H:$H&gt;=A75) + ISBLANK('warehouse config'!$H:$H))),1))), "&amp;"0), 0)"),0.0)</f>
        <v>0</v>
      </c>
      <c r="K75" s="3">
        <f>IFERROR(__xludf.DUMMYFUNCTION("IF(I75&gt;0, IFERROR(ROUNDUP(I75 / MAX(1, INDEX(FILTER('warehouse config'!$E:$E, ('warehouse config'!$B:$B=C75) * ('warehouse config'!$C:$C=D75) * ('warehouse config'!$G:$G&lt;=A75) * (('warehouse config'!$H:$H&gt;=A75) + ISBLANK('warehouse config'!$H:$H))),1))), "&amp;"0), 0)"),1.0)</f>
        <v>1</v>
      </c>
    </row>
    <row r="76">
      <c r="A76" s="14">
        <v>45558.0</v>
      </c>
      <c r="B76" s="1" t="s">
        <v>287</v>
      </c>
      <c r="C76" s="1" t="s">
        <v>87</v>
      </c>
      <c r="D76" s="1" t="s">
        <v>75</v>
      </c>
      <c r="E76" s="1">
        <v>9.0</v>
      </c>
      <c r="F76" s="1" t="s">
        <v>195</v>
      </c>
      <c r="G76" s="1" t="s">
        <v>282</v>
      </c>
      <c r="H76" s="1">
        <v>0.0</v>
      </c>
      <c r="I76" s="1">
        <v>5.0</v>
      </c>
      <c r="J76" s="3">
        <f>IFERROR(__xludf.DUMMYFUNCTION("IF(H76&gt;0, IFERROR(ROUNDUP(H76 / MAX(1, INDEX(FILTER('warehouse config'!$D:$D, ('warehouse config'!$B:$B=C76) * ('warehouse config'!$C:$C=D76) * ('warehouse config'!$G:$G&lt;=A76) * (('warehouse config'!$H:$H&gt;=A76) + ISBLANK('warehouse config'!$H:$H))),1))), "&amp;"0), 0)"),0.0)</f>
        <v>0</v>
      </c>
      <c r="K76" s="3">
        <f>IFERROR(__xludf.DUMMYFUNCTION("IF(I76&gt;0, IFERROR(ROUNDUP(I76 / MAX(1, INDEX(FILTER('warehouse config'!$E:$E, ('warehouse config'!$B:$B=C76) * ('warehouse config'!$C:$C=D76) * ('warehouse config'!$G:$G&lt;=A76) * (('warehouse config'!$H:$H&gt;=A76) + ISBLANK('warehouse config'!$H:$H))),1))), "&amp;"0), 0)"),1.0)</f>
        <v>1</v>
      </c>
    </row>
    <row r="77">
      <c r="A77" s="14">
        <v>45561.0</v>
      </c>
      <c r="B77" s="1" t="s">
        <v>288</v>
      </c>
      <c r="C77" s="1" t="s">
        <v>97</v>
      </c>
      <c r="D77" s="1" t="s">
        <v>68</v>
      </c>
      <c r="E77" s="1">
        <v>3.0</v>
      </c>
      <c r="F77" s="1" t="s">
        <v>189</v>
      </c>
      <c r="G77" s="1" t="s">
        <v>289</v>
      </c>
      <c r="H77" s="1">
        <v>55.0</v>
      </c>
      <c r="I77" s="1">
        <v>0.0</v>
      </c>
      <c r="J77" s="3">
        <f>IFERROR(__xludf.DUMMYFUNCTION("IF(H77&gt;0, IFERROR(ROUNDUP(H77 / MAX(1, INDEX(FILTER('warehouse config'!$D:$D, ('warehouse config'!$B:$B=C77) * ('warehouse config'!$C:$C=D77) * ('warehouse config'!$G:$G&lt;=A77) * (('warehouse config'!$H:$H&gt;=A77) + ISBLANK('warehouse config'!$H:$H))),1))), "&amp;"0), 0)"),4.0)</f>
        <v>4</v>
      </c>
      <c r="K77" s="3">
        <f>IFERROR(__xludf.DUMMYFUNCTION("IF(I77&gt;0, IFERROR(ROUNDUP(I77 / MAX(1, INDEX(FILTER('warehouse config'!$E:$E, ('warehouse config'!$B:$B=C77) * ('warehouse config'!$C:$C=D77) * ('warehouse config'!$G:$G&lt;=A77) * (('warehouse config'!$H:$H&gt;=A77) + ISBLANK('warehouse config'!$H:$H))),1))), "&amp;"0), 0)"),0.0)</f>
        <v>0</v>
      </c>
    </row>
    <row r="78">
      <c r="A78" s="14">
        <v>45561.0</v>
      </c>
      <c r="B78" s="1" t="s">
        <v>290</v>
      </c>
      <c r="C78" s="1" t="s">
        <v>97</v>
      </c>
      <c r="D78" s="1" t="s">
        <v>75</v>
      </c>
      <c r="E78" s="1">
        <v>3.0</v>
      </c>
      <c r="F78" s="1" t="s">
        <v>189</v>
      </c>
      <c r="G78" s="1" t="s">
        <v>289</v>
      </c>
      <c r="H78" s="1">
        <v>224.0</v>
      </c>
      <c r="I78" s="1">
        <v>0.0</v>
      </c>
      <c r="J78" s="3">
        <f>IFERROR(__xludf.DUMMYFUNCTION("IF(H78&gt;0, IFERROR(ROUNDUP(H78 / MAX(1, INDEX(FILTER('warehouse config'!$D:$D, ('warehouse config'!$B:$B=C78) * ('warehouse config'!$C:$C=D78) * ('warehouse config'!$G:$G&lt;=A78) * (('warehouse config'!$H:$H&gt;=A78) + ISBLANK('warehouse config'!$H:$H))),1))), "&amp;"0), 0)"),14.0)</f>
        <v>14</v>
      </c>
      <c r="K78" s="3">
        <f>IFERROR(__xludf.DUMMYFUNCTION("IF(I78&gt;0, IFERROR(ROUNDUP(I78 / MAX(1, INDEX(FILTER('warehouse config'!$E:$E, ('warehouse config'!$B:$B=C78) * ('warehouse config'!$C:$C=D78) * ('warehouse config'!$G:$G&lt;=A78) * (('warehouse config'!$H:$H&gt;=A78) + ISBLANK('warehouse config'!$H:$H))),1))), "&amp;"0), 0)"),0.0)</f>
        <v>0</v>
      </c>
    </row>
    <row r="79">
      <c r="A79" s="14">
        <v>45569.0</v>
      </c>
      <c r="B79" s="1" t="s">
        <v>291</v>
      </c>
      <c r="C79" s="1" t="s">
        <v>87</v>
      </c>
      <c r="D79" s="1" t="s">
        <v>44</v>
      </c>
      <c r="E79" s="1">
        <v>11.0</v>
      </c>
      <c r="F79" s="1" t="s">
        <v>195</v>
      </c>
      <c r="G79" s="1" t="s">
        <v>292</v>
      </c>
      <c r="H79" s="1">
        <v>0.0</v>
      </c>
      <c r="I79" s="1">
        <v>54.0</v>
      </c>
      <c r="J79" s="3">
        <f>IFERROR(__xludf.DUMMYFUNCTION("IF(H79&gt;0, IFERROR(ROUNDUP(H79 / MAX(1, INDEX(FILTER('warehouse config'!$D:$D, ('warehouse config'!$B:$B=C79) * ('warehouse config'!$C:$C=D79) * ('warehouse config'!$G:$G&lt;=A79) * (('warehouse config'!$H:$H&gt;=A79) + ISBLANK('warehouse config'!$H:$H))),1))), "&amp;"0), 0)"),0.0)</f>
        <v>0</v>
      </c>
      <c r="K79" s="3">
        <f>IFERROR(__xludf.DUMMYFUNCTION("IF(I79&gt;0, IFERROR(ROUNDUP(I79 / MAX(1, INDEX(FILTER('warehouse config'!$E:$E, ('warehouse config'!$B:$B=C79) * ('warehouse config'!$C:$C=D79) * ('warehouse config'!$G:$G&lt;=A79) * (('warehouse config'!$H:$H&gt;=A79) + ISBLANK('warehouse config'!$H:$H))),1))), "&amp;"0), 0)"),4.0)</f>
        <v>4</v>
      </c>
    </row>
    <row r="80">
      <c r="A80" s="14">
        <v>45569.0</v>
      </c>
      <c r="B80" s="1" t="s">
        <v>293</v>
      </c>
      <c r="C80" s="1" t="s">
        <v>87</v>
      </c>
      <c r="D80" s="1" t="s">
        <v>37</v>
      </c>
      <c r="E80" s="1">
        <v>9.0</v>
      </c>
      <c r="F80" s="1" t="s">
        <v>195</v>
      </c>
      <c r="G80" s="1" t="s">
        <v>292</v>
      </c>
      <c r="H80" s="1">
        <v>0.0</v>
      </c>
      <c r="I80" s="1">
        <v>20.0</v>
      </c>
      <c r="J80" s="3">
        <f>IFERROR(__xludf.DUMMYFUNCTION("IF(H80&gt;0, IFERROR(ROUNDUP(H80 / MAX(1, INDEX(FILTER('warehouse config'!$D:$D, ('warehouse config'!$B:$B=C80) * ('warehouse config'!$C:$C=D80) * ('warehouse config'!$G:$G&lt;=A80) * (('warehouse config'!$H:$H&gt;=A80) + ISBLANK('warehouse config'!$H:$H))),1))), "&amp;"0), 0)"),0.0)</f>
        <v>0</v>
      </c>
      <c r="K80" s="3">
        <f>IFERROR(__xludf.DUMMYFUNCTION("IF(I80&gt;0, IFERROR(ROUNDUP(I80 / MAX(1, INDEX(FILTER('warehouse config'!$E:$E, ('warehouse config'!$B:$B=C80) * ('warehouse config'!$C:$C=D80) * ('warehouse config'!$G:$G&lt;=A80) * (('warehouse config'!$H:$H&gt;=A80) + ISBLANK('warehouse config'!$H:$H))),1))), "&amp;"0), 0)"),2.0)</f>
        <v>2</v>
      </c>
    </row>
    <row r="81">
      <c r="A81" s="14">
        <v>45569.0</v>
      </c>
      <c r="B81" s="1" t="s">
        <v>294</v>
      </c>
      <c r="C81" s="1" t="s">
        <v>87</v>
      </c>
      <c r="D81" s="1" t="s">
        <v>75</v>
      </c>
      <c r="E81" s="1">
        <v>9.0</v>
      </c>
      <c r="F81" s="1" t="s">
        <v>195</v>
      </c>
      <c r="G81" s="1" t="s">
        <v>292</v>
      </c>
      <c r="H81" s="1">
        <v>0.0</v>
      </c>
      <c r="I81" s="1">
        <v>21.0</v>
      </c>
      <c r="J81" s="3">
        <f>IFERROR(__xludf.DUMMYFUNCTION("IF(H81&gt;0, IFERROR(ROUNDUP(H81 / MAX(1, INDEX(FILTER('warehouse config'!$D:$D, ('warehouse config'!$B:$B=C81) * ('warehouse config'!$C:$C=D81) * ('warehouse config'!$G:$G&lt;=A81) * (('warehouse config'!$H:$H&gt;=A81) + ISBLANK('warehouse config'!$H:$H))),1))), "&amp;"0), 0)"),0.0)</f>
        <v>0</v>
      </c>
      <c r="K81" s="3">
        <f>IFERROR(__xludf.DUMMYFUNCTION("IF(I81&gt;0, IFERROR(ROUNDUP(I81 / MAX(1, INDEX(FILTER('warehouse config'!$E:$E, ('warehouse config'!$B:$B=C81) * ('warehouse config'!$C:$C=D81) * ('warehouse config'!$G:$G&lt;=A81) * (('warehouse config'!$H:$H&gt;=A81) + ISBLANK('warehouse config'!$H:$H))),1))), "&amp;"0), 0)"),2.0)</f>
        <v>2</v>
      </c>
    </row>
    <row r="82">
      <c r="A82" s="14">
        <v>45574.0</v>
      </c>
      <c r="B82" s="1" t="s">
        <v>295</v>
      </c>
      <c r="C82" s="1" t="s">
        <v>87</v>
      </c>
      <c r="D82" s="1" t="s">
        <v>44</v>
      </c>
      <c r="E82" s="1">
        <v>11.0</v>
      </c>
      <c r="F82" s="1" t="s">
        <v>195</v>
      </c>
      <c r="G82" s="1" t="s">
        <v>277</v>
      </c>
      <c r="H82" s="1">
        <v>0.0</v>
      </c>
      <c r="I82" s="1">
        <v>36.0</v>
      </c>
      <c r="J82" s="3">
        <f>IFERROR(__xludf.DUMMYFUNCTION("IF(H82&gt;0, IFERROR(ROUNDUP(H82 / MAX(1, INDEX(FILTER('warehouse config'!$D:$D, ('warehouse config'!$B:$B=C82) * ('warehouse config'!$C:$C=D82) * ('warehouse config'!$G:$G&lt;=A82) * (('warehouse config'!$H:$H&gt;=A82) + ISBLANK('warehouse config'!$H:$H))),1))), "&amp;"0), 0)"),0.0)</f>
        <v>0</v>
      </c>
      <c r="K82" s="3">
        <f>IFERROR(__xludf.DUMMYFUNCTION("IF(I82&gt;0, IFERROR(ROUNDUP(I82 / MAX(1, INDEX(FILTER('warehouse config'!$E:$E, ('warehouse config'!$B:$B=C82) * ('warehouse config'!$C:$C=D82) * ('warehouse config'!$G:$G&lt;=A82) * (('warehouse config'!$H:$H&gt;=A82) + ISBLANK('warehouse config'!$H:$H))),1))), "&amp;"0), 0)"),3.0)</f>
        <v>3</v>
      </c>
    </row>
    <row r="83">
      <c r="A83" s="14">
        <v>45574.0</v>
      </c>
      <c r="B83" s="1" t="s">
        <v>296</v>
      </c>
      <c r="C83" s="1" t="s">
        <v>87</v>
      </c>
      <c r="D83" s="1" t="s">
        <v>57</v>
      </c>
      <c r="E83" s="1">
        <v>10.0</v>
      </c>
      <c r="F83" s="1" t="s">
        <v>195</v>
      </c>
      <c r="G83" s="1" t="s">
        <v>277</v>
      </c>
      <c r="H83" s="1">
        <v>0.0</v>
      </c>
      <c r="I83" s="1">
        <v>12.0</v>
      </c>
      <c r="J83" s="3">
        <f>IFERROR(__xludf.DUMMYFUNCTION("IF(H83&gt;0, IFERROR(ROUNDUP(H83 / MAX(1, INDEX(FILTER('warehouse config'!$D:$D, ('warehouse config'!$B:$B=C83) * ('warehouse config'!$C:$C=D83) * ('warehouse config'!$G:$G&lt;=A83) * (('warehouse config'!$H:$H&gt;=A83) + ISBLANK('warehouse config'!$H:$H))),1))), "&amp;"0), 0)"),0.0)</f>
        <v>0</v>
      </c>
      <c r="K83" s="3">
        <f>IFERROR(__xludf.DUMMYFUNCTION("IF(I83&gt;0, IFERROR(ROUNDUP(I83 / MAX(1, INDEX(FILTER('warehouse config'!$E:$E, ('warehouse config'!$B:$B=C83) * ('warehouse config'!$C:$C=D83) * ('warehouse config'!$G:$G&lt;=A83) * (('warehouse config'!$H:$H&gt;=A83) + ISBLANK('warehouse config'!$H:$H))),1))), "&amp;"0), 0)"),1.0)</f>
        <v>1</v>
      </c>
    </row>
    <row r="84">
      <c r="A84" s="14">
        <v>45574.0</v>
      </c>
      <c r="B84" s="1" t="s">
        <v>297</v>
      </c>
      <c r="C84" s="1" t="s">
        <v>87</v>
      </c>
      <c r="D84" s="1" t="s">
        <v>57</v>
      </c>
      <c r="E84" s="1">
        <v>11.0</v>
      </c>
      <c r="F84" s="1" t="s">
        <v>195</v>
      </c>
      <c r="G84" s="1" t="s">
        <v>277</v>
      </c>
      <c r="H84" s="1">
        <v>0.0</v>
      </c>
      <c r="I84" s="1">
        <v>24.0</v>
      </c>
      <c r="J84" s="3">
        <f>IFERROR(__xludf.DUMMYFUNCTION("IF(H84&gt;0, IFERROR(ROUNDUP(H84 / MAX(1, INDEX(FILTER('warehouse config'!$D:$D, ('warehouse config'!$B:$B=C84) * ('warehouse config'!$C:$C=D84) * ('warehouse config'!$G:$G&lt;=A84) * (('warehouse config'!$H:$H&gt;=A84) + ISBLANK('warehouse config'!$H:$H))),1))), "&amp;"0), 0)"),0.0)</f>
        <v>0</v>
      </c>
      <c r="K84" s="3">
        <f>IFERROR(__xludf.DUMMYFUNCTION("IF(I84&gt;0, IFERROR(ROUNDUP(I84 / MAX(1, INDEX(FILTER('warehouse config'!$E:$E, ('warehouse config'!$B:$B=C84) * ('warehouse config'!$C:$C=D84) * ('warehouse config'!$G:$G&lt;=A84) * (('warehouse config'!$H:$H&gt;=A84) + ISBLANK('warehouse config'!$H:$H))),1))), "&amp;"0), 0)"),2.0)</f>
        <v>2</v>
      </c>
    </row>
    <row r="85">
      <c r="A85" s="14">
        <v>45576.0</v>
      </c>
      <c r="B85" s="1" t="s">
        <v>298</v>
      </c>
      <c r="C85" s="1" t="s">
        <v>87</v>
      </c>
      <c r="D85" s="1" t="s">
        <v>44</v>
      </c>
      <c r="E85" s="1">
        <v>10.0</v>
      </c>
      <c r="F85" s="1" t="s">
        <v>195</v>
      </c>
      <c r="G85" s="1" t="s">
        <v>299</v>
      </c>
      <c r="H85" s="1">
        <v>0.0</v>
      </c>
      <c r="I85" s="1">
        <v>18.0</v>
      </c>
      <c r="J85" s="3">
        <f>IFERROR(__xludf.DUMMYFUNCTION("IF(H85&gt;0, IFERROR(ROUNDUP(H85 / MAX(1, INDEX(FILTER('warehouse config'!$D:$D, ('warehouse config'!$B:$B=C85) * ('warehouse config'!$C:$C=D85) * ('warehouse config'!$G:$G&lt;=A85) * (('warehouse config'!$H:$H&gt;=A85) + ISBLANK('warehouse config'!$H:$H))),1))), "&amp;"0), 0)"),0.0)</f>
        <v>0</v>
      </c>
      <c r="K85" s="3">
        <f>IFERROR(__xludf.DUMMYFUNCTION("IF(I85&gt;0, IFERROR(ROUNDUP(I85 / MAX(1, INDEX(FILTER('warehouse config'!$E:$E, ('warehouse config'!$B:$B=C85) * ('warehouse config'!$C:$C=D85) * ('warehouse config'!$G:$G&lt;=A85) * (('warehouse config'!$H:$H&gt;=A85) + ISBLANK('warehouse config'!$H:$H))),1))), "&amp;"0), 0)"),2.0)</f>
        <v>2</v>
      </c>
    </row>
    <row r="86">
      <c r="A86" s="14">
        <v>45576.0</v>
      </c>
      <c r="B86" s="1" t="s">
        <v>300</v>
      </c>
      <c r="C86" s="1" t="s">
        <v>87</v>
      </c>
      <c r="D86" s="1" t="s">
        <v>57</v>
      </c>
      <c r="E86" s="1">
        <v>11.0</v>
      </c>
      <c r="F86" s="1" t="s">
        <v>195</v>
      </c>
      <c r="G86" s="1" t="s">
        <v>299</v>
      </c>
      <c r="H86" s="1">
        <v>0.0</v>
      </c>
      <c r="I86" s="1">
        <v>18.0</v>
      </c>
      <c r="J86" s="3">
        <f>IFERROR(__xludf.DUMMYFUNCTION("IF(H86&gt;0, IFERROR(ROUNDUP(H86 / MAX(1, INDEX(FILTER('warehouse config'!$D:$D, ('warehouse config'!$B:$B=C86) * ('warehouse config'!$C:$C=D86) * ('warehouse config'!$G:$G&lt;=A86) * (('warehouse config'!$H:$H&gt;=A86) + ISBLANK('warehouse config'!$H:$H))),1))), "&amp;"0), 0)"),0.0)</f>
        <v>0</v>
      </c>
      <c r="K86" s="3">
        <f>IFERROR(__xludf.DUMMYFUNCTION("IF(I86&gt;0, IFERROR(ROUNDUP(I86 / MAX(1, INDEX(FILTER('warehouse config'!$E:$E, ('warehouse config'!$B:$B=C86) * ('warehouse config'!$C:$C=D86) * ('warehouse config'!$G:$G&lt;=A86) * (('warehouse config'!$H:$H&gt;=A86) + ISBLANK('warehouse config'!$H:$H))),1))), "&amp;"0), 0)"),2.0)</f>
        <v>2</v>
      </c>
    </row>
    <row r="87">
      <c r="A87" s="14">
        <v>45576.0</v>
      </c>
      <c r="B87" s="1" t="s">
        <v>301</v>
      </c>
      <c r="C87" s="1" t="s">
        <v>87</v>
      </c>
      <c r="D87" s="1" t="s">
        <v>68</v>
      </c>
      <c r="E87" s="1">
        <v>9.0</v>
      </c>
      <c r="F87" s="1" t="s">
        <v>195</v>
      </c>
      <c r="G87" s="1" t="s">
        <v>299</v>
      </c>
      <c r="H87" s="1">
        <v>0.0</v>
      </c>
      <c r="I87" s="1">
        <v>20.0</v>
      </c>
      <c r="J87" s="3">
        <f>IFERROR(__xludf.DUMMYFUNCTION("IF(H87&gt;0, IFERROR(ROUNDUP(H87 / MAX(1, INDEX(FILTER('warehouse config'!$D:$D, ('warehouse config'!$B:$B=C87) * ('warehouse config'!$C:$C=D87) * ('warehouse config'!$G:$G&lt;=A87) * (('warehouse config'!$H:$H&gt;=A87) + ISBLANK('warehouse config'!$H:$H))),1))), "&amp;"0), 0)"),0.0)</f>
        <v>0</v>
      </c>
      <c r="K87" s="3">
        <f>IFERROR(__xludf.DUMMYFUNCTION("IF(I87&gt;0, IFERROR(ROUNDUP(I87 / MAX(1, INDEX(FILTER('warehouse config'!$E:$E, ('warehouse config'!$B:$B=C87) * ('warehouse config'!$C:$C=D87) * ('warehouse config'!$G:$G&lt;=A87) * (('warehouse config'!$H:$H&gt;=A87) + ISBLANK('warehouse config'!$H:$H))),1))), "&amp;"0), 0)"),2.0)</f>
        <v>2</v>
      </c>
    </row>
    <row r="88">
      <c r="A88" s="14">
        <v>45576.0</v>
      </c>
      <c r="B88" s="1" t="s">
        <v>302</v>
      </c>
      <c r="C88" s="1" t="s">
        <v>87</v>
      </c>
      <c r="D88" s="1" t="s">
        <v>68</v>
      </c>
      <c r="E88" s="1">
        <v>10.0</v>
      </c>
      <c r="F88" s="1" t="s">
        <v>195</v>
      </c>
      <c r="G88" s="1" t="s">
        <v>299</v>
      </c>
      <c r="H88" s="1">
        <v>0.0</v>
      </c>
      <c r="I88" s="1">
        <v>16.0</v>
      </c>
      <c r="J88" s="3">
        <f>IFERROR(__xludf.DUMMYFUNCTION("IF(H88&gt;0, IFERROR(ROUNDUP(H88 / MAX(1, INDEX(FILTER('warehouse config'!$D:$D, ('warehouse config'!$B:$B=C88) * ('warehouse config'!$C:$C=D88) * ('warehouse config'!$G:$G&lt;=A88) * (('warehouse config'!$H:$H&gt;=A88) + ISBLANK('warehouse config'!$H:$H))),1))), "&amp;"0), 0)"),0.0)</f>
        <v>0</v>
      </c>
      <c r="K88" s="3">
        <f>IFERROR(__xludf.DUMMYFUNCTION("IF(I88&gt;0, IFERROR(ROUNDUP(I88 / MAX(1, INDEX(FILTER('warehouse config'!$E:$E, ('warehouse config'!$B:$B=C88) * ('warehouse config'!$C:$C=D88) * ('warehouse config'!$G:$G&lt;=A88) * (('warehouse config'!$H:$H&gt;=A88) + ISBLANK('warehouse config'!$H:$H))),1))), "&amp;"0), 0)"),1.0)</f>
        <v>1</v>
      </c>
    </row>
    <row r="89">
      <c r="A89" s="14">
        <v>45580.0</v>
      </c>
      <c r="B89" s="1" t="s">
        <v>303</v>
      </c>
      <c r="C89" s="1" t="s">
        <v>97</v>
      </c>
      <c r="D89" s="1" t="s">
        <v>44</v>
      </c>
      <c r="E89" s="1">
        <v>12.0</v>
      </c>
      <c r="F89" s="1" t="s">
        <v>195</v>
      </c>
      <c r="G89" s="1" t="s">
        <v>304</v>
      </c>
      <c r="H89" s="1">
        <v>0.0</v>
      </c>
      <c r="I89" s="1">
        <v>18.0</v>
      </c>
      <c r="J89" s="3">
        <f>IFERROR(__xludf.DUMMYFUNCTION("IF(H89&gt;0, IFERROR(ROUNDUP(H89 / MAX(1, INDEX(FILTER('warehouse config'!$D:$D, ('warehouse config'!$B:$B=C89) * ('warehouse config'!$C:$C=D89) * ('warehouse config'!$G:$G&lt;=A89) * (('warehouse config'!$H:$H&gt;=A89) + ISBLANK('warehouse config'!$H:$H))),1))), "&amp;"0), 0)"),0.0)</f>
        <v>0</v>
      </c>
      <c r="K89" s="3">
        <f>IFERROR(__xludf.DUMMYFUNCTION("IF(I89&gt;0, IFERROR(ROUNDUP(I89 / MAX(1, INDEX(FILTER('warehouse config'!$E:$E, ('warehouse config'!$B:$B=C89) * ('warehouse config'!$C:$C=D89) * ('warehouse config'!$G:$G&lt;=A89) * (('warehouse config'!$H:$H&gt;=A89) + ISBLANK('warehouse config'!$H:$H))),1))), "&amp;"0), 0)"),1.0)</f>
        <v>1</v>
      </c>
    </row>
    <row r="90">
      <c r="A90" s="14">
        <v>45580.0</v>
      </c>
      <c r="B90" s="1" t="s">
        <v>305</v>
      </c>
      <c r="C90" s="1" t="s">
        <v>97</v>
      </c>
      <c r="D90" s="1" t="s">
        <v>57</v>
      </c>
      <c r="E90" s="1">
        <v>12.0</v>
      </c>
      <c r="F90" s="1" t="s">
        <v>195</v>
      </c>
      <c r="G90" s="1" t="s">
        <v>304</v>
      </c>
      <c r="H90" s="1">
        <v>0.0</v>
      </c>
      <c r="I90" s="1">
        <v>18.0</v>
      </c>
      <c r="J90" s="3">
        <f>IFERROR(__xludf.DUMMYFUNCTION("IF(H90&gt;0, IFERROR(ROUNDUP(H90 / MAX(1, INDEX(FILTER('warehouse config'!$D:$D, ('warehouse config'!$B:$B=C90) * ('warehouse config'!$C:$C=D90) * ('warehouse config'!$G:$G&lt;=A90) * (('warehouse config'!$H:$H&gt;=A90) + ISBLANK('warehouse config'!$H:$H))),1))), "&amp;"0), 0)"),0.0)</f>
        <v>0</v>
      </c>
      <c r="K90" s="3">
        <f>IFERROR(__xludf.DUMMYFUNCTION("IF(I90&gt;0, IFERROR(ROUNDUP(I90 / MAX(1, INDEX(FILTER('warehouse config'!$E:$E, ('warehouse config'!$B:$B=C90) * ('warehouse config'!$C:$C=D90) * ('warehouse config'!$G:$G&lt;=A90) * (('warehouse config'!$H:$H&gt;=A90) + ISBLANK('warehouse config'!$H:$H))),1))), "&amp;"0), 0)"),1.0)</f>
        <v>1</v>
      </c>
    </row>
    <row r="91">
      <c r="A91" s="14">
        <v>45580.0</v>
      </c>
      <c r="B91" s="1" t="s">
        <v>306</v>
      </c>
      <c r="C91" s="1" t="s">
        <v>97</v>
      </c>
      <c r="D91" s="1" t="s">
        <v>75</v>
      </c>
      <c r="E91" s="1">
        <v>3.0</v>
      </c>
      <c r="F91" s="1" t="s">
        <v>195</v>
      </c>
      <c r="G91" s="1" t="s">
        <v>304</v>
      </c>
      <c r="H91" s="1">
        <v>0.0</v>
      </c>
      <c r="I91" s="1">
        <v>60.0</v>
      </c>
      <c r="J91" s="3">
        <f>IFERROR(__xludf.DUMMYFUNCTION("IF(H91&gt;0, IFERROR(ROUNDUP(H91 / MAX(1, INDEX(FILTER('warehouse config'!$D:$D, ('warehouse config'!$B:$B=C91) * ('warehouse config'!$C:$C=D91) * ('warehouse config'!$G:$G&lt;=A91) * (('warehouse config'!$H:$H&gt;=A91) + ISBLANK('warehouse config'!$H:$H))),1))), "&amp;"0), 0)"),0.0)</f>
        <v>0</v>
      </c>
      <c r="K91" s="3">
        <f>IFERROR(__xludf.DUMMYFUNCTION("IF(I91&gt;0, IFERROR(ROUNDUP(I91 / MAX(1, INDEX(FILTER('warehouse config'!$E:$E, ('warehouse config'!$B:$B=C91) * ('warehouse config'!$C:$C=D91) * ('warehouse config'!$G:$G&lt;=A91) * (('warehouse config'!$H:$H&gt;=A91) + ISBLANK('warehouse config'!$H:$H))),1))), "&amp;"0), 0)"),3.0)</f>
        <v>3</v>
      </c>
    </row>
    <row r="92">
      <c r="A92" s="14">
        <v>45588.0</v>
      </c>
      <c r="B92" s="1" t="s">
        <v>307</v>
      </c>
      <c r="C92" s="1" t="s">
        <v>87</v>
      </c>
      <c r="D92" s="1" t="s">
        <v>44</v>
      </c>
      <c r="E92" s="1">
        <v>11.0</v>
      </c>
      <c r="F92" s="1" t="s">
        <v>195</v>
      </c>
      <c r="G92" s="1" t="s">
        <v>308</v>
      </c>
      <c r="H92" s="1">
        <v>0.0</v>
      </c>
      <c r="I92" s="1">
        <v>108.0</v>
      </c>
      <c r="J92" s="3">
        <f>IFERROR(__xludf.DUMMYFUNCTION("IF(H92&gt;0, IFERROR(ROUNDUP(H92 / MAX(1, INDEX(FILTER('warehouse config'!$D:$D, ('warehouse config'!$B:$B=C92) * ('warehouse config'!$C:$C=D92) * ('warehouse config'!$G:$G&lt;=A92) * (('warehouse config'!$H:$H&gt;=A92) + ISBLANK('warehouse config'!$H:$H))),1))), "&amp;"0), 0)"),0.0)</f>
        <v>0</v>
      </c>
      <c r="K92" s="3">
        <f>IFERROR(__xludf.DUMMYFUNCTION("IF(I92&gt;0, IFERROR(ROUNDUP(I92 / MAX(1, INDEX(FILTER('warehouse config'!$E:$E, ('warehouse config'!$B:$B=C92) * ('warehouse config'!$C:$C=D92) * ('warehouse config'!$G:$G&lt;=A92) * (('warehouse config'!$H:$H&gt;=A92) + ISBLANK('warehouse config'!$H:$H))),1))), "&amp;"0), 0)"),7.0)</f>
        <v>7</v>
      </c>
    </row>
    <row r="93">
      <c r="A93" s="14">
        <v>45588.0</v>
      </c>
      <c r="B93" s="1" t="s">
        <v>309</v>
      </c>
      <c r="C93" s="1" t="s">
        <v>87</v>
      </c>
      <c r="D93" s="1" t="s">
        <v>57</v>
      </c>
      <c r="E93" s="1">
        <v>11.0</v>
      </c>
      <c r="F93" s="1" t="s">
        <v>195</v>
      </c>
      <c r="G93" s="1" t="s">
        <v>308</v>
      </c>
      <c r="H93" s="1">
        <v>0.0</v>
      </c>
      <c r="I93" s="1">
        <v>18.0</v>
      </c>
      <c r="J93" s="3">
        <f>IFERROR(__xludf.DUMMYFUNCTION("IF(H93&gt;0, IFERROR(ROUNDUP(H93 / MAX(1, INDEX(FILTER('warehouse config'!$D:$D, ('warehouse config'!$B:$B=C93) * ('warehouse config'!$C:$C=D93) * ('warehouse config'!$G:$G&lt;=A93) * (('warehouse config'!$H:$H&gt;=A93) + ISBLANK('warehouse config'!$H:$H))),1))), "&amp;"0), 0)"),0.0)</f>
        <v>0</v>
      </c>
      <c r="K93" s="3">
        <f>IFERROR(__xludf.DUMMYFUNCTION("IF(I93&gt;0, IFERROR(ROUNDUP(I93 / MAX(1, INDEX(FILTER('warehouse config'!$E:$E, ('warehouse config'!$B:$B=C93) * ('warehouse config'!$C:$C=D93) * ('warehouse config'!$G:$G&lt;=A93) * (('warehouse config'!$H:$H&gt;=A93) + ISBLANK('warehouse config'!$H:$H))),1))), "&amp;"0), 0)"),2.0)</f>
        <v>2</v>
      </c>
    </row>
    <row r="94">
      <c r="A94" s="14">
        <v>45588.0</v>
      </c>
      <c r="B94" s="1" t="s">
        <v>310</v>
      </c>
      <c r="C94" s="1" t="s">
        <v>87</v>
      </c>
      <c r="D94" s="1" t="s">
        <v>37</v>
      </c>
      <c r="E94" s="1">
        <v>9.0</v>
      </c>
      <c r="F94" s="1" t="s">
        <v>195</v>
      </c>
      <c r="G94" s="1" t="s">
        <v>308</v>
      </c>
      <c r="H94" s="1">
        <v>0.0</v>
      </c>
      <c r="I94" s="1">
        <v>20.0</v>
      </c>
      <c r="J94" s="3">
        <f>IFERROR(__xludf.DUMMYFUNCTION("IF(H94&gt;0, IFERROR(ROUNDUP(H94 / MAX(1, INDEX(FILTER('warehouse config'!$D:$D, ('warehouse config'!$B:$B=C94) * ('warehouse config'!$C:$C=D94) * ('warehouse config'!$G:$G&lt;=A94) * (('warehouse config'!$H:$H&gt;=A94) + ISBLANK('warehouse config'!$H:$H))),1))), "&amp;"0), 0)"),0.0)</f>
        <v>0</v>
      </c>
      <c r="K94" s="3">
        <f>IFERROR(__xludf.DUMMYFUNCTION("IF(I94&gt;0, IFERROR(ROUNDUP(I94 / MAX(1, INDEX(FILTER('warehouse config'!$E:$E, ('warehouse config'!$B:$B=C94) * ('warehouse config'!$C:$C=D94) * ('warehouse config'!$G:$G&lt;=A94) * (('warehouse config'!$H:$H&gt;=A94) + ISBLANK('warehouse config'!$H:$H))),1))), "&amp;"0), 0)"),2.0)</f>
        <v>2</v>
      </c>
    </row>
    <row r="95">
      <c r="A95" s="14">
        <v>45588.0</v>
      </c>
      <c r="B95" s="1" t="s">
        <v>311</v>
      </c>
      <c r="C95" s="1" t="s">
        <v>87</v>
      </c>
      <c r="D95" s="1" t="s">
        <v>68</v>
      </c>
      <c r="E95" s="1">
        <v>10.0</v>
      </c>
      <c r="F95" s="1" t="s">
        <v>195</v>
      </c>
      <c r="G95" s="1" t="s">
        <v>308</v>
      </c>
      <c r="H95" s="1">
        <v>0.0</v>
      </c>
      <c r="I95" s="1">
        <v>18.0</v>
      </c>
      <c r="J95" s="3">
        <f>IFERROR(__xludf.DUMMYFUNCTION("IF(H95&gt;0, IFERROR(ROUNDUP(H95 / MAX(1, INDEX(FILTER('warehouse config'!$D:$D, ('warehouse config'!$B:$B=C95) * ('warehouse config'!$C:$C=D95) * ('warehouse config'!$G:$G&lt;=A95) * (('warehouse config'!$H:$H&gt;=A95) + ISBLANK('warehouse config'!$H:$H))),1))), "&amp;"0), 0)"),0.0)</f>
        <v>0</v>
      </c>
      <c r="K95" s="3">
        <f>IFERROR(__xludf.DUMMYFUNCTION("IF(I95&gt;0, IFERROR(ROUNDUP(I95 / MAX(1, INDEX(FILTER('warehouse config'!$E:$E, ('warehouse config'!$B:$B=C95) * ('warehouse config'!$C:$C=D95) * ('warehouse config'!$G:$G&lt;=A95) * (('warehouse config'!$H:$H&gt;=A95) + ISBLANK('warehouse config'!$H:$H))),1))), "&amp;"0), 0)"),1.0)</f>
        <v>1</v>
      </c>
    </row>
    <row r="96">
      <c r="A96" s="14">
        <v>45590.0</v>
      </c>
      <c r="B96" s="1" t="s">
        <v>312</v>
      </c>
      <c r="C96" s="1" t="s">
        <v>97</v>
      </c>
      <c r="D96" s="1" t="s">
        <v>62</v>
      </c>
      <c r="E96" s="1">
        <v>12.0</v>
      </c>
      <c r="F96" s="1" t="s">
        <v>195</v>
      </c>
      <c r="G96" s="1" t="s">
        <v>313</v>
      </c>
      <c r="H96" s="1">
        <v>0.0</v>
      </c>
      <c r="I96" s="1">
        <v>24.0</v>
      </c>
      <c r="J96" s="3">
        <f>IFERROR(__xludf.DUMMYFUNCTION("IF(H96&gt;0, IFERROR(ROUNDUP(H96 / MAX(1, INDEX(FILTER('warehouse config'!$D:$D, ('warehouse config'!$B:$B=C96) * ('warehouse config'!$C:$C=D96) * ('warehouse config'!$G:$G&lt;=A96) * (('warehouse config'!$H:$H&gt;=A96) + ISBLANK('warehouse config'!$H:$H))),1))), "&amp;"0), 0)"),0.0)</f>
        <v>0</v>
      </c>
      <c r="K96" s="3">
        <f>IFERROR(__xludf.DUMMYFUNCTION("IF(I96&gt;0, IFERROR(ROUNDUP(I96 / MAX(1, INDEX(FILTER('warehouse config'!$E:$E, ('warehouse config'!$B:$B=C96) * ('warehouse config'!$C:$C=D96) * ('warehouse config'!$G:$G&lt;=A96) * (('warehouse config'!$H:$H&gt;=A96) + ISBLANK('warehouse config'!$H:$H))),1))), "&amp;"0), 0)"),1.0)</f>
        <v>1</v>
      </c>
    </row>
    <row r="97">
      <c r="A97" s="14">
        <v>45596.0</v>
      </c>
      <c r="B97" s="1" t="s">
        <v>314</v>
      </c>
      <c r="C97" s="1" t="s">
        <v>97</v>
      </c>
      <c r="D97" s="1" t="s">
        <v>44</v>
      </c>
      <c r="E97" s="1">
        <v>12.0</v>
      </c>
      <c r="F97" s="1" t="s">
        <v>195</v>
      </c>
      <c r="G97" s="1" t="s">
        <v>315</v>
      </c>
      <c r="H97" s="1">
        <v>0.0</v>
      </c>
      <c r="I97" s="1">
        <v>54.0</v>
      </c>
      <c r="J97" s="3">
        <f>IFERROR(__xludf.DUMMYFUNCTION("IF(H97&gt;0, IFERROR(ROUNDUP(H97 / MAX(1, INDEX(FILTER('warehouse config'!$D:$D, ('warehouse config'!$B:$B=C97) * ('warehouse config'!$C:$C=D97) * ('warehouse config'!$G:$G&lt;=A97) * (('warehouse config'!$H:$H&gt;=A97) + ISBLANK('warehouse config'!$H:$H))),1))), "&amp;"0), 0)"),0.0)</f>
        <v>0</v>
      </c>
      <c r="K97" s="3">
        <f>IFERROR(__xludf.DUMMYFUNCTION("IF(I97&gt;0, IFERROR(ROUNDUP(I97 / MAX(1, INDEX(FILTER('warehouse config'!$E:$E, ('warehouse config'!$B:$B=C97) * ('warehouse config'!$C:$C=D97) * ('warehouse config'!$G:$G&lt;=A97) * (('warehouse config'!$H:$H&gt;=A97) + ISBLANK('warehouse config'!$H:$H))),1))), "&amp;"0), 0)"),3.0)</f>
        <v>3</v>
      </c>
    </row>
    <row r="98">
      <c r="A98" s="14">
        <v>45596.0</v>
      </c>
      <c r="B98" s="1" t="s">
        <v>316</v>
      </c>
      <c r="C98" s="1" t="s">
        <v>97</v>
      </c>
      <c r="D98" s="1" t="s">
        <v>75</v>
      </c>
      <c r="E98" s="1">
        <v>3.0</v>
      </c>
      <c r="F98" s="1" t="s">
        <v>195</v>
      </c>
      <c r="G98" s="1" t="s">
        <v>315</v>
      </c>
      <c r="H98" s="1">
        <v>0.0</v>
      </c>
      <c r="I98" s="1">
        <v>60.0</v>
      </c>
      <c r="J98" s="3">
        <f>IFERROR(__xludf.DUMMYFUNCTION("IF(H98&gt;0, IFERROR(ROUNDUP(H98 / MAX(1, INDEX(FILTER('warehouse config'!$D:$D, ('warehouse config'!$B:$B=C98) * ('warehouse config'!$C:$C=D98) * ('warehouse config'!$G:$G&lt;=A98) * (('warehouse config'!$H:$H&gt;=A98) + ISBLANK('warehouse config'!$H:$H))),1))), "&amp;"0), 0)"),0.0)</f>
        <v>0</v>
      </c>
      <c r="K98" s="3">
        <f>IFERROR(__xludf.DUMMYFUNCTION("IF(I98&gt;0, IFERROR(ROUNDUP(I98 / MAX(1, INDEX(FILTER('warehouse config'!$E:$E, ('warehouse config'!$B:$B=C98) * ('warehouse config'!$C:$C=D98) * ('warehouse config'!$G:$G&lt;=A98) * (('warehouse config'!$H:$H&gt;=A98) + ISBLANK('warehouse config'!$H:$H))),1))), "&amp;"0), 0)"),3.0)</f>
        <v>3</v>
      </c>
    </row>
    <row r="99">
      <c r="A99" s="14">
        <v>45604.0</v>
      </c>
      <c r="B99" s="1" t="s">
        <v>317</v>
      </c>
      <c r="C99" s="1" t="s">
        <v>97</v>
      </c>
      <c r="D99" s="1" t="s">
        <v>51</v>
      </c>
      <c r="E99" s="1">
        <v>12.0</v>
      </c>
      <c r="F99" s="1" t="s">
        <v>195</v>
      </c>
      <c r="G99" s="1" t="s">
        <v>318</v>
      </c>
      <c r="H99" s="1">
        <v>0.0</v>
      </c>
      <c r="I99" s="1">
        <v>24.0</v>
      </c>
      <c r="J99" s="3">
        <f>IFERROR(__xludf.DUMMYFUNCTION("IF(H99&gt;0, IFERROR(ROUNDUP(H99 / MAX(1, INDEX(FILTER('warehouse config'!$D:$D, ('warehouse config'!$B:$B=C99) * ('warehouse config'!$C:$C=D99) * ('warehouse config'!$G:$G&lt;=A99) * (('warehouse config'!$H:$H&gt;=A99) + ISBLANK('warehouse config'!$H:$H))),1))), "&amp;"0), 0)"),0.0)</f>
        <v>0</v>
      </c>
      <c r="K99" s="3">
        <f>IFERROR(__xludf.DUMMYFUNCTION("IF(I99&gt;0, IFERROR(ROUNDUP(I99 / MAX(1, INDEX(FILTER('warehouse config'!$E:$E, ('warehouse config'!$B:$B=C99) * ('warehouse config'!$C:$C=D99) * ('warehouse config'!$G:$G&lt;=A99) * (('warehouse config'!$H:$H&gt;=A99) + ISBLANK('warehouse config'!$H:$H))),1))), "&amp;"0), 0)"),1.0)</f>
        <v>1</v>
      </c>
    </row>
    <row r="100">
      <c r="A100" s="14">
        <v>45604.0</v>
      </c>
      <c r="B100" s="1" t="s">
        <v>319</v>
      </c>
      <c r="C100" s="1" t="s">
        <v>97</v>
      </c>
      <c r="D100" s="1" t="s">
        <v>62</v>
      </c>
      <c r="E100" s="1">
        <v>12.0</v>
      </c>
      <c r="F100" s="1" t="s">
        <v>195</v>
      </c>
      <c r="G100" s="1" t="s">
        <v>318</v>
      </c>
      <c r="H100" s="1">
        <v>0.0</v>
      </c>
      <c r="I100" s="1">
        <v>24.0</v>
      </c>
      <c r="J100" s="3">
        <f>IFERROR(__xludf.DUMMYFUNCTION("IF(H100&gt;0, IFERROR(ROUNDUP(H100 / MAX(1, INDEX(FILTER('warehouse config'!$D:$D, ('warehouse config'!$B:$B=C100) * ('warehouse config'!$C:$C=D100) * ('warehouse config'!$G:$G&lt;=A100) * (('warehouse config'!$H:$H&gt;=A100) + ISBLANK('warehouse config'!$H:$H))),"&amp;"1))), 0), 0)"),0.0)</f>
        <v>0</v>
      </c>
      <c r="K100" s="3">
        <f>IFERROR(__xludf.DUMMYFUNCTION("IF(I100&gt;0, IFERROR(ROUNDUP(I100 / MAX(1, INDEX(FILTER('warehouse config'!$E:$E, ('warehouse config'!$B:$B=C100) * ('warehouse config'!$C:$C=D100) * ('warehouse config'!$G:$G&lt;=A100) * (('warehouse config'!$H:$H&gt;=A100) + ISBLANK('warehouse config'!$H:$H))),"&amp;"1))), 0), 0)"),1.0)</f>
        <v>1</v>
      </c>
    </row>
    <row r="101">
      <c r="A101" s="14">
        <v>45604.0</v>
      </c>
      <c r="B101" s="1" t="s">
        <v>320</v>
      </c>
      <c r="C101" s="1" t="s">
        <v>87</v>
      </c>
      <c r="D101" s="1" t="s">
        <v>44</v>
      </c>
      <c r="E101" s="1">
        <v>11.0</v>
      </c>
      <c r="F101" s="1" t="s">
        <v>195</v>
      </c>
      <c r="G101" s="1" t="s">
        <v>321</v>
      </c>
      <c r="H101" s="1">
        <v>0.0</v>
      </c>
      <c r="I101" s="1">
        <v>54.0</v>
      </c>
      <c r="J101" s="3">
        <f>IFERROR(__xludf.DUMMYFUNCTION("IF(H101&gt;0, IFERROR(ROUNDUP(H101 / MAX(1, INDEX(FILTER('warehouse config'!$D:$D, ('warehouse config'!$B:$B=C101) * ('warehouse config'!$C:$C=D101) * ('warehouse config'!$G:$G&lt;=A101) * (('warehouse config'!$H:$H&gt;=A101) + ISBLANK('warehouse config'!$H:$H))),"&amp;"1))), 0), 0)"),0.0)</f>
        <v>0</v>
      </c>
      <c r="K101" s="3">
        <f>IFERROR(__xludf.DUMMYFUNCTION("IF(I101&gt;0, IFERROR(ROUNDUP(I101 / MAX(1, INDEX(FILTER('warehouse config'!$E:$E, ('warehouse config'!$B:$B=C101) * ('warehouse config'!$C:$C=D101) * ('warehouse config'!$G:$G&lt;=A101) * (('warehouse config'!$H:$H&gt;=A101) + ISBLANK('warehouse config'!$H:$H))),"&amp;"1))), 0), 0)"),4.0)</f>
        <v>4</v>
      </c>
    </row>
    <row r="102">
      <c r="A102" s="14">
        <v>45629.0</v>
      </c>
      <c r="B102" s="1" t="s">
        <v>322</v>
      </c>
      <c r="C102" s="1" t="s">
        <v>97</v>
      </c>
      <c r="D102" s="1" t="s">
        <v>51</v>
      </c>
      <c r="E102" s="1">
        <v>12.0</v>
      </c>
      <c r="F102" s="1" t="s">
        <v>195</v>
      </c>
      <c r="G102" s="1" t="s">
        <v>323</v>
      </c>
      <c r="H102" s="1">
        <v>0.0</v>
      </c>
      <c r="I102" s="1">
        <v>24.0</v>
      </c>
      <c r="J102" s="3">
        <f>IFERROR(__xludf.DUMMYFUNCTION("IF(H102&gt;0, IFERROR(ROUNDUP(H102 / MAX(1, INDEX(FILTER('warehouse config'!$D:$D, ('warehouse config'!$B:$B=C102) * ('warehouse config'!$C:$C=D102) * ('warehouse config'!$G:$G&lt;=A102) * (('warehouse config'!$H:$H&gt;=A102) + ISBLANK('warehouse config'!$H:$H))),"&amp;"1))), 0), 0)"),0.0)</f>
        <v>0</v>
      </c>
      <c r="K102" s="3">
        <f>IFERROR(__xludf.DUMMYFUNCTION("IF(I102&gt;0, IFERROR(ROUNDUP(I102 / MAX(1, INDEX(FILTER('warehouse config'!$E:$E, ('warehouse config'!$B:$B=C102) * ('warehouse config'!$C:$C=D102) * ('warehouse config'!$G:$G&lt;=A102) * (('warehouse config'!$H:$H&gt;=A102) + ISBLANK('warehouse config'!$H:$H))),"&amp;"1))), 0), 0)"),1.0)</f>
        <v>1</v>
      </c>
    </row>
    <row r="103">
      <c r="A103" s="14">
        <v>45629.0</v>
      </c>
      <c r="B103" s="1" t="s">
        <v>324</v>
      </c>
      <c r="C103" s="1" t="s">
        <v>97</v>
      </c>
      <c r="D103" s="1" t="s">
        <v>62</v>
      </c>
      <c r="E103" s="1">
        <v>12.0</v>
      </c>
      <c r="F103" s="1" t="s">
        <v>195</v>
      </c>
      <c r="G103" s="1" t="s">
        <v>323</v>
      </c>
      <c r="H103" s="1">
        <v>0.0</v>
      </c>
      <c r="I103" s="1">
        <v>24.0</v>
      </c>
      <c r="J103" s="3">
        <f>IFERROR(__xludf.DUMMYFUNCTION("IF(H103&gt;0, IFERROR(ROUNDUP(H103 / MAX(1, INDEX(FILTER('warehouse config'!$D:$D, ('warehouse config'!$B:$B=C103) * ('warehouse config'!$C:$C=D103) * ('warehouse config'!$G:$G&lt;=A103) * (('warehouse config'!$H:$H&gt;=A103) + ISBLANK('warehouse config'!$H:$H))),"&amp;"1))), 0), 0)"),0.0)</f>
        <v>0</v>
      </c>
      <c r="K103" s="3">
        <f>IFERROR(__xludf.DUMMYFUNCTION("IF(I103&gt;0, IFERROR(ROUNDUP(I103 / MAX(1, INDEX(FILTER('warehouse config'!$E:$E, ('warehouse config'!$B:$B=C103) * ('warehouse config'!$C:$C=D103) * ('warehouse config'!$G:$G&lt;=A103) * (('warehouse config'!$H:$H&gt;=A103) + ISBLANK('warehouse config'!$H:$H))),"&amp;"1))), 0), 0)"),1.0)</f>
        <v>1</v>
      </c>
    </row>
    <row r="104">
      <c r="A104" s="14">
        <v>45629.0</v>
      </c>
      <c r="B104" s="1" t="s">
        <v>325</v>
      </c>
      <c r="C104" s="1" t="s">
        <v>97</v>
      </c>
      <c r="D104" s="1" t="s">
        <v>75</v>
      </c>
      <c r="E104" s="1">
        <v>3.0</v>
      </c>
      <c r="F104" s="1" t="s">
        <v>195</v>
      </c>
      <c r="G104" s="1" t="s">
        <v>323</v>
      </c>
      <c r="H104" s="1">
        <v>0.0</v>
      </c>
      <c r="I104" s="1">
        <v>40.0</v>
      </c>
      <c r="J104" s="3">
        <f>IFERROR(__xludf.DUMMYFUNCTION("IF(H104&gt;0, IFERROR(ROUNDUP(H104 / MAX(1, INDEX(FILTER('warehouse config'!$D:$D, ('warehouse config'!$B:$B=C104) * ('warehouse config'!$C:$C=D104) * ('warehouse config'!$G:$G&lt;=A104) * (('warehouse config'!$H:$H&gt;=A104) + ISBLANK('warehouse config'!$H:$H))),"&amp;"1))), 0), 0)"),0.0)</f>
        <v>0</v>
      </c>
      <c r="K104" s="3">
        <f>IFERROR(__xludf.DUMMYFUNCTION("IF(I104&gt;0, IFERROR(ROUNDUP(I104 / MAX(1, INDEX(FILTER('warehouse config'!$E:$E, ('warehouse config'!$B:$B=C104) * ('warehouse config'!$C:$C=D104) * ('warehouse config'!$G:$G&lt;=A104) * (('warehouse config'!$H:$H&gt;=A104) + ISBLANK('warehouse config'!$H:$H))),"&amp;"1))), 0), 0)"),2.0)</f>
        <v>2</v>
      </c>
    </row>
    <row r="105">
      <c r="A105" s="14">
        <v>45629.0</v>
      </c>
      <c r="B105" s="1" t="s">
        <v>326</v>
      </c>
      <c r="C105" s="1" t="s">
        <v>87</v>
      </c>
      <c r="D105" s="1" t="s">
        <v>28</v>
      </c>
      <c r="E105" s="1">
        <v>8.0</v>
      </c>
      <c r="F105" s="1" t="s">
        <v>195</v>
      </c>
      <c r="G105" s="1" t="s">
        <v>327</v>
      </c>
      <c r="H105" s="1">
        <v>0.0</v>
      </c>
      <c r="I105" s="1">
        <v>10.0</v>
      </c>
      <c r="J105" s="3">
        <f>IFERROR(__xludf.DUMMYFUNCTION("IF(H105&gt;0, IFERROR(ROUNDUP(H105 / MAX(1, INDEX(FILTER('warehouse config'!$D:$D, ('warehouse config'!$B:$B=C105) * ('warehouse config'!$C:$C=D105) * ('warehouse config'!$G:$G&lt;=A105) * (('warehouse config'!$H:$H&gt;=A105) + ISBLANK('warehouse config'!$H:$H))),"&amp;"1))), 0), 0)"),0.0)</f>
        <v>0</v>
      </c>
      <c r="K105" s="3">
        <f>IFERROR(__xludf.DUMMYFUNCTION("IF(I105&gt;0, IFERROR(ROUNDUP(I105 / MAX(1, INDEX(FILTER('warehouse config'!$E:$E, ('warehouse config'!$B:$B=C105) * ('warehouse config'!$C:$C=D105) * ('warehouse config'!$G:$G&lt;=A105) * (('warehouse config'!$H:$H&gt;=A105) + ISBLANK('warehouse config'!$H:$H))),"&amp;"1))), 0), 0)"),1.0)</f>
        <v>1</v>
      </c>
    </row>
    <row r="106">
      <c r="A106" s="14">
        <v>45629.0</v>
      </c>
      <c r="B106" s="1" t="s">
        <v>328</v>
      </c>
      <c r="C106" s="1" t="s">
        <v>87</v>
      </c>
      <c r="D106" s="1" t="s">
        <v>57</v>
      </c>
      <c r="E106" s="1">
        <v>11.0</v>
      </c>
      <c r="F106" s="1" t="s">
        <v>195</v>
      </c>
      <c r="G106" s="1" t="s">
        <v>327</v>
      </c>
      <c r="H106" s="1">
        <v>0.0</v>
      </c>
      <c r="I106" s="1">
        <v>36.0</v>
      </c>
      <c r="J106" s="3">
        <f>IFERROR(__xludf.DUMMYFUNCTION("IF(H106&gt;0, IFERROR(ROUNDUP(H106 / MAX(1, INDEX(FILTER('warehouse config'!$D:$D, ('warehouse config'!$B:$B=C106) * ('warehouse config'!$C:$C=D106) * ('warehouse config'!$G:$G&lt;=A106) * (('warehouse config'!$H:$H&gt;=A106) + ISBLANK('warehouse config'!$H:$H))),"&amp;"1))), 0), 0)"),0.0)</f>
        <v>0</v>
      </c>
      <c r="K106" s="3">
        <f>IFERROR(__xludf.DUMMYFUNCTION("IF(I106&gt;0, IFERROR(ROUNDUP(I106 / MAX(1, INDEX(FILTER('warehouse config'!$E:$E, ('warehouse config'!$B:$B=C106) * ('warehouse config'!$C:$C=D106) * ('warehouse config'!$G:$G&lt;=A106) * (('warehouse config'!$H:$H&gt;=A106) + ISBLANK('warehouse config'!$H:$H))),"&amp;"1))), 0), 0)"),3.0)</f>
        <v>3</v>
      </c>
    </row>
    <row r="107">
      <c r="A107" s="14">
        <v>45629.0</v>
      </c>
      <c r="B107" s="1" t="s">
        <v>329</v>
      </c>
      <c r="C107" s="1" t="s">
        <v>87</v>
      </c>
      <c r="D107" s="1" t="s">
        <v>68</v>
      </c>
      <c r="E107" s="1">
        <v>10.0</v>
      </c>
      <c r="F107" s="1" t="s">
        <v>195</v>
      </c>
      <c r="G107" s="1" t="s">
        <v>327</v>
      </c>
      <c r="H107" s="1">
        <v>0.0</v>
      </c>
      <c r="I107" s="1">
        <v>18.0</v>
      </c>
      <c r="J107" s="3">
        <f>IFERROR(__xludf.DUMMYFUNCTION("IF(H107&gt;0, IFERROR(ROUNDUP(H107 / MAX(1, INDEX(FILTER('warehouse config'!$D:$D, ('warehouse config'!$B:$B=C107) * ('warehouse config'!$C:$C=D107) * ('warehouse config'!$G:$G&lt;=A107) * (('warehouse config'!$H:$H&gt;=A107) + ISBLANK('warehouse config'!$H:$H))),"&amp;"1))), 0), 0)"),0.0)</f>
        <v>0</v>
      </c>
      <c r="K107" s="3">
        <f>IFERROR(__xludf.DUMMYFUNCTION("IF(I107&gt;0, IFERROR(ROUNDUP(I107 / MAX(1, INDEX(FILTER('warehouse config'!$E:$E, ('warehouse config'!$B:$B=C107) * ('warehouse config'!$C:$C=D107) * ('warehouse config'!$G:$G&lt;=A107) * (('warehouse config'!$H:$H&gt;=A107) + ISBLANK('warehouse config'!$H:$H))),"&amp;"1))), 0), 0)"),1.0)</f>
        <v>1</v>
      </c>
    </row>
    <row r="108">
      <c r="A108" s="14">
        <v>45630.0</v>
      </c>
      <c r="B108" s="1" t="s">
        <v>330</v>
      </c>
      <c r="C108" s="1" t="s">
        <v>97</v>
      </c>
      <c r="D108" s="1" t="s">
        <v>51</v>
      </c>
      <c r="E108" s="1">
        <v>12.0</v>
      </c>
      <c r="F108" s="1" t="s">
        <v>195</v>
      </c>
      <c r="G108" s="1" t="s">
        <v>331</v>
      </c>
      <c r="H108" s="1">
        <v>0.0</v>
      </c>
      <c r="I108" s="1">
        <v>24.0</v>
      </c>
      <c r="J108" s="3">
        <f>IFERROR(__xludf.DUMMYFUNCTION("IF(H108&gt;0, IFERROR(ROUNDUP(H108 / MAX(1, INDEX(FILTER('warehouse config'!$D:$D, ('warehouse config'!$B:$B=C108) * ('warehouse config'!$C:$C=D108) * ('warehouse config'!$G:$G&lt;=A108) * (('warehouse config'!$H:$H&gt;=A108) + ISBLANK('warehouse config'!$H:$H))),"&amp;"1))), 0), 0)"),0.0)</f>
        <v>0</v>
      </c>
      <c r="K108" s="3">
        <f>IFERROR(__xludf.DUMMYFUNCTION("IF(I108&gt;0, IFERROR(ROUNDUP(I108 / MAX(1, INDEX(FILTER('warehouse config'!$E:$E, ('warehouse config'!$B:$B=C108) * ('warehouse config'!$C:$C=D108) * ('warehouse config'!$G:$G&lt;=A108) * (('warehouse config'!$H:$H&gt;=A108) + ISBLANK('warehouse config'!$H:$H))),"&amp;"1))), 0), 0)"),1.0)</f>
        <v>1</v>
      </c>
    </row>
    <row r="109">
      <c r="A109" s="14">
        <v>45641.0</v>
      </c>
      <c r="B109" s="1" t="s">
        <v>332</v>
      </c>
      <c r="C109" s="1" t="s">
        <v>106</v>
      </c>
      <c r="D109" s="1" t="s">
        <v>68</v>
      </c>
      <c r="E109" s="1">
        <v>4.0</v>
      </c>
      <c r="F109" s="1" t="s">
        <v>189</v>
      </c>
      <c r="G109" s="15" t="s">
        <v>333</v>
      </c>
      <c r="H109" s="1">
        <v>91.0</v>
      </c>
      <c r="I109" s="1">
        <v>0.0</v>
      </c>
      <c r="J109" s="17">
        <f>IFERROR(__xludf.DUMMYFUNCTION("IF(H109&gt;0, IFERROR(ROUNDUP(H109 / MAX(1, INDEX(FILTER('warehouse config'!$D:$D, ('warehouse config'!$B:$B=C109) * ('warehouse config'!$C:$C=D109) * ('warehouse config'!$G:$G&lt;=A109) * (('warehouse config'!$H:$H&gt;=A109) + ISBLANK('warehouse config'!$H:$H))),"&amp;"1))), 0), 0)"),5.0)</f>
        <v>5</v>
      </c>
      <c r="K109" s="17">
        <f>IFERROR(__xludf.DUMMYFUNCTION("IF(I109&gt;0, IFERROR(ROUNDUP(I109 / MAX(1, INDEX(FILTER('warehouse config'!$E:$E, ('warehouse config'!$B:$B=C109) * ('warehouse config'!$C:$C=D109) * ('warehouse config'!$G:$G&lt;=A109) * (('warehouse config'!$H:$H&gt;=A109) + ISBLANK('warehouse config'!$H:$H))),"&amp;"1))), 0), 0)"),0.0)</f>
        <v>0</v>
      </c>
    </row>
    <row r="110">
      <c r="A110" s="14">
        <v>45641.0</v>
      </c>
      <c r="B110" s="1" t="s">
        <v>334</v>
      </c>
      <c r="C110" s="1" t="s">
        <v>106</v>
      </c>
      <c r="D110" s="1" t="s">
        <v>75</v>
      </c>
      <c r="E110" s="1">
        <v>4.0</v>
      </c>
      <c r="F110" s="1" t="s">
        <v>189</v>
      </c>
      <c r="G110" s="15" t="s">
        <v>333</v>
      </c>
      <c r="H110" s="1">
        <v>179.0</v>
      </c>
      <c r="I110" s="1">
        <v>0.0</v>
      </c>
      <c r="J110" s="17">
        <f>IFERROR(__xludf.DUMMYFUNCTION("IF(H110&gt;0, IFERROR(ROUNDUP(H110 / MAX(1, INDEX(FILTER('warehouse config'!$D:$D, ('warehouse config'!$B:$B=C110) * ('warehouse config'!$C:$C=D110) * ('warehouse config'!$G:$G&lt;=A110) * (('warehouse config'!$H:$H&gt;=A110) + ISBLANK('warehouse config'!$H:$H))),"&amp;"1))), 0), 0)"),9.0)</f>
        <v>9</v>
      </c>
      <c r="K110" s="17">
        <f>IFERROR(__xludf.DUMMYFUNCTION("IF(I110&gt;0, IFERROR(ROUNDUP(I110 / MAX(1, INDEX(FILTER('warehouse config'!$E:$E, ('warehouse config'!$B:$B=C110) * ('warehouse config'!$C:$C=D110) * ('warehouse config'!$G:$G&lt;=A110) * (('warehouse config'!$H:$H&gt;=A110) + ISBLANK('warehouse config'!$H:$H))),"&amp;"1))), 0), 0)"),0.0)</f>
        <v>0</v>
      </c>
    </row>
    <row r="111">
      <c r="A111" s="14">
        <v>45646.0</v>
      </c>
      <c r="B111" s="1" t="s">
        <v>335</v>
      </c>
      <c r="C111" s="1" t="s">
        <v>87</v>
      </c>
      <c r="D111" s="1" t="s">
        <v>44</v>
      </c>
      <c r="E111" s="1">
        <v>11.0</v>
      </c>
      <c r="F111" s="1" t="s">
        <v>195</v>
      </c>
      <c r="G111" s="1" t="s">
        <v>277</v>
      </c>
      <c r="H111" s="1">
        <v>0.0</v>
      </c>
      <c r="I111" s="1">
        <v>36.0</v>
      </c>
      <c r="J111" s="3">
        <f>IFERROR(__xludf.DUMMYFUNCTION("IF(H111&gt;0, IFERROR(ROUNDUP(H111 / MAX(1, INDEX(FILTER('warehouse config'!$D:$D, ('warehouse config'!$B:$B=C111) * ('warehouse config'!$C:$C=D111) * ('warehouse config'!$G:$G&lt;=A111) * (('warehouse config'!$H:$H&gt;=A111) + ISBLANK('warehouse config'!$H:$H))),"&amp;"1))), 0), 0)"),0.0)</f>
        <v>0</v>
      </c>
      <c r="K111" s="3">
        <f>IFERROR(__xludf.DUMMYFUNCTION("IF(I111&gt;0, IFERROR(ROUNDUP(I111 / MAX(1, INDEX(FILTER('warehouse config'!$E:$E, ('warehouse config'!$B:$B=C111) * ('warehouse config'!$C:$C=D111) * ('warehouse config'!$G:$G&lt;=A111) * (('warehouse config'!$H:$H&gt;=A111) + ISBLANK('warehouse config'!$H:$H))),"&amp;"1))), 0), 0)"),3.0)</f>
        <v>3</v>
      </c>
    </row>
    <row r="112">
      <c r="A112" s="14">
        <v>45646.0</v>
      </c>
      <c r="B112" s="1" t="s">
        <v>336</v>
      </c>
      <c r="C112" s="1" t="s">
        <v>87</v>
      </c>
      <c r="D112" s="1" t="s">
        <v>57</v>
      </c>
      <c r="E112" s="1">
        <v>11.0</v>
      </c>
      <c r="F112" s="1" t="s">
        <v>195</v>
      </c>
      <c r="G112" s="1" t="s">
        <v>277</v>
      </c>
      <c r="H112" s="1">
        <v>0.0</v>
      </c>
      <c r="I112" s="1">
        <v>18.0</v>
      </c>
      <c r="J112" s="3">
        <f>IFERROR(__xludf.DUMMYFUNCTION("IF(H112&gt;0, IFERROR(ROUNDUP(H112 / MAX(1, INDEX(FILTER('warehouse config'!$D:$D, ('warehouse config'!$B:$B=C112) * ('warehouse config'!$C:$C=D112) * ('warehouse config'!$G:$G&lt;=A112) * (('warehouse config'!$H:$H&gt;=A112) + ISBLANK('warehouse config'!$H:$H))),"&amp;"1))), 0), 0)"),0.0)</f>
        <v>0</v>
      </c>
      <c r="K112" s="3">
        <f>IFERROR(__xludf.DUMMYFUNCTION("IF(I112&gt;0, IFERROR(ROUNDUP(I112 / MAX(1, INDEX(FILTER('warehouse config'!$E:$E, ('warehouse config'!$B:$B=C112) * ('warehouse config'!$C:$C=D112) * ('warehouse config'!$G:$G&lt;=A112) * (('warehouse config'!$H:$H&gt;=A112) + ISBLANK('warehouse config'!$H:$H))),"&amp;"1))), 0), 0)"),2.0)</f>
        <v>2</v>
      </c>
    </row>
    <row r="113">
      <c r="A113" s="14">
        <v>45646.0</v>
      </c>
      <c r="B113" s="1" t="s">
        <v>337</v>
      </c>
      <c r="C113" s="1" t="s">
        <v>87</v>
      </c>
      <c r="D113" s="1" t="s">
        <v>68</v>
      </c>
      <c r="E113" s="1">
        <v>10.0</v>
      </c>
      <c r="F113" s="1" t="s">
        <v>195</v>
      </c>
      <c r="G113" s="1" t="s">
        <v>277</v>
      </c>
      <c r="H113" s="1">
        <v>0.0</v>
      </c>
      <c r="I113" s="1">
        <v>18.0</v>
      </c>
      <c r="J113" s="3">
        <f>IFERROR(__xludf.DUMMYFUNCTION("IF(H113&gt;0, IFERROR(ROUNDUP(H113 / MAX(1, INDEX(FILTER('warehouse config'!$D:$D, ('warehouse config'!$B:$B=C113) * ('warehouse config'!$C:$C=D113) * ('warehouse config'!$G:$G&lt;=A113) * (('warehouse config'!$H:$H&gt;=A113) + ISBLANK('warehouse config'!$H:$H))),"&amp;"1))), 0), 0)"),0.0)</f>
        <v>0</v>
      </c>
      <c r="K113" s="3">
        <f>IFERROR(__xludf.DUMMYFUNCTION("IF(I113&gt;0, IFERROR(ROUNDUP(I113 / MAX(1, INDEX(FILTER('warehouse config'!$E:$E, ('warehouse config'!$B:$B=C113) * ('warehouse config'!$C:$C=D113) * ('warehouse config'!$G:$G&lt;=A113) * (('warehouse config'!$H:$H&gt;=A113) + ISBLANK('warehouse config'!$H:$H))),"&amp;"1))), 0), 0)"),1.0)</f>
        <v>1</v>
      </c>
    </row>
    <row r="114">
      <c r="A114" s="14">
        <v>45660.0</v>
      </c>
      <c r="B114" s="1" t="s">
        <v>338</v>
      </c>
      <c r="C114" s="1" t="s">
        <v>97</v>
      </c>
      <c r="D114" s="1" t="s">
        <v>51</v>
      </c>
      <c r="E114" s="1">
        <v>12.0</v>
      </c>
      <c r="F114" s="1" t="s">
        <v>195</v>
      </c>
      <c r="G114" s="1" t="s">
        <v>339</v>
      </c>
      <c r="H114" s="1">
        <v>0.0</v>
      </c>
      <c r="I114" s="1">
        <v>24.0</v>
      </c>
      <c r="J114" s="3">
        <f>IFERROR(__xludf.DUMMYFUNCTION("IF(H114&gt;0, IFERROR(ROUNDUP(H114 / MAX(1, INDEX(FILTER('warehouse config'!$D:$D, ('warehouse config'!$B:$B=C114) * ('warehouse config'!$C:$C=D114) * ('warehouse config'!$G:$G&lt;=A114) * (('warehouse config'!$H:$H&gt;=A114) + ISBLANK('warehouse config'!$H:$H))),"&amp;"1))), 0), 0)"),0.0)</f>
        <v>0</v>
      </c>
      <c r="K114" s="3">
        <f>IFERROR(__xludf.DUMMYFUNCTION("IF(I114&gt;0, IFERROR(ROUNDUP(I114 / MAX(1, INDEX(FILTER('warehouse config'!$E:$E, ('warehouse config'!$B:$B=C114) * ('warehouse config'!$C:$C=D114) * ('warehouse config'!$G:$G&lt;=A114) * (('warehouse config'!$H:$H&gt;=A114) + ISBLANK('warehouse config'!$H:$H))),"&amp;"1))), 0), 0)"),1.0)</f>
        <v>1</v>
      </c>
    </row>
    <row r="115">
      <c r="A115" s="14">
        <v>45660.0</v>
      </c>
      <c r="B115" s="1" t="s">
        <v>340</v>
      </c>
      <c r="C115" s="1" t="s">
        <v>97</v>
      </c>
      <c r="D115" s="1" t="s">
        <v>62</v>
      </c>
      <c r="E115" s="1">
        <v>12.0</v>
      </c>
      <c r="F115" s="1" t="s">
        <v>195</v>
      </c>
      <c r="G115" s="1" t="s">
        <v>339</v>
      </c>
      <c r="H115" s="1">
        <v>0.0</v>
      </c>
      <c r="I115" s="1">
        <v>48.0</v>
      </c>
      <c r="J115" s="3">
        <f>IFERROR(__xludf.DUMMYFUNCTION("IF(H115&gt;0, IFERROR(ROUNDUP(H115 / MAX(1, INDEX(FILTER('warehouse config'!$D:$D, ('warehouse config'!$B:$B=C115) * ('warehouse config'!$C:$C=D115) * ('warehouse config'!$G:$G&lt;=A115) * (('warehouse config'!$H:$H&gt;=A115) + ISBLANK('warehouse config'!$H:$H))),"&amp;"1))), 0), 0)"),0.0)</f>
        <v>0</v>
      </c>
      <c r="K115" s="3">
        <f>IFERROR(__xludf.DUMMYFUNCTION("IF(I115&gt;0, IFERROR(ROUNDUP(I115 / MAX(1, INDEX(FILTER('warehouse config'!$E:$E, ('warehouse config'!$B:$B=C115) * ('warehouse config'!$C:$C=D115) * ('warehouse config'!$G:$G&lt;=A115) * (('warehouse config'!$H:$H&gt;=A115) + ISBLANK('warehouse config'!$H:$H))),"&amp;"1))), 0), 0)"),2.0)</f>
        <v>2</v>
      </c>
    </row>
    <row r="116">
      <c r="A116" s="14">
        <v>45660.0</v>
      </c>
      <c r="B116" s="1" t="s">
        <v>341</v>
      </c>
      <c r="C116" s="1" t="s">
        <v>87</v>
      </c>
      <c r="D116" s="1" t="s">
        <v>44</v>
      </c>
      <c r="E116" s="1">
        <v>11.0</v>
      </c>
      <c r="F116" s="1" t="s">
        <v>195</v>
      </c>
      <c r="G116" s="1" t="s">
        <v>342</v>
      </c>
      <c r="H116" s="1">
        <v>0.0</v>
      </c>
      <c r="I116" s="1">
        <v>56.0</v>
      </c>
      <c r="J116" s="3">
        <f>IFERROR(__xludf.DUMMYFUNCTION("IF(H116&gt;0, IFERROR(ROUNDUP(H116 / MAX(1, INDEX(FILTER('warehouse config'!$D:$D, ('warehouse config'!$B:$B=C116) * ('warehouse config'!$C:$C=D116) * ('warehouse config'!$G:$G&lt;=A116) * (('warehouse config'!$H:$H&gt;=A116) + ISBLANK('warehouse config'!$H:$H))),"&amp;"1))), 0), 0)"),0.0)</f>
        <v>0</v>
      </c>
      <c r="K116" s="3">
        <f>IFERROR(__xludf.DUMMYFUNCTION("IF(I116&gt;0, IFERROR(ROUNDUP(I116 / MAX(1, INDEX(FILTER('warehouse config'!$E:$E, ('warehouse config'!$B:$B=C116) * ('warehouse config'!$C:$C=D116) * ('warehouse config'!$G:$G&lt;=A116) * (('warehouse config'!$H:$H&gt;=A116) + ISBLANK('warehouse config'!$H:$H))),"&amp;"1))), 0), 0)"),4.0)</f>
        <v>4</v>
      </c>
    </row>
    <row r="117">
      <c r="A117" s="14">
        <v>45660.0</v>
      </c>
      <c r="B117" s="1" t="s">
        <v>343</v>
      </c>
      <c r="C117" s="1" t="s">
        <v>87</v>
      </c>
      <c r="D117" s="1" t="s">
        <v>57</v>
      </c>
      <c r="E117" s="1">
        <v>11.0</v>
      </c>
      <c r="F117" s="1" t="s">
        <v>195</v>
      </c>
      <c r="G117" s="1" t="s">
        <v>342</v>
      </c>
      <c r="H117" s="1">
        <v>0.0</v>
      </c>
      <c r="I117" s="1">
        <v>38.0</v>
      </c>
      <c r="J117" s="3">
        <f>IFERROR(__xludf.DUMMYFUNCTION("IF(H117&gt;0, IFERROR(ROUNDUP(H117 / MAX(1, INDEX(FILTER('warehouse config'!$D:$D, ('warehouse config'!$B:$B=C117) * ('warehouse config'!$C:$C=D117) * ('warehouse config'!$G:$G&lt;=A117) * (('warehouse config'!$H:$H&gt;=A117) + ISBLANK('warehouse config'!$H:$H))),"&amp;"1))), 0), 0)"),0.0)</f>
        <v>0</v>
      </c>
      <c r="K117" s="3">
        <f>IFERROR(__xludf.DUMMYFUNCTION("IF(I117&gt;0, IFERROR(ROUNDUP(I117 / MAX(1, INDEX(FILTER('warehouse config'!$E:$E, ('warehouse config'!$B:$B=C117) * ('warehouse config'!$C:$C=D117) * ('warehouse config'!$G:$G&lt;=A117) * (('warehouse config'!$H:$H&gt;=A117) + ISBLANK('warehouse config'!$H:$H))),"&amp;"1))), 0), 0)"),3.0)</f>
        <v>3</v>
      </c>
    </row>
    <row r="118">
      <c r="A118" s="14">
        <v>45667.0</v>
      </c>
      <c r="B118" s="1" t="s">
        <v>344</v>
      </c>
      <c r="C118" s="1" t="s">
        <v>97</v>
      </c>
      <c r="D118" s="1" t="s">
        <v>44</v>
      </c>
      <c r="E118" s="1">
        <v>13.0</v>
      </c>
      <c r="F118" s="1" t="s">
        <v>189</v>
      </c>
      <c r="G118" s="1" t="s">
        <v>345</v>
      </c>
      <c r="H118" s="1">
        <v>285.0</v>
      </c>
      <c r="I118" s="1">
        <v>0.0</v>
      </c>
      <c r="J118" s="3">
        <f>IFERROR(__xludf.DUMMYFUNCTION("IF(H118&gt;0, IFERROR(ROUNDUP(H118 / MAX(1, INDEX(FILTER('warehouse config'!$D:$D, ('warehouse config'!$B:$B=C118) * ('warehouse config'!$C:$C=D118) * ('warehouse config'!$G:$G&lt;=A118) * (('warehouse config'!$H:$H&gt;=A118) + ISBLANK('warehouse config'!$H:$H))),"&amp;"1))), 0), 0)"),18.0)</f>
        <v>18</v>
      </c>
      <c r="K118" s="3">
        <f>IFERROR(__xludf.DUMMYFUNCTION("IF(I118&gt;0, IFERROR(ROUNDUP(I118 / MAX(1, INDEX(FILTER('warehouse config'!$E:$E, ('warehouse config'!$B:$B=C118) * ('warehouse config'!$C:$C=D118) * ('warehouse config'!$G:$G&lt;=A118) * (('warehouse config'!$H:$H&gt;=A118) + ISBLANK('warehouse config'!$H:$H))),"&amp;"1))), 0), 0)"),0.0)</f>
        <v>0</v>
      </c>
    </row>
    <row r="119">
      <c r="A119" s="14">
        <v>45667.0</v>
      </c>
      <c r="B119" s="1" t="s">
        <v>346</v>
      </c>
      <c r="C119" s="1" t="s">
        <v>97</v>
      </c>
      <c r="D119" s="1" t="s">
        <v>51</v>
      </c>
      <c r="E119" s="1">
        <v>13.0</v>
      </c>
      <c r="F119" s="1" t="s">
        <v>189</v>
      </c>
      <c r="G119" s="1" t="s">
        <v>345</v>
      </c>
      <c r="H119" s="1">
        <v>175.0</v>
      </c>
      <c r="I119" s="1">
        <v>0.0</v>
      </c>
      <c r="J119" s="3">
        <f>IFERROR(__xludf.DUMMYFUNCTION("IF(H119&gt;0, IFERROR(ROUNDUP(H119 / MAX(1, INDEX(FILTER('warehouse config'!$D:$D, ('warehouse config'!$B:$B=C119) * ('warehouse config'!$C:$C=D119) * ('warehouse config'!$G:$G&lt;=A119) * (('warehouse config'!$H:$H&gt;=A119) + ISBLANK('warehouse config'!$H:$H))),"&amp;"1))), 0), 0)"),9.0)</f>
        <v>9</v>
      </c>
      <c r="K119" s="3">
        <f>IFERROR(__xludf.DUMMYFUNCTION("IF(I119&gt;0, IFERROR(ROUNDUP(I119 / MAX(1, INDEX(FILTER('warehouse config'!$E:$E, ('warehouse config'!$B:$B=C119) * ('warehouse config'!$C:$C=D119) * ('warehouse config'!$G:$G&lt;=A119) * (('warehouse config'!$H:$H&gt;=A119) + ISBLANK('warehouse config'!$H:$H))),"&amp;"1))), 0), 0)"),0.0)</f>
        <v>0</v>
      </c>
    </row>
    <row r="120">
      <c r="A120" s="14">
        <v>45667.0</v>
      </c>
      <c r="B120" s="1" t="s">
        <v>347</v>
      </c>
      <c r="C120" s="1" t="s">
        <v>97</v>
      </c>
      <c r="D120" s="1" t="s">
        <v>28</v>
      </c>
      <c r="E120" s="1">
        <v>13.0</v>
      </c>
      <c r="F120" s="1" t="s">
        <v>189</v>
      </c>
      <c r="G120" s="1" t="s">
        <v>345</v>
      </c>
      <c r="H120" s="1">
        <v>20.0</v>
      </c>
      <c r="I120" s="1">
        <v>0.0</v>
      </c>
      <c r="J120" s="3">
        <f>IFERROR(__xludf.DUMMYFUNCTION("IF(H120&gt;0, IFERROR(ROUNDUP(H120 / MAX(1, INDEX(FILTER('warehouse config'!$D:$D, ('warehouse config'!$B:$B=C120) * ('warehouse config'!$C:$C=D120) * ('warehouse config'!$G:$G&lt;=A120) * (('warehouse config'!$H:$H&gt;=A120) + ISBLANK('warehouse config'!$H:$H))),"&amp;"1))), 0), 0)"),1.0)</f>
        <v>1</v>
      </c>
      <c r="K120" s="3">
        <f>IFERROR(__xludf.DUMMYFUNCTION("IF(I120&gt;0, IFERROR(ROUNDUP(I120 / MAX(1, INDEX(FILTER('warehouse config'!$E:$E, ('warehouse config'!$B:$B=C120) * ('warehouse config'!$C:$C=D120) * ('warehouse config'!$G:$G&lt;=A120) * (('warehouse config'!$H:$H&gt;=A120) + ISBLANK('warehouse config'!$H:$H))),"&amp;"1))), 0), 0)"),0.0)</f>
        <v>0</v>
      </c>
    </row>
    <row r="121">
      <c r="A121" s="14">
        <v>45667.0</v>
      </c>
      <c r="B121" s="1" t="s">
        <v>348</v>
      </c>
      <c r="C121" s="1" t="s">
        <v>97</v>
      </c>
      <c r="D121" s="1" t="s">
        <v>37</v>
      </c>
      <c r="E121" s="1">
        <v>13.0</v>
      </c>
      <c r="F121" s="1" t="s">
        <v>189</v>
      </c>
      <c r="G121" s="1" t="s">
        <v>345</v>
      </c>
      <c r="H121" s="1">
        <v>80.0</v>
      </c>
      <c r="I121" s="1">
        <v>0.0</v>
      </c>
      <c r="J121" s="3">
        <f>IFERROR(__xludf.DUMMYFUNCTION("IF(H121&gt;0, IFERROR(ROUNDUP(H121 / MAX(1, INDEX(FILTER('warehouse config'!$D:$D, ('warehouse config'!$B:$B=C121) * ('warehouse config'!$C:$C=D121) * ('warehouse config'!$G:$G&lt;=A121) * (('warehouse config'!$H:$H&gt;=A121) + ISBLANK('warehouse config'!$H:$H))),"&amp;"1))), 0), 0)"),4.0)</f>
        <v>4</v>
      </c>
      <c r="K121" s="3">
        <f>IFERROR(__xludf.DUMMYFUNCTION("IF(I121&gt;0, IFERROR(ROUNDUP(I121 / MAX(1, INDEX(FILTER('warehouse config'!$E:$E, ('warehouse config'!$B:$B=C121) * ('warehouse config'!$C:$C=D121) * ('warehouse config'!$G:$G&lt;=A121) * (('warehouse config'!$H:$H&gt;=A121) + ISBLANK('warehouse config'!$H:$H))),"&amp;"1))), 0), 0)"),0.0)</f>
        <v>0</v>
      </c>
    </row>
    <row r="122">
      <c r="A122" s="14">
        <v>45667.0</v>
      </c>
      <c r="B122" s="1" t="s">
        <v>349</v>
      </c>
      <c r="C122" s="1" t="s">
        <v>97</v>
      </c>
      <c r="D122" s="1" t="s">
        <v>57</v>
      </c>
      <c r="E122" s="1">
        <v>13.0</v>
      </c>
      <c r="F122" s="1" t="s">
        <v>189</v>
      </c>
      <c r="G122" s="1" t="s">
        <v>345</v>
      </c>
      <c r="H122" s="1">
        <v>88.0</v>
      </c>
      <c r="I122" s="1">
        <v>0.0</v>
      </c>
      <c r="J122" s="3">
        <f>IFERROR(__xludf.DUMMYFUNCTION("IF(H122&gt;0, IFERROR(ROUNDUP(H122 / MAX(1, INDEX(FILTER('warehouse config'!$D:$D, ('warehouse config'!$B:$B=C122) * ('warehouse config'!$C:$C=D122) * ('warehouse config'!$G:$G&lt;=A122) * (('warehouse config'!$H:$H&gt;=A122) + ISBLANK('warehouse config'!$H:$H))),"&amp;"1))), 0), 0)"),6.0)</f>
        <v>6</v>
      </c>
      <c r="K122" s="3">
        <f>IFERROR(__xludf.DUMMYFUNCTION("IF(I122&gt;0, IFERROR(ROUNDUP(I122 / MAX(1, INDEX(FILTER('warehouse config'!$E:$E, ('warehouse config'!$B:$B=C122) * ('warehouse config'!$C:$C=D122) * ('warehouse config'!$G:$G&lt;=A122) * (('warehouse config'!$H:$H&gt;=A122) + ISBLANK('warehouse config'!$H:$H))),"&amp;"1))), 0), 0)"),0.0)</f>
        <v>0</v>
      </c>
    </row>
    <row r="123">
      <c r="A123" s="14">
        <v>45667.0</v>
      </c>
      <c r="B123" s="1" t="s">
        <v>350</v>
      </c>
      <c r="C123" s="1" t="s">
        <v>97</v>
      </c>
      <c r="D123" s="1" t="s">
        <v>62</v>
      </c>
      <c r="E123" s="1">
        <v>13.0</v>
      </c>
      <c r="F123" s="1" t="s">
        <v>189</v>
      </c>
      <c r="G123" s="1" t="s">
        <v>345</v>
      </c>
      <c r="H123" s="1">
        <v>131.0</v>
      </c>
      <c r="I123" s="1">
        <v>0.0</v>
      </c>
      <c r="J123" s="3">
        <f>IFERROR(__xludf.DUMMYFUNCTION("IF(H123&gt;0, IFERROR(ROUNDUP(H123 / MAX(1, INDEX(FILTER('warehouse config'!$D:$D, ('warehouse config'!$B:$B=C123) * ('warehouse config'!$C:$C=D123) * ('warehouse config'!$G:$G&lt;=A123) * (('warehouse config'!$H:$H&gt;=A123) + ISBLANK('warehouse config'!$H:$H))),"&amp;"1))), 0), 0)"),7.0)</f>
        <v>7</v>
      </c>
      <c r="K123" s="3">
        <f>IFERROR(__xludf.DUMMYFUNCTION("IF(I123&gt;0, IFERROR(ROUNDUP(I123 / MAX(1, INDEX(FILTER('warehouse config'!$E:$E, ('warehouse config'!$B:$B=C123) * ('warehouse config'!$C:$C=D123) * ('warehouse config'!$G:$G&lt;=A123) * (('warehouse config'!$H:$H&gt;=A123) + ISBLANK('warehouse config'!$H:$H))),"&amp;"1))), 0), 0)"),0.0)</f>
        <v>0</v>
      </c>
    </row>
    <row r="124">
      <c r="A124" s="14">
        <v>45672.0</v>
      </c>
      <c r="B124" s="1" t="s">
        <v>351</v>
      </c>
      <c r="C124" s="1" t="s">
        <v>97</v>
      </c>
      <c r="D124" s="1" t="s">
        <v>51</v>
      </c>
      <c r="E124" s="1">
        <v>12.0</v>
      </c>
      <c r="F124" s="1" t="s">
        <v>195</v>
      </c>
      <c r="G124" s="1" t="s">
        <v>352</v>
      </c>
      <c r="H124" s="1">
        <v>0.0</v>
      </c>
      <c r="I124" s="1">
        <v>24.0</v>
      </c>
      <c r="J124" s="3">
        <f>IFERROR(__xludf.DUMMYFUNCTION("IF(H124&gt;0, IFERROR(ROUNDUP(H124 / MAX(1, INDEX(FILTER('warehouse config'!$D:$D, ('warehouse config'!$B:$B=C124) * ('warehouse config'!$C:$C=D124) * ('warehouse config'!$G:$G&lt;=A124) * (('warehouse config'!$H:$H&gt;=A124) + ISBLANK('warehouse config'!$H:$H))),"&amp;"1))), 0), 0)"),0.0)</f>
        <v>0</v>
      </c>
      <c r="K124" s="3">
        <f>IFERROR(__xludf.DUMMYFUNCTION("IF(I124&gt;0, IFERROR(ROUNDUP(I124 / MAX(1, INDEX(FILTER('warehouse config'!$E:$E, ('warehouse config'!$B:$B=C124) * ('warehouse config'!$C:$C=D124) * ('warehouse config'!$G:$G&lt;=A124) * (('warehouse config'!$H:$H&gt;=A124) + ISBLANK('warehouse config'!$H:$H))),"&amp;"1))), 0), 0)"),1.0)</f>
        <v>1</v>
      </c>
    </row>
    <row r="125">
      <c r="A125" s="14">
        <v>45672.0</v>
      </c>
      <c r="B125" s="1" t="s">
        <v>353</v>
      </c>
      <c r="C125" s="1" t="s">
        <v>97</v>
      </c>
      <c r="D125" s="1" t="s">
        <v>62</v>
      </c>
      <c r="E125" s="1">
        <v>12.0</v>
      </c>
      <c r="F125" s="1" t="s">
        <v>195</v>
      </c>
      <c r="G125" s="1" t="s">
        <v>352</v>
      </c>
      <c r="H125" s="1">
        <v>0.0</v>
      </c>
      <c r="I125" s="1">
        <v>6.0</v>
      </c>
      <c r="J125" s="3">
        <f>IFERROR(__xludf.DUMMYFUNCTION("IF(H125&gt;0, IFERROR(ROUNDUP(H125 / MAX(1, INDEX(FILTER('warehouse config'!$D:$D, ('warehouse config'!$B:$B=C125) * ('warehouse config'!$C:$C=D125) * ('warehouse config'!$G:$G&lt;=A125) * (('warehouse config'!$H:$H&gt;=A125) + ISBLANK('warehouse config'!$H:$H))),"&amp;"1))), 0), 0)"),0.0)</f>
        <v>0</v>
      </c>
      <c r="K125" s="3">
        <f>IFERROR(__xludf.DUMMYFUNCTION("IF(I125&gt;0, IFERROR(ROUNDUP(I125 / MAX(1, INDEX(FILTER('warehouse config'!$E:$E, ('warehouse config'!$B:$B=C125) * ('warehouse config'!$C:$C=D125) * ('warehouse config'!$G:$G&lt;=A125) * (('warehouse config'!$H:$H&gt;=A125) + ISBLANK('warehouse config'!$H:$H))),"&amp;"1))), 0), 0)"),1.0)</f>
        <v>1</v>
      </c>
      <c r="N125" s="1" t="s">
        <v>354</v>
      </c>
    </row>
    <row r="126">
      <c r="A126" s="14">
        <v>45672.0</v>
      </c>
      <c r="B126" s="1" t="s">
        <v>355</v>
      </c>
      <c r="C126" s="1" t="s">
        <v>97</v>
      </c>
      <c r="D126" s="1" t="s">
        <v>62</v>
      </c>
      <c r="E126" s="1">
        <v>13.0</v>
      </c>
      <c r="F126" s="1" t="s">
        <v>195</v>
      </c>
      <c r="G126" s="1" t="s">
        <v>352</v>
      </c>
      <c r="H126" s="1">
        <v>0.0</v>
      </c>
      <c r="I126" s="1">
        <v>18.0</v>
      </c>
      <c r="J126" s="3">
        <f>IFERROR(__xludf.DUMMYFUNCTION("IF(H126&gt;0, IFERROR(ROUNDUP(H126 / MAX(1, INDEX(FILTER('warehouse config'!$D:$D, ('warehouse config'!$B:$B=C126) * ('warehouse config'!$C:$C=D126) * ('warehouse config'!$G:$G&lt;=A126) * (('warehouse config'!$H:$H&gt;=A126) + ISBLANK('warehouse config'!$H:$H))),"&amp;"1))), 0), 0)"),0.0)</f>
        <v>0</v>
      </c>
      <c r="K126" s="3">
        <f>IFERROR(__xludf.DUMMYFUNCTION("IF(I126&gt;0, IFERROR(ROUNDUP(I126 / MAX(1, INDEX(FILTER('warehouse config'!$E:$E, ('warehouse config'!$B:$B=C126) * ('warehouse config'!$C:$C=D126) * ('warehouse config'!$G:$G&lt;=A126) * (('warehouse config'!$H:$H&gt;=A126) + ISBLANK('warehouse config'!$H:$H))),"&amp;"1))), 0), 0)"),1.0)</f>
        <v>1</v>
      </c>
      <c r="N126" s="1" t="s">
        <v>354</v>
      </c>
    </row>
    <row r="127">
      <c r="A127" s="14">
        <v>45672.0</v>
      </c>
      <c r="B127" s="1" t="s">
        <v>356</v>
      </c>
      <c r="C127" s="1" t="s">
        <v>97</v>
      </c>
      <c r="D127" s="1" t="s">
        <v>75</v>
      </c>
      <c r="E127" s="1">
        <v>3.0</v>
      </c>
      <c r="F127" s="1" t="s">
        <v>195</v>
      </c>
      <c r="G127" s="1" t="s">
        <v>352</v>
      </c>
      <c r="H127" s="1">
        <v>0.0</v>
      </c>
      <c r="I127" s="1">
        <v>40.0</v>
      </c>
      <c r="J127" s="3">
        <f>IFERROR(__xludf.DUMMYFUNCTION("IF(H127&gt;0, IFERROR(ROUNDUP(H127 / MAX(1, INDEX(FILTER('warehouse config'!$D:$D, ('warehouse config'!$B:$B=C127) * ('warehouse config'!$C:$C=D127) * ('warehouse config'!$G:$G&lt;=A127) * (('warehouse config'!$H:$H&gt;=A127) + ISBLANK('warehouse config'!$H:$H))),"&amp;"1))), 0), 0)"),0.0)</f>
        <v>0</v>
      </c>
      <c r="K127" s="3">
        <f>IFERROR(__xludf.DUMMYFUNCTION("IF(I127&gt;0, IFERROR(ROUNDUP(I127 / MAX(1, INDEX(FILTER('warehouse config'!$E:$E, ('warehouse config'!$B:$B=C127) * ('warehouse config'!$C:$C=D127) * ('warehouse config'!$G:$G&lt;=A127) * (('warehouse config'!$H:$H&gt;=A127) + ISBLANK('warehouse config'!$H:$H))),"&amp;"1))), 0), 0)"),2.0)</f>
        <v>2</v>
      </c>
    </row>
    <row r="128">
      <c r="A128" s="14">
        <v>45672.0</v>
      </c>
      <c r="B128" s="1" t="s">
        <v>357</v>
      </c>
      <c r="C128" s="1" t="s">
        <v>87</v>
      </c>
      <c r="D128" s="1" t="s">
        <v>44</v>
      </c>
      <c r="E128" s="1">
        <v>11.0</v>
      </c>
      <c r="F128" s="1" t="s">
        <v>195</v>
      </c>
      <c r="G128" s="1" t="s">
        <v>358</v>
      </c>
      <c r="H128" s="1">
        <v>0.0</v>
      </c>
      <c r="I128" s="1">
        <v>18.0</v>
      </c>
      <c r="J128" s="3">
        <f>IFERROR(__xludf.DUMMYFUNCTION("IF(H128&gt;0, IFERROR(ROUNDUP(H128 / MAX(1, INDEX(FILTER('warehouse config'!$D:$D, ('warehouse config'!$B:$B=C128) * ('warehouse config'!$C:$C=D128) * ('warehouse config'!$G:$G&lt;=A128) * (('warehouse config'!$H:$H&gt;=A128) + ISBLANK('warehouse config'!$H:$H))),"&amp;"1))), 0), 0)"),0.0)</f>
        <v>0</v>
      </c>
      <c r="K128" s="3">
        <f>IFERROR(__xludf.DUMMYFUNCTION("IF(I128&gt;0, IFERROR(ROUNDUP(I128 / MAX(1, INDEX(FILTER('warehouse config'!$E:$E, ('warehouse config'!$B:$B=C128) * ('warehouse config'!$C:$C=D128) * ('warehouse config'!$G:$G&lt;=A128) * (('warehouse config'!$H:$H&gt;=A128) + ISBLANK('warehouse config'!$H:$H))),"&amp;"1))), 0), 0)"),2.0)</f>
        <v>2</v>
      </c>
    </row>
    <row r="129">
      <c r="A129" s="14">
        <v>45672.0</v>
      </c>
      <c r="B129" s="1" t="s">
        <v>359</v>
      </c>
      <c r="C129" s="1" t="s">
        <v>87</v>
      </c>
      <c r="D129" s="1" t="s">
        <v>57</v>
      </c>
      <c r="E129" s="1">
        <v>11.0</v>
      </c>
      <c r="F129" s="1" t="s">
        <v>195</v>
      </c>
      <c r="G129" s="1" t="s">
        <v>358</v>
      </c>
      <c r="H129" s="1">
        <v>0.0</v>
      </c>
      <c r="I129" s="1">
        <v>28.0</v>
      </c>
      <c r="J129" s="3">
        <f>IFERROR(__xludf.DUMMYFUNCTION("IF(H129&gt;0, IFERROR(ROUNDUP(H129 / MAX(1, INDEX(FILTER('warehouse config'!$D:$D, ('warehouse config'!$B:$B=C129) * ('warehouse config'!$C:$C=D129) * ('warehouse config'!$G:$G&lt;=A129) * (('warehouse config'!$H:$H&gt;=A129) + ISBLANK('warehouse config'!$H:$H))),"&amp;"1))), 0), 0)"),0.0)</f>
        <v>0</v>
      </c>
      <c r="K129" s="3">
        <f>IFERROR(__xludf.DUMMYFUNCTION("IF(I129&gt;0, IFERROR(ROUNDUP(I129 / MAX(1, INDEX(FILTER('warehouse config'!$E:$E, ('warehouse config'!$B:$B=C129) * ('warehouse config'!$C:$C=D129) * ('warehouse config'!$G:$G&lt;=A129) * (('warehouse config'!$H:$H&gt;=A129) + ISBLANK('warehouse config'!$H:$H))),"&amp;"1))), 0), 0)"),2.0)</f>
        <v>2</v>
      </c>
    </row>
    <row r="130">
      <c r="A130" s="14">
        <v>45672.0</v>
      </c>
      <c r="B130" s="1" t="s">
        <v>360</v>
      </c>
      <c r="C130" s="1" t="s">
        <v>87</v>
      </c>
      <c r="D130" s="1" t="s">
        <v>37</v>
      </c>
      <c r="E130" s="1">
        <v>9.0</v>
      </c>
      <c r="F130" s="1" t="s">
        <v>195</v>
      </c>
      <c r="G130" s="1" t="s">
        <v>358</v>
      </c>
      <c r="H130" s="1">
        <v>0.0</v>
      </c>
      <c r="I130" s="1">
        <v>6.0</v>
      </c>
      <c r="J130" s="3">
        <f>IFERROR(__xludf.DUMMYFUNCTION("IF(H130&gt;0, IFERROR(ROUNDUP(H130 / MAX(1, INDEX(FILTER('warehouse config'!$D:$D, ('warehouse config'!$B:$B=C130) * ('warehouse config'!$C:$C=D130) * ('warehouse config'!$G:$G&lt;=A130) * (('warehouse config'!$H:$H&gt;=A130) + ISBLANK('warehouse config'!$H:$H))),"&amp;"1))), 0), 0)"),0.0)</f>
        <v>0</v>
      </c>
      <c r="K130" s="3">
        <f>IFERROR(__xludf.DUMMYFUNCTION("IF(I130&gt;0, IFERROR(ROUNDUP(I130 / MAX(1, INDEX(FILTER('warehouse config'!$E:$E, ('warehouse config'!$B:$B=C130) * ('warehouse config'!$C:$C=D130) * ('warehouse config'!$G:$G&lt;=A130) * (('warehouse config'!$H:$H&gt;=A130) + ISBLANK('warehouse config'!$H:$H))),"&amp;"1))), 0), 0)"),1.0)</f>
        <v>1</v>
      </c>
    </row>
    <row r="131">
      <c r="A131" s="14">
        <v>45672.0</v>
      </c>
      <c r="B131" s="1" t="s">
        <v>361</v>
      </c>
      <c r="C131" s="1" t="s">
        <v>87</v>
      </c>
      <c r="D131" s="1" t="s">
        <v>37</v>
      </c>
      <c r="E131" s="1">
        <v>10.0</v>
      </c>
      <c r="F131" s="1" t="s">
        <v>195</v>
      </c>
      <c r="G131" s="1" t="s">
        <v>358</v>
      </c>
      <c r="H131" s="1">
        <v>0.0</v>
      </c>
      <c r="I131" s="1">
        <v>14.0</v>
      </c>
      <c r="J131" s="3">
        <f>IFERROR(__xludf.DUMMYFUNCTION("IF(H131&gt;0, IFERROR(ROUNDUP(H131 / MAX(1, INDEX(FILTER('warehouse config'!$D:$D, ('warehouse config'!$B:$B=C131) * ('warehouse config'!$C:$C=D131) * ('warehouse config'!$G:$G&lt;=A131) * (('warehouse config'!$H:$H&gt;=A131) + ISBLANK('warehouse config'!$H:$H))),"&amp;"1))), 0), 0)"),0.0)</f>
        <v>0</v>
      </c>
      <c r="K131" s="3">
        <f>IFERROR(__xludf.DUMMYFUNCTION("IF(I131&gt;0, IFERROR(ROUNDUP(I131 / MAX(1, INDEX(FILTER('warehouse config'!$E:$E, ('warehouse config'!$B:$B=C131) * ('warehouse config'!$C:$C=D131) * ('warehouse config'!$G:$G&lt;=A131) * (('warehouse config'!$H:$H&gt;=A131) + ISBLANK('warehouse config'!$H:$H))),"&amp;"1))), 0), 0)"),1.0)</f>
        <v>1</v>
      </c>
    </row>
    <row r="132">
      <c r="A132" s="14">
        <v>45672.0</v>
      </c>
      <c r="B132" s="1" t="s">
        <v>362</v>
      </c>
      <c r="C132" s="1" t="s">
        <v>87</v>
      </c>
      <c r="D132" s="1" t="s">
        <v>68</v>
      </c>
      <c r="E132" s="1">
        <v>10.0</v>
      </c>
      <c r="F132" s="1" t="s">
        <v>195</v>
      </c>
      <c r="G132" s="1" t="s">
        <v>358</v>
      </c>
      <c r="H132" s="1">
        <v>0.0</v>
      </c>
      <c r="I132" s="1">
        <v>10.0</v>
      </c>
      <c r="J132" s="3">
        <f>IFERROR(__xludf.DUMMYFUNCTION("IF(H132&gt;0, IFERROR(ROUNDUP(H132 / MAX(1, INDEX(FILTER('warehouse config'!$D:$D, ('warehouse config'!$B:$B=C132) * ('warehouse config'!$C:$C=D132) * ('warehouse config'!$G:$G&lt;=A132) * (('warehouse config'!$H:$H&gt;=A132) + ISBLANK('warehouse config'!$H:$H))),"&amp;"1))), 0), 0)"),0.0)</f>
        <v>0</v>
      </c>
      <c r="K132" s="3">
        <f>IFERROR(__xludf.DUMMYFUNCTION("IF(I132&gt;0, IFERROR(ROUNDUP(I132 / MAX(1, INDEX(FILTER('warehouse config'!$E:$E, ('warehouse config'!$B:$B=C132) * ('warehouse config'!$C:$C=D132) * ('warehouse config'!$G:$G&lt;=A132) * (('warehouse config'!$H:$H&gt;=A132) + ISBLANK('warehouse config'!$H:$H))),"&amp;"1))), 0), 0)"),1.0)</f>
        <v>1</v>
      </c>
    </row>
    <row r="133">
      <c r="A133" s="14">
        <v>45679.0</v>
      </c>
      <c r="B133" s="1" t="s">
        <v>363</v>
      </c>
      <c r="C133" s="1" t="s">
        <v>97</v>
      </c>
      <c r="D133" s="1" t="s">
        <v>57</v>
      </c>
      <c r="E133" s="1">
        <v>12.0</v>
      </c>
      <c r="F133" s="1" t="s">
        <v>195</v>
      </c>
      <c r="G133" s="1" t="s">
        <v>364</v>
      </c>
      <c r="H133" s="1">
        <v>0.0</v>
      </c>
      <c r="I133" s="1">
        <v>54.0</v>
      </c>
      <c r="J133" s="3">
        <f>IFERROR(__xludf.DUMMYFUNCTION("IF(H133&gt;0, IFERROR(ROUNDUP(H133 / MAX(1, INDEX(FILTER('warehouse config'!$D:$D, ('warehouse config'!$B:$B=C133) * ('warehouse config'!$C:$C=D133) * ('warehouse config'!$G:$G&lt;=A133) * (('warehouse config'!$H:$H&gt;=A133) + ISBLANK('warehouse config'!$H:$H))),"&amp;"1))), 0), 0)"),0.0)</f>
        <v>0</v>
      </c>
      <c r="K133" s="3">
        <f>IFERROR(__xludf.DUMMYFUNCTION("IF(I133&gt;0, IFERROR(ROUNDUP(I133 / MAX(1, INDEX(FILTER('warehouse config'!$E:$E, ('warehouse config'!$B:$B=C133) * ('warehouse config'!$C:$C=D133) * ('warehouse config'!$G:$G&lt;=A133) * (('warehouse config'!$H:$H&gt;=A133) + ISBLANK('warehouse config'!$H:$H))),"&amp;"1))), 0), 0)"),3.0)</f>
        <v>3</v>
      </c>
    </row>
    <row r="134">
      <c r="A134" s="14">
        <v>45679.0</v>
      </c>
      <c r="B134" s="1" t="s">
        <v>365</v>
      </c>
      <c r="C134" s="1" t="s">
        <v>97</v>
      </c>
      <c r="D134" s="1" t="s">
        <v>68</v>
      </c>
      <c r="E134" s="1">
        <v>3.0</v>
      </c>
      <c r="F134" s="1" t="s">
        <v>195</v>
      </c>
      <c r="G134" s="1" t="s">
        <v>364</v>
      </c>
      <c r="H134" s="1">
        <v>0.0</v>
      </c>
      <c r="I134" s="1">
        <v>18.0</v>
      </c>
      <c r="J134" s="3">
        <f>IFERROR(__xludf.DUMMYFUNCTION("IF(H134&gt;0, IFERROR(ROUNDUP(H134 / MAX(1, INDEX(FILTER('warehouse config'!$D:$D, ('warehouse config'!$B:$B=C134) * ('warehouse config'!$C:$C=D134) * ('warehouse config'!$G:$G&lt;=A134) * (('warehouse config'!$H:$H&gt;=A134) + ISBLANK('warehouse config'!$H:$H))),"&amp;"1))), 0), 0)"),0.0)</f>
        <v>0</v>
      </c>
      <c r="K134" s="3">
        <f>IFERROR(__xludf.DUMMYFUNCTION("IF(I134&gt;0, IFERROR(ROUNDUP(I134 / MAX(1, INDEX(FILTER('warehouse config'!$E:$E, ('warehouse config'!$B:$B=C134) * ('warehouse config'!$C:$C=D134) * ('warehouse config'!$G:$G&lt;=A134) * (('warehouse config'!$H:$H&gt;=A134) + ISBLANK('warehouse config'!$H:$H))),"&amp;"1))), 0), 0)"),1.0)</f>
        <v>1</v>
      </c>
    </row>
    <row r="135">
      <c r="A135" s="14">
        <v>45679.0</v>
      </c>
      <c r="B135" s="1" t="s">
        <v>366</v>
      </c>
      <c r="C135" s="1" t="s">
        <v>87</v>
      </c>
      <c r="D135" s="1" t="s">
        <v>44</v>
      </c>
      <c r="E135" s="1">
        <v>11.0</v>
      </c>
      <c r="F135" s="1" t="s">
        <v>195</v>
      </c>
      <c r="G135" s="1" t="s">
        <v>367</v>
      </c>
      <c r="H135" s="1">
        <v>0.0</v>
      </c>
      <c r="I135" s="1">
        <v>68.0</v>
      </c>
      <c r="J135" s="3">
        <f>IFERROR(__xludf.DUMMYFUNCTION("IF(H135&gt;0, IFERROR(ROUNDUP(H135 / MAX(1, INDEX(FILTER('warehouse config'!$D:$D, ('warehouse config'!$B:$B=C135) * ('warehouse config'!$C:$C=D135) * ('warehouse config'!$G:$G&lt;=A135) * (('warehouse config'!$H:$H&gt;=A135) + ISBLANK('warehouse config'!$H:$H))),"&amp;"1))), 0), 0)"),0.0)</f>
        <v>0</v>
      </c>
      <c r="K135" s="3">
        <f>IFERROR(__xludf.DUMMYFUNCTION("IF(I135&gt;0, IFERROR(ROUNDUP(I135 / MAX(1, INDEX(FILTER('warehouse config'!$E:$E, ('warehouse config'!$B:$B=C135) * ('warehouse config'!$C:$C=D135) * ('warehouse config'!$G:$G&lt;=A135) * (('warehouse config'!$H:$H&gt;=A135) + ISBLANK('warehouse config'!$H:$H))),"&amp;"1))), 0), 0)"),5.0)</f>
        <v>5</v>
      </c>
    </row>
    <row r="136">
      <c r="A136" s="14">
        <v>45679.0</v>
      </c>
      <c r="B136" s="1" t="s">
        <v>368</v>
      </c>
      <c r="C136" s="1" t="s">
        <v>87</v>
      </c>
      <c r="D136" s="1" t="s">
        <v>28</v>
      </c>
      <c r="E136" s="1">
        <v>8.0</v>
      </c>
      <c r="F136" s="1" t="s">
        <v>195</v>
      </c>
      <c r="G136" s="1" t="s">
        <v>367</v>
      </c>
      <c r="H136" s="1">
        <v>0.0</v>
      </c>
      <c r="I136" s="1">
        <v>1.0</v>
      </c>
      <c r="J136" s="3">
        <f>IFERROR(__xludf.DUMMYFUNCTION("IF(H136&gt;0, IFERROR(ROUNDUP(H136 / MAX(1, INDEX(FILTER('warehouse config'!$D:$D, ('warehouse config'!$B:$B=C136) * ('warehouse config'!$C:$C=D136) * ('warehouse config'!$G:$G&lt;=A136) * (('warehouse config'!$H:$H&gt;=A136) + ISBLANK('warehouse config'!$H:$H))),"&amp;"1))), 0), 0)"),0.0)</f>
        <v>0</v>
      </c>
      <c r="K136" s="3">
        <f>IFERROR(__xludf.DUMMYFUNCTION("IF(I136&gt;0, IFERROR(ROUNDUP(I136 / MAX(1, INDEX(FILTER('warehouse config'!$E:$E, ('warehouse config'!$B:$B=C136) * ('warehouse config'!$C:$C=D136) * ('warehouse config'!$G:$G&lt;=A136) * (('warehouse config'!$H:$H&gt;=A136) + ISBLANK('warehouse config'!$H:$H))),"&amp;"1))), 0), 0)"),1.0)</f>
        <v>1</v>
      </c>
    </row>
    <row r="137">
      <c r="A137" s="14">
        <v>45679.0</v>
      </c>
      <c r="B137" s="1" t="s">
        <v>369</v>
      </c>
      <c r="C137" s="1" t="s">
        <v>87</v>
      </c>
      <c r="D137" s="1" t="s">
        <v>28</v>
      </c>
      <c r="E137" s="1">
        <v>9.0</v>
      </c>
      <c r="F137" s="1" t="s">
        <v>195</v>
      </c>
      <c r="G137" s="1" t="s">
        <v>367</v>
      </c>
      <c r="H137" s="1">
        <v>0.0</v>
      </c>
      <c r="I137" s="1">
        <v>3.0</v>
      </c>
      <c r="J137" s="3">
        <f>IFERROR(__xludf.DUMMYFUNCTION("IF(H137&gt;0, IFERROR(ROUNDUP(H137 / MAX(1, INDEX(FILTER('warehouse config'!$D:$D, ('warehouse config'!$B:$B=C137) * ('warehouse config'!$C:$C=D137) * ('warehouse config'!$G:$G&lt;=A137) * (('warehouse config'!$H:$H&gt;=A137) + ISBLANK('warehouse config'!$H:$H))),"&amp;"1))), 0), 0)"),0.0)</f>
        <v>0</v>
      </c>
      <c r="K137" s="3">
        <f>IFERROR(__xludf.DUMMYFUNCTION("IF(I137&gt;0, IFERROR(ROUNDUP(I137 / MAX(1, INDEX(FILTER('warehouse config'!$E:$E, ('warehouse config'!$B:$B=C137) * ('warehouse config'!$C:$C=D137) * ('warehouse config'!$G:$G&lt;=A137) * (('warehouse config'!$H:$H&gt;=A137) + ISBLANK('warehouse config'!$H:$H))),"&amp;"1))), 0), 0)"),1.0)</f>
        <v>1</v>
      </c>
    </row>
    <row r="138">
      <c r="A138" s="14">
        <v>45687.0</v>
      </c>
      <c r="B138" s="1" t="s">
        <v>370</v>
      </c>
      <c r="C138" s="1" t="s">
        <v>97</v>
      </c>
      <c r="D138" s="1" t="s">
        <v>51</v>
      </c>
      <c r="E138" s="1">
        <v>12.0</v>
      </c>
      <c r="F138" s="1" t="s">
        <v>195</v>
      </c>
      <c r="G138" s="1" t="s">
        <v>371</v>
      </c>
      <c r="H138" s="1">
        <v>0.0</v>
      </c>
      <c r="I138" s="1">
        <v>24.0</v>
      </c>
      <c r="J138" s="3">
        <f>IFERROR(__xludf.DUMMYFUNCTION("IF(H138&gt;0, IFERROR(ROUNDUP(H138 / MAX(1, INDEX(FILTER('warehouse config'!$D:$D, ('warehouse config'!$B:$B=C138) * ('warehouse config'!$C:$C=D138) * ('warehouse config'!$G:$G&lt;=A138) * (('warehouse config'!$H:$H&gt;=A138) + ISBLANK('warehouse config'!$H:$H))),"&amp;"1))), 0), 0)"),0.0)</f>
        <v>0</v>
      </c>
      <c r="K138" s="3">
        <f>IFERROR(__xludf.DUMMYFUNCTION("IF(I138&gt;0, IFERROR(ROUNDUP(I138 / MAX(1, INDEX(FILTER('warehouse config'!$E:$E, ('warehouse config'!$B:$B=C138) * ('warehouse config'!$C:$C=D138) * ('warehouse config'!$G:$G&lt;=A138) * (('warehouse config'!$H:$H&gt;=A138) + ISBLANK('warehouse config'!$H:$H))),"&amp;"1))), 0), 0)"),1.0)</f>
        <v>1</v>
      </c>
    </row>
    <row r="139">
      <c r="A139" s="14">
        <v>45687.0</v>
      </c>
      <c r="B139" s="1" t="s">
        <v>372</v>
      </c>
      <c r="C139" s="1" t="s">
        <v>97</v>
      </c>
      <c r="D139" s="1" t="s">
        <v>28</v>
      </c>
      <c r="E139" s="1">
        <v>12.0</v>
      </c>
      <c r="F139" s="1" t="s">
        <v>195</v>
      </c>
      <c r="G139" s="1" t="s">
        <v>371</v>
      </c>
      <c r="H139" s="1">
        <v>0.0</v>
      </c>
      <c r="I139" s="1">
        <v>5.0</v>
      </c>
      <c r="J139" s="3">
        <f>IFERROR(__xludf.DUMMYFUNCTION("IF(H139&gt;0, IFERROR(ROUNDUP(H139 / MAX(1, INDEX(FILTER('warehouse config'!$D:$D, ('warehouse config'!$B:$B=C139) * ('warehouse config'!$C:$C=D139) * ('warehouse config'!$G:$G&lt;=A139) * (('warehouse config'!$H:$H&gt;=A139) + ISBLANK('warehouse config'!$H:$H))),"&amp;"1))), 0), 0)"),0.0)</f>
        <v>0</v>
      </c>
      <c r="K139" s="3">
        <f>IFERROR(__xludf.DUMMYFUNCTION("IF(I139&gt;0, IFERROR(ROUNDUP(I139 / MAX(1, INDEX(FILTER('warehouse config'!$E:$E, ('warehouse config'!$B:$B=C139) * ('warehouse config'!$C:$C=D139) * ('warehouse config'!$G:$G&lt;=A139) * (('warehouse config'!$H:$H&gt;=A139) + ISBLANK('warehouse config'!$H:$H))),"&amp;"1))), 0), 0)"),1.0)</f>
        <v>1</v>
      </c>
    </row>
    <row r="140">
      <c r="A140" s="14">
        <v>45687.0</v>
      </c>
      <c r="B140" s="1" t="s">
        <v>373</v>
      </c>
      <c r="C140" s="1" t="s">
        <v>97</v>
      </c>
      <c r="D140" s="1" t="s">
        <v>62</v>
      </c>
      <c r="E140" s="1">
        <v>13.0</v>
      </c>
      <c r="F140" s="1" t="s">
        <v>195</v>
      </c>
      <c r="G140" s="1" t="s">
        <v>371</v>
      </c>
      <c r="H140" s="1">
        <v>0.0</v>
      </c>
      <c r="I140" s="1">
        <v>48.0</v>
      </c>
      <c r="J140" s="3">
        <f>IFERROR(__xludf.DUMMYFUNCTION("IF(H140&gt;0, IFERROR(ROUNDUP(H140 / MAX(1, INDEX(FILTER('warehouse config'!$D:$D, ('warehouse config'!$B:$B=C140) * ('warehouse config'!$C:$C=D140) * ('warehouse config'!$G:$G&lt;=A140) * (('warehouse config'!$H:$H&gt;=A140) + ISBLANK('warehouse config'!$H:$H))),"&amp;"1))), 0), 0)"),0.0)</f>
        <v>0</v>
      </c>
      <c r="K140" s="3">
        <f>IFERROR(__xludf.DUMMYFUNCTION("IF(I140&gt;0, IFERROR(ROUNDUP(I140 / MAX(1, INDEX(FILTER('warehouse config'!$E:$E, ('warehouse config'!$B:$B=C140) * ('warehouse config'!$C:$C=D140) * ('warehouse config'!$G:$G&lt;=A140) * (('warehouse config'!$H:$H&gt;=A140) + ISBLANK('warehouse config'!$H:$H))),"&amp;"1))), 0), 0)"),2.0)</f>
        <v>2</v>
      </c>
    </row>
    <row r="141">
      <c r="A141" s="14">
        <v>45687.0</v>
      </c>
      <c r="B141" s="1" t="s">
        <v>374</v>
      </c>
      <c r="C141" s="1" t="s">
        <v>97</v>
      </c>
      <c r="D141" s="1" t="s">
        <v>75</v>
      </c>
      <c r="E141" s="1">
        <v>3.0</v>
      </c>
      <c r="F141" s="1" t="s">
        <v>195</v>
      </c>
      <c r="G141" s="1" t="s">
        <v>371</v>
      </c>
      <c r="H141" s="1">
        <v>0.0</v>
      </c>
      <c r="I141" s="1">
        <v>24.0</v>
      </c>
      <c r="J141" s="3">
        <f>IFERROR(__xludf.DUMMYFUNCTION("IF(H141&gt;0, IFERROR(ROUNDUP(H141 / MAX(1, INDEX(FILTER('warehouse config'!$D:$D, ('warehouse config'!$B:$B=C141) * ('warehouse config'!$C:$C=D141) * ('warehouse config'!$G:$G&lt;=A141) * (('warehouse config'!$H:$H&gt;=A141) + ISBLANK('warehouse config'!$H:$H))),"&amp;"1))), 0), 0)"),0.0)</f>
        <v>0</v>
      </c>
      <c r="K141" s="3">
        <f>IFERROR(__xludf.DUMMYFUNCTION("IF(I141&gt;0, IFERROR(ROUNDUP(I141 / MAX(1, INDEX(FILTER('warehouse config'!$E:$E, ('warehouse config'!$B:$B=C141) * ('warehouse config'!$C:$C=D141) * ('warehouse config'!$G:$G&lt;=A141) * (('warehouse config'!$H:$H&gt;=A141) + ISBLANK('warehouse config'!$H:$H))),"&amp;"1))), 0), 0)"),2.0)</f>
        <v>2</v>
      </c>
    </row>
    <row r="142">
      <c r="A142" s="14">
        <v>45691.0</v>
      </c>
      <c r="B142" s="1" t="s">
        <v>375</v>
      </c>
      <c r="C142" s="1" t="s">
        <v>87</v>
      </c>
      <c r="D142" s="1" t="s">
        <v>44</v>
      </c>
      <c r="E142" s="1">
        <v>11.0</v>
      </c>
      <c r="F142" s="1" t="s">
        <v>195</v>
      </c>
      <c r="G142" s="1" t="s">
        <v>376</v>
      </c>
      <c r="H142" s="1">
        <v>0.0</v>
      </c>
      <c r="I142" s="1">
        <v>54.0</v>
      </c>
      <c r="J142" s="3">
        <f>IFERROR(__xludf.DUMMYFUNCTION("IF(H142&gt;0, IFERROR(ROUNDUP(H142 / MAX(1, INDEX(FILTER('warehouse config'!$D:$D, ('warehouse config'!$B:$B=C142) * ('warehouse config'!$C:$C=D142) * ('warehouse config'!$G:$G&lt;=A142) * (('warehouse config'!$H:$H&gt;=A142) + ISBLANK('warehouse config'!$H:$H))),"&amp;"1))), 0), 0)"),0.0)</f>
        <v>0</v>
      </c>
      <c r="K142" s="3">
        <f>IFERROR(__xludf.DUMMYFUNCTION("IF(I142&gt;0, IFERROR(ROUNDUP(I142 / MAX(1, INDEX(FILTER('warehouse config'!$E:$E, ('warehouse config'!$B:$B=C142) * ('warehouse config'!$C:$C=D142) * ('warehouse config'!$G:$G&lt;=A142) * (('warehouse config'!$H:$H&gt;=A142) + ISBLANK('warehouse config'!$H:$H))),"&amp;"1))), 0), 0)"),4.0)</f>
        <v>4</v>
      </c>
    </row>
    <row r="143">
      <c r="A143" s="14">
        <v>45698.0</v>
      </c>
      <c r="B143" s="1" t="s">
        <v>377</v>
      </c>
      <c r="C143" s="1" t="s">
        <v>97</v>
      </c>
      <c r="D143" s="1" t="s">
        <v>44</v>
      </c>
      <c r="E143" s="1">
        <v>12.0</v>
      </c>
      <c r="F143" s="1" t="s">
        <v>195</v>
      </c>
      <c r="G143" s="1" t="s">
        <v>378</v>
      </c>
      <c r="H143" s="1">
        <v>0.0</v>
      </c>
      <c r="I143" s="1">
        <v>54.0</v>
      </c>
      <c r="J143" s="3">
        <f>IFERROR(__xludf.DUMMYFUNCTION("IF(H143&gt;0, IFERROR(ROUNDUP(H143 / MAX(1, INDEX(FILTER('warehouse config'!$D:$D, ('warehouse config'!$B:$B=C143) * ('warehouse config'!$C:$C=D143) * ('warehouse config'!$G:$G&lt;=A143) * (('warehouse config'!$H:$H&gt;=A143) + ISBLANK('warehouse config'!$H:$H))),"&amp;"1))), 0), 0)"),0.0)</f>
        <v>0</v>
      </c>
      <c r="K143" s="3">
        <f>IFERROR(__xludf.DUMMYFUNCTION("IF(I143&gt;0, IFERROR(ROUNDUP(I143 / MAX(1, INDEX(FILTER('warehouse config'!$E:$E, ('warehouse config'!$B:$B=C143) * ('warehouse config'!$C:$C=D143) * ('warehouse config'!$G:$G&lt;=A143) * (('warehouse config'!$H:$H&gt;=A143) + ISBLANK('warehouse config'!$H:$H))),"&amp;"1))), 0), 0)"),3.0)</f>
        <v>3</v>
      </c>
    </row>
    <row r="144">
      <c r="A144" s="14">
        <v>45698.0</v>
      </c>
      <c r="B144" s="1" t="s">
        <v>379</v>
      </c>
      <c r="C144" s="1" t="s">
        <v>97</v>
      </c>
      <c r="D144" s="1" t="s">
        <v>51</v>
      </c>
      <c r="E144" s="1">
        <v>12.0</v>
      </c>
      <c r="F144" s="1" t="s">
        <v>195</v>
      </c>
      <c r="G144" s="1" t="s">
        <v>378</v>
      </c>
      <c r="H144" s="1">
        <v>0.0</v>
      </c>
      <c r="I144" s="1">
        <v>48.0</v>
      </c>
      <c r="J144" s="3">
        <f>IFERROR(__xludf.DUMMYFUNCTION("IF(H144&gt;0, IFERROR(ROUNDUP(H144 / MAX(1, INDEX(FILTER('warehouse config'!$D:$D, ('warehouse config'!$B:$B=C144) * ('warehouse config'!$C:$C=D144) * ('warehouse config'!$G:$G&lt;=A144) * (('warehouse config'!$H:$H&gt;=A144) + ISBLANK('warehouse config'!$H:$H))),"&amp;"1))), 0), 0)"),0.0)</f>
        <v>0</v>
      </c>
      <c r="K144" s="3">
        <f>IFERROR(__xludf.DUMMYFUNCTION("IF(I144&gt;0, IFERROR(ROUNDUP(I144 / MAX(1, INDEX(FILTER('warehouse config'!$E:$E, ('warehouse config'!$B:$B=C144) * ('warehouse config'!$C:$C=D144) * ('warehouse config'!$G:$G&lt;=A144) * (('warehouse config'!$H:$H&gt;=A144) + ISBLANK('warehouse config'!$H:$H))),"&amp;"1))), 0), 0)"),2.0)</f>
        <v>2</v>
      </c>
    </row>
    <row r="145">
      <c r="A145" s="14">
        <v>45698.0</v>
      </c>
      <c r="B145" s="1" t="s">
        <v>380</v>
      </c>
      <c r="C145" s="1" t="s">
        <v>97</v>
      </c>
      <c r="D145" s="1" t="s">
        <v>57</v>
      </c>
      <c r="E145" s="1">
        <v>12.0</v>
      </c>
      <c r="F145" s="1" t="s">
        <v>195</v>
      </c>
      <c r="G145" s="1" t="s">
        <v>378</v>
      </c>
      <c r="H145" s="1">
        <v>0.0</v>
      </c>
      <c r="I145" s="1">
        <v>50.0</v>
      </c>
      <c r="J145" s="3">
        <f>IFERROR(__xludf.DUMMYFUNCTION("IF(H145&gt;0, IFERROR(ROUNDUP(H145 / MAX(1, INDEX(FILTER('warehouse config'!$D:$D, ('warehouse config'!$B:$B=C145) * ('warehouse config'!$C:$C=D145) * ('warehouse config'!$G:$G&lt;=A145) * (('warehouse config'!$H:$H&gt;=A145) + ISBLANK('warehouse config'!$H:$H))),"&amp;"1))), 0), 0)"),0.0)</f>
        <v>0</v>
      </c>
      <c r="K145" s="3">
        <f>IFERROR(__xludf.DUMMYFUNCTION("IF(I145&gt;0, IFERROR(ROUNDUP(I145 / MAX(1, INDEX(FILTER('warehouse config'!$E:$E, ('warehouse config'!$B:$B=C145) * ('warehouse config'!$C:$C=D145) * ('warehouse config'!$G:$G&lt;=A145) * (('warehouse config'!$H:$H&gt;=A145) + ISBLANK('warehouse config'!$H:$H))),"&amp;"1))), 0), 0)"),3.0)</f>
        <v>3</v>
      </c>
    </row>
    <row r="146">
      <c r="A146" s="14">
        <v>45698.0</v>
      </c>
      <c r="B146" s="1" t="s">
        <v>381</v>
      </c>
      <c r="C146" s="1" t="s">
        <v>97</v>
      </c>
      <c r="D146" s="1" t="s">
        <v>57</v>
      </c>
      <c r="E146" s="1">
        <v>13.0</v>
      </c>
      <c r="F146" s="1" t="s">
        <v>195</v>
      </c>
      <c r="G146" s="1" t="s">
        <v>378</v>
      </c>
      <c r="H146" s="1">
        <v>0.0</v>
      </c>
      <c r="I146" s="1">
        <v>4.0</v>
      </c>
      <c r="J146" s="3">
        <f>IFERROR(__xludf.DUMMYFUNCTION("IF(H146&gt;0, IFERROR(ROUNDUP(H146 / MAX(1, INDEX(FILTER('warehouse config'!$D:$D, ('warehouse config'!$B:$B=C146) * ('warehouse config'!$C:$C=D146) * ('warehouse config'!$G:$G&lt;=A146) * (('warehouse config'!$H:$H&gt;=A146) + ISBLANK('warehouse config'!$H:$H))),"&amp;"1))), 0), 0)"),0.0)</f>
        <v>0</v>
      </c>
      <c r="K146" s="3">
        <f>IFERROR(__xludf.DUMMYFUNCTION("IF(I146&gt;0, IFERROR(ROUNDUP(I146 / MAX(1, INDEX(FILTER('warehouse config'!$E:$E, ('warehouse config'!$B:$B=C146) * ('warehouse config'!$C:$C=D146) * ('warehouse config'!$G:$G&lt;=A146) * (('warehouse config'!$H:$H&gt;=A146) + ISBLANK('warehouse config'!$H:$H))),"&amp;"1))), 0), 0)"),1.0)</f>
        <v>1</v>
      </c>
    </row>
    <row r="147">
      <c r="A147" s="14">
        <v>45698.0</v>
      </c>
      <c r="B147" s="1" t="s">
        <v>382</v>
      </c>
      <c r="C147" s="1" t="s">
        <v>97</v>
      </c>
      <c r="D147" s="1" t="s">
        <v>62</v>
      </c>
      <c r="E147" s="1">
        <v>13.0</v>
      </c>
      <c r="F147" s="1" t="s">
        <v>195</v>
      </c>
      <c r="G147" s="1" t="s">
        <v>378</v>
      </c>
      <c r="H147" s="1">
        <v>0.0</v>
      </c>
      <c r="I147" s="1">
        <v>24.0</v>
      </c>
      <c r="J147" s="3">
        <f>IFERROR(__xludf.DUMMYFUNCTION("IF(H147&gt;0, IFERROR(ROUNDUP(H147 / MAX(1, INDEX(FILTER('warehouse config'!$D:$D, ('warehouse config'!$B:$B=C147) * ('warehouse config'!$C:$C=D147) * ('warehouse config'!$G:$G&lt;=A147) * (('warehouse config'!$H:$H&gt;=A147) + ISBLANK('warehouse config'!$H:$H))),"&amp;"1))), 0), 0)"),0.0)</f>
        <v>0</v>
      </c>
      <c r="K147" s="3">
        <f>IFERROR(__xludf.DUMMYFUNCTION("IF(I147&gt;0, IFERROR(ROUNDUP(I147 / MAX(1, INDEX(FILTER('warehouse config'!$E:$E, ('warehouse config'!$B:$B=C147) * ('warehouse config'!$C:$C=D147) * ('warehouse config'!$G:$G&lt;=A147) * (('warehouse config'!$H:$H&gt;=A147) + ISBLANK('warehouse config'!$H:$H))),"&amp;"1))), 0), 0)"),1.0)</f>
        <v>1</v>
      </c>
    </row>
    <row r="148">
      <c r="A148" s="14">
        <v>45698.0</v>
      </c>
      <c r="B148" s="1" t="s">
        <v>383</v>
      </c>
      <c r="C148" s="1" t="s">
        <v>97</v>
      </c>
      <c r="D148" s="1" t="s">
        <v>68</v>
      </c>
      <c r="E148" s="1">
        <v>3.0</v>
      </c>
      <c r="F148" s="1" t="s">
        <v>195</v>
      </c>
      <c r="G148" s="1" t="s">
        <v>378</v>
      </c>
      <c r="H148" s="1">
        <v>0.0</v>
      </c>
      <c r="I148" s="1">
        <v>18.0</v>
      </c>
      <c r="J148" s="3">
        <f>IFERROR(__xludf.DUMMYFUNCTION("IF(H148&gt;0, IFERROR(ROUNDUP(H148 / MAX(1, INDEX(FILTER('warehouse config'!$D:$D, ('warehouse config'!$B:$B=C148) * ('warehouse config'!$C:$C=D148) * ('warehouse config'!$G:$G&lt;=A148) * (('warehouse config'!$H:$H&gt;=A148) + ISBLANK('warehouse config'!$H:$H))),"&amp;"1))), 0), 0)"),0.0)</f>
        <v>0</v>
      </c>
      <c r="K148" s="3">
        <f>IFERROR(__xludf.DUMMYFUNCTION("IF(I148&gt;0, IFERROR(ROUNDUP(I148 / MAX(1, INDEX(FILTER('warehouse config'!$E:$E, ('warehouse config'!$B:$B=C148) * ('warehouse config'!$C:$C=D148) * ('warehouse config'!$G:$G&lt;=A148) * (('warehouse config'!$H:$H&gt;=A148) + ISBLANK('warehouse config'!$H:$H))),"&amp;"1))), 0), 0)"),1.0)</f>
        <v>1</v>
      </c>
    </row>
    <row r="149">
      <c r="A149" s="14">
        <v>45709.0</v>
      </c>
      <c r="B149" s="1" t="s">
        <v>384</v>
      </c>
      <c r="C149" s="1" t="s">
        <v>106</v>
      </c>
      <c r="D149" s="1" t="s">
        <v>75</v>
      </c>
      <c r="E149" s="1">
        <v>4.0</v>
      </c>
      <c r="F149" s="1" t="s">
        <v>195</v>
      </c>
      <c r="G149" s="15" t="s">
        <v>385</v>
      </c>
      <c r="H149" s="1">
        <v>0.0</v>
      </c>
      <c r="I149" s="1">
        <v>20.0</v>
      </c>
      <c r="J149" s="3">
        <f>IFERROR(__xludf.DUMMYFUNCTION("IF(H149&gt;0, IFERROR(ROUNDUP(H149 / MAX(1, INDEX(FILTER('warehouse config'!$D:$D, ('warehouse config'!$B:$B=C149) * ('warehouse config'!$C:$C=D149) * ('warehouse config'!$G:$G&lt;=A149) * (('warehouse config'!$H:$H&gt;=A149) + ISBLANK('warehouse config'!$H:$H))),"&amp;"1))), 0), 0)"),0.0)</f>
        <v>0</v>
      </c>
      <c r="K149" s="17">
        <f>IFERROR(__xludf.DUMMYFUNCTION("IF(I149&gt;0, IFERROR(ROUNDUP(I149 / MAX(1, INDEX(FILTER('warehouse config'!$E:$E, ('warehouse config'!$B:$B=C149) * ('warehouse config'!$C:$C=D149) * ('warehouse config'!$G:$G&lt;=A149) * (('warehouse config'!$H:$H&gt;=A149) + ISBLANK('warehouse config'!$H:$H))),"&amp;"1))), 0), 0)"),1.0)</f>
        <v>1</v>
      </c>
    </row>
    <row r="150">
      <c r="A150" s="14">
        <v>45713.0</v>
      </c>
      <c r="B150" s="1" t="s">
        <v>386</v>
      </c>
      <c r="C150" s="1" t="s">
        <v>106</v>
      </c>
      <c r="D150" s="1" t="s">
        <v>68</v>
      </c>
      <c r="E150" s="1">
        <v>4.0</v>
      </c>
      <c r="F150" s="1" t="s">
        <v>195</v>
      </c>
      <c r="G150" s="1" t="s">
        <v>387</v>
      </c>
      <c r="H150" s="1">
        <v>0.0</v>
      </c>
      <c r="I150" s="1">
        <v>27.0</v>
      </c>
      <c r="J150" s="3">
        <f>IFERROR(__xludf.DUMMYFUNCTION("IF(H150&gt;0, IFERROR(ROUNDUP(H150 / MAX(1, INDEX(FILTER('warehouse config'!$D:$D, ('warehouse config'!$B:$B=C150) * ('warehouse config'!$C:$C=D150) * ('warehouse config'!$G:$G&lt;=A150) * (('warehouse config'!$H:$H&gt;=A150) + ISBLANK('warehouse config'!$H:$H))),"&amp;"1))), 0), 0)"),0.0)</f>
        <v>0</v>
      </c>
      <c r="K150" s="17">
        <f>IFERROR(__xludf.DUMMYFUNCTION("IF(I150&gt;0, IFERROR(ROUNDUP(I150 / MAX(1, INDEX(FILTER('warehouse config'!$E:$E, ('warehouse config'!$B:$B=C150) * ('warehouse config'!$C:$C=D150) * ('warehouse config'!$G:$G&lt;=A150) * (('warehouse config'!$H:$H&gt;=A150) + ISBLANK('warehouse config'!$H:$H))),"&amp;"1))), 0), 0)"),2.0)</f>
        <v>2</v>
      </c>
    </row>
    <row r="151">
      <c r="A151" s="14">
        <v>45713.0</v>
      </c>
      <c r="B151" s="1" t="s">
        <v>388</v>
      </c>
      <c r="C151" s="1" t="s">
        <v>106</v>
      </c>
      <c r="D151" s="1" t="s">
        <v>75</v>
      </c>
      <c r="E151" s="1">
        <v>4.0</v>
      </c>
      <c r="F151" s="1" t="s">
        <v>195</v>
      </c>
      <c r="G151" s="1" t="s">
        <v>387</v>
      </c>
      <c r="H151" s="1">
        <v>0.0</v>
      </c>
      <c r="I151" s="1">
        <v>50.0</v>
      </c>
      <c r="J151" s="3">
        <f>IFERROR(__xludf.DUMMYFUNCTION("IF(H151&gt;0, IFERROR(ROUNDUP(H151 / MAX(1, INDEX(FILTER('warehouse config'!$D:$D, ('warehouse config'!$B:$B=C151) * ('warehouse config'!$C:$C=D151) * ('warehouse config'!$G:$G&lt;=A151) * (('warehouse config'!$H:$H&gt;=A151) + ISBLANK('warehouse config'!$H:$H))),"&amp;"1))), 0), 0)"),0.0)</f>
        <v>0</v>
      </c>
      <c r="K151" s="17">
        <f>IFERROR(__xludf.DUMMYFUNCTION("IF(I151&gt;0, IFERROR(ROUNDUP(I151 / MAX(1, INDEX(FILTER('warehouse config'!$E:$E, ('warehouse config'!$B:$B=C151) * ('warehouse config'!$C:$C=D151) * ('warehouse config'!$G:$G&lt;=A151) * (('warehouse config'!$H:$H&gt;=A151) + ISBLANK('warehouse config'!$H:$H))),"&amp;"1))), 0), 0)"),3.0)</f>
        <v>3</v>
      </c>
    </row>
    <row r="152">
      <c r="A152" s="14">
        <v>45716.0</v>
      </c>
      <c r="B152" s="1" t="s">
        <v>389</v>
      </c>
      <c r="C152" s="1" t="s">
        <v>97</v>
      </c>
      <c r="D152" s="1" t="s">
        <v>44</v>
      </c>
      <c r="E152" s="1">
        <v>12.0</v>
      </c>
      <c r="F152" s="1" t="s">
        <v>195</v>
      </c>
      <c r="G152" s="1" t="s">
        <v>390</v>
      </c>
      <c r="H152" s="1">
        <v>0.0</v>
      </c>
      <c r="I152" s="1">
        <v>108.0</v>
      </c>
      <c r="J152" s="3">
        <f>IFERROR(__xludf.DUMMYFUNCTION("IF(H152&gt;0, IFERROR(ROUNDUP(H152 / MAX(1, INDEX(FILTER('warehouse config'!$D:$D, ('warehouse config'!$B:$B=C152) * ('warehouse config'!$C:$C=D152) * ('warehouse config'!$G:$G&lt;=A152) * (('warehouse config'!$H:$H&gt;=A152) + ISBLANK('warehouse config'!$H:$H))),"&amp;"1))), 0), 0)"),0.0)</f>
        <v>0</v>
      </c>
      <c r="K152" s="3">
        <f>IFERROR(__xludf.DUMMYFUNCTION("IF(I152&gt;0, IFERROR(ROUNDUP(I152 / MAX(1, INDEX(FILTER('warehouse config'!$E:$E, ('warehouse config'!$B:$B=C152) * ('warehouse config'!$C:$C=D152) * ('warehouse config'!$G:$G&lt;=A152) * (('warehouse config'!$H:$H&gt;=A152) + ISBLANK('warehouse config'!$H:$H))),"&amp;"1))), 0), 0)"),6.0)</f>
        <v>6</v>
      </c>
    </row>
    <row r="153">
      <c r="A153" s="14">
        <v>45716.0</v>
      </c>
      <c r="B153" s="1" t="s">
        <v>391</v>
      </c>
      <c r="C153" s="1" t="s">
        <v>97</v>
      </c>
      <c r="D153" s="1" t="s">
        <v>51</v>
      </c>
      <c r="E153" s="1">
        <v>12.0</v>
      </c>
      <c r="F153" s="1" t="s">
        <v>195</v>
      </c>
      <c r="G153" s="1" t="s">
        <v>390</v>
      </c>
      <c r="H153" s="1">
        <v>0.0</v>
      </c>
      <c r="I153" s="1">
        <v>9.0</v>
      </c>
      <c r="J153" s="3">
        <f>IFERROR(__xludf.DUMMYFUNCTION("IF(H153&gt;0, IFERROR(ROUNDUP(H153 / MAX(1, INDEX(FILTER('warehouse config'!$D:$D, ('warehouse config'!$B:$B=C153) * ('warehouse config'!$C:$C=D153) * ('warehouse config'!$G:$G&lt;=A153) * (('warehouse config'!$H:$H&gt;=A153) + ISBLANK('warehouse config'!$H:$H))),"&amp;"1))), 0), 0)"),0.0)</f>
        <v>0</v>
      </c>
      <c r="K153" s="3">
        <f>IFERROR(__xludf.DUMMYFUNCTION("IF(I153&gt;0, IFERROR(ROUNDUP(I153 / MAX(1, INDEX(FILTER('warehouse config'!$E:$E, ('warehouse config'!$B:$B=C153) * ('warehouse config'!$C:$C=D153) * ('warehouse config'!$G:$G&lt;=A153) * (('warehouse config'!$H:$H&gt;=A153) + ISBLANK('warehouse config'!$H:$H))),"&amp;"1))), 0), 0)"),1.0)</f>
        <v>1</v>
      </c>
    </row>
    <row r="154">
      <c r="A154" s="14">
        <v>45716.0</v>
      </c>
      <c r="B154" s="1" t="s">
        <v>392</v>
      </c>
      <c r="C154" s="1" t="s">
        <v>97</v>
      </c>
      <c r="D154" s="1" t="s">
        <v>51</v>
      </c>
      <c r="E154" s="1">
        <v>13.0</v>
      </c>
      <c r="F154" s="1" t="s">
        <v>195</v>
      </c>
      <c r="G154" s="1" t="s">
        <v>390</v>
      </c>
      <c r="H154" s="1">
        <v>0.0</v>
      </c>
      <c r="I154" s="1">
        <v>39.0</v>
      </c>
      <c r="J154" s="3">
        <f>IFERROR(__xludf.DUMMYFUNCTION("IF(H154&gt;0, IFERROR(ROUNDUP(H154 / MAX(1, INDEX(FILTER('warehouse config'!$D:$D, ('warehouse config'!$B:$B=C154) * ('warehouse config'!$C:$C=D154) * ('warehouse config'!$G:$G&lt;=A154) * (('warehouse config'!$H:$H&gt;=A154) + ISBLANK('warehouse config'!$H:$H))),"&amp;"1))), 0), 0)"),0.0)</f>
        <v>0</v>
      </c>
      <c r="K154" s="3">
        <f>IFERROR(__xludf.DUMMYFUNCTION("IF(I154&gt;0, IFERROR(ROUNDUP(I154 / MAX(1, INDEX(FILTER('warehouse config'!$E:$E, ('warehouse config'!$B:$B=C154) * ('warehouse config'!$C:$C=D154) * ('warehouse config'!$G:$G&lt;=A154) * (('warehouse config'!$H:$H&gt;=A154) + ISBLANK('warehouse config'!$H:$H))),"&amp;"1))), 0), 0)"),2.0)</f>
        <v>2</v>
      </c>
    </row>
    <row r="155">
      <c r="A155" s="14">
        <v>45716.0</v>
      </c>
      <c r="B155" s="1" t="s">
        <v>393</v>
      </c>
      <c r="C155" s="1" t="s">
        <v>97</v>
      </c>
      <c r="D155" s="1" t="s">
        <v>28</v>
      </c>
      <c r="E155" s="1">
        <v>12.0</v>
      </c>
      <c r="F155" s="1" t="s">
        <v>195</v>
      </c>
      <c r="G155" s="1" t="s">
        <v>390</v>
      </c>
      <c r="H155" s="1">
        <v>0.0</v>
      </c>
      <c r="I155" s="1">
        <v>7.0</v>
      </c>
      <c r="J155" s="3">
        <f>IFERROR(__xludf.DUMMYFUNCTION("IF(H155&gt;0, IFERROR(ROUNDUP(H155 / MAX(1, INDEX(FILTER('warehouse config'!$D:$D, ('warehouse config'!$B:$B=C155) * ('warehouse config'!$C:$C=D155) * ('warehouse config'!$G:$G&lt;=A155) * (('warehouse config'!$H:$H&gt;=A155) + ISBLANK('warehouse config'!$H:$H))),"&amp;"1))), 0), 0)"),0.0)</f>
        <v>0</v>
      </c>
      <c r="K155" s="3">
        <f>IFERROR(__xludf.DUMMYFUNCTION("IF(I155&gt;0, IFERROR(ROUNDUP(I155 / MAX(1, INDEX(FILTER('warehouse config'!$E:$E, ('warehouse config'!$B:$B=C155) * ('warehouse config'!$C:$C=D155) * ('warehouse config'!$G:$G&lt;=A155) * (('warehouse config'!$H:$H&gt;=A155) + ISBLANK('warehouse config'!$H:$H))),"&amp;"1))), 0), 0)"),1.0)</f>
        <v>1</v>
      </c>
    </row>
    <row r="156">
      <c r="A156" s="14">
        <v>45716.0</v>
      </c>
      <c r="B156" s="1" t="s">
        <v>394</v>
      </c>
      <c r="C156" s="1" t="s">
        <v>97</v>
      </c>
      <c r="D156" s="1" t="s">
        <v>37</v>
      </c>
      <c r="E156" s="1">
        <v>12.0</v>
      </c>
      <c r="F156" s="1" t="s">
        <v>195</v>
      </c>
      <c r="G156" s="1" t="s">
        <v>390</v>
      </c>
      <c r="H156" s="1">
        <v>0.0</v>
      </c>
      <c r="I156" s="1">
        <v>10.0</v>
      </c>
      <c r="J156" s="3">
        <f>IFERROR(__xludf.DUMMYFUNCTION("IF(H156&gt;0, IFERROR(ROUNDUP(H156 / MAX(1, INDEX(FILTER('warehouse config'!$D:$D, ('warehouse config'!$B:$B=C156) * ('warehouse config'!$C:$C=D156) * ('warehouse config'!$G:$G&lt;=A156) * (('warehouse config'!$H:$H&gt;=A156) + ISBLANK('warehouse config'!$H:$H))),"&amp;"1))), 0), 0)"),0.0)</f>
        <v>0</v>
      </c>
      <c r="K156" s="3">
        <f>IFERROR(__xludf.DUMMYFUNCTION("IF(I156&gt;0, IFERROR(ROUNDUP(I156 / MAX(1, INDEX(FILTER('warehouse config'!$E:$E, ('warehouse config'!$B:$B=C156) * ('warehouse config'!$C:$C=D156) * ('warehouse config'!$G:$G&lt;=A156) * (('warehouse config'!$H:$H&gt;=A156) + ISBLANK('warehouse config'!$H:$H))),"&amp;"1))), 0), 0)"),1.0)</f>
        <v>1</v>
      </c>
    </row>
    <row r="157">
      <c r="A157" s="14">
        <v>45716.0</v>
      </c>
      <c r="B157" s="1" t="s">
        <v>395</v>
      </c>
      <c r="C157" s="1" t="s">
        <v>97</v>
      </c>
      <c r="D157" s="1" t="s">
        <v>57</v>
      </c>
      <c r="E157" s="1">
        <v>13.0</v>
      </c>
      <c r="F157" s="1" t="s">
        <v>195</v>
      </c>
      <c r="G157" s="1" t="s">
        <v>390</v>
      </c>
      <c r="H157" s="1">
        <v>0.0</v>
      </c>
      <c r="I157" s="1">
        <v>72.0</v>
      </c>
      <c r="J157" s="3">
        <f>IFERROR(__xludf.DUMMYFUNCTION("IF(H157&gt;0, IFERROR(ROUNDUP(H157 / MAX(1, INDEX(FILTER('warehouse config'!$D:$D, ('warehouse config'!$B:$B=C157) * ('warehouse config'!$C:$C=D157) * ('warehouse config'!$G:$G&lt;=A157) * (('warehouse config'!$H:$H&gt;=A157) + ISBLANK('warehouse config'!$H:$H))),"&amp;"1))), 0), 0)"),0.0)</f>
        <v>0</v>
      </c>
      <c r="K157" s="3">
        <f>IFERROR(__xludf.DUMMYFUNCTION("IF(I157&gt;0, IFERROR(ROUNDUP(I157 / MAX(1, INDEX(FILTER('warehouse config'!$E:$E, ('warehouse config'!$B:$B=C157) * ('warehouse config'!$C:$C=D157) * ('warehouse config'!$G:$G&lt;=A157) * (('warehouse config'!$H:$H&gt;=A157) + ISBLANK('warehouse config'!$H:$H))),"&amp;"1))), 0), 0)"),4.0)</f>
        <v>4</v>
      </c>
    </row>
    <row r="158">
      <c r="A158" s="14">
        <v>45716.0</v>
      </c>
      <c r="B158" s="1" t="s">
        <v>396</v>
      </c>
      <c r="C158" s="1" t="s">
        <v>97</v>
      </c>
      <c r="D158" s="1" t="s">
        <v>62</v>
      </c>
      <c r="E158" s="1">
        <v>13.0</v>
      </c>
      <c r="F158" s="1" t="s">
        <v>195</v>
      </c>
      <c r="G158" s="1" t="s">
        <v>390</v>
      </c>
      <c r="H158" s="1">
        <v>0.0</v>
      </c>
      <c r="I158" s="1">
        <v>41.0</v>
      </c>
      <c r="J158" s="3">
        <f>IFERROR(__xludf.DUMMYFUNCTION("IF(H158&gt;0, IFERROR(ROUNDUP(H158 / MAX(1, INDEX(FILTER('warehouse config'!$D:$D, ('warehouse config'!$B:$B=C158) * ('warehouse config'!$C:$C=D158) * ('warehouse config'!$G:$G&lt;=A158) * (('warehouse config'!$H:$H&gt;=A158) + ISBLANK('warehouse config'!$H:$H))),"&amp;"1))), 0), 0)"),0.0)</f>
        <v>0</v>
      </c>
      <c r="K158" s="3">
        <f>IFERROR(__xludf.DUMMYFUNCTION("IF(I158&gt;0, IFERROR(ROUNDUP(I158 / MAX(1, INDEX(FILTER('warehouse config'!$E:$E, ('warehouse config'!$B:$B=C158) * ('warehouse config'!$C:$C=D158) * ('warehouse config'!$G:$G&lt;=A158) * (('warehouse config'!$H:$H&gt;=A158) + ISBLANK('warehouse config'!$H:$H))),"&amp;"1))), 0), 0)"),2.0)</f>
        <v>2</v>
      </c>
    </row>
    <row r="159">
      <c r="A159" s="14">
        <v>45716.0</v>
      </c>
      <c r="B159" s="1" t="s">
        <v>397</v>
      </c>
      <c r="C159" s="1" t="s">
        <v>97</v>
      </c>
      <c r="D159" s="1" t="s">
        <v>68</v>
      </c>
      <c r="E159" s="1">
        <v>3.0</v>
      </c>
      <c r="F159" s="1" t="s">
        <v>195</v>
      </c>
      <c r="G159" s="1" t="s">
        <v>390</v>
      </c>
      <c r="H159" s="1">
        <v>0.0</v>
      </c>
      <c r="I159" s="1">
        <v>18.0</v>
      </c>
      <c r="J159" s="3">
        <f>IFERROR(__xludf.DUMMYFUNCTION("IF(H159&gt;0, IFERROR(ROUNDUP(H159 / MAX(1, INDEX(FILTER('warehouse config'!$D:$D, ('warehouse config'!$B:$B=C159) * ('warehouse config'!$C:$C=D159) * ('warehouse config'!$G:$G&lt;=A159) * (('warehouse config'!$H:$H&gt;=A159) + ISBLANK('warehouse config'!$H:$H))),"&amp;"1))), 0), 0)"),0.0)</f>
        <v>0</v>
      </c>
      <c r="K159" s="3">
        <f>IFERROR(__xludf.DUMMYFUNCTION("IF(I159&gt;0, IFERROR(ROUNDUP(I159 / MAX(1, INDEX(FILTER('warehouse config'!$E:$E, ('warehouse config'!$B:$B=C159) * ('warehouse config'!$C:$C=D159) * ('warehouse config'!$G:$G&lt;=A159) * (('warehouse config'!$H:$H&gt;=A159) + ISBLANK('warehouse config'!$H:$H))),"&amp;"1))), 0), 0)"),1.0)</f>
        <v>1</v>
      </c>
    </row>
    <row r="160">
      <c r="A160" s="14">
        <v>45733.0</v>
      </c>
      <c r="B160" s="1" t="s">
        <v>398</v>
      </c>
      <c r="C160" s="1" t="s">
        <v>106</v>
      </c>
      <c r="D160" s="1" t="s">
        <v>75</v>
      </c>
      <c r="E160" s="1">
        <v>4.0</v>
      </c>
      <c r="F160" s="1" t="s">
        <v>195</v>
      </c>
      <c r="G160" s="15" t="s">
        <v>399</v>
      </c>
      <c r="H160" s="1">
        <v>0.0</v>
      </c>
      <c r="I160" s="1">
        <v>80.0</v>
      </c>
      <c r="J160" s="3">
        <f>IFERROR(__xludf.DUMMYFUNCTION("IF(H160&gt;0, IFERROR(ROUNDUP(H160 / MAX(1, INDEX(FILTER('warehouse config'!$D:$D, ('warehouse config'!$B:$B=C160) * ('warehouse config'!$C:$C=D160) * ('warehouse config'!$G:$G&lt;=A160) * (('warehouse config'!$H:$H&gt;=A160) + ISBLANK('warehouse config'!$H:$H))),"&amp;"1))), 0), 0)"),0.0)</f>
        <v>0</v>
      </c>
      <c r="K160" s="17">
        <f>IFERROR(__xludf.DUMMYFUNCTION("IF(I160&gt;0, IFERROR(ROUNDUP(I160 / MAX(1, INDEX(FILTER('warehouse config'!$E:$E, ('warehouse config'!$B:$B=C160) * ('warehouse config'!$C:$C=D160) * ('warehouse config'!$G:$G&lt;=A160) * (('warehouse config'!$H:$H&gt;=A160) + ISBLANK('warehouse config'!$H:$H))),"&amp;"1))), 0), 0)"),4.0)</f>
        <v>4</v>
      </c>
    </row>
    <row r="161">
      <c r="A161" s="14">
        <v>45737.0</v>
      </c>
      <c r="B161" s="1" t="s">
        <v>400</v>
      </c>
      <c r="C161" s="1" t="s">
        <v>97</v>
      </c>
      <c r="D161" s="1" t="s">
        <v>28</v>
      </c>
      <c r="E161" s="1">
        <v>12.0</v>
      </c>
      <c r="F161" s="1" t="s">
        <v>195</v>
      </c>
      <c r="G161" s="1" t="s">
        <v>401</v>
      </c>
      <c r="H161" s="1">
        <v>0.0</v>
      </c>
      <c r="I161" s="1">
        <v>8.0</v>
      </c>
      <c r="J161" s="3">
        <f>IFERROR(__xludf.DUMMYFUNCTION("IF(H161&gt;0, IFERROR(ROUNDUP(H161 / MAX(1, INDEX(FILTER('warehouse config'!$D:$D, ('warehouse config'!$B:$B=C161) * ('warehouse config'!$C:$C=D161) * ('warehouse config'!$G:$G&lt;=A161) * (('warehouse config'!$H:$H&gt;=A161) + ISBLANK('warehouse config'!$H:$H))),"&amp;"1))), 0), 0)"),0.0)</f>
        <v>0</v>
      </c>
      <c r="K161" s="3">
        <f>IFERROR(__xludf.DUMMYFUNCTION("IF(I161&gt;0, IFERROR(ROUNDUP(I161 / MAX(1, INDEX(FILTER('warehouse config'!$E:$E, ('warehouse config'!$B:$B=C161) * ('warehouse config'!$C:$C=D161) * ('warehouse config'!$G:$G&lt;=A161) * (('warehouse config'!$H:$H&gt;=A161) + ISBLANK('warehouse config'!$H:$H))),"&amp;"1))), 0), 0)"),1.0)</f>
        <v>1</v>
      </c>
    </row>
    <row r="162">
      <c r="A162" s="14">
        <v>45737.0</v>
      </c>
      <c r="B162" s="1" t="s">
        <v>402</v>
      </c>
      <c r="C162" s="1" t="s">
        <v>97</v>
      </c>
      <c r="D162" s="1" t="s">
        <v>57</v>
      </c>
      <c r="E162" s="1">
        <v>13.0</v>
      </c>
      <c r="F162" s="1" t="s">
        <v>195</v>
      </c>
      <c r="G162" s="1" t="s">
        <v>401</v>
      </c>
      <c r="H162" s="1">
        <v>0.0</v>
      </c>
      <c r="I162" s="1">
        <v>12.0</v>
      </c>
      <c r="J162" s="3">
        <f>IFERROR(__xludf.DUMMYFUNCTION("IF(H162&gt;0, IFERROR(ROUNDUP(H162 / MAX(1, INDEX(FILTER('warehouse config'!$D:$D, ('warehouse config'!$B:$B=C162) * ('warehouse config'!$C:$C=D162) * ('warehouse config'!$G:$G&lt;=A162) * (('warehouse config'!$H:$H&gt;=A162) + ISBLANK('warehouse config'!$H:$H))),"&amp;"1))), 0), 0)"),0.0)</f>
        <v>0</v>
      </c>
      <c r="K162" s="3">
        <f>IFERROR(__xludf.DUMMYFUNCTION("IF(I162&gt;0, IFERROR(ROUNDUP(I162 / MAX(1, INDEX(FILTER('warehouse config'!$E:$E, ('warehouse config'!$B:$B=C162) * ('warehouse config'!$C:$C=D162) * ('warehouse config'!$G:$G&lt;=A162) * (('warehouse config'!$H:$H&gt;=A162) + ISBLANK('warehouse config'!$H:$H))),"&amp;"1))), 0), 0)"),1.0)</f>
        <v>1</v>
      </c>
    </row>
    <row r="163">
      <c r="A163" s="14">
        <v>45751.0</v>
      </c>
      <c r="B163" s="1" t="s">
        <v>403</v>
      </c>
      <c r="C163" s="1" t="s">
        <v>97</v>
      </c>
      <c r="D163" s="1" t="s">
        <v>44</v>
      </c>
      <c r="E163" s="1">
        <v>12.0</v>
      </c>
      <c r="F163" s="1" t="s">
        <v>195</v>
      </c>
      <c r="G163" s="1" t="s">
        <v>404</v>
      </c>
      <c r="H163" s="1">
        <v>0.0</v>
      </c>
      <c r="I163" s="1">
        <v>66.0</v>
      </c>
      <c r="J163" s="3">
        <f>IFERROR(__xludf.DUMMYFUNCTION("IF(H163&gt;0, IFERROR(ROUNDUP(H163 / MAX(1, INDEX(FILTER('warehouse config'!$D:$D, ('warehouse config'!$B:$B=C163) * ('warehouse config'!$C:$C=D163) * ('warehouse config'!$G:$G&lt;=A163) * (('warehouse config'!$H:$H&gt;=A163) + ISBLANK('warehouse config'!$H:$H))),"&amp;"1))), 0), 0)"),0.0)</f>
        <v>0</v>
      </c>
      <c r="K163" s="3">
        <f>IFERROR(__xludf.DUMMYFUNCTION("IF(I163&gt;0, IFERROR(ROUNDUP(I163 / MAX(1, INDEX(FILTER('warehouse config'!$E:$E, ('warehouse config'!$B:$B=C163) * ('warehouse config'!$C:$C=D163) * ('warehouse config'!$G:$G&lt;=A163) * (('warehouse config'!$H:$H&gt;=A163) + ISBLANK('warehouse config'!$H:$H))),"&amp;"1))), 0), 0)"),4.0)</f>
        <v>4</v>
      </c>
    </row>
    <row r="164">
      <c r="A164" s="14">
        <v>45751.0</v>
      </c>
      <c r="B164" s="1" t="s">
        <v>405</v>
      </c>
      <c r="C164" s="1" t="s">
        <v>97</v>
      </c>
      <c r="D164" s="1" t="s">
        <v>44</v>
      </c>
      <c r="E164" s="1">
        <v>13.0</v>
      </c>
      <c r="F164" s="1" t="s">
        <v>195</v>
      </c>
      <c r="G164" s="1" t="s">
        <v>404</v>
      </c>
      <c r="H164" s="1">
        <v>0.0</v>
      </c>
      <c r="I164" s="1">
        <v>78.0</v>
      </c>
      <c r="J164" s="3">
        <f>IFERROR(__xludf.DUMMYFUNCTION("IF(H164&gt;0, IFERROR(ROUNDUP(H164 / MAX(1, INDEX(FILTER('warehouse config'!$D:$D, ('warehouse config'!$B:$B=C164) * ('warehouse config'!$C:$C=D164) * ('warehouse config'!$G:$G&lt;=A164) * (('warehouse config'!$H:$H&gt;=A164) + ISBLANK('warehouse config'!$H:$H))),"&amp;"1))), 0), 0)"),0.0)</f>
        <v>0</v>
      </c>
      <c r="K164" s="3">
        <f>IFERROR(__xludf.DUMMYFUNCTION("IF(I164&gt;0, IFERROR(ROUNDUP(I164 / MAX(1, INDEX(FILTER('warehouse config'!$E:$E, ('warehouse config'!$B:$B=C164) * ('warehouse config'!$C:$C=D164) * ('warehouse config'!$G:$G&lt;=A164) * (('warehouse config'!$H:$H&gt;=A164) + ISBLANK('warehouse config'!$H:$H))),"&amp;"1))), 0), 0)"),5.0)</f>
        <v>5</v>
      </c>
    </row>
    <row r="165">
      <c r="A165" s="14">
        <v>45751.0</v>
      </c>
      <c r="B165" s="1" t="s">
        <v>406</v>
      </c>
      <c r="C165" s="1" t="s">
        <v>97</v>
      </c>
      <c r="D165" s="1" t="s">
        <v>51</v>
      </c>
      <c r="E165" s="1">
        <v>13.0</v>
      </c>
      <c r="F165" s="1" t="s">
        <v>195</v>
      </c>
      <c r="G165" s="1" t="s">
        <v>404</v>
      </c>
      <c r="H165" s="1">
        <v>0.0</v>
      </c>
      <c r="I165" s="1">
        <v>72.0</v>
      </c>
      <c r="J165" s="3">
        <f>IFERROR(__xludf.DUMMYFUNCTION("IF(H165&gt;0, IFERROR(ROUNDUP(H165 / MAX(1, INDEX(FILTER('warehouse config'!$D:$D, ('warehouse config'!$B:$B=C165) * ('warehouse config'!$C:$C=D165) * ('warehouse config'!$G:$G&lt;=A165) * (('warehouse config'!$H:$H&gt;=A165) + ISBLANK('warehouse config'!$H:$H))),"&amp;"1))), 0), 0)"),0.0)</f>
        <v>0</v>
      </c>
      <c r="K165" s="3">
        <f>IFERROR(__xludf.DUMMYFUNCTION("IF(I165&gt;0, IFERROR(ROUNDUP(I165 / MAX(1, INDEX(FILTER('warehouse config'!$E:$E, ('warehouse config'!$B:$B=C165) * ('warehouse config'!$C:$C=D165) * ('warehouse config'!$G:$G&lt;=A165) * (('warehouse config'!$H:$H&gt;=A165) + ISBLANK('warehouse config'!$H:$H))),"&amp;"1))), 0), 0)"),3.0)</f>
        <v>3</v>
      </c>
    </row>
    <row r="166">
      <c r="A166" s="14">
        <v>45757.0</v>
      </c>
      <c r="B166" s="1" t="s">
        <v>407</v>
      </c>
      <c r="C166" s="1" t="s">
        <v>106</v>
      </c>
      <c r="D166" s="1" t="s">
        <v>68</v>
      </c>
      <c r="E166" s="1">
        <v>4.0</v>
      </c>
      <c r="F166" s="1" t="s">
        <v>195</v>
      </c>
      <c r="G166" s="15" t="s">
        <v>408</v>
      </c>
      <c r="H166" s="1">
        <v>0.0</v>
      </c>
      <c r="I166" s="1">
        <v>36.0</v>
      </c>
      <c r="J166" s="3">
        <f>IFERROR(__xludf.DUMMYFUNCTION("IF(H166&gt;0, IFERROR(ROUNDUP(H166 / MAX(1, INDEX(FILTER('warehouse config'!$D:$D, ('warehouse config'!$B:$B=C166) * ('warehouse config'!$C:$C=D166) * ('warehouse config'!$G:$G&lt;=A166) * (('warehouse config'!$H:$H&gt;=A166) + ISBLANK('warehouse config'!$H:$H))),"&amp;"1))), 0), 0)"),0.0)</f>
        <v>0</v>
      </c>
      <c r="K166" s="3">
        <f>IFERROR(__xludf.DUMMYFUNCTION("IF(I166&gt;0, IFERROR(ROUNDUP(I166 / MAX(1, INDEX(FILTER('warehouse config'!$E:$E, ('warehouse config'!$B:$B=C166) * ('warehouse config'!$C:$C=D166) * ('warehouse config'!$G:$G&lt;=A166) * (('warehouse config'!$H:$H&gt;=A166) + ISBLANK('warehouse config'!$H:$H))),"&amp;"1))), 0), 0)"),2.0)</f>
        <v>2</v>
      </c>
    </row>
    <row r="167">
      <c r="A167" s="14">
        <v>45757.0</v>
      </c>
      <c r="B167" s="1" t="s">
        <v>409</v>
      </c>
      <c r="C167" s="1" t="s">
        <v>106</v>
      </c>
      <c r="D167" s="1" t="s">
        <v>75</v>
      </c>
      <c r="E167" s="1">
        <v>4.0</v>
      </c>
      <c r="F167" s="1" t="s">
        <v>195</v>
      </c>
      <c r="G167" s="15" t="s">
        <v>408</v>
      </c>
      <c r="H167" s="1">
        <v>0.0</v>
      </c>
      <c r="I167" s="1">
        <v>29.0</v>
      </c>
      <c r="J167" s="3">
        <f>IFERROR(__xludf.DUMMYFUNCTION("IF(H167&gt;0, IFERROR(ROUNDUP(H167 / MAX(1, INDEX(FILTER('warehouse config'!$D:$D, ('warehouse config'!$B:$B=C167) * ('warehouse config'!$C:$C=D167) * ('warehouse config'!$G:$G&lt;=A167) * (('warehouse config'!$H:$H&gt;=A167) + ISBLANK('warehouse config'!$H:$H))),"&amp;"1))), 0), 0)"),0.0)</f>
        <v>0</v>
      </c>
      <c r="K167" s="3">
        <f>IFERROR(__xludf.DUMMYFUNCTION("IF(I167&gt;0, IFERROR(ROUNDUP(I167 / MAX(1, INDEX(FILTER('warehouse config'!$E:$E, ('warehouse config'!$B:$B=C167) * ('warehouse config'!$C:$C=D167) * ('warehouse config'!$G:$G&lt;=A167) * (('warehouse config'!$H:$H&gt;=A167) + ISBLANK('warehouse config'!$H:$H))),"&amp;"1))), 0), 0)"),2.0)</f>
        <v>2</v>
      </c>
    </row>
    <row r="168">
      <c r="A168" s="14">
        <v>45765.0</v>
      </c>
      <c r="B168" s="1" t="s">
        <v>410</v>
      </c>
      <c r="C168" s="1" t="s">
        <v>87</v>
      </c>
      <c r="D168" s="1" t="s">
        <v>28</v>
      </c>
      <c r="E168" s="1">
        <v>9.0</v>
      </c>
      <c r="F168" s="1" t="s">
        <v>195</v>
      </c>
      <c r="G168" s="1" t="s">
        <v>411</v>
      </c>
      <c r="H168" s="1">
        <v>0.0</v>
      </c>
      <c r="I168" s="1">
        <v>12.0</v>
      </c>
      <c r="J168" s="3">
        <f>IFERROR(__xludf.DUMMYFUNCTION("IF(H168&gt;0, IFERROR(ROUNDUP(H168 / MAX(1, INDEX(FILTER('warehouse config'!$D:$D, ('warehouse config'!$B:$B=C168) * ('warehouse config'!$C:$C=D168) * ('warehouse config'!$G:$G&lt;=A168) * (('warehouse config'!$H:$H&gt;=A168) + ISBLANK('warehouse config'!$H:$H))),"&amp;"1))), 0), 0)"),0.0)</f>
        <v>0</v>
      </c>
      <c r="K168" s="3">
        <f>IFERROR(__xludf.DUMMYFUNCTION("IF(I168&gt;0, IFERROR(ROUNDUP(I168 / MAX(1, INDEX(FILTER('warehouse config'!$E:$E, ('warehouse config'!$B:$B=C168) * ('warehouse config'!$C:$C=D168) * ('warehouse config'!$G:$G&lt;=A168) * (('warehouse config'!$H:$H&gt;=A168) + ISBLANK('warehouse config'!$H:$H))),"&amp;"1))), 0), 0)"),1.0)</f>
        <v>1</v>
      </c>
    </row>
    <row r="169">
      <c r="A169" s="14">
        <v>45765.0</v>
      </c>
      <c r="B169" s="1" t="s">
        <v>412</v>
      </c>
      <c r="C169" s="1" t="s">
        <v>87</v>
      </c>
      <c r="D169" s="1" t="s">
        <v>37</v>
      </c>
      <c r="E169" s="1">
        <v>10.0</v>
      </c>
      <c r="F169" s="1" t="s">
        <v>195</v>
      </c>
      <c r="G169" s="1" t="s">
        <v>411</v>
      </c>
      <c r="H169" s="1">
        <v>0.0</v>
      </c>
      <c r="I169" s="1">
        <v>13.0</v>
      </c>
      <c r="J169" s="3">
        <f>IFERROR(__xludf.DUMMYFUNCTION("IF(H169&gt;0, IFERROR(ROUNDUP(H169 / MAX(1, INDEX(FILTER('warehouse config'!$D:$D, ('warehouse config'!$B:$B=C169) * ('warehouse config'!$C:$C=D169) * ('warehouse config'!$G:$G&lt;=A169) * (('warehouse config'!$H:$H&gt;=A169) + ISBLANK('warehouse config'!$H:$H))),"&amp;"1))), 0), 0)"),0.0)</f>
        <v>0</v>
      </c>
      <c r="K169" s="3">
        <f>IFERROR(__xludf.DUMMYFUNCTION("IF(I169&gt;0, IFERROR(ROUNDUP(I169 / MAX(1, INDEX(FILTER('warehouse config'!$E:$E, ('warehouse config'!$B:$B=C169) * ('warehouse config'!$C:$C=D169) * ('warehouse config'!$G:$G&lt;=A169) * (('warehouse config'!$H:$H&gt;=A169) + ISBLANK('warehouse config'!$H:$H))),"&amp;"1))), 0), 0)"),1.0)</f>
        <v>1</v>
      </c>
    </row>
    <row r="170">
      <c r="A170" s="14">
        <v>45782.0</v>
      </c>
      <c r="B170" s="1" t="s">
        <v>413</v>
      </c>
      <c r="C170" s="1" t="s">
        <v>97</v>
      </c>
      <c r="D170" s="1" t="s">
        <v>44</v>
      </c>
      <c r="E170" s="1">
        <v>13.0</v>
      </c>
      <c r="F170" s="1" t="s">
        <v>195</v>
      </c>
      <c r="G170" s="1" t="s">
        <v>414</v>
      </c>
      <c r="H170" s="1">
        <v>0.0</v>
      </c>
      <c r="I170" s="1">
        <v>162.0</v>
      </c>
      <c r="J170" s="3">
        <f>IFERROR(__xludf.DUMMYFUNCTION("IF(H170&gt;0, IFERROR(ROUNDUP(H170 / MAX(1, INDEX(FILTER('warehouse config'!$D:$D, ('warehouse config'!$B:$B=C170) * ('warehouse config'!$C:$C=D170) * ('warehouse config'!$G:$G&lt;=A170) * (('warehouse config'!$H:$H&gt;=A170) + ISBLANK('warehouse config'!$H:$H))),"&amp;"1))), 0), 0)"),0.0)</f>
        <v>0</v>
      </c>
      <c r="K170" s="3">
        <f>IFERROR(__xludf.DUMMYFUNCTION("IF(I170&gt;0, IFERROR(ROUNDUP(I170 / MAX(1, INDEX(FILTER('warehouse config'!$E:$E, ('warehouse config'!$B:$B=C170) * ('warehouse config'!$C:$C=D170) * ('warehouse config'!$G:$G&lt;=A170) * (('warehouse config'!$H:$H&gt;=A170) + ISBLANK('warehouse config'!$H:$H))),"&amp;"1))), 0), 0)"),9.0)</f>
        <v>9</v>
      </c>
    </row>
    <row r="171">
      <c r="A171" s="14">
        <v>45793.0</v>
      </c>
      <c r="B171" s="1" t="s">
        <v>415</v>
      </c>
      <c r="C171" s="1" t="s">
        <v>97</v>
      </c>
      <c r="D171" s="1" t="s">
        <v>51</v>
      </c>
      <c r="E171" s="1">
        <v>13.0</v>
      </c>
      <c r="F171" s="1" t="s">
        <v>195</v>
      </c>
      <c r="G171" s="15" t="s">
        <v>416</v>
      </c>
      <c r="H171" s="1">
        <v>0.0</v>
      </c>
      <c r="I171" s="1">
        <v>64.0</v>
      </c>
      <c r="J171" s="3">
        <f>IFERROR(__xludf.DUMMYFUNCTION("IF(H171&gt;0, IFERROR(ROUNDUP(H171 / MAX(1, INDEX(FILTER('warehouse config'!$D:$D, ('warehouse config'!$B:$B=C171) * ('warehouse config'!$C:$C=D171) * ('warehouse config'!$G:$G&lt;=A171) * (('warehouse config'!$H:$H&gt;=A171) + ISBLANK('warehouse config'!$H:$H))),"&amp;"1))), 0), 0)"),0.0)</f>
        <v>0</v>
      </c>
      <c r="K171" s="3">
        <f>IFERROR(__xludf.DUMMYFUNCTION("IF(I171&gt;0, IFERROR(ROUNDUP(I171 / MAX(1, INDEX(FILTER('warehouse config'!$E:$E, ('warehouse config'!$B:$B=C171) * ('warehouse config'!$C:$C=D171) * ('warehouse config'!$G:$G&lt;=A171) * (('warehouse config'!$H:$H&gt;=A171) + ISBLANK('warehouse config'!$H:$H))),"&amp;"1))), 0), 0)"),3.0)</f>
        <v>3</v>
      </c>
    </row>
    <row r="172">
      <c r="A172" s="14">
        <v>45804.0</v>
      </c>
      <c r="B172" s="1" t="s">
        <v>417</v>
      </c>
      <c r="C172" s="1" t="s">
        <v>106</v>
      </c>
      <c r="D172" s="1" t="s">
        <v>68</v>
      </c>
      <c r="E172" s="1">
        <v>4.0</v>
      </c>
      <c r="F172" s="1" t="s">
        <v>195</v>
      </c>
      <c r="G172" s="15" t="s">
        <v>418</v>
      </c>
      <c r="H172" s="1">
        <v>0.0</v>
      </c>
      <c r="I172" s="1">
        <v>28.0</v>
      </c>
      <c r="J172" s="3">
        <f>IFERROR(__xludf.DUMMYFUNCTION("IF(H172&gt;0, IFERROR(ROUNDUP(H172 / MAX(1, INDEX(FILTER('warehouse config'!$D:$D, ('warehouse config'!$B:$B=C172) * ('warehouse config'!$C:$C=D172) * ('warehouse config'!$G:$G&lt;=A172) * (('warehouse config'!$H:$H&gt;=A172) + ISBLANK('warehouse config'!$H:$H))),"&amp;"1))), 0), 0)"),0.0)</f>
        <v>0</v>
      </c>
      <c r="K172" s="3">
        <f>IFERROR(__xludf.DUMMYFUNCTION("IF(I172&gt;0, IFERROR(ROUNDUP(I172 / MAX(1, INDEX(FILTER('warehouse config'!$E:$E, ('warehouse config'!$B:$B=C172) * ('warehouse config'!$C:$C=D172) * ('warehouse config'!$G:$G&lt;=A172) * (('warehouse config'!$H:$H&gt;=A172) + ISBLANK('warehouse config'!$H:$H))),"&amp;"1))), 0), 0)"),2.0)</f>
        <v>2</v>
      </c>
    </row>
    <row r="173">
      <c r="A173" s="14">
        <v>45807.0</v>
      </c>
      <c r="B173" s="1" t="s">
        <v>419</v>
      </c>
      <c r="C173" s="1" t="s">
        <v>87</v>
      </c>
      <c r="D173" s="1" t="s">
        <v>44</v>
      </c>
      <c r="E173" s="1">
        <v>11.0</v>
      </c>
      <c r="F173" s="1" t="s">
        <v>195</v>
      </c>
      <c r="G173" s="18" t="s">
        <v>420</v>
      </c>
      <c r="H173" s="1">
        <v>0.0</v>
      </c>
      <c r="I173" s="1">
        <v>1.0</v>
      </c>
      <c r="J173" s="3">
        <f>IFERROR(__xludf.DUMMYFUNCTION("IF(H173&gt;0, IFERROR(ROUNDUP(H173 / MAX(1, INDEX(FILTER('warehouse config'!$D:$D, ('warehouse config'!$B:$B=C173) * ('warehouse config'!$C:$C=D173) * ('warehouse config'!$G:$G&lt;=A173) * (('warehouse config'!$H:$H&gt;=A173) + ISBLANK('warehouse config'!$H:$H))),"&amp;"1))), 0), 0)"),0.0)</f>
        <v>0</v>
      </c>
      <c r="K173" s="3">
        <f>IFERROR(__xludf.DUMMYFUNCTION("IF(I173&gt;0, IFERROR(ROUNDUP(I173 / MAX(1, INDEX(FILTER('warehouse config'!$E:$E, ('warehouse config'!$B:$B=C173) * ('warehouse config'!$C:$C=D173) * ('warehouse config'!$G:$G&lt;=A173) * (('warehouse config'!$H:$H&gt;=A173) + ISBLANK('warehouse config'!$H:$H))),"&amp;"1))), 0), 0)"),1.0)</f>
        <v>1</v>
      </c>
    </row>
    <row r="174">
      <c r="A174" s="14">
        <v>45807.0</v>
      </c>
      <c r="B174" s="1" t="s">
        <v>421</v>
      </c>
      <c r="C174" s="1" t="s">
        <v>87</v>
      </c>
      <c r="D174" s="1" t="s">
        <v>28</v>
      </c>
      <c r="E174" s="1">
        <v>11.0</v>
      </c>
      <c r="F174" s="1" t="s">
        <v>195</v>
      </c>
      <c r="G174" s="18" t="s">
        <v>420</v>
      </c>
      <c r="H174" s="1">
        <v>0.0</v>
      </c>
      <c r="I174" s="1">
        <v>2.0</v>
      </c>
      <c r="J174" s="3">
        <f>IFERROR(__xludf.DUMMYFUNCTION("IF(H174&gt;0, IFERROR(ROUNDUP(H174 / MAX(1, INDEX(FILTER('warehouse config'!$D:$D, ('warehouse config'!$B:$B=C174) * ('warehouse config'!$C:$C=D174) * ('warehouse config'!$G:$G&lt;=A174) * (('warehouse config'!$H:$H&gt;=A174) + ISBLANK('warehouse config'!$H:$H))),"&amp;"1))), 0), 0)"),0.0)</f>
        <v>0</v>
      </c>
      <c r="K174" s="3">
        <f>IFERROR(__xludf.DUMMYFUNCTION("IF(I174&gt;0, IFERROR(ROUNDUP(I174 / MAX(1, INDEX(FILTER('warehouse config'!$E:$E, ('warehouse config'!$B:$B=C174) * ('warehouse config'!$C:$C=D174) * ('warehouse config'!$G:$G&lt;=A174) * (('warehouse config'!$H:$H&gt;=A174) + ISBLANK('warehouse config'!$H:$H))),"&amp;"1))), 0), 0)"),1.0)</f>
        <v>1</v>
      </c>
    </row>
    <row r="175">
      <c r="A175" s="14">
        <v>45807.0</v>
      </c>
      <c r="B175" s="1" t="s">
        <v>422</v>
      </c>
      <c r="C175" s="1" t="s">
        <v>87</v>
      </c>
      <c r="D175" s="1" t="s">
        <v>37</v>
      </c>
      <c r="E175" s="1">
        <v>11.0</v>
      </c>
      <c r="F175" s="1" t="s">
        <v>195</v>
      </c>
      <c r="G175" s="1" t="s">
        <v>420</v>
      </c>
      <c r="H175" s="1">
        <v>0.0</v>
      </c>
      <c r="I175" s="1">
        <v>40.0</v>
      </c>
      <c r="J175" s="3">
        <f>IFERROR(__xludf.DUMMYFUNCTION("IF(H175&gt;0, IFERROR(ROUNDUP(H175 / MAX(1, INDEX(FILTER('warehouse config'!$D:$D, ('warehouse config'!$B:$B=C175) * ('warehouse config'!$C:$C=D175) * ('warehouse config'!$G:$G&lt;=A175) * (('warehouse config'!$H:$H&gt;=A175) + ISBLANK('warehouse config'!$H:$H))),"&amp;"1))), 0), 0)"),0.0)</f>
        <v>0</v>
      </c>
      <c r="K175" s="3">
        <f>IFERROR(__xludf.DUMMYFUNCTION("IF(I175&gt;0, IFERROR(ROUNDUP(I175 / MAX(1, INDEX(FILTER('warehouse config'!$E:$E, ('warehouse config'!$B:$B=C175) * ('warehouse config'!$C:$C=D175) * ('warehouse config'!$G:$G&lt;=A175) * (('warehouse config'!$H:$H&gt;=A175) + ISBLANK('warehouse config'!$H:$H))),"&amp;"1))), 0), 0)"),3.0)</f>
        <v>3</v>
      </c>
    </row>
    <row r="176">
      <c r="A176" s="19"/>
      <c r="B176" s="1" t="s">
        <v>410</v>
      </c>
    </row>
    <row r="177">
      <c r="A177" s="19"/>
      <c r="B177" s="1" t="s">
        <v>412</v>
      </c>
    </row>
    <row r="178">
      <c r="A178" s="19"/>
      <c r="B178" s="1" t="s">
        <v>413</v>
      </c>
    </row>
    <row r="179">
      <c r="A179" s="19"/>
      <c r="B179" s="1" t="s">
        <v>415</v>
      </c>
    </row>
    <row r="180">
      <c r="A180" s="19"/>
      <c r="B180" s="1" t="s">
        <v>417</v>
      </c>
    </row>
    <row r="181">
      <c r="A181" s="19"/>
      <c r="B181" s="1" t="s">
        <v>419</v>
      </c>
    </row>
    <row r="182">
      <c r="A182" s="19"/>
      <c r="B182" s="1" t="s">
        <v>421</v>
      </c>
    </row>
    <row r="183">
      <c r="A183" s="19"/>
      <c r="B183" s="1" t="s">
        <v>422</v>
      </c>
    </row>
    <row r="184">
      <c r="A184" s="19"/>
      <c r="B184" s="1" t="s">
        <v>423</v>
      </c>
    </row>
    <row r="185">
      <c r="A185" s="19"/>
      <c r="B185" s="1" t="s">
        <v>424</v>
      </c>
    </row>
    <row r="186">
      <c r="A186" s="19"/>
      <c r="B186" s="1" t="s">
        <v>425</v>
      </c>
    </row>
    <row r="187">
      <c r="A187" s="19"/>
      <c r="B187" s="1" t="s">
        <v>426</v>
      </c>
    </row>
    <row r="188">
      <c r="A188" s="19"/>
      <c r="B188" s="1" t="s">
        <v>427</v>
      </c>
    </row>
    <row r="189">
      <c r="A189" s="19"/>
      <c r="B189" s="1" t="s">
        <v>428</v>
      </c>
    </row>
    <row r="190">
      <c r="A190" s="19"/>
      <c r="B190" s="1" t="s">
        <v>429</v>
      </c>
    </row>
    <row r="191">
      <c r="A191" s="19"/>
      <c r="B191" s="1" t="s">
        <v>430</v>
      </c>
    </row>
    <row r="192">
      <c r="A192" s="19"/>
      <c r="B192" s="1" t="s">
        <v>431</v>
      </c>
    </row>
    <row r="193">
      <c r="A193" s="19"/>
      <c r="B193" s="1" t="s">
        <v>432</v>
      </c>
    </row>
    <row r="194">
      <c r="A194" s="19"/>
      <c r="B194" s="1" t="s">
        <v>433</v>
      </c>
    </row>
    <row r="195">
      <c r="A195" s="19"/>
      <c r="B195" s="1" t="s">
        <v>434</v>
      </c>
    </row>
    <row r="196">
      <c r="A196" s="19"/>
      <c r="B196" s="1" t="s">
        <v>435</v>
      </c>
    </row>
    <row r="197">
      <c r="A197" s="19"/>
      <c r="B197" s="1" t="s">
        <v>436</v>
      </c>
    </row>
    <row r="198">
      <c r="A198" s="19"/>
      <c r="B198" s="1" t="s">
        <v>437</v>
      </c>
    </row>
    <row r="199">
      <c r="A199" s="19"/>
      <c r="B199" s="1" t="s">
        <v>438</v>
      </c>
    </row>
    <row r="200">
      <c r="A200" s="19"/>
      <c r="B200" s="1" t="s">
        <v>439</v>
      </c>
    </row>
    <row r="201">
      <c r="A201" s="19"/>
      <c r="B201" s="1" t="s">
        <v>440</v>
      </c>
    </row>
    <row r="202">
      <c r="A202" s="19"/>
      <c r="B202" s="1" t="s">
        <v>441</v>
      </c>
    </row>
    <row r="203">
      <c r="A203" s="19"/>
      <c r="B203" s="1" t="s">
        <v>442</v>
      </c>
    </row>
    <row r="204">
      <c r="A204" s="19"/>
      <c r="B204" s="1" t="s">
        <v>443</v>
      </c>
    </row>
    <row r="205">
      <c r="A205" s="19"/>
      <c r="B205" s="1" t="s">
        <v>444</v>
      </c>
    </row>
    <row r="206">
      <c r="A206" s="19"/>
      <c r="B206" s="1" t="s">
        <v>445</v>
      </c>
    </row>
    <row r="207">
      <c r="A207" s="19"/>
      <c r="B207" s="1" t="s">
        <v>446</v>
      </c>
    </row>
    <row r="208">
      <c r="A208" s="19"/>
      <c r="B208" s="1" t="s">
        <v>447</v>
      </c>
    </row>
    <row r="209">
      <c r="A209" s="19"/>
      <c r="B209" s="1" t="s">
        <v>448</v>
      </c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  <row r="1001">
      <c r="A1001" s="19"/>
    </row>
    <row r="1002">
      <c r="A1002" s="19"/>
    </row>
    <row r="1003">
      <c r="A1003" s="19"/>
    </row>
    <row r="1004">
      <c r="A1004" s="19"/>
    </row>
    <row r="1005">
      <c r="A1005" s="19"/>
    </row>
    <row r="1006">
      <c r="A1006" s="19"/>
    </row>
    <row r="1007">
      <c r="A1007" s="19"/>
    </row>
    <row r="1008">
      <c r="A1008" s="19"/>
    </row>
    <row r="1009">
      <c r="A1009" s="19"/>
    </row>
    <row r="1010">
      <c r="A1010" s="19"/>
    </row>
    <row r="1011">
      <c r="A1011" s="19"/>
    </row>
    <row r="1012">
      <c r="A1012" s="19"/>
    </row>
    <row r="1013">
      <c r="A1013" s="19"/>
    </row>
    <row r="1014">
      <c r="A1014" s="19"/>
    </row>
    <row r="1015">
      <c r="A1015" s="19"/>
    </row>
    <row r="1016">
      <c r="A1016" s="19"/>
    </row>
    <row r="1017">
      <c r="A1017" s="19"/>
    </row>
    <row r="1018">
      <c r="A1018" s="19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0.75"/>
    <col customWidth="1" min="3" max="3" width="10.0"/>
    <col customWidth="1" min="4" max="4" width="23.13"/>
    <col customWidth="1" min="5" max="5" width="22.88"/>
    <col customWidth="1" min="6" max="6" width="20.63"/>
    <col customWidth="1" min="7" max="7" width="2.88"/>
    <col customWidth="1" min="10" max="10" width="13.0"/>
  </cols>
  <sheetData>
    <row r="1">
      <c r="A1" s="20" t="str">
        <f>IFERROR(__xludf.DUMMYFUNCTION("UNIQUE(FILTER(CHOOSECOLS('inventory ledger'!C:E,1,2,3), CHOOSECOLS('inventory ledger'!C:E,1)&lt;&gt;""""))"),"Warehouse")</f>
        <v>Warehouse</v>
      </c>
      <c r="B1" s="21" t="str">
        <f>IFERROR(__xludf.DUMMYFUNCTION("""COMPUTED_VALUE"""),"SKU")</f>
        <v>SKU</v>
      </c>
      <c r="C1" s="21" t="str">
        <f>IFERROR(__xludf.DUMMYFUNCTION("""COMPUTED_VALUE"""),"Shipment")</f>
        <v>Shipment</v>
      </c>
      <c r="D1" s="21" t="s">
        <v>449</v>
      </c>
      <c r="E1" s="21" t="s">
        <v>450</v>
      </c>
      <c r="F1" s="21" t="s">
        <v>451</v>
      </c>
      <c r="G1" s="22"/>
      <c r="H1" s="22"/>
      <c r="I1" s="22"/>
      <c r="J1" s="22" t="s">
        <v>452</v>
      </c>
      <c r="K1" s="23">
        <v>45777.0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</row>
    <row r="2">
      <c r="A2" s="24" t="str">
        <f>IFERROR(__xludf.DUMMYFUNCTION("""COMPUTED_VALUE"""),"FMC")</f>
        <v>FMC</v>
      </c>
      <c r="B2" s="24" t="str">
        <f>IFERROR(__xludf.DUMMYFUNCTION("""COMPUTED_VALUE"""),"CS 007")</f>
        <v>CS 007</v>
      </c>
      <c r="C2" s="24">
        <f>IFERROR(__xludf.DUMMYFUNCTION("""COMPUTED_VALUE"""),8.0)</f>
        <v>8</v>
      </c>
      <c r="D2" s="25">
        <f>LET(bal_date, IF(ISBLANK($K$1), TODAY(), $K$1)+TIME(23,59,59), SUMIFS('inventory ledger'!$H:$H, 'inventory ledger'!$C:$C, A2, 'inventory ledger'!$D:$D, B2, 'inventory ledger'!$E:$E, C2, 'inventory ledger'!$A:$A, "&lt;="&amp;bal_date) - SUMIFS('inventory ledger'!$I:$I, 'inventory ledger'!$C:$C, A2, 'inventory ledger'!$D:$D, B2, 'inventory ledger'!$E:$E, C2, 'inventory ledger'!$A:$A, "&lt;="&amp;bal_date))</f>
        <v>0</v>
      </c>
      <c r="E2" s="25">
        <f>IFERROR(__xludf.DUMMYFUNCTION("IFERROR(ROUNDUP(D2 / MAX(1, INDEX(FILTER('warehouse config'!$D:$D, ('warehouse config'!$B:$B=A2) * ('warehouse config'!$C:$C=B2) * ('warehouse config'!$G:$G&lt;=IF(ISBLANK($K$1),TODAY(),$K$1)) * (('warehouse config'!$H:$H&gt;=IF(ISBLANK($K$1),TODAY(),$K$1)) + I"&amp;"SBLANK('warehouse config'!$H:$H))),1))),0)"),0.0)</f>
        <v>0</v>
      </c>
      <c r="F2" s="24">
        <f>IFERROR(__xludf.DUMMYFUNCTION("LET(sku_val, B2, batch_val, C2, eff_date_val, IF(ISBLANK($K$1),TODAY(),$K$1), attributes_specific, FILTER('sku master'!$L:$L, ('sku master'!$B:$B=sku_val) * ('sku master'!$C:$C=batch_val) * ('sku master'!$D:$D&lt;=eff_date_val) * (('sku master'!$E:$E&gt;=eff_da"&amp;"te_val) + ISBLANK('sku master'!$E:$E))), attributes_default, FILTER('sku master'!$L:$L, ('sku master'!$B:$B=sku_val) * ('sku master'!$C:$C=""DEFAULT_CONFIG"") * ('sku master'!$D:$D&lt;=eff_date_val) * (('sku master'!$E:$E&gt;=eff_date_val) + ISBLANK('sku master"&amp;"'!$E:$E))), units_per_carton, IF(COUNT(attributes_specific)&gt;0, INDEX(attributes_specific,1), IF(COUNT(attributes_default)&gt;0, INDEX(attributes_default,1), 0)), D2 * units_per_carton)"),0.0)</f>
        <v>0</v>
      </c>
      <c r="J2" s="21" t="s">
        <v>453</v>
      </c>
      <c r="K2" s="3">
        <f>SUBTOTAL(9,E:E)</f>
        <v>32</v>
      </c>
    </row>
    <row r="3">
      <c r="A3" s="24" t="str">
        <f>IFERROR(__xludf.DUMMYFUNCTION("""COMPUTED_VALUE"""),"FMC")</f>
        <v>FMC</v>
      </c>
      <c r="B3" s="24" t="str">
        <f>IFERROR(__xludf.DUMMYFUNCTION("""COMPUTED_VALUE"""),"CS 008")</f>
        <v>CS 008</v>
      </c>
      <c r="C3" s="24">
        <f>IFERROR(__xludf.DUMMYFUNCTION("""COMPUTED_VALUE"""),8.0)</f>
        <v>8</v>
      </c>
      <c r="D3" s="25">
        <f>LET(bal_date, IF(ISBLANK($K$1), TODAY(), $K$1)+TIME(23,59,59), SUMIFS('inventory ledger'!$H:$H, 'inventory ledger'!$C:$C, A3, 'inventory ledger'!$D:$D, B3, 'inventory ledger'!$E:$E, C3, 'inventory ledger'!$A:$A, "&lt;="&amp;bal_date) - SUMIFS('inventory ledger'!$I:$I, 'inventory ledger'!$C:$C, A3, 'inventory ledger'!$D:$D, B3, 'inventory ledger'!$E:$E, C3, 'inventory ledger'!$A:$A, "&lt;="&amp;bal_date))</f>
        <v>0</v>
      </c>
      <c r="E3" s="25">
        <f>IFERROR(__xludf.DUMMYFUNCTION("IFERROR(ROUNDUP(D3 / MAX(1, INDEX(FILTER('warehouse config'!$D:$D, ('warehouse config'!$B:$B=A3) * ('warehouse config'!$C:$C=B3) * ('warehouse config'!$G:$G&lt;=IF(ISBLANK($K$1),TODAY(),$K$1)) * (('warehouse config'!$H:$H&gt;=IF(ISBLANK($K$1),TODAY(),$K$1)) + I"&amp;"SBLANK('warehouse config'!$H:$H))),1))),0)"),0.0)</f>
        <v>0</v>
      </c>
      <c r="F3" s="24">
        <f>IFERROR(__xludf.DUMMYFUNCTION("LET(sku_val, B3, batch_val, C3, eff_date_val, IF(ISBLANK($K$1),TODAY(),$K$1), attributes_specific, FILTER('sku master'!$L:$L, ('sku master'!$B:$B=sku_val) * ('sku master'!$C:$C=batch_val) * ('sku master'!$D:$D&lt;=eff_date_val) * (('sku master'!$E:$E&gt;=eff_da"&amp;"te_val) + ISBLANK('sku master'!$E:$E))), attributes_default, FILTER('sku master'!$L:$L, ('sku master'!$B:$B=sku_val) * ('sku master'!$C:$C=""DEFAULT_CONFIG"") * ('sku master'!$D:$D&lt;=eff_date_val) * (('sku master'!$E:$E&gt;=eff_date_val) + ISBLANK('sku master"&amp;"'!$E:$E))), units_per_carton, IF(COUNT(attributes_specific)&gt;0, INDEX(attributes_specific,1), IF(COUNT(attributes_default)&gt;0, INDEX(attributes_default,1), 0)), D3 * units_per_carton)"),0.0)</f>
        <v>0</v>
      </c>
      <c r="J3" s="21" t="s">
        <v>454</v>
      </c>
      <c r="K3" s="3">
        <f>SUBTOTAL(9,D:D)</f>
        <v>531</v>
      </c>
    </row>
    <row r="4">
      <c r="A4" s="24" t="str">
        <f>IFERROR(__xludf.DUMMYFUNCTION("""COMPUTED_VALUE"""),"FMC")</f>
        <v>FMC</v>
      </c>
      <c r="B4" s="24" t="str">
        <f>IFERROR(__xludf.DUMMYFUNCTION("""COMPUTED_VALUE"""),"CS 009")</f>
        <v>CS 009</v>
      </c>
      <c r="C4" s="24">
        <f>IFERROR(__xludf.DUMMYFUNCTION("""COMPUTED_VALUE"""),8.0)</f>
        <v>8</v>
      </c>
      <c r="D4" s="25">
        <f>LET(bal_date, IF(ISBLANK($K$1), TODAY(), $K$1)+TIME(23,59,59), SUMIFS('inventory ledger'!$H:$H, 'inventory ledger'!$C:$C, A4, 'inventory ledger'!$D:$D, B4, 'inventory ledger'!$E:$E, C4, 'inventory ledger'!$A:$A, "&lt;="&amp;bal_date) - SUMIFS('inventory ledger'!$I:$I, 'inventory ledger'!$C:$C, A4, 'inventory ledger'!$D:$D, B4, 'inventory ledger'!$E:$E, C4, 'inventory ledger'!$A:$A, "&lt;="&amp;bal_date))</f>
        <v>0</v>
      </c>
      <c r="E4" s="25">
        <f>IFERROR(__xludf.DUMMYFUNCTION("IFERROR(ROUNDUP(D4 / MAX(1, INDEX(FILTER('warehouse config'!$D:$D, ('warehouse config'!$B:$B=A4) * ('warehouse config'!$C:$C=B4) * ('warehouse config'!$G:$G&lt;=IF(ISBLANK($K$1),TODAY(),$K$1)) * (('warehouse config'!$H:$H&gt;=IF(ISBLANK($K$1),TODAY(),$K$1)) + I"&amp;"SBLANK('warehouse config'!$H:$H))),1))),0)"),0.0)</f>
        <v>0</v>
      </c>
      <c r="F4" s="24">
        <f>IFERROR(__xludf.DUMMYFUNCTION("LET(sku_val, B4, batch_val, C4, eff_date_val, IF(ISBLANK($K$1),TODAY(),$K$1), attributes_specific, FILTER('sku master'!$L:$L, ('sku master'!$B:$B=sku_val) * ('sku master'!$C:$C=batch_val) * ('sku master'!$D:$D&lt;=eff_date_val) * (('sku master'!$E:$E&gt;=eff_da"&amp;"te_val) + ISBLANK('sku master'!$E:$E))), attributes_default, FILTER('sku master'!$L:$L, ('sku master'!$B:$B=sku_val) * ('sku master'!$C:$C=""DEFAULT_CONFIG"") * ('sku master'!$D:$D&lt;=eff_date_val) * (('sku master'!$E:$E&gt;=eff_date_val) + ISBLANK('sku master"&amp;"'!$E:$E))), units_per_carton, IF(COUNT(attributes_specific)&gt;0, INDEX(attributes_specific,1), IF(COUNT(attributes_default)&gt;0, INDEX(attributes_default,1), 0)), D4 * units_per_carton)"),0.0)</f>
        <v>0</v>
      </c>
      <c r="J4" s="21" t="s">
        <v>455</v>
      </c>
      <c r="K4" s="3">
        <f>SUBTOTAL(9,F:F)</f>
        <v>27101</v>
      </c>
    </row>
    <row r="5">
      <c r="A5" s="24" t="str">
        <f>IFERROR(__xludf.DUMMYFUNCTION("""COMPUTED_VALUE"""),"FMC")</f>
        <v>FMC</v>
      </c>
      <c r="B5" s="24" t="str">
        <f>IFERROR(__xludf.DUMMYFUNCTION("""COMPUTED_VALUE"""),"CS 010")</f>
        <v>CS 010</v>
      </c>
      <c r="C5" s="24">
        <f>IFERROR(__xludf.DUMMYFUNCTION("""COMPUTED_VALUE"""),8.0)</f>
        <v>8</v>
      </c>
      <c r="D5" s="25">
        <f>LET(bal_date, IF(ISBLANK($K$1), TODAY(), $K$1)+TIME(23,59,59), SUMIFS('inventory ledger'!$H:$H, 'inventory ledger'!$C:$C, A5, 'inventory ledger'!$D:$D, B5, 'inventory ledger'!$E:$E, C5, 'inventory ledger'!$A:$A, "&lt;="&amp;bal_date) - SUMIFS('inventory ledger'!$I:$I, 'inventory ledger'!$C:$C, A5, 'inventory ledger'!$D:$D, B5, 'inventory ledger'!$E:$E, C5, 'inventory ledger'!$A:$A, "&lt;="&amp;bal_date))</f>
        <v>0</v>
      </c>
      <c r="E5" s="25">
        <f>IFERROR(__xludf.DUMMYFUNCTION("IFERROR(ROUNDUP(D5 / MAX(1, INDEX(FILTER('warehouse config'!$D:$D, ('warehouse config'!$B:$B=A5) * ('warehouse config'!$C:$C=B5) * ('warehouse config'!$G:$G&lt;=IF(ISBLANK($K$1),TODAY(),$K$1)) * (('warehouse config'!$H:$H&gt;=IF(ISBLANK($K$1),TODAY(),$K$1)) + I"&amp;"SBLANK('warehouse config'!$H:$H))),1))),0)"),0.0)</f>
        <v>0</v>
      </c>
      <c r="F5" s="24">
        <f>IFERROR(__xludf.DUMMYFUNCTION("LET(sku_val, B5, batch_val, C5, eff_date_val, IF(ISBLANK($K$1),TODAY(),$K$1), attributes_specific, FILTER('sku master'!$L:$L, ('sku master'!$B:$B=sku_val) * ('sku master'!$C:$C=batch_val) * ('sku master'!$D:$D&lt;=eff_date_val) * (('sku master'!$E:$E&gt;=eff_da"&amp;"te_val) + ISBLANK('sku master'!$E:$E))), attributes_default, FILTER('sku master'!$L:$L, ('sku master'!$B:$B=sku_val) * ('sku master'!$C:$C=""DEFAULT_CONFIG"") * ('sku master'!$D:$D&lt;=eff_date_val) * (('sku master'!$E:$E&gt;=eff_date_val) + ISBLANK('sku master"&amp;"'!$E:$E))), units_per_carton, IF(COUNT(attributes_specific)&gt;0, INDEX(attributes_specific,1), IF(COUNT(attributes_default)&gt;0, INDEX(attributes_default,1), 0)), D5 * units_per_carton)"),0.0)</f>
        <v>0</v>
      </c>
    </row>
    <row r="6">
      <c r="A6" s="24" t="str">
        <f>IFERROR(__xludf.DUMMYFUNCTION("""COMPUTED_VALUE"""),"FMC")</f>
        <v>FMC</v>
      </c>
      <c r="B6" s="24" t="str">
        <f>IFERROR(__xludf.DUMMYFUNCTION("""COMPUTED_VALUE"""),"CS 007")</f>
        <v>CS 007</v>
      </c>
      <c r="C6" s="24">
        <f>IFERROR(__xludf.DUMMYFUNCTION("""COMPUTED_VALUE"""),9.0)</f>
        <v>9</v>
      </c>
      <c r="D6" s="25">
        <f>LET(bal_date, IF(ISBLANK($K$1), TODAY(), $K$1)+TIME(23,59,59), SUMIFS('inventory ledger'!$H:$H, 'inventory ledger'!$C:$C, A6, 'inventory ledger'!$D:$D, B6, 'inventory ledger'!$E:$E, C6, 'inventory ledger'!$A:$A, "&lt;="&amp;bal_date) - SUMIFS('inventory ledger'!$I:$I, 'inventory ledger'!$C:$C, A6, 'inventory ledger'!$D:$D, B6, 'inventory ledger'!$E:$E, C6, 'inventory ledger'!$A:$A, "&lt;="&amp;bal_date))</f>
        <v>0</v>
      </c>
      <c r="E6" s="25">
        <f>IFERROR(__xludf.DUMMYFUNCTION("IFERROR(ROUNDUP(D6 / MAX(1, INDEX(FILTER('warehouse config'!$D:$D, ('warehouse config'!$B:$B=A6) * ('warehouse config'!$C:$C=B6) * ('warehouse config'!$G:$G&lt;=IF(ISBLANK($K$1),TODAY(),$K$1)) * (('warehouse config'!$H:$H&gt;=IF(ISBLANK($K$1),TODAY(),$K$1)) + I"&amp;"SBLANK('warehouse config'!$H:$H))),1))),0)"),0.0)</f>
        <v>0</v>
      </c>
      <c r="F6" s="24">
        <f>IFERROR(__xludf.DUMMYFUNCTION("LET(sku_val, B6, batch_val, C6, eff_date_val, IF(ISBLANK($K$1),TODAY(),$K$1), attributes_specific, FILTER('sku master'!$L:$L, ('sku master'!$B:$B=sku_val) * ('sku master'!$C:$C=batch_val) * ('sku master'!$D:$D&lt;=eff_date_val) * (('sku master'!$E:$E&gt;=eff_da"&amp;"te_val) + ISBLANK('sku master'!$E:$E))), attributes_default, FILTER('sku master'!$L:$L, ('sku master'!$B:$B=sku_val) * ('sku master'!$C:$C=""DEFAULT_CONFIG"") * ('sku master'!$D:$D&lt;=eff_date_val) * (('sku master'!$E:$E&gt;=eff_date_val) + ISBLANK('sku master"&amp;"'!$E:$E))), units_per_carton, IF(COUNT(attributes_specific)&gt;0, INDEX(attributes_specific,1), IF(COUNT(attributes_default)&gt;0, INDEX(attributes_default,1), 0)), D6 * units_per_carton)"),0.0)</f>
        <v>0</v>
      </c>
    </row>
    <row r="7">
      <c r="A7" s="24" t="str">
        <f>IFERROR(__xludf.DUMMYFUNCTION("""COMPUTED_VALUE"""),"FMC")</f>
        <v>FMC</v>
      </c>
      <c r="B7" s="24" t="str">
        <f>IFERROR(__xludf.DUMMYFUNCTION("""COMPUTED_VALUE"""),"CS 008")</f>
        <v>CS 008</v>
      </c>
      <c r="C7" s="24">
        <f>IFERROR(__xludf.DUMMYFUNCTION("""COMPUTED_VALUE"""),9.0)</f>
        <v>9</v>
      </c>
      <c r="D7" s="25">
        <f>LET(bal_date, IF(ISBLANK($K$1), TODAY(), $K$1)+TIME(23,59,59), SUMIFS('inventory ledger'!$H:$H, 'inventory ledger'!$C:$C, A7, 'inventory ledger'!$D:$D, B7, 'inventory ledger'!$E:$E, C7, 'inventory ledger'!$A:$A, "&lt;="&amp;bal_date) - SUMIFS('inventory ledger'!$I:$I, 'inventory ledger'!$C:$C, A7, 'inventory ledger'!$D:$D, B7, 'inventory ledger'!$E:$E, C7, 'inventory ledger'!$A:$A, "&lt;="&amp;bal_date))</f>
        <v>2</v>
      </c>
      <c r="E7" s="25">
        <f>IFERROR(__xludf.DUMMYFUNCTION("IFERROR(ROUNDUP(D7 / MAX(1, INDEX(FILTER('warehouse config'!$D:$D, ('warehouse config'!$B:$B=A7) * ('warehouse config'!$C:$C=B7) * ('warehouse config'!$G:$G&lt;=IF(ISBLANK($K$1),TODAY(),$K$1)) * (('warehouse config'!$H:$H&gt;=IF(ISBLANK($K$1),TODAY(),$K$1)) + I"&amp;"SBLANK('warehouse config'!$H:$H))),1))),0)"),1.0)</f>
        <v>1</v>
      </c>
      <c r="F7" s="24">
        <f>IFERROR(__xludf.DUMMYFUNCTION("LET(sku_val, B7, batch_val, C7, eff_date_val, IF(ISBLANK($K$1),TODAY(),$K$1), attributes_specific, FILTER('sku master'!$L:$L, ('sku master'!$B:$B=sku_val) * ('sku master'!$C:$C=batch_val) * ('sku master'!$D:$D&lt;=eff_date_val) * (('sku master'!$E:$E&gt;=eff_da"&amp;"te_val) + ISBLANK('sku master'!$E:$E))), attributes_default, FILTER('sku master'!$L:$L, ('sku master'!$B:$B=sku_val) * ('sku master'!$C:$C=""DEFAULT_CONFIG"") * ('sku master'!$D:$D&lt;=eff_date_val) * (('sku master'!$E:$E&gt;=eff_date_val) + ISBLANK('sku master"&amp;"'!$E:$E))), units_per_carton, IF(COUNT(attributes_specific)&gt;0, INDEX(attributes_specific,1), IF(COUNT(attributes_default)&gt;0, INDEX(attributes_default,1), 0)), D7 * units_per_carton)"),120.0)</f>
        <v>120</v>
      </c>
    </row>
    <row r="8">
      <c r="A8" s="24" t="str">
        <f>IFERROR(__xludf.DUMMYFUNCTION("""COMPUTED_VALUE"""),"FMC")</f>
        <v>FMC</v>
      </c>
      <c r="B8" s="24" t="str">
        <f>IFERROR(__xludf.DUMMYFUNCTION("""COMPUTED_VALUE"""),"CS 009")</f>
        <v>CS 009</v>
      </c>
      <c r="C8" s="24">
        <f>IFERROR(__xludf.DUMMYFUNCTION("""COMPUTED_VALUE"""),9.0)</f>
        <v>9</v>
      </c>
      <c r="D8" s="25">
        <f>LET(bal_date, IF(ISBLANK($K$1), TODAY(), $K$1)+TIME(23,59,59), SUMIFS('inventory ledger'!$H:$H, 'inventory ledger'!$C:$C, A8, 'inventory ledger'!$D:$D, B8, 'inventory ledger'!$E:$E, C8, 'inventory ledger'!$A:$A, "&lt;="&amp;bal_date) - SUMIFS('inventory ledger'!$I:$I, 'inventory ledger'!$C:$C, A8, 'inventory ledger'!$D:$D, B8, 'inventory ledger'!$E:$E, C8, 'inventory ledger'!$A:$A, "&lt;="&amp;bal_date))</f>
        <v>0</v>
      </c>
      <c r="E8" s="25">
        <f>IFERROR(__xludf.DUMMYFUNCTION("IFERROR(ROUNDUP(D8 / MAX(1, INDEX(FILTER('warehouse config'!$D:$D, ('warehouse config'!$B:$B=A8) * ('warehouse config'!$C:$C=B8) * ('warehouse config'!$G:$G&lt;=IF(ISBLANK($K$1),TODAY(),$K$1)) * (('warehouse config'!$H:$H&gt;=IF(ISBLANK($K$1),TODAY(),$K$1)) + I"&amp;"SBLANK('warehouse config'!$H:$H))),1))),0)"),0.0)</f>
        <v>0</v>
      </c>
      <c r="F8" s="24">
        <f>IFERROR(__xludf.DUMMYFUNCTION("LET(sku_val, B8, batch_val, C8, eff_date_val, IF(ISBLANK($K$1),TODAY(),$K$1), attributes_specific, FILTER('sku master'!$L:$L, ('sku master'!$B:$B=sku_val) * ('sku master'!$C:$C=batch_val) * ('sku master'!$D:$D&lt;=eff_date_val) * (('sku master'!$E:$E&gt;=eff_da"&amp;"te_val) + ISBLANK('sku master'!$E:$E))), attributes_default, FILTER('sku master'!$L:$L, ('sku master'!$B:$B=sku_val) * ('sku master'!$C:$C=""DEFAULT_CONFIG"") * ('sku master'!$D:$D&lt;=eff_date_val) * (('sku master'!$E:$E&gt;=eff_date_val) + ISBLANK('sku master"&amp;"'!$E:$E))), units_per_carton, IF(COUNT(attributes_specific)&gt;0, INDEX(attributes_specific,1), IF(COUNT(attributes_default)&gt;0, INDEX(attributes_default,1), 0)), D8 * units_per_carton)"),0.0)</f>
        <v>0</v>
      </c>
    </row>
    <row r="9">
      <c r="A9" s="24" t="str">
        <f>IFERROR(__xludf.DUMMYFUNCTION("""COMPUTED_VALUE"""),"FMC")</f>
        <v>FMC</v>
      </c>
      <c r="B9" s="24" t="str">
        <f>IFERROR(__xludf.DUMMYFUNCTION("""COMPUTED_VALUE"""),"CS 010")</f>
        <v>CS 010</v>
      </c>
      <c r="C9" s="24">
        <f>IFERROR(__xludf.DUMMYFUNCTION("""COMPUTED_VALUE"""),9.0)</f>
        <v>9</v>
      </c>
      <c r="D9" s="25">
        <f>LET(bal_date, IF(ISBLANK($K$1), TODAY(), $K$1)+TIME(23,59,59), SUMIFS('inventory ledger'!$H:$H, 'inventory ledger'!$C:$C, A9, 'inventory ledger'!$D:$D, B9, 'inventory ledger'!$E:$E, C9, 'inventory ledger'!$A:$A, "&lt;="&amp;bal_date) - SUMIFS('inventory ledger'!$I:$I, 'inventory ledger'!$C:$C, A9, 'inventory ledger'!$D:$D, B9, 'inventory ledger'!$E:$E, C9, 'inventory ledger'!$A:$A, "&lt;="&amp;bal_date))</f>
        <v>0</v>
      </c>
      <c r="E9" s="25">
        <f>IFERROR(__xludf.DUMMYFUNCTION("IFERROR(ROUNDUP(D9 / MAX(1, INDEX(FILTER('warehouse config'!$D:$D, ('warehouse config'!$B:$B=A9) * ('warehouse config'!$C:$C=B9) * ('warehouse config'!$G:$G&lt;=IF(ISBLANK($K$1),TODAY(),$K$1)) * (('warehouse config'!$H:$H&gt;=IF(ISBLANK($K$1),TODAY(),$K$1)) + I"&amp;"SBLANK('warehouse config'!$H:$H))),1))),0)"),0.0)</f>
        <v>0</v>
      </c>
      <c r="F9" s="24">
        <f>IFERROR(__xludf.DUMMYFUNCTION("LET(sku_val, B9, batch_val, C9, eff_date_val, IF(ISBLANK($K$1),TODAY(),$K$1), attributes_specific, FILTER('sku master'!$L:$L, ('sku master'!$B:$B=sku_val) * ('sku master'!$C:$C=batch_val) * ('sku master'!$D:$D&lt;=eff_date_val) * (('sku master'!$E:$E&gt;=eff_da"&amp;"te_val) + ISBLANK('sku master'!$E:$E))), attributes_default, FILTER('sku master'!$L:$L, ('sku master'!$B:$B=sku_val) * ('sku master'!$C:$C=""DEFAULT_CONFIG"") * ('sku master'!$D:$D&lt;=eff_date_val) * (('sku master'!$E:$E&gt;=eff_date_val) + ISBLANK('sku master"&amp;"'!$E:$E))), units_per_carton, IF(COUNT(attributes_specific)&gt;0, INDEX(attributes_specific,1), IF(COUNT(attributes_default)&gt;0, INDEX(attributes_default,1), 0)), D9 * units_per_carton)"),0.0)</f>
        <v>0</v>
      </c>
    </row>
    <row r="10">
      <c r="A10" s="24" t="str">
        <f>IFERROR(__xludf.DUMMYFUNCTION("""COMPUTED_VALUE"""),"FMC")</f>
        <v>FMC</v>
      </c>
      <c r="B10" s="24" t="str">
        <f>IFERROR(__xludf.DUMMYFUNCTION("""COMPUTED_VALUE"""),"CS-CDS-001")</f>
        <v>CS-CDS-001</v>
      </c>
      <c r="C10" s="24">
        <f>IFERROR(__xludf.DUMMYFUNCTION("""COMPUTED_VALUE"""),9.0)</f>
        <v>9</v>
      </c>
      <c r="D10" s="25">
        <f>LET(bal_date, IF(ISBLANK($K$1), TODAY(), $K$1)+TIME(23,59,59), SUMIFS('inventory ledger'!$H:$H, 'inventory ledger'!$C:$C, A10, 'inventory ledger'!$D:$D, B10, 'inventory ledger'!$E:$E, C10, 'inventory ledger'!$A:$A, "&lt;="&amp;bal_date) - SUMIFS('inventory ledger'!$I:$I, 'inventory ledger'!$C:$C, A10, 'inventory ledger'!$D:$D, B10, 'inventory ledger'!$E:$E, C10, 'inventory ledger'!$A:$A, "&lt;="&amp;bal_date))</f>
        <v>0</v>
      </c>
      <c r="E10" s="25">
        <f>IFERROR(__xludf.DUMMYFUNCTION("IFERROR(ROUNDUP(D10 / MAX(1, INDEX(FILTER('warehouse config'!$D:$D, ('warehouse config'!$B:$B=A10) * ('warehouse config'!$C:$C=B10) * ('warehouse config'!$G:$G&lt;=IF(ISBLANK($K$1),TODAY(),$K$1)) * (('warehouse config'!$H:$H&gt;=IF(ISBLANK($K$1),TODAY(),$K$1)) "&amp;"+ ISBLANK('warehouse config'!$H:$H))),1))),0)"),0.0)</f>
        <v>0</v>
      </c>
      <c r="F10" s="24">
        <f>IFERROR(__xludf.DUMMYFUNCTION("LET(sku_val, B10, batch_val, C10,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D10 * units_per_carton)"),0.0)</f>
        <v>0</v>
      </c>
    </row>
    <row r="11">
      <c r="A11" s="24" t="str">
        <f>IFERROR(__xludf.DUMMYFUNCTION("""COMPUTED_VALUE"""),"FMC")</f>
        <v>FMC</v>
      </c>
      <c r="B11" s="24" t="str">
        <f>IFERROR(__xludf.DUMMYFUNCTION("""COMPUTED_VALUE"""),"CS-CDS-002")</f>
        <v>CS-CDS-002</v>
      </c>
      <c r="C11" s="24">
        <f>IFERROR(__xludf.DUMMYFUNCTION("""COMPUTED_VALUE"""),9.0)</f>
        <v>9</v>
      </c>
      <c r="D11" s="25">
        <f>LET(bal_date, IF(ISBLANK($K$1), TODAY(), $K$1)+TIME(23,59,59), SUMIFS('inventory ledger'!$H:$H, 'inventory ledger'!$C:$C, A11, 'inventory ledger'!$D:$D, B11, 'inventory ledger'!$E:$E, C11, 'inventory ledger'!$A:$A, "&lt;="&amp;bal_date) - SUMIFS('inventory ledger'!$I:$I, 'inventory ledger'!$C:$C, A11, 'inventory ledger'!$D:$D, B11, 'inventory ledger'!$E:$E, C11, 'inventory ledger'!$A:$A, "&lt;="&amp;bal_date))</f>
        <v>0</v>
      </c>
      <c r="E11" s="25">
        <f>IFERROR(__xludf.DUMMYFUNCTION("IFERROR(ROUNDUP(D11 / MAX(1, INDEX(FILTER('warehouse config'!$D:$D, ('warehouse config'!$B:$B=A11) * ('warehouse config'!$C:$C=B11) * ('warehouse config'!$G:$G&lt;=IF(ISBLANK($K$1),TODAY(),$K$1)) * (('warehouse config'!$H:$H&gt;=IF(ISBLANK($K$1),TODAY(),$K$1)) "&amp;"+ ISBLANK('warehouse config'!$H:$H))),1))),0)"),0.0)</f>
        <v>0</v>
      </c>
      <c r="F11" s="24">
        <f>IFERROR(__xludf.DUMMYFUNCTION("LET(sku_val, B11, batch_val, C11,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D11 * units_per_carton)"),0.0)</f>
        <v>0</v>
      </c>
    </row>
    <row r="12">
      <c r="A12" s="24" t="str">
        <f>IFERROR(__xludf.DUMMYFUNCTION("""COMPUTED_VALUE"""),"FMC")</f>
        <v>FMC</v>
      </c>
      <c r="B12" s="24" t="str">
        <f>IFERROR(__xludf.DUMMYFUNCTION("""COMPUTED_VALUE"""),"CS 007")</f>
        <v>CS 007</v>
      </c>
      <c r="C12" s="24">
        <f>IFERROR(__xludf.DUMMYFUNCTION("""COMPUTED_VALUE"""),10.0)</f>
        <v>10</v>
      </c>
      <c r="D12" s="25">
        <f>LET(bal_date, IF(ISBLANK($K$1), TODAY(), $K$1)+TIME(23,59,59), SUMIFS('inventory ledger'!$H:$H, 'inventory ledger'!$C:$C, A12, 'inventory ledger'!$D:$D, B12, 'inventory ledger'!$E:$E, C12, 'inventory ledger'!$A:$A, "&lt;="&amp;bal_date) - SUMIFS('inventory ledger'!$I:$I, 'inventory ledger'!$C:$C, A12, 'inventory ledger'!$D:$D, B12, 'inventory ledger'!$E:$E, C12, 'inventory ledger'!$A:$A, "&lt;="&amp;bal_date))</f>
        <v>0</v>
      </c>
      <c r="E12" s="25">
        <f>IFERROR(__xludf.DUMMYFUNCTION("IFERROR(ROUNDUP(D12 / MAX(1, INDEX(FILTER('warehouse config'!$D:$D, ('warehouse config'!$B:$B=A12) * ('warehouse config'!$C:$C=B12) * ('warehouse config'!$G:$G&lt;=IF(ISBLANK($K$1),TODAY(),$K$1)) * (('warehouse config'!$H:$H&gt;=IF(ISBLANK($K$1),TODAY(),$K$1)) "&amp;"+ ISBLANK('warehouse config'!$H:$H))),1))),0)"),0.0)</f>
        <v>0</v>
      </c>
      <c r="F12" s="24">
        <f>IFERROR(__xludf.DUMMYFUNCTION("LET(sku_val, B12, batch_val, C12,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D12 * units_per_carton)"),0.0)</f>
        <v>0</v>
      </c>
    </row>
    <row r="13">
      <c r="A13" s="24" t="str">
        <f>IFERROR(__xludf.DUMMYFUNCTION("""COMPUTED_VALUE"""),"FMC")</f>
        <v>FMC</v>
      </c>
      <c r="B13" s="24" t="str">
        <f>IFERROR(__xludf.DUMMYFUNCTION("""COMPUTED_VALUE"""),"CS 009")</f>
        <v>CS 009</v>
      </c>
      <c r="C13" s="24">
        <f>IFERROR(__xludf.DUMMYFUNCTION("""COMPUTED_VALUE"""),10.0)</f>
        <v>10</v>
      </c>
      <c r="D13" s="25">
        <f>LET(bal_date, IF(ISBLANK($K$1), TODAY(), $K$1)+TIME(23,59,59), SUMIFS('inventory ledger'!$H:$H, 'inventory ledger'!$C:$C, A13, 'inventory ledger'!$D:$D, B13, 'inventory ledger'!$E:$E, C13, 'inventory ledger'!$A:$A, "&lt;="&amp;bal_date) - SUMIFS('inventory ledger'!$I:$I, 'inventory ledger'!$C:$C, A13, 'inventory ledger'!$D:$D, B13, 'inventory ledger'!$E:$E, C13, 'inventory ledger'!$A:$A, "&lt;="&amp;bal_date))</f>
        <v>0</v>
      </c>
      <c r="E13" s="25">
        <f>IFERROR(__xludf.DUMMYFUNCTION("IFERROR(ROUNDUP(D13 / MAX(1, INDEX(FILTER('warehouse config'!$D:$D, ('warehouse config'!$B:$B=A13) * ('warehouse config'!$C:$C=B13) * ('warehouse config'!$G:$G&lt;=IF(ISBLANK($K$1),TODAY(),$K$1)) * (('warehouse config'!$H:$H&gt;=IF(ISBLANK($K$1),TODAY(),$K$1)) "&amp;"+ ISBLANK('warehouse config'!$H:$H))),1))),0)"),0.0)</f>
        <v>0</v>
      </c>
      <c r="F13" s="24">
        <f>IFERROR(__xludf.DUMMYFUNCTION("LET(sku_val, B13, batch_val, C13,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D13 * units_per_carton)"),0.0)</f>
        <v>0</v>
      </c>
    </row>
    <row r="14">
      <c r="A14" s="24" t="str">
        <f>IFERROR(__xludf.DUMMYFUNCTION("""COMPUTED_VALUE"""),"FMC")</f>
        <v>FMC</v>
      </c>
      <c r="B14" s="24" t="str">
        <f>IFERROR(__xludf.DUMMYFUNCTION("""COMPUTED_VALUE"""),"CS 010")</f>
        <v>CS 010</v>
      </c>
      <c r="C14" s="24">
        <f>IFERROR(__xludf.DUMMYFUNCTION("""COMPUTED_VALUE"""),10.0)</f>
        <v>10</v>
      </c>
      <c r="D14" s="25">
        <f>LET(bal_date, IF(ISBLANK($K$1), TODAY(), $K$1)+TIME(23,59,59), SUMIFS('inventory ledger'!$H:$H, 'inventory ledger'!$C:$C, A14, 'inventory ledger'!$D:$D, B14, 'inventory ledger'!$E:$E, C14, 'inventory ledger'!$A:$A, "&lt;="&amp;bal_date) - SUMIFS('inventory ledger'!$I:$I, 'inventory ledger'!$C:$C, A14, 'inventory ledger'!$D:$D, B14, 'inventory ledger'!$E:$E, C14, 'inventory ledger'!$A:$A, "&lt;="&amp;bal_date))</f>
        <v>13</v>
      </c>
      <c r="E14" s="25">
        <f>IFERROR(__xludf.DUMMYFUNCTION("IFERROR(ROUNDUP(D14 / MAX(1, INDEX(FILTER('warehouse config'!$D:$D, ('warehouse config'!$B:$B=A14) * ('warehouse config'!$C:$C=B14) * ('warehouse config'!$G:$G&lt;=IF(ISBLANK($K$1),TODAY(),$K$1)) * (('warehouse config'!$H:$H&gt;=IF(ISBLANK($K$1),TODAY(),$K$1)) "&amp;"+ ISBLANK('warehouse config'!$H:$H))),1))),0)"),1.0)</f>
        <v>1</v>
      </c>
      <c r="F14" s="24">
        <f>IFERROR(__xludf.DUMMYFUNCTION("LET(sku_val, B14, batch_val, C14,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D14 * units_per_carton)"),676.0)</f>
        <v>676</v>
      </c>
    </row>
    <row r="15">
      <c r="A15" s="24" t="str">
        <f>IFERROR(__xludf.DUMMYFUNCTION("""COMPUTED_VALUE"""),"FMC")</f>
        <v>FMC</v>
      </c>
      <c r="B15" s="24" t="str">
        <f>IFERROR(__xludf.DUMMYFUNCTION("""COMPUTED_VALUE"""),"CS-CDS-001")</f>
        <v>CS-CDS-001</v>
      </c>
      <c r="C15" s="24">
        <f>IFERROR(__xludf.DUMMYFUNCTION("""COMPUTED_VALUE"""),10.0)</f>
        <v>10</v>
      </c>
      <c r="D15" s="25">
        <f>LET(bal_date, IF(ISBLANK($K$1), TODAY(), $K$1)+TIME(23,59,59), SUMIFS('inventory ledger'!$H:$H, 'inventory ledger'!$C:$C, A15, 'inventory ledger'!$D:$D, B15, 'inventory ledger'!$E:$E, C15, 'inventory ledger'!$A:$A, "&lt;="&amp;bal_date) - SUMIFS('inventory ledger'!$I:$I, 'inventory ledger'!$C:$C, A15, 'inventory ledger'!$D:$D, B15, 'inventory ledger'!$E:$E, C15, 'inventory ledger'!$A:$A, "&lt;="&amp;bal_date))</f>
        <v>0</v>
      </c>
      <c r="E15" s="25">
        <f>IFERROR(__xludf.DUMMYFUNCTION("IFERROR(ROUNDUP(D15 / MAX(1, INDEX(FILTER('warehouse config'!$D:$D, ('warehouse config'!$B:$B=A15) * ('warehouse config'!$C:$C=B15) * ('warehouse config'!$G:$G&lt;=IF(ISBLANK($K$1),TODAY(),$K$1)) * (('warehouse config'!$H:$H&gt;=IF(ISBLANK($K$1),TODAY(),$K$1)) "&amp;"+ ISBLANK('warehouse config'!$H:$H))),1))),0)"),0.0)</f>
        <v>0</v>
      </c>
      <c r="F15" s="24">
        <f>IFERROR(__xludf.DUMMYFUNCTION("LET(sku_val, B15, batch_val, C15,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D15 * units_per_carton)"),0.0)</f>
        <v>0</v>
      </c>
    </row>
    <row r="16">
      <c r="A16" s="24" t="str">
        <f>IFERROR(__xludf.DUMMYFUNCTION("""COMPUTED_VALUE"""),"FMC")</f>
        <v>FMC</v>
      </c>
      <c r="B16" s="24" t="str">
        <f>IFERROR(__xludf.DUMMYFUNCTION("""COMPUTED_VALUE"""),"CS 007")</f>
        <v>CS 007</v>
      </c>
      <c r="C16" s="24">
        <f>IFERROR(__xludf.DUMMYFUNCTION("""COMPUTED_VALUE"""),11.0)</f>
        <v>11</v>
      </c>
      <c r="D16" s="25">
        <f>LET(bal_date, IF(ISBLANK($K$1), TODAY(), $K$1)+TIME(23,59,59), SUMIFS('inventory ledger'!$H:$H, 'inventory ledger'!$C:$C, A16, 'inventory ledger'!$D:$D, B16, 'inventory ledger'!$E:$E, C16, 'inventory ledger'!$A:$A, "&lt;="&amp;bal_date) - SUMIFS('inventory ledger'!$I:$I, 'inventory ledger'!$C:$C, A16, 'inventory ledger'!$D:$D, B16, 'inventory ledger'!$E:$E, C16, 'inventory ledger'!$A:$A, "&lt;="&amp;bal_date))</f>
        <v>0</v>
      </c>
      <c r="E16" s="25">
        <f>IFERROR(__xludf.DUMMYFUNCTION("IFERROR(ROUNDUP(D16 / MAX(1, INDEX(FILTER('warehouse config'!$D:$D, ('warehouse config'!$B:$B=A16) * ('warehouse config'!$C:$C=B16) * ('warehouse config'!$G:$G&lt;=IF(ISBLANK($K$1),TODAY(),$K$1)) * (('warehouse config'!$H:$H&gt;=IF(ISBLANK($K$1),TODAY(),$K$1)) "&amp;"+ ISBLANK('warehouse config'!$H:$H))),1))),0)"),0.0)</f>
        <v>0</v>
      </c>
      <c r="F16" s="24">
        <f>IFERROR(__xludf.DUMMYFUNCTION("LET(sku_val, B16, batch_val, C16,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D16 * units_per_carton)"),0.0)</f>
        <v>0</v>
      </c>
    </row>
    <row r="17">
      <c r="A17" s="24" t="str">
        <f>IFERROR(__xludf.DUMMYFUNCTION("""COMPUTED_VALUE"""),"FMC")</f>
        <v>FMC</v>
      </c>
      <c r="B17" s="24" t="str">
        <f>IFERROR(__xludf.DUMMYFUNCTION("""COMPUTED_VALUE"""),"CS 009")</f>
        <v>CS 009</v>
      </c>
      <c r="C17" s="24">
        <f>IFERROR(__xludf.DUMMYFUNCTION("""COMPUTED_VALUE"""),11.0)</f>
        <v>11</v>
      </c>
      <c r="D17" s="25">
        <f>LET(bal_date, IF(ISBLANK($K$1), TODAY(), $K$1)+TIME(23,59,59), SUMIFS('inventory ledger'!$H:$H, 'inventory ledger'!$C:$C, A17, 'inventory ledger'!$D:$D, B17, 'inventory ledger'!$E:$E, C17, 'inventory ledger'!$A:$A, "&lt;="&amp;bal_date) - SUMIFS('inventory ledger'!$I:$I, 'inventory ledger'!$C:$C, A17, 'inventory ledger'!$D:$D, B17, 'inventory ledger'!$E:$E, C17, 'inventory ledger'!$A:$A, "&lt;="&amp;bal_date))</f>
        <v>0</v>
      </c>
      <c r="E17" s="25">
        <f>IFERROR(__xludf.DUMMYFUNCTION("IFERROR(ROUNDUP(D17 / MAX(1, INDEX(FILTER('warehouse config'!$D:$D, ('warehouse config'!$B:$B=A17) * ('warehouse config'!$C:$C=B17) * ('warehouse config'!$G:$G&lt;=IF(ISBLANK($K$1),TODAY(),$K$1)) * (('warehouse config'!$H:$H&gt;=IF(ISBLANK($K$1),TODAY(),$K$1)) "&amp;"+ ISBLANK('warehouse config'!$H:$H))),1))),0)"),0.0)</f>
        <v>0</v>
      </c>
      <c r="F17" s="24">
        <f>IFERROR(__xludf.DUMMYFUNCTION("LET(sku_val, B17, batch_val, C17,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D17 * units_per_carton)"),0.0)</f>
        <v>0</v>
      </c>
    </row>
    <row r="18">
      <c r="A18" s="24" t="str">
        <f>IFERROR(__xludf.DUMMYFUNCTION("""COMPUTED_VALUE"""),"FMC")</f>
        <v>FMC</v>
      </c>
      <c r="B18" s="24" t="str">
        <f>IFERROR(__xludf.DUMMYFUNCTION("""COMPUTED_VALUE"""),"CS 010")</f>
        <v>CS 010</v>
      </c>
      <c r="C18" s="24">
        <f>IFERROR(__xludf.DUMMYFUNCTION("""COMPUTED_VALUE"""),11.0)</f>
        <v>11</v>
      </c>
      <c r="D18" s="25">
        <f>LET(bal_date, IF(ISBLANK($K$1), TODAY(), $K$1)+TIME(23,59,59), SUMIFS('inventory ledger'!$H:$H, 'inventory ledger'!$C:$C, A18, 'inventory ledger'!$D:$D, B18, 'inventory ledger'!$E:$E, C18, 'inventory ledger'!$A:$A, "&lt;="&amp;bal_date) - SUMIFS('inventory ledger'!$I:$I, 'inventory ledger'!$C:$C, A18, 'inventory ledger'!$D:$D, B18, 'inventory ledger'!$E:$E, C18, 'inventory ledger'!$A:$A, "&lt;="&amp;bal_date))</f>
        <v>46</v>
      </c>
      <c r="E18" s="25">
        <f>IFERROR(__xludf.DUMMYFUNCTION("IFERROR(ROUNDUP(D18 / MAX(1, INDEX(FILTER('warehouse config'!$D:$D, ('warehouse config'!$B:$B=A18) * ('warehouse config'!$C:$C=B18) * ('warehouse config'!$G:$G&lt;=IF(ISBLANK($K$1),TODAY(),$K$1)) * (('warehouse config'!$H:$H&gt;=IF(ISBLANK($K$1),TODAY(),$K$1)) "&amp;"+ ISBLANK('warehouse config'!$H:$H))),1))),0)"),2.0)</f>
        <v>2</v>
      </c>
      <c r="F18" s="24">
        <f>IFERROR(__xludf.DUMMYFUNCTION("LET(sku_val, B18, batch_val, C18,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D18 * units_per_carton)"),2392.0)</f>
        <v>2392</v>
      </c>
    </row>
    <row r="19">
      <c r="A19" s="24" t="str">
        <f>IFERROR(__xludf.DUMMYFUNCTION("""COMPUTED_VALUE"""),"Vglobal")</f>
        <v>Vglobal</v>
      </c>
      <c r="B19" s="24" t="str">
        <f>IFERROR(__xludf.DUMMYFUNCTION("""COMPUTED_VALUE"""),"CS 007")</f>
        <v>CS 007</v>
      </c>
      <c r="C19" s="24">
        <f>IFERROR(__xludf.DUMMYFUNCTION("""COMPUTED_VALUE"""),12.0)</f>
        <v>12</v>
      </c>
      <c r="D19" s="25">
        <f>LET(bal_date, IF(ISBLANK($K$1), TODAY(), $K$1)+TIME(23,59,59), SUMIFS('inventory ledger'!$H:$H, 'inventory ledger'!$C:$C, A19, 'inventory ledger'!$D:$D, B19, 'inventory ledger'!$E:$E, C19, 'inventory ledger'!$A:$A, "&lt;="&amp;bal_date) - SUMIFS('inventory ledger'!$I:$I, 'inventory ledger'!$C:$C, A19, 'inventory ledger'!$D:$D, B19, 'inventory ledger'!$E:$E, C19, 'inventory ledger'!$A:$A, "&lt;="&amp;bal_date))</f>
        <v>0</v>
      </c>
      <c r="E19" s="25">
        <f>IFERROR(__xludf.DUMMYFUNCTION("IFERROR(ROUNDUP(D19 / MAX(1, INDEX(FILTER('warehouse config'!$D:$D, ('warehouse config'!$B:$B=A19) * ('warehouse config'!$C:$C=B19) * ('warehouse config'!$G:$G&lt;=IF(ISBLANK($K$1),TODAY(),$K$1)) * (('warehouse config'!$H:$H&gt;=IF(ISBLANK($K$1),TODAY(),$K$1)) "&amp;"+ ISBLANK('warehouse config'!$H:$H))),1))),0)"),0.0)</f>
        <v>0</v>
      </c>
      <c r="F19" s="24">
        <f>IFERROR(__xludf.DUMMYFUNCTION("LET(sku_val, B19, batch_val, C19,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D19 * units_per_carton)"),0.0)</f>
        <v>0</v>
      </c>
    </row>
    <row r="20">
      <c r="A20" s="24" t="str">
        <f>IFERROR(__xludf.DUMMYFUNCTION("""COMPUTED_VALUE"""),"Vglobal")</f>
        <v>Vglobal</v>
      </c>
      <c r="B20" s="24" t="str">
        <f>IFERROR(__xludf.DUMMYFUNCTION("""COMPUTED_VALUE"""),"CS 011")</f>
        <v>CS 011</v>
      </c>
      <c r="C20" s="24">
        <f>IFERROR(__xludf.DUMMYFUNCTION("""COMPUTED_VALUE"""),12.0)</f>
        <v>12</v>
      </c>
      <c r="D20" s="25">
        <f>LET(bal_date, IF(ISBLANK($K$1), TODAY(), $K$1)+TIME(23,59,59), SUMIFS('inventory ledger'!$H:$H, 'inventory ledger'!$C:$C, A20, 'inventory ledger'!$D:$D, B20, 'inventory ledger'!$E:$E, C20, 'inventory ledger'!$A:$A, "&lt;="&amp;bal_date) - SUMIFS('inventory ledger'!$I:$I, 'inventory ledger'!$C:$C, A20, 'inventory ledger'!$D:$D, B20, 'inventory ledger'!$E:$E, C20, 'inventory ledger'!$A:$A, "&lt;="&amp;bal_date))</f>
        <v>0</v>
      </c>
      <c r="E20" s="25">
        <f>IFERROR(__xludf.DUMMYFUNCTION("IFERROR(ROUNDUP(D20 / MAX(1, INDEX(FILTER('warehouse config'!$D:$D, ('warehouse config'!$B:$B=A20) * ('warehouse config'!$C:$C=B20) * ('warehouse config'!$G:$G&lt;=IF(ISBLANK($K$1),TODAY(),$K$1)) * (('warehouse config'!$H:$H&gt;=IF(ISBLANK($K$1),TODAY(),$K$1)) "&amp;"+ ISBLANK('warehouse config'!$H:$H))),1))),0)"),0.0)</f>
        <v>0</v>
      </c>
      <c r="F20" s="24">
        <f>IFERROR(__xludf.DUMMYFUNCTION("LET(sku_val, B20, batch_val, C20,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D20 * units_per_carton)"),0.0)</f>
        <v>0</v>
      </c>
    </row>
    <row r="21">
      <c r="A21" s="24" t="str">
        <f>IFERROR(__xludf.DUMMYFUNCTION("""COMPUTED_VALUE"""),"Vglobal")</f>
        <v>Vglobal</v>
      </c>
      <c r="B21" s="24" t="str">
        <f>IFERROR(__xludf.DUMMYFUNCTION("""COMPUTED_VALUE"""),"CS 008")</f>
        <v>CS 008</v>
      </c>
      <c r="C21" s="24">
        <f>IFERROR(__xludf.DUMMYFUNCTION("""COMPUTED_VALUE"""),12.0)</f>
        <v>12</v>
      </c>
      <c r="D21" s="25">
        <f>LET(bal_date, IF(ISBLANK($K$1), TODAY(), $K$1)+TIME(23,59,59), SUMIFS('inventory ledger'!$H:$H, 'inventory ledger'!$C:$C, A21, 'inventory ledger'!$D:$D, B21, 'inventory ledger'!$E:$E, C21, 'inventory ledger'!$A:$A, "&lt;="&amp;bal_date) - SUMIFS('inventory ledger'!$I:$I, 'inventory ledger'!$C:$C, A21, 'inventory ledger'!$D:$D, B21, 'inventory ledger'!$E:$E, C21, 'inventory ledger'!$A:$A, "&lt;="&amp;bal_date))</f>
        <v>0</v>
      </c>
      <c r="E21" s="25">
        <f>IFERROR(__xludf.DUMMYFUNCTION("IFERROR(ROUNDUP(D21 / MAX(1, INDEX(FILTER('warehouse config'!$D:$D, ('warehouse config'!$B:$B=A21) * ('warehouse config'!$C:$C=B21) * ('warehouse config'!$G:$G&lt;=IF(ISBLANK($K$1),TODAY(),$K$1)) * (('warehouse config'!$H:$H&gt;=IF(ISBLANK($K$1),TODAY(),$K$1)) "&amp;"+ ISBLANK('warehouse config'!$H:$H))),1))),0)"),0.0)</f>
        <v>0</v>
      </c>
      <c r="F21" s="24">
        <f>IFERROR(__xludf.DUMMYFUNCTION("LET(sku_val, B21, batch_val, C21,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D21 * units_per_carton)"),0.0)</f>
        <v>0</v>
      </c>
    </row>
    <row r="22">
      <c r="A22" s="24" t="str">
        <f>IFERROR(__xludf.DUMMYFUNCTION("""COMPUTED_VALUE"""),"Vglobal")</f>
        <v>Vglobal</v>
      </c>
      <c r="B22" s="24" t="str">
        <f>IFERROR(__xludf.DUMMYFUNCTION("""COMPUTED_VALUE"""),"CS 010")</f>
        <v>CS 010</v>
      </c>
      <c r="C22" s="24">
        <f>IFERROR(__xludf.DUMMYFUNCTION("""COMPUTED_VALUE"""),12.0)</f>
        <v>12</v>
      </c>
      <c r="D22" s="25">
        <f>LET(bal_date, IF(ISBLANK($K$1), TODAY(), $K$1)+TIME(23,59,59), SUMIFS('inventory ledger'!$H:$H, 'inventory ledger'!$C:$C, A22, 'inventory ledger'!$D:$D, B22, 'inventory ledger'!$E:$E, C22, 'inventory ledger'!$A:$A, "&lt;="&amp;bal_date) - SUMIFS('inventory ledger'!$I:$I, 'inventory ledger'!$C:$C, A22, 'inventory ledger'!$D:$D, B22, 'inventory ledger'!$E:$E, C22, 'inventory ledger'!$A:$A, "&lt;="&amp;bal_date))</f>
        <v>70</v>
      </c>
      <c r="E22" s="25">
        <f>IFERROR(__xludf.DUMMYFUNCTION("IFERROR(ROUNDUP(D22 / MAX(1, INDEX(FILTER('warehouse config'!$D:$D, ('warehouse config'!$B:$B=A22) * ('warehouse config'!$C:$C=B22) * ('warehouse config'!$G:$G&lt;=IF(ISBLANK($K$1),TODAY(),$K$1)) * (('warehouse config'!$H:$H&gt;=IF(ISBLANK($K$1),TODAY(),$K$1)) "&amp;"+ ISBLANK('warehouse config'!$H:$H))),1))),0)"),3.0)</f>
        <v>3</v>
      </c>
      <c r="F22" s="24">
        <f>IFERROR(__xludf.DUMMYFUNCTION("LET(sku_val, B22, batch_val, C22,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D22 * units_per_carton)"),3640.0)</f>
        <v>3640</v>
      </c>
    </row>
    <row r="23">
      <c r="A23" s="24" t="str">
        <f>IFERROR(__xludf.DUMMYFUNCTION("""COMPUTED_VALUE"""),"Vglobal")</f>
        <v>Vglobal</v>
      </c>
      <c r="B23" s="24" t="str">
        <f>IFERROR(__xludf.DUMMYFUNCTION("""COMPUTED_VALUE"""),"CS 009")</f>
        <v>CS 009</v>
      </c>
      <c r="C23" s="24">
        <f>IFERROR(__xludf.DUMMYFUNCTION("""COMPUTED_VALUE"""),12.0)</f>
        <v>12</v>
      </c>
      <c r="D23" s="25">
        <f>LET(bal_date, IF(ISBLANK($K$1), TODAY(), $K$1)+TIME(23,59,59), SUMIFS('inventory ledger'!$H:$H, 'inventory ledger'!$C:$C, A23, 'inventory ledger'!$D:$D, B23, 'inventory ledger'!$E:$E, C23, 'inventory ledger'!$A:$A, "&lt;="&amp;bal_date) - SUMIFS('inventory ledger'!$I:$I, 'inventory ledger'!$C:$C, A23, 'inventory ledger'!$D:$D, B23, 'inventory ledger'!$E:$E, C23, 'inventory ledger'!$A:$A, "&lt;="&amp;bal_date))</f>
        <v>0</v>
      </c>
      <c r="E23" s="25">
        <f>IFERROR(__xludf.DUMMYFUNCTION("IFERROR(ROUNDUP(D23 / MAX(1, INDEX(FILTER('warehouse config'!$D:$D, ('warehouse config'!$B:$B=A23) * ('warehouse config'!$C:$C=B23) * ('warehouse config'!$G:$G&lt;=IF(ISBLANK($K$1),TODAY(),$K$1)) * (('warehouse config'!$H:$H&gt;=IF(ISBLANK($K$1),TODAY(),$K$1)) "&amp;"+ ISBLANK('warehouse config'!$H:$H))),1))),0)"),0.0)</f>
        <v>0</v>
      </c>
      <c r="F23" s="24">
        <f>IFERROR(__xludf.DUMMYFUNCTION("LET(sku_val, B23, batch_val, C23,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D23 * units_per_carton)"),0.0)</f>
        <v>0</v>
      </c>
    </row>
    <row r="24">
      <c r="A24" s="24" t="str">
        <f>IFERROR(__xludf.DUMMYFUNCTION("""COMPUTED_VALUE"""),"Vglobal")</f>
        <v>Vglobal</v>
      </c>
      <c r="B24" s="24" t="str">
        <f>IFERROR(__xludf.DUMMYFUNCTION("""COMPUTED_VALUE"""),"CS 012")</f>
        <v>CS 012</v>
      </c>
      <c r="C24" s="24">
        <f>IFERROR(__xludf.DUMMYFUNCTION("""COMPUTED_VALUE"""),12.0)</f>
        <v>12</v>
      </c>
      <c r="D24" s="25">
        <f>LET(bal_date, IF(ISBLANK($K$1), TODAY(), $K$1)+TIME(23,59,59), SUMIFS('inventory ledger'!$H:$H, 'inventory ledger'!$C:$C, A24, 'inventory ledger'!$D:$D, B24, 'inventory ledger'!$E:$E, C24, 'inventory ledger'!$A:$A, "&lt;="&amp;bal_date) - SUMIFS('inventory ledger'!$I:$I, 'inventory ledger'!$C:$C, A24, 'inventory ledger'!$D:$D, B24, 'inventory ledger'!$E:$E, C24, 'inventory ledger'!$A:$A, "&lt;="&amp;bal_date))</f>
        <v>0</v>
      </c>
      <c r="E24" s="25">
        <f>IFERROR(__xludf.DUMMYFUNCTION("IFERROR(ROUNDUP(D24 / MAX(1, INDEX(FILTER('warehouse config'!$D:$D, ('warehouse config'!$B:$B=A24) * ('warehouse config'!$C:$C=B24) * ('warehouse config'!$G:$G&lt;=IF(ISBLANK($K$1),TODAY(),$K$1)) * (('warehouse config'!$H:$H&gt;=IF(ISBLANK($K$1),TODAY(),$K$1)) "&amp;"+ ISBLANK('warehouse config'!$H:$H))),1))),0)"),0.0)</f>
        <v>0</v>
      </c>
      <c r="F24" s="24">
        <f>IFERROR(__xludf.DUMMYFUNCTION("LET(sku_val, B24, batch_val, C24,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D24 * units_per_carton)"),0.0)</f>
        <v>0</v>
      </c>
    </row>
    <row r="25">
      <c r="A25" s="24" t="str">
        <f>IFERROR(__xludf.DUMMYFUNCTION("""COMPUTED_VALUE"""),"Vglobal")</f>
        <v>Vglobal</v>
      </c>
      <c r="B25" s="24" t="str">
        <f>IFERROR(__xludf.DUMMYFUNCTION("""COMPUTED_VALUE"""),"CS-CDS-001")</f>
        <v>CS-CDS-001</v>
      </c>
      <c r="C25" s="24">
        <f>IFERROR(__xludf.DUMMYFUNCTION("""COMPUTED_VALUE"""),3.0)</f>
        <v>3</v>
      </c>
      <c r="D25" s="25">
        <f>LET(bal_date, IF(ISBLANK($K$1), TODAY(), $K$1)+TIME(23,59,59), SUMIFS('inventory ledger'!$H:$H, 'inventory ledger'!$C:$C, A25, 'inventory ledger'!$D:$D, B25, 'inventory ledger'!$E:$E, C25, 'inventory ledger'!$A:$A, "&lt;="&amp;bal_date) - SUMIFS('inventory ledger'!$I:$I, 'inventory ledger'!$C:$C, A25, 'inventory ledger'!$D:$D, B25, 'inventory ledger'!$E:$E, C25, 'inventory ledger'!$A:$A, "&lt;="&amp;bal_date))</f>
        <v>1</v>
      </c>
      <c r="E25" s="25">
        <f>IFERROR(__xludf.DUMMYFUNCTION("IFERROR(ROUNDUP(D25 / MAX(1, INDEX(FILTER('warehouse config'!$D:$D, ('warehouse config'!$B:$B=A25) * ('warehouse config'!$C:$C=B25) * ('warehouse config'!$G:$G&lt;=IF(ISBLANK($K$1),TODAY(),$K$1)) * (('warehouse config'!$H:$H&gt;=IF(ISBLANK($K$1),TODAY(),$K$1)) "&amp;"+ ISBLANK('warehouse config'!$H:$H))),1))),0)"),1.0)</f>
        <v>1</v>
      </c>
      <c r="F25" s="24">
        <f>IFERROR(__xludf.DUMMYFUNCTION("LET(sku_val, B25, batch_val, C25,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D25 * units_per_carton)"),33.0)</f>
        <v>33</v>
      </c>
    </row>
    <row r="26">
      <c r="A26" s="24" t="str">
        <f>IFERROR(__xludf.DUMMYFUNCTION("""COMPUTED_VALUE"""),"Vglobal")</f>
        <v>Vglobal</v>
      </c>
      <c r="B26" s="24" t="str">
        <f>IFERROR(__xludf.DUMMYFUNCTION("""COMPUTED_VALUE"""),"CS-CDS-002")</f>
        <v>CS-CDS-002</v>
      </c>
      <c r="C26" s="24">
        <f>IFERROR(__xludf.DUMMYFUNCTION("""COMPUTED_VALUE"""),3.0)</f>
        <v>3</v>
      </c>
      <c r="D26" s="25">
        <f>LET(bal_date, IF(ISBLANK($K$1), TODAY(), $K$1)+TIME(23,59,59), SUMIFS('inventory ledger'!$H:$H, 'inventory ledger'!$C:$C, A26, 'inventory ledger'!$D:$D, B26, 'inventory ledger'!$E:$E, C26, 'inventory ledger'!$A:$A, "&lt;="&amp;bal_date) - SUMIFS('inventory ledger'!$I:$I, 'inventory ledger'!$C:$C, A26, 'inventory ledger'!$D:$D, B26, 'inventory ledger'!$E:$E, C26, 'inventory ledger'!$A:$A, "&lt;="&amp;bal_date))</f>
        <v>0</v>
      </c>
      <c r="E26" s="25">
        <f>IFERROR(__xludf.DUMMYFUNCTION("IFERROR(ROUNDUP(D26 / MAX(1, INDEX(FILTER('warehouse config'!$D:$D, ('warehouse config'!$B:$B=A26) * ('warehouse config'!$C:$C=B26) * ('warehouse config'!$G:$G&lt;=IF(ISBLANK($K$1),TODAY(),$K$1)) * (('warehouse config'!$H:$H&gt;=IF(ISBLANK($K$1),TODAY(),$K$1)) "&amp;"+ ISBLANK('warehouse config'!$H:$H))),1))),0)"),0.0)</f>
        <v>0</v>
      </c>
      <c r="F26" s="24">
        <f>IFERROR(__xludf.DUMMYFUNCTION("LET(sku_val, B26, batch_val, C26,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D26 * units_per_carton)"),0.0)</f>
        <v>0</v>
      </c>
    </row>
    <row r="27">
      <c r="A27" s="24" t="str">
        <f>IFERROR(__xludf.DUMMYFUNCTION("""COMPUTED_VALUE"""),"4as")</f>
        <v>4as</v>
      </c>
      <c r="B27" s="24" t="str">
        <f>IFERROR(__xludf.DUMMYFUNCTION("""COMPUTED_VALUE"""),"CS-CDS-001")</f>
        <v>CS-CDS-001</v>
      </c>
      <c r="C27" s="24">
        <f>IFERROR(__xludf.DUMMYFUNCTION("""COMPUTED_VALUE"""),4.0)</f>
        <v>4</v>
      </c>
      <c r="D27" s="25">
        <f>LET(bal_date, IF(ISBLANK($K$1), TODAY(), $K$1)+TIME(23,59,59), SUMIFS('inventory ledger'!$H:$H, 'inventory ledger'!$C:$C, A27, 'inventory ledger'!$D:$D, B27, 'inventory ledger'!$E:$E, C27, 'inventory ledger'!$A:$A, "&lt;="&amp;bal_date) - SUMIFS('inventory ledger'!$I:$I, 'inventory ledger'!$C:$C, A27, 'inventory ledger'!$D:$D, B27, 'inventory ledger'!$E:$E, C27, 'inventory ledger'!$A:$A, "&lt;="&amp;bal_date))</f>
        <v>28</v>
      </c>
      <c r="E27" s="25">
        <f>IFERROR(__xludf.DUMMYFUNCTION("IFERROR(ROUNDUP(D27 / MAX(1, INDEX(FILTER('warehouse config'!$D:$D, ('warehouse config'!$B:$B=A27) * ('warehouse config'!$C:$C=B27) * ('warehouse config'!$G:$G&lt;=IF(ISBLANK($K$1),TODAY(),$K$1)) * (('warehouse config'!$H:$H&gt;=IF(ISBLANK($K$1),TODAY(),$K$1)) "&amp;"+ ISBLANK('warehouse config'!$H:$H))),1))),0)"),2.0)</f>
        <v>2</v>
      </c>
      <c r="F27" s="24">
        <f>IFERROR(__xludf.DUMMYFUNCTION("LET(sku_val, B27, batch_val, C27,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D27 * units_per_carton)"),924.0)</f>
        <v>924</v>
      </c>
    </row>
    <row r="28">
      <c r="A28" s="24" t="str">
        <f>IFERROR(__xludf.DUMMYFUNCTION("""COMPUTED_VALUE"""),"4as")</f>
        <v>4as</v>
      </c>
      <c r="B28" s="24" t="str">
        <f>IFERROR(__xludf.DUMMYFUNCTION("""COMPUTED_VALUE"""),"CS-CDS-002")</f>
        <v>CS-CDS-002</v>
      </c>
      <c r="C28" s="24">
        <f>IFERROR(__xludf.DUMMYFUNCTION("""COMPUTED_VALUE"""),4.0)</f>
        <v>4</v>
      </c>
      <c r="D28" s="25">
        <f>LET(bal_date, IF(ISBLANK($K$1), TODAY(), $K$1)+TIME(23,59,59), SUMIFS('inventory ledger'!$H:$H, 'inventory ledger'!$C:$C, A28, 'inventory ledger'!$D:$D, B28, 'inventory ledger'!$E:$E, C28, 'inventory ledger'!$A:$A, "&lt;="&amp;bal_date) - SUMIFS('inventory ledger'!$I:$I, 'inventory ledger'!$C:$C, A28, 'inventory ledger'!$D:$D, B28, 'inventory ledger'!$E:$E, C28, 'inventory ledger'!$A:$A, "&lt;="&amp;bal_date))</f>
        <v>0</v>
      </c>
      <c r="E28" s="25">
        <f>IFERROR(__xludf.DUMMYFUNCTION("IFERROR(ROUNDUP(D28 / MAX(1, INDEX(FILTER('warehouse config'!$D:$D, ('warehouse config'!$B:$B=A28) * ('warehouse config'!$C:$C=B28) * ('warehouse config'!$G:$G&lt;=IF(ISBLANK($K$1),TODAY(),$K$1)) * (('warehouse config'!$H:$H&gt;=IF(ISBLANK($K$1),TODAY(),$K$1)) "&amp;"+ ISBLANK('warehouse config'!$H:$H))),1))),0)"),0.0)</f>
        <v>0</v>
      </c>
      <c r="F28" s="24">
        <f>IFERROR(__xludf.DUMMYFUNCTION("LET(sku_val, B28, batch_val, C28,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D28 * units_per_carton)"),0.0)</f>
        <v>0</v>
      </c>
    </row>
    <row r="29">
      <c r="A29" s="24" t="str">
        <f>IFERROR(__xludf.DUMMYFUNCTION("""COMPUTED_VALUE"""),"Vglobal")</f>
        <v>Vglobal</v>
      </c>
      <c r="B29" s="24" t="str">
        <f>IFERROR(__xludf.DUMMYFUNCTION("""COMPUTED_VALUE"""),"CS 007")</f>
        <v>CS 007</v>
      </c>
      <c r="C29" s="24">
        <f>IFERROR(__xludf.DUMMYFUNCTION("""COMPUTED_VALUE"""),13.0)</f>
        <v>13</v>
      </c>
      <c r="D29" s="25">
        <f>LET(bal_date, IF(ISBLANK($K$1), TODAY(), $K$1)+TIME(23,59,59), SUMIFS('inventory ledger'!$H:$H, 'inventory ledger'!$C:$C, A29, 'inventory ledger'!$D:$D, B29, 'inventory ledger'!$E:$E, C29, 'inventory ledger'!$A:$A, "&lt;="&amp;bal_date) - SUMIFS('inventory ledger'!$I:$I, 'inventory ledger'!$C:$C, A29, 'inventory ledger'!$D:$D, B29, 'inventory ledger'!$E:$E, C29, 'inventory ledger'!$A:$A, "&lt;="&amp;bal_date))</f>
        <v>207</v>
      </c>
      <c r="E29" s="25">
        <f>IFERROR(__xludf.DUMMYFUNCTION("IFERROR(ROUNDUP(D29 / MAX(1, INDEX(FILTER('warehouse config'!$D:$D, ('warehouse config'!$B:$B=A29) * ('warehouse config'!$C:$C=B29) * ('warehouse config'!$G:$G&lt;=IF(ISBLANK($K$1),TODAY(),$K$1)) * (('warehouse config'!$H:$H&gt;=IF(ISBLANK($K$1),TODAY(),$K$1)) "&amp;"+ ISBLANK('warehouse config'!$H:$H))),1))),0)"),13.0)</f>
        <v>13</v>
      </c>
      <c r="F29" s="24">
        <f>IFERROR(__xludf.DUMMYFUNCTION("LET(sku_val, B29, batch_val, C29,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D29 * units_per_carton)"),12420.0)</f>
        <v>12420</v>
      </c>
    </row>
    <row r="30">
      <c r="A30" s="24" t="str">
        <f>IFERROR(__xludf.DUMMYFUNCTION("""COMPUTED_VALUE"""),"Vglobal")</f>
        <v>Vglobal</v>
      </c>
      <c r="B30" s="24" t="str">
        <f>IFERROR(__xludf.DUMMYFUNCTION("""COMPUTED_VALUE"""),"CS 011")</f>
        <v>CS 011</v>
      </c>
      <c r="C30" s="24">
        <f>IFERROR(__xludf.DUMMYFUNCTION("""COMPUTED_VALUE"""),13.0)</f>
        <v>13</v>
      </c>
      <c r="D30" s="25">
        <f>LET(bal_date, IF(ISBLANK($K$1), TODAY(), $K$1)+TIME(23,59,59), SUMIFS('inventory ledger'!$H:$H, 'inventory ledger'!$C:$C, A30, 'inventory ledger'!$D:$D, B30, 'inventory ledger'!$E:$E, C30, 'inventory ledger'!$A:$A, "&lt;="&amp;bal_date) - SUMIFS('inventory ledger'!$I:$I, 'inventory ledger'!$C:$C, A30, 'inventory ledger'!$D:$D, B30, 'inventory ledger'!$E:$E, C30, 'inventory ledger'!$A:$A, "&lt;="&amp;bal_date))</f>
        <v>64</v>
      </c>
      <c r="E30" s="25">
        <f>IFERROR(__xludf.DUMMYFUNCTION("IFERROR(ROUNDUP(D30 / MAX(1, INDEX(FILTER('warehouse config'!$D:$D, ('warehouse config'!$B:$B=A30) * ('warehouse config'!$C:$C=B30) * ('warehouse config'!$G:$G&lt;=IF(ISBLANK($K$1),TODAY(),$K$1)) * (('warehouse config'!$H:$H&gt;=IF(ISBLANK($K$1),TODAY(),$K$1)) "&amp;"+ ISBLANK('warehouse config'!$H:$H))),1))),0)"),4.0)</f>
        <v>4</v>
      </c>
      <c r="F30" s="24">
        <f>IFERROR(__xludf.DUMMYFUNCTION("LET(sku_val, B30, batch_val, C30,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D30 * units_per_carton)"),1536.0)</f>
        <v>1536</v>
      </c>
    </row>
    <row r="31">
      <c r="A31" s="24" t="str">
        <f>IFERROR(__xludf.DUMMYFUNCTION("""COMPUTED_VALUE"""),"Vglobal")</f>
        <v>Vglobal</v>
      </c>
      <c r="B31" s="24" t="str">
        <f>IFERROR(__xludf.DUMMYFUNCTION("""COMPUTED_VALUE"""),"CS 008")</f>
        <v>CS 008</v>
      </c>
      <c r="C31" s="24">
        <f>IFERROR(__xludf.DUMMYFUNCTION("""COMPUTED_VALUE"""),13.0)</f>
        <v>13</v>
      </c>
      <c r="D31" s="25">
        <f>LET(bal_date, IF(ISBLANK($K$1), TODAY(), $K$1)+TIME(23,59,59), SUMIFS('inventory ledger'!$H:$H, 'inventory ledger'!$C:$C, A31, 'inventory ledger'!$D:$D, B31, 'inventory ledger'!$E:$E, C31, 'inventory ledger'!$A:$A, "&lt;="&amp;bal_date) - SUMIFS('inventory ledger'!$I:$I, 'inventory ledger'!$C:$C, A31, 'inventory ledger'!$D:$D, B31, 'inventory ledger'!$E:$E, C31, 'inventory ledger'!$A:$A, "&lt;="&amp;bal_date))</f>
        <v>20</v>
      </c>
      <c r="E31" s="25">
        <f>IFERROR(__xludf.DUMMYFUNCTION("IFERROR(ROUNDUP(D31 / MAX(1, INDEX(FILTER('warehouse config'!$D:$D, ('warehouse config'!$B:$B=A31) * ('warehouse config'!$C:$C=B31) * ('warehouse config'!$G:$G&lt;=IF(ISBLANK($K$1),TODAY(),$K$1)) * (('warehouse config'!$H:$H&gt;=IF(ISBLANK($K$1),TODAY(),$K$1)) "&amp;"+ ISBLANK('warehouse config'!$H:$H))),1))),0)"),1.0)</f>
        <v>1</v>
      </c>
      <c r="F31" s="24">
        <f>IFERROR(__xludf.DUMMYFUNCTION("LET(sku_val, B31, batch_val, C31,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D31 * units_per_carton)"),1200.0)</f>
        <v>1200</v>
      </c>
    </row>
    <row r="32">
      <c r="A32" s="24" t="str">
        <f>IFERROR(__xludf.DUMMYFUNCTION("""COMPUTED_VALUE"""),"Vglobal")</f>
        <v>Vglobal</v>
      </c>
      <c r="B32" s="24" t="str">
        <f>IFERROR(__xludf.DUMMYFUNCTION("""COMPUTED_VALUE"""),"CS 010")</f>
        <v>CS 010</v>
      </c>
      <c r="C32" s="24">
        <f>IFERROR(__xludf.DUMMYFUNCTION("""COMPUTED_VALUE"""),13.0)</f>
        <v>13</v>
      </c>
      <c r="D32" s="25">
        <f>LET(bal_date, IF(ISBLANK($K$1), TODAY(), $K$1)+TIME(23,59,59), SUMIFS('inventory ledger'!$H:$H, 'inventory ledger'!$C:$C, A32, 'inventory ledger'!$D:$D, B32, 'inventory ledger'!$E:$E, C32, 'inventory ledger'!$A:$A, "&lt;="&amp;bal_date) - SUMIFS('inventory ledger'!$I:$I, 'inventory ledger'!$C:$C, A32, 'inventory ledger'!$D:$D, B32, 'inventory ledger'!$E:$E, C32, 'inventory ledger'!$A:$A, "&lt;="&amp;bal_date))</f>
        <v>80</v>
      </c>
      <c r="E32" s="25">
        <f>IFERROR(__xludf.DUMMYFUNCTION("IFERROR(ROUNDUP(D32 / MAX(1, INDEX(FILTER('warehouse config'!$D:$D, ('warehouse config'!$B:$B=A32) * ('warehouse config'!$C:$C=B32) * ('warehouse config'!$G:$G&lt;=IF(ISBLANK($K$1),TODAY(),$K$1)) * (('warehouse config'!$H:$H&gt;=IF(ISBLANK($K$1),TODAY(),$K$1)) "&amp;"+ ISBLANK('warehouse config'!$H:$H))),1))),0)"),4.0)</f>
        <v>4</v>
      </c>
      <c r="F32" s="24">
        <f>IFERROR(__xludf.DUMMYFUNCTION("LET(sku_val, B32, batch_val, C32,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D32 * units_per_carton)"),4160.0)</f>
        <v>4160</v>
      </c>
    </row>
    <row r="33">
      <c r="A33" s="3" t="str">
        <f>IFERROR(__xludf.DUMMYFUNCTION("""COMPUTED_VALUE"""),"Vglobal")</f>
        <v>Vglobal</v>
      </c>
      <c r="B33" s="3" t="str">
        <f>IFERROR(__xludf.DUMMYFUNCTION("""COMPUTED_VALUE"""),"CS 009")</f>
        <v>CS 009</v>
      </c>
      <c r="C33" s="3">
        <f>IFERROR(__xludf.DUMMYFUNCTION("""COMPUTED_VALUE"""),13.0)</f>
        <v>13</v>
      </c>
      <c r="D33" s="25">
        <f>LET(bal_date, IF(ISBLANK($K$1), TODAY(), $K$1)+TIME(23,59,59), SUMIFS('inventory ledger'!$H:$H, 'inventory ledger'!$C:$C, A33, 'inventory ledger'!$D:$D, B33, 'inventory ledger'!$E:$E, C33, 'inventory ledger'!$A:$A, "&lt;="&amp;bal_date) - SUMIFS('inventory ledger'!$I:$I, 'inventory ledger'!$C:$C, A33, 'inventory ledger'!$D:$D, B33, 'inventory ledger'!$E:$E, C33, 'inventory ledger'!$A:$A, "&lt;="&amp;bal_date))</f>
        <v>0</v>
      </c>
      <c r="E33" s="25">
        <f>IFERROR(__xludf.DUMMYFUNCTION("IFERROR(ROUNDUP(D33 / MAX(1, INDEX(FILTER('warehouse config'!$D:$D, ('warehouse config'!$B:$B=A33) * ('warehouse config'!$C:$C=B33) * ('warehouse config'!$G:$G&lt;=IF(ISBLANK($K$1),TODAY(),$K$1)) * (('warehouse config'!$H:$H&gt;=IF(ISBLANK($K$1),TODAY(),$K$1)) "&amp;"+ ISBLANK('warehouse config'!$H:$H))),1))),0)"),0.0)</f>
        <v>0</v>
      </c>
      <c r="F33" s="24">
        <f>IFERROR(__xludf.DUMMYFUNCTION("LET(sku_val, B33, batch_val, C33,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D33 * units_per_carton)"),0.0)</f>
        <v>0</v>
      </c>
    </row>
    <row r="34">
      <c r="A34" s="3" t="str">
        <f>IFERROR(__xludf.DUMMYFUNCTION("""COMPUTED_VALUE"""),"Vglobal")</f>
        <v>Vglobal</v>
      </c>
      <c r="B34" s="3" t="str">
        <f>IFERROR(__xludf.DUMMYFUNCTION("""COMPUTED_VALUE"""),"CS 012")</f>
        <v>CS 012</v>
      </c>
      <c r="C34" s="3">
        <f>IFERROR(__xludf.DUMMYFUNCTION("""COMPUTED_VALUE"""),13.0)</f>
        <v>13</v>
      </c>
      <c r="D34" s="25">
        <f>LET(bal_date, IF(ISBLANK($K$1), TODAY(), $K$1)+TIME(23,59,59), SUMIFS('inventory ledger'!$H:$H, 'inventory ledger'!$C:$C, A34, 'inventory ledger'!$D:$D, B34, 'inventory ledger'!$E:$E, C34, 'inventory ledger'!$A:$A, "&lt;="&amp;bal_date) - SUMIFS('inventory ledger'!$I:$I, 'inventory ledger'!$C:$C, A34, 'inventory ledger'!$D:$D, B34, 'inventory ledger'!$E:$E, C34, 'inventory ledger'!$A:$A, "&lt;="&amp;bal_date))</f>
        <v>0</v>
      </c>
      <c r="E34" s="25">
        <f>IFERROR(__xludf.DUMMYFUNCTION("IFERROR(ROUNDUP(D34 / MAX(1, INDEX(FILTER('warehouse config'!$D:$D, ('warehouse config'!$B:$B=A34) * ('warehouse config'!$C:$C=B34) * ('warehouse config'!$G:$G&lt;=IF(ISBLANK($K$1),TODAY(),$K$1)) * (('warehouse config'!$H:$H&gt;=IF(ISBLANK($K$1),TODAY(),$K$1)) "&amp;"+ ISBLANK('warehouse config'!$H:$H))),1))),0)"),0.0)</f>
        <v>0</v>
      </c>
      <c r="F34" s="24">
        <f>IFERROR(__xludf.DUMMYFUNCTION("LET(sku_val, B34, batch_val, C34, eff_date_val, IF(ISBLANK($K$1),TODAY(),$K$1), attributes_specific, FILTER('sku master'!$L:$L, ('sku master'!$B:$B=sku_val) * ('sku master'!$C:$C=batch_val) * ('sku master'!$D:$D&lt;=eff_date_val) * (('sku master'!$E:$E&gt;=eff_"&amp;"date_val) + ISBLANK('sku master'!$E:$E))), attributes_default, FILTER('sku master'!$L:$L, ('sku master'!$B:$B=sku_val) * ('sku master'!$C:$C=""DEFAULT_CONFIG"") * ('sku master'!$D:$D&lt;=eff_date_val) * (('sku master'!$E:$E&gt;=eff_date_val) + ISBLANK('sku mast"&amp;"er'!$E:$E))), units_per_carton, IF(COUNT(attributes_specific)&gt;0, INDEX(attributes_specific,1), IF(COUNT(attributes_default)&gt;0, INDEX(attributes_default,1), 0)), D34 * units_per_carton)"),0.0)</f>
        <v>0</v>
      </c>
    </row>
    <row r="35">
      <c r="A35" s="3" t="str">
        <f>IFERROR(__xludf.DUMMYFUNCTION("""COMPUTED_VALUE"""),"FMC")</f>
        <v>FMC</v>
      </c>
      <c r="B35" s="3" t="str">
        <f>IFERROR(__xludf.DUMMYFUNCTION("""COMPUTED_VALUE"""),"CS 008")</f>
        <v>CS 008</v>
      </c>
      <c r="C35" s="3">
        <f>IFERROR(__xludf.DUMMYFUNCTION("""COMPUTED_VALUE"""),11.0)</f>
        <v>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19.63"/>
    <col customWidth="1" min="3" max="3" width="9.5"/>
    <col customWidth="1" min="4" max="4" width="10.75"/>
    <col customWidth="1" min="5" max="5" width="8.5"/>
    <col customWidth="1" min="6" max="6" width="19.88"/>
    <col customWidth="1" min="7" max="7" width="25.25"/>
    <col customWidth="1" min="8" max="8" width="26.25"/>
    <col customWidth="1" min="9" max="9" width="26.38"/>
    <col customWidth="1" min="10" max="10" width="15.63"/>
    <col customWidth="1" min="11" max="11" width="15.13"/>
    <col customWidth="1" min="12" max="20" width="13.13"/>
    <col customWidth="1" min="21" max="21" width="5.5"/>
    <col customWidth="1" min="22" max="22" width="9.5"/>
    <col customWidth="1" min="23" max="23" width="11.88"/>
    <col customWidth="1" min="24" max="24" width="4.63"/>
    <col customWidth="1" min="25" max="25" width="6.5"/>
    <col customWidth="1" min="26" max="26" width="2.88"/>
    <col customWidth="1" min="27" max="27" width="3.75"/>
    <col customWidth="1" min="28" max="28" width="2.88"/>
    <col customWidth="1" min="29" max="29" width="3.38"/>
    <col customWidth="1" min="30" max="30" width="4.25"/>
  </cols>
  <sheetData>
    <row r="1">
      <c r="A1" s="26" t="s">
        <v>456</v>
      </c>
      <c r="B1" s="26" t="s">
        <v>457</v>
      </c>
      <c r="C1" s="26" t="s">
        <v>6</v>
      </c>
      <c r="D1" s="26" t="s">
        <v>7</v>
      </c>
      <c r="E1" s="26" t="s">
        <v>8</v>
      </c>
      <c r="F1" s="26" t="s">
        <v>458</v>
      </c>
      <c r="G1" s="26" t="s">
        <v>459</v>
      </c>
      <c r="H1" s="26" t="s">
        <v>460</v>
      </c>
      <c r="I1" s="26" t="s">
        <v>461</v>
      </c>
      <c r="J1" s="26" t="s">
        <v>462</v>
      </c>
      <c r="K1" s="26" t="s">
        <v>463</v>
      </c>
      <c r="U1" s="1" t="s">
        <v>464</v>
      </c>
      <c r="V1" s="5">
        <v>45670.0</v>
      </c>
      <c r="W1" s="3" t="str">
        <f t="shared" ref="W1:W16" si="1">TEXT(EDATE(V1, IF(DAY(V1)&gt;15,1,0)), "mmmm yyyy")</f>
        <v>January 2025</v>
      </c>
      <c r="X1" s="3" t="s">
        <v>87</v>
      </c>
      <c r="Y1" s="3" t="s">
        <v>28</v>
      </c>
      <c r="Z1" s="3">
        <v>9.0</v>
      </c>
      <c r="AA1" s="1">
        <f>LET(bal_date, V1+TIME(23,59,59), SUMIFS('inventory ledger'!$H:$H, 'inventory ledger'!$C:$C, X1, 'inventory ledger'!$D:$D, Y1, 'inventory ledger'!$E:$E, Z1, 'inventory ledger'!$A:$A, "&lt;="&amp;bal_date) - SUMIFS('inventory ledger'!$I:$I, 'inventory ledger'!$C:$C, X1, 'inventory ledger'!$D:$D, Y1, 'inventory ledger'!$E:$E, Z1, 'inventory ledger'!$A:$A, "&lt;="&amp;bal_date))</f>
        <v>17</v>
      </c>
      <c r="AB1" s="1">
        <f>IFERROR(__xludf.DUMMYFUNCTION("IFERROR(ROUNDUP(AA1 / MAX(1, INDEX(FILTER('warehouse config'!$D:$D, ('warehouse config'!$B:$B=X1) * ('warehouse config'!$C:$C=Y1) * ('warehouse config'!$G:$G&lt;=V1) * (('warehouse config'!$H:$H&gt;=V1) + ISBLANK('warehouse config'!$H:$H))),1))),0)"),1.0)</f>
        <v>1</v>
      </c>
      <c r="AC1" s="1">
        <f>IFERROR(__xludf.DUMMYFUNCTION("IFERROR(INDEX(FILTER('cost master'!$E:$E, ('cost master'!$B:$B=X1) * ('cost master'!$D:$D=""Storage cost per pallet / week"") * ('cost master'!$G:$G&lt;=V1) * (('cost master'!$H:$H&gt;=V1) + ISBLANK('cost master'!$H:$H))),1),0)"),3.9)</f>
        <v>3.9</v>
      </c>
      <c r="AD1" s="1">
        <f t="shared" ref="AD1:AD16" si="2">AB1*AC1</f>
        <v>3.9</v>
      </c>
    </row>
    <row r="2" hidden="1">
      <c r="A2" s="3" t="str">
        <f t="shared" ref="A2:A3996" si="3">IF(B2="","","SL-"&amp;TEXT(B2,"YYYYMMDD")&amp;"-"&amp;C2&amp;"-"&amp;D2&amp;IF(E2&lt;&gt;"","-"&amp;E2,""))</f>
        <v>SL-20250106-FMC-CS 007-8</v>
      </c>
      <c r="B2" s="2">
        <f t="array" ref="B2">INDEX(helper!$A$3:$A3996,ROUNDUP((ROW()-1)/COUNTA(helper!$D$3:$D3996),0))</f>
        <v>45663</v>
      </c>
      <c r="C2" s="5" t="str">
        <f t="array" ref="C2">IF(B2="","",INDEX(helper!$D$3:$D3996,MOD(ROW()-2,COUNTA(helper!$D$3:$D3996))+1))</f>
        <v>FMC</v>
      </c>
      <c r="D2" s="3" t="str">
        <f t="array" ref="D2">IF(B2="","",INDEX(helper!$E$3:$E3996,MOD(ROW()-2,COUNTA(helper!$D$3:$D3996))+1))</f>
        <v>CS 007</v>
      </c>
      <c r="E2" s="3">
        <f t="array" ref="E2">IF(B2="","",INDEX(helper!$F$3:$F3996,MOD(ROW()-2,COUNTA(helper!$D$3:$D3996))+1))</f>
        <v>8</v>
      </c>
      <c r="F2" s="3">
        <f>IF(B2="","",SUMIFS('inventory ledger'!$H:$H,'inventory ledger'!$C:$C,C2,'inventory ledger'!$D:$D,D2,'inventory ledger'!$E:$E,E2,'inventory ledger'!$A:$A,"&lt;="&amp;B2+TIME(23,59,59))-SUMIFS('inventory ledger'!$I:$I,'inventory ledger'!$C:$C,C2,'inventory ledger'!$D:$D,D2,'inventory ledger'!$E:$E,E2,'inventory ledger'!$A:$A,"&lt;="&amp;B2+TIME(23,59,59)))</f>
        <v>0</v>
      </c>
      <c r="G2" s="3">
        <f>IFERROR(__xludf.DUMMYFUNCTION("IF(F2&lt;=0,0,IFERROR(ROUNDUP(F2/INDEX(FILTER('warehouse config'!$D:$D,('warehouse config'!$B:$B=C2)*('warehouse config'!$C:$C=D2)*('warehouse config'!$G:$G&lt;=B2)*(('warehouse config'!$H:$H&gt;=B2)+ISBLANK('warehouse config'!$H:$H))),1)),0))"),0.0)</f>
        <v>0</v>
      </c>
      <c r="H2" s="3">
        <f>IFERROR(__xludf.DUMMYFUNCTION("IFERROR(INDEX(FILTER('cost master'!$E:$E,('cost master'!$B:$B=C2)*('cost master'!$D:$D=""Storage cost per pallet / week"")*('cost master'!$G:$G&lt;=B2)*(('cost master'!$H:$H&gt;=B2)+ISBLANK('cost master'!$H:$H))),1),0)"),3.9)</f>
        <v>3.9</v>
      </c>
      <c r="I2" s="3">
        <f t="shared" ref="I2:I3996" si="4">G2*H2</f>
        <v>0</v>
      </c>
      <c r="J2" s="27">
        <f t="shared" ref="J2:J3996" si="5">IF(DAY(B2)&lt;=15,DATE(YEAR(B2),MONTH(B2)-1,16),DATE(YEAR(B2),MONTH(B2),16))</f>
        <v>45642</v>
      </c>
      <c r="K2" s="27">
        <f t="shared" ref="K2:K3996" si="6">IF(DAY(B2)&lt;=15,DATE(YEAR(B2),MONTH(B2),15),DATE(YEAR(B2),MONTH(B2)+1,15))</f>
        <v>45672</v>
      </c>
      <c r="U2" s="1" t="s">
        <v>465</v>
      </c>
      <c r="V2" s="5">
        <v>45670.0</v>
      </c>
      <c r="W2" s="3" t="str">
        <f t="shared" si="1"/>
        <v>January 2025</v>
      </c>
      <c r="X2" s="3" t="s">
        <v>87</v>
      </c>
      <c r="Y2" s="3" t="s">
        <v>44</v>
      </c>
      <c r="Z2" s="3">
        <v>11.0</v>
      </c>
      <c r="AA2" s="1">
        <f>LET(bal_date, V2+TIME(23,59,59), SUMIFS('inventory ledger'!$H:$H, 'inventory ledger'!$C:$C, X2, 'inventory ledger'!$D:$D, Y2, 'inventory ledger'!$E:$E, Z2, 'inventory ledger'!$A:$A, "&lt;="&amp;bal_date) - SUMIFS('inventory ledger'!$I:$I, 'inventory ledger'!$C:$C, X2, 'inventory ledger'!$D:$D, Y2, 'inventory ledger'!$E:$E, Z2, 'inventory ledger'!$A:$A, "&lt;="&amp;bal_date))</f>
        <v>140</v>
      </c>
      <c r="AB2" s="1">
        <f>IFERROR(__xludf.DUMMYFUNCTION("IFERROR(ROUNDUP(AA2 / MAX(1, INDEX(FILTER('warehouse config'!$D:$D, ('warehouse config'!$B:$B=X2) * ('warehouse config'!$C:$C=Y2) * ('warehouse config'!$G:$G&lt;=V2) * (('warehouse config'!$H:$H&gt;=V2) + ISBLANK('warehouse config'!$H:$H))),1))),0)"),10.0)</f>
        <v>10</v>
      </c>
      <c r="AC2" s="1">
        <f>IFERROR(__xludf.DUMMYFUNCTION("IFERROR(INDEX(FILTER('cost master'!$E:$E, ('cost master'!$B:$B=X2) * ('cost master'!$D:$D=""Storage cost per pallet / week"") * ('cost master'!$G:$G&lt;=V2) * (('cost master'!$H:$H&gt;=V2) + ISBLANK('cost master'!$H:$H))),1),0)"),3.9)</f>
        <v>3.9</v>
      </c>
      <c r="AD2" s="1">
        <f t="shared" si="2"/>
        <v>39</v>
      </c>
    </row>
    <row r="3" hidden="1">
      <c r="A3" s="3" t="str">
        <f t="shared" si="3"/>
        <v>SL-20250106-FMC-CS 008-8</v>
      </c>
      <c r="B3" s="2">
        <f t="array" ref="B3">INDEX(helper!$A$3:$A3996,ROUNDUP((ROW()-1)/COUNTA(helper!$D$3:$D3996),0))</f>
        <v>45663</v>
      </c>
      <c r="C3" s="5" t="str">
        <f t="array" ref="C3">IF(B3="","",INDEX(helper!$D$3:$D3996,MOD(ROW()-2,COUNTA(helper!$D$3:$D3996))+1))</f>
        <v>FMC</v>
      </c>
      <c r="D3" s="3" t="str">
        <f t="array" ref="D3">IF(B3="","",INDEX(helper!$E$3:$E3996,MOD(ROW()-2,COUNTA(helper!$D$3:$D3996))+1))</f>
        <v>CS 008</v>
      </c>
      <c r="E3" s="3">
        <f t="array" ref="E3">IF(B3="","",INDEX(helper!$F$3:$F3996,MOD(ROW()-2,COUNTA(helper!$D$3:$D3996))+1))</f>
        <v>8</v>
      </c>
      <c r="F3" s="3">
        <f>IF(B3="","",SUMIFS('inventory ledger'!$H:$H,'inventory ledger'!$C:$C,C3,'inventory ledger'!$D:$D,D3,'inventory ledger'!$E:$E,E3,'inventory ledger'!$A:$A,"&lt;="&amp;B3+TIME(23,59,59))-SUMIFS('inventory ledger'!$I:$I,'inventory ledger'!$C:$C,C3,'inventory ledger'!$D:$D,D3,'inventory ledger'!$E:$E,E3,'inventory ledger'!$A:$A,"&lt;="&amp;B3+TIME(23,59,59)))</f>
        <v>1</v>
      </c>
      <c r="G3" s="3">
        <f>IFERROR(__xludf.DUMMYFUNCTION("IF(F3&lt;=0,0,IFERROR(ROUNDUP(F3/INDEX(FILTER('warehouse config'!$D:$D,('warehouse config'!$B:$B=C3)*('warehouse config'!$C:$C=D3)*('warehouse config'!$G:$G&lt;=B3)*(('warehouse config'!$H:$H&gt;=B3)+ISBLANK('warehouse config'!$H:$H))),1)),0))"),1.0)</f>
        <v>1</v>
      </c>
      <c r="H3" s="3">
        <f>IFERROR(__xludf.DUMMYFUNCTION("IFERROR(INDEX(FILTER('cost master'!$E:$E,('cost master'!$B:$B=C3)*('cost master'!$D:$D=""Storage cost per pallet / week"")*('cost master'!$G:$G&lt;=B3)*(('cost master'!$H:$H&gt;=B3)+ISBLANK('cost master'!$H:$H))),1),0)"),3.9)</f>
        <v>3.9</v>
      </c>
      <c r="I3" s="3">
        <f t="shared" si="4"/>
        <v>3.9</v>
      </c>
      <c r="J3" s="27">
        <f t="shared" si="5"/>
        <v>45642</v>
      </c>
      <c r="K3" s="27">
        <f t="shared" si="6"/>
        <v>45672</v>
      </c>
      <c r="U3" s="1" t="s">
        <v>466</v>
      </c>
      <c r="V3" s="5">
        <v>45670.0</v>
      </c>
      <c r="W3" s="3" t="str">
        <f t="shared" si="1"/>
        <v>January 2025</v>
      </c>
      <c r="X3" s="3" t="s">
        <v>87</v>
      </c>
      <c r="Y3" s="3" t="s">
        <v>37</v>
      </c>
      <c r="Z3" s="3">
        <v>11.0</v>
      </c>
      <c r="AA3" s="1">
        <f>LET(bal_date, V3+TIME(23,59,59), SUMIFS('inventory ledger'!$H:$H, 'inventory ledger'!$C:$C, X3, 'inventory ledger'!$D:$D, Y3, 'inventory ledger'!$E:$E, Z3, 'inventory ledger'!$A:$A, "&lt;="&amp;bal_date) - SUMIFS('inventory ledger'!$I:$I, 'inventory ledger'!$C:$C, X3, 'inventory ledger'!$D:$D, Y3, 'inventory ledger'!$E:$E, Z3, 'inventory ledger'!$A:$A, "&lt;="&amp;bal_date))</f>
        <v>46</v>
      </c>
      <c r="AB3" s="1">
        <f>IFERROR(__xludf.DUMMYFUNCTION("IFERROR(ROUNDUP(AA3 / MAX(1, INDEX(FILTER('warehouse config'!$D:$D, ('warehouse config'!$B:$B=X3) * ('warehouse config'!$C:$C=Y3) * ('warehouse config'!$G:$G&lt;=V3) * (('warehouse config'!$H:$H&gt;=V3) + ISBLANK('warehouse config'!$H:$H))),1))),0)"),2.0)</f>
        <v>2</v>
      </c>
      <c r="AC3" s="1">
        <f>IFERROR(__xludf.DUMMYFUNCTION("IFERROR(INDEX(FILTER('cost master'!$E:$E, ('cost master'!$B:$B=X3) * ('cost master'!$D:$D=""Storage cost per pallet / week"") * ('cost master'!$G:$G&lt;=V3) * (('cost master'!$H:$H&gt;=V3) + ISBLANK('cost master'!$H:$H))),1),0)"),3.9)</f>
        <v>3.9</v>
      </c>
      <c r="AD3" s="1">
        <f t="shared" si="2"/>
        <v>7.8</v>
      </c>
    </row>
    <row r="4" hidden="1">
      <c r="A4" s="3" t="str">
        <f t="shared" si="3"/>
        <v>SL-20250106-FMC-CS 009-8</v>
      </c>
      <c r="B4" s="2">
        <f t="array" ref="B4">INDEX(helper!$A$3:$A3996,ROUNDUP((ROW()-1)/COUNTA(helper!$D$3:$D3996),0))</f>
        <v>45663</v>
      </c>
      <c r="C4" s="5" t="str">
        <f t="array" ref="C4">IF(B4="","",INDEX(helper!$D$3:$D3996,MOD(ROW()-2,COUNTA(helper!$D$3:$D3996))+1))</f>
        <v>FMC</v>
      </c>
      <c r="D4" s="3" t="str">
        <f t="array" ref="D4">IF(B4="","",INDEX(helper!$E$3:$E3996,MOD(ROW()-2,COUNTA(helper!$D$3:$D3996))+1))</f>
        <v>CS 009</v>
      </c>
      <c r="E4" s="3">
        <f t="array" ref="E4">IF(B4="","",INDEX(helper!$F$3:$F3996,MOD(ROW()-2,COUNTA(helper!$D$3:$D3996))+1))</f>
        <v>8</v>
      </c>
      <c r="F4" s="3">
        <f>IF(B4="","",SUMIFS('inventory ledger'!$H:$H,'inventory ledger'!$C:$C,C4,'inventory ledger'!$D:$D,D4,'inventory ledger'!$E:$E,E4,'inventory ledger'!$A:$A,"&lt;="&amp;B4+TIME(23,59,59))-SUMIFS('inventory ledger'!$I:$I,'inventory ledger'!$C:$C,C4,'inventory ledger'!$D:$D,D4,'inventory ledger'!$E:$E,E4,'inventory ledger'!$A:$A,"&lt;="&amp;B4+TIME(23,59,59)))</f>
        <v>0</v>
      </c>
      <c r="G4" s="3">
        <f>IFERROR(__xludf.DUMMYFUNCTION("IF(F4&lt;=0,0,IFERROR(ROUNDUP(F4/INDEX(FILTER('warehouse config'!$D:$D,('warehouse config'!$B:$B=C4)*('warehouse config'!$C:$C=D4)*('warehouse config'!$G:$G&lt;=B4)*(('warehouse config'!$H:$H&gt;=B4)+ISBLANK('warehouse config'!$H:$H))),1)),0))"),0.0)</f>
        <v>0</v>
      </c>
      <c r="H4" s="3">
        <f>IFERROR(__xludf.DUMMYFUNCTION("IFERROR(INDEX(FILTER('cost master'!$E:$E,('cost master'!$B:$B=C4)*('cost master'!$D:$D=""Storage cost per pallet / week"")*('cost master'!$G:$G&lt;=B4)*(('cost master'!$H:$H&gt;=B4)+ISBLANK('cost master'!$H:$H))),1),0)"),3.9)</f>
        <v>3.9</v>
      </c>
      <c r="I4" s="3">
        <f t="shared" si="4"/>
        <v>0</v>
      </c>
      <c r="J4" s="27">
        <f t="shared" si="5"/>
        <v>45642</v>
      </c>
      <c r="K4" s="27">
        <f t="shared" si="6"/>
        <v>45672</v>
      </c>
      <c r="U4" s="1" t="s">
        <v>467</v>
      </c>
      <c r="V4" s="5">
        <v>45670.0</v>
      </c>
      <c r="W4" s="3" t="str">
        <f t="shared" si="1"/>
        <v>January 2025</v>
      </c>
      <c r="X4" s="3" t="s">
        <v>87</v>
      </c>
      <c r="Y4" s="3" t="s">
        <v>28</v>
      </c>
      <c r="Z4" s="1">
        <v>8.0</v>
      </c>
      <c r="AA4" s="1">
        <f>LET(bal_date, V4+TIME(23,59,59), SUMIFS('inventory ledger'!$H:$H, 'inventory ledger'!$C:$C, X4, 'inventory ledger'!$D:$D, Y4, 'inventory ledger'!$E:$E, Z4, 'inventory ledger'!$A:$A, "&lt;="&amp;bal_date) - SUMIFS('inventory ledger'!$I:$I, 'inventory ledger'!$C:$C, X4, 'inventory ledger'!$D:$D, Y4, 'inventory ledger'!$E:$E, Z4, 'inventory ledger'!$A:$A, "&lt;="&amp;bal_date))</f>
        <v>1</v>
      </c>
      <c r="AB4" s="1">
        <f>IFERROR(__xludf.DUMMYFUNCTION("IFERROR(ROUNDUP(AA4 / MAX(1, INDEX(FILTER('warehouse config'!$D:$D, ('warehouse config'!$B:$B=X4) * ('warehouse config'!$C:$C=Y4) * ('warehouse config'!$G:$G&lt;=V4) * (('warehouse config'!$H:$H&gt;=V4) + ISBLANK('warehouse config'!$H:$H))),1))),0)"),1.0)</f>
        <v>1</v>
      </c>
      <c r="AC4" s="1">
        <f>IFERROR(__xludf.DUMMYFUNCTION("IFERROR(INDEX(FILTER('cost master'!$E:$E, ('cost master'!$B:$B=X4) * ('cost master'!$D:$D=""Storage cost per pallet / week"") * ('cost master'!$G:$G&lt;=V4) * (('cost master'!$H:$H&gt;=V4) + ISBLANK('cost master'!$H:$H))),1),0)"),3.9)</f>
        <v>3.9</v>
      </c>
      <c r="AD4" s="1">
        <f t="shared" si="2"/>
        <v>3.9</v>
      </c>
    </row>
    <row r="5" hidden="1">
      <c r="A5" s="3" t="str">
        <f t="shared" si="3"/>
        <v>SL-20250106-FMC-CS 010-8</v>
      </c>
      <c r="B5" s="2">
        <f t="array" ref="B5">INDEX(helper!$A$3:$A3996,ROUNDUP((ROW()-1)/COUNTA(helper!$D$3:$D3996),0))</f>
        <v>45663</v>
      </c>
      <c r="C5" s="5" t="str">
        <f t="array" ref="C5">IF(B5="","",INDEX(helper!$D$3:$D3996,MOD(ROW()-2,COUNTA(helper!$D$3:$D3996))+1))</f>
        <v>FMC</v>
      </c>
      <c r="D5" s="3" t="str">
        <f t="array" ref="D5">IF(B5="","",INDEX(helper!$E$3:$E3996,MOD(ROW()-2,COUNTA(helper!$D$3:$D3996))+1))</f>
        <v>CS 010</v>
      </c>
      <c r="E5" s="3">
        <f t="array" ref="E5">IF(B5="","",INDEX(helper!$F$3:$F3996,MOD(ROW()-2,COUNTA(helper!$D$3:$D3996))+1))</f>
        <v>8</v>
      </c>
      <c r="F5" s="3">
        <f>IF(B5="","",SUMIFS('inventory ledger'!$H:$H,'inventory ledger'!$C:$C,C5,'inventory ledger'!$D:$D,D5,'inventory ledger'!$E:$E,E5,'inventory ledger'!$A:$A,"&lt;="&amp;B5+TIME(23,59,59))-SUMIFS('inventory ledger'!$I:$I,'inventory ledger'!$C:$C,C5,'inventory ledger'!$D:$D,D5,'inventory ledger'!$E:$E,E5,'inventory ledger'!$A:$A,"&lt;="&amp;B5+TIME(23,59,59)))</f>
        <v>0</v>
      </c>
      <c r="G5" s="3">
        <f>IFERROR(__xludf.DUMMYFUNCTION("IF(F5&lt;=0,0,IFERROR(ROUNDUP(F5/INDEX(FILTER('warehouse config'!$D:$D,('warehouse config'!$B:$B=C5)*('warehouse config'!$C:$C=D5)*('warehouse config'!$G:$G&lt;=B5)*(('warehouse config'!$H:$H&gt;=B5)+ISBLANK('warehouse config'!$H:$H))),1)),0))"),0.0)</f>
        <v>0</v>
      </c>
      <c r="H5" s="3">
        <f>IFERROR(__xludf.DUMMYFUNCTION("IFERROR(INDEX(FILTER('cost master'!$E:$E,('cost master'!$B:$B=C5)*('cost master'!$D:$D=""Storage cost per pallet / week"")*('cost master'!$G:$G&lt;=B5)*(('cost master'!$H:$H&gt;=B5)+ISBLANK('cost master'!$H:$H))),1),0)"),3.9)</f>
        <v>3.9</v>
      </c>
      <c r="I5" s="3">
        <f t="shared" si="4"/>
        <v>0</v>
      </c>
      <c r="J5" s="27">
        <f t="shared" si="5"/>
        <v>45642</v>
      </c>
      <c r="K5" s="27">
        <f t="shared" si="6"/>
        <v>45672</v>
      </c>
      <c r="U5" s="1" t="s">
        <v>468</v>
      </c>
      <c r="V5" s="5">
        <v>45677.0</v>
      </c>
      <c r="W5" s="3" t="str">
        <f t="shared" si="1"/>
        <v>February 2025</v>
      </c>
      <c r="X5" s="3" t="s">
        <v>87</v>
      </c>
      <c r="Y5" s="3" t="s">
        <v>28</v>
      </c>
      <c r="Z5" s="3">
        <v>9.0</v>
      </c>
      <c r="AA5" s="1">
        <f>LET(bal_date, V5+TIME(23,59,59), SUMIFS('inventory ledger'!$H:$H, 'inventory ledger'!$C:$C, X5, 'inventory ledger'!$D:$D, Y5, 'inventory ledger'!$E:$E, Z5, 'inventory ledger'!$A:$A, "&lt;="&amp;bal_date) - SUMIFS('inventory ledger'!$I:$I, 'inventory ledger'!$C:$C, X5, 'inventory ledger'!$D:$D, Y5, 'inventory ledger'!$E:$E, Z5, 'inventory ledger'!$A:$A, "&lt;="&amp;bal_date))</f>
        <v>17</v>
      </c>
      <c r="AB5" s="1">
        <f>IFERROR(__xludf.DUMMYFUNCTION("IFERROR(ROUNDUP(AA5 / MAX(1, INDEX(FILTER('warehouse config'!$D:$D, ('warehouse config'!$B:$B=X5) * ('warehouse config'!$C:$C=Y5) * ('warehouse config'!$G:$G&lt;=V5) * (('warehouse config'!$H:$H&gt;=V5) + ISBLANK('warehouse config'!$H:$H))),1))),0)"),1.0)</f>
        <v>1</v>
      </c>
      <c r="AC5" s="1">
        <f>IFERROR(__xludf.DUMMYFUNCTION("IFERROR(INDEX(FILTER('cost master'!$E:$E, ('cost master'!$B:$B=X5) * ('cost master'!$D:$D=""Storage cost per pallet / week"") * ('cost master'!$G:$G&lt;=V5) * (('cost master'!$H:$H&gt;=V5) + ISBLANK('cost master'!$H:$H))),1),0)"),3.9)</f>
        <v>3.9</v>
      </c>
      <c r="AD5" s="1">
        <f t="shared" si="2"/>
        <v>3.9</v>
      </c>
    </row>
    <row r="6" hidden="1">
      <c r="A6" s="3" t="str">
        <f t="shared" si="3"/>
        <v>SL-20250106-FMC-CS 007-9</v>
      </c>
      <c r="B6" s="2">
        <f t="array" ref="B6">INDEX(helper!$A$3:$A3996,ROUNDUP((ROW()-1)/COUNTA(helper!$D$3:$D3996),0))</f>
        <v>45663</v>
      </c>
      <c r="C6" s="5" t="str">
        <f t="array" ref="C6">IF(B6="","",INDEX(helper!$D$3:$D3996,MOD(ROW()-2,COUNTA(helper!$D$3:$D3996))+1))</f>
        <v>FMC</v>
      </c>
      <c r="D6" s="3" t="str">
        <f t="array" ref="D6">IF(B6="","",INDEX(helper!$E$3:$E3996,MOD(ROW()-2,COUNTA(helper!$D$3:$D3996))+1))</f>
        <v>CS 007</v>
      </c>
      <c r="E6" s="3">
        <f t="array" ref="E6">IF(B6="","",INDEX(helper!$F$3:$F3996,MOD(ROW()-2,COUNTA(helper!$D$3:$D3996))+1))</f>
        <v>9</v>
      </c>
      <c r="F6" s="3">
        <f>IF(B6="","",SUMIFS('inventory ledger'!$H:$H,'inventory ledger'!$C:$C,C6,'inventory ledger'!$D:$D,D6,'inventory ledger'!$E:$E,E6,'inventory ledger'!$A:$A,"&lt;="&amp;B6+TIME(23,59,59))-SUMIFS('inventory ledger'!$I:$I,'inventory ledger'!$C:$C,C6,'inventory ledger'!$D:$D,D6,'inventory ledger'!$E:$E,E6,'inventory ledger'!$A:$A,"&lt;="&amp;B6+TIME(23,59,59)))</f>
        <v>0</v>
      </c>
      <c r="G6" s="3">
        <f>IFERROR(__xludf.DUMMYFUNCTION("IF(F6&lt;=0,0,IFERROR(ROUNDUP(F6/INDEX(FILTER('warehouse config'!$D:$D,('warehouse config'!$B:$B=C6)*('warehouse config'!$C:$C=D6)*('warehouse config'!$G:$G&lt;=B6)*(('warehouse config'!$H:$H&gt;=B6)+ISBLANK('warehouse config'!$H:$H))),1)),0))"),0.0)</f>
        <v>0</v>
      </c>
      <c r="H6" s="3">
        <f>IFERROR(__xludf.DUMMYFUNCTION("IFERROR(INDEX(FILTER('cost master'!$E:$E,('cost master'!$B:$B=C6)*('cost master'!$D:$D=""Storage cost per pallet / week"")*('cost master'!$G:$G&lt;=B6)*(('cost master'!$H:$H&gt;=B6)+ISBLANK('cost master'!$H:$H))),1),0)"),3.9)</f>
        <v>3.9</v>
      </c>
      <c r="I6" s="3">
        <f t="shared" si="4"/>
        <v>0</v>
      </c>
      <c r="J6" s="27">
        <f t="shared" si="5"/>
        <v>45642</v>
      </c>
      <c r="K6" s="27">
        <f t="shared" si="6"/>
        <v>45672</v>
      </c>
      <c r="U6" s="1" t="s">
        <v>469</v>
      </c>
      <c r="V6" s="5">
        <v>45677.0</v>
      </c>
      <c r="W6" s="3" t="str">
        <f t="shared" si="1"/>
        <v>February 2025</v>
      </c>
      <c r="X6" s="3" t="s">
        <v>87</v>
      </c>
      <c r="Y6" s="3" t="s">
        <v>37</v>
      </c>
      <c r="Z6" s="3">
        <v>10.0</v>
      </c>
      <c r="AA6" s="1">
        <f>LET(bal_date, V6+TIME(23,59,59), SUMIFS('inventory ledger'!$H:$H, 'inventory ledger'!$C:$C, X6, 'inventory ledger'!$D:$D, Y6, 'inventory ledger'!$E:$E, Z6, 'inventory ledger'!$A:$A, "&lt;="&amp;bal_date) - SUMIFS('inventory ledger'!$I:$I, 'inventory ledger'!$C:$C, X6, 'inventory ledger'!$D:$D, Y6, 'inventory ledger'!$E:$E, Z6, 'inventory ledger'!$A:$A, "&lt;="&amp;bal_date))</f>
        <v>26</v>
      </c>
      <c r="AB6" s="1">
        <f>IFERROR(__xludf.DUMMYFUNCTION("IFERROR(ROUNDUP(AA6 / MAX(1, INDEX(FILTER('warehouse config'!$D:$D, ('warehouse config'!$B:$B=X6) * ('warehouse config'!$C:$C=Y6) * ('warehouse config'!$G:$G&lt;=V6) * (('warehouse config'!$H:$H&gt;=V6) + ISBLANK('warehouse config'!$H:$H))),1))),0)"),1.0)</f>
        <v>1</v>
      </c>
      <c r="AC6" s="1">
        <f>IFERROR(__xludf.DUMMYFUNCTION("IFERROR(INDEX(FILTER('cost master'!$E:$E, ('cost master'!$B:$B=X6) * ('cost master'!$D:$D=""Storage cost per pallet / week"") * ('cost master'!$G:$G&lt;=V6) * (('cost master'!$H:$H&gt;=V6) + ISBLANK('cost master'!$H:$H))),1),0)"),3.9)</f>
        <v>3.9</v>
      </c>
      <c r="AD6" s="1">
        <f t="shared" si="2"/>
        <v>3.9</v>
      </c>
    </row>
    <row r="7" hidden="1">
      <c r="A7" s="3" t="str">
        <f t="shared" si="3"/>
        <v>SL-20250106-FMC-CS 008-9</v>
      </c>
      <c r="B7" s="2">
        <f t="array" ref="B7">INDEX(helper!$A$3:$A3996,ROUNDUP((ROW()-1)/COUNTA(helper!$D$3:$D3996),0))</f>
        <v>45663</v>
      </c>
      <c r="C7" s="5" t="str">
        <f t="array" ref="C7">IF(B7="","",INDEX(helper!$D$3:$D3996,MOD(ROW()-2,COUNTA(helper!$D$3:$D3996))+1))</f>
        <v>FMC</v>
      </c>
      <c r="D7" s="3" t="str">
        <f t="array" ref="D7">IF(B7="","",INDEX(helper!$E$3:$E3996,MOD(ROW()-2,COUNTA(helper!$D$3:$D3996))+1))</f>
        <v>CS 008</v>
      </c>
      <c r="E7" s="3">
        <f t="array" ref="E7">IF(B7="","",INDEX(helper!$F$3:$F3996,MOD(ROW()-2,COUNTA(helper!$D$3:$D3996))+1))</f>
        <v>9</v>
      </c>
      <c r="F7" s="3">
        <f>IF(B7="","",SUMIFS('inventory ledger'!$H:$H,'inventory ledger'!$C:$C,C7,'inventory ledger'!$D:$D,D7,'inventory ledger'!$E:$E,E7,'inventory ledger'!$A:$A,"&lt;="&amp;B7+TIME(23,59,59))-SUMIFS('inventory ledger'!$I:$I,'inventory ledger'!$C:$C,C7,'inventory ledger'!$D:$D,D7,'inventory ledger'!$E:$E,E7,'inventory ledger'!$A:$A,"&lt;="&amp;B7+TIME(23,59,59)))</f>
        <v>17</v>
      </c>
      <c r="G7" s="3">
        <f>IFERROR(__xludf.DUMMYFUNCTION("IF(F7&lt;=0,0,IFERROR(ROUNDUP(F7/INDEX(FILTER('warehouse config'!$D:$D,('warehouse config'!$B:$B=C7)*('warehouse config'!$C:$C=D7)*('warehouse config'!$G:$G&lt;=B7)*(('warehouse config'!$H:$H&gt;=B7)+ISBLANK('warehouse config'!$H:$H))),1)),0))"),1.0)</f>
        <v>1</v>
      </c>
      <c r="H7" s="3">
        <f>IFERROR(__xludf.DUMMYFUNCTION("IFERROR(INDEX(FILTER('cost master'!$E:$E,('cost master'!$B:$B=C7)*('cost master'!$D:$D=""Storage cost per pallet / week"")*('cost master'!$G:$G&lt;=B7)*(('cost master'!$H:$H&gt;=B7)+ISBLANK('cost master'!$H:$H))),1),0)"),3.9)</f>
        <v>3.9</v>
      </c>
      <c r="I7" s="3">
        <f t="shared" si="4"/>
        <v>3.9</v>
      </c>
      <c r="J7" s="27">
        <f t="shared" si="5"/>
        <v>45642</v>
      </c>
      <c r="K7" s="27">
        <f t="shared" si="6"/>
        <v>45672</v>
      </c>
      <c r="U7" s="1" t="s">
        <v>470</v>
      </c>
      <c r="V7" s="5">
        <v>45677.0</v>
      </c>
      <c r="W7" s="3" t="str">
        <f t="shared" si="1"/>
        <v>February 2025</v>
      </c>
      <c r="X7" s="3" t="s">
        <v>87</v>
      </c>
      <c r="Y7" s="3" t="s">
        <v>44</v>
      </c>
      <c r="Z7" s="3">
        <v>11.0</v>
      </c>
      <c r="AA7" s="1">
        <f>LET(bal_date, V7+TIME(23,59,59), SUMIFS('inventory ledger'!$H:$H, 'inventory ledger'!$C:$C, X7, 'inventory ledger'!$D:$D, Y7, 'inventory ledger'!$E:$E, Z7, 'inventory ledger'!$A:$A, "&lt;="&amp;bal_date) - SUMIFS('inventory ledger'!$I:$I, 'inventory ledger'!$C:$C, X7, 'inventory ledger'!$D:$D, Y7, 'inventory ledger'!$E:$E, Z7, 'inventory ledger'!$A:$A, "&lt;="&amp;bal_date))</f>
        <v>122</v>
      </c>
      <c r="AB7" s="1">
        <f>IFERROR(__xludf.DUMMYFUNCTION("IFERROR(ROUNDUP(AA7 / MAX(1, INDEX(FILTER('warehouse config'!$D:$D, ('warehouse config'!$B:$B=X7) * ('warehouse config'!$C:$C=Y7) * ('warehouse config'!$G:$G&lt;=V7) * (('warehouse config'!$H:$H&gt;=V7) + ISBLANK('warehouse config'!$H:$H))),1))),0)"),9.0)</f>
        <v>9</v>
      </c>
      <c r="AC7" s="1">
        <f>IFERROR(__xludf.DUMMYFUNCTION("IFERROR(INDEX(FILTER('cost master'!$E:$E, ('cost master'!$B:$B=X7) * ('cost master'!$D:$D=""Storage cost per pallet / week"") * ('cost master'!$G:$G&lt;=V7) * (('cost master'!$H:$H&gt;=V7) + ISBLANK('cost master'!$H:$H))),1),0)"),3.9)</f>
        <v>3.9</v>
      </c>
      <c r="AD7" s="1">
        <f t="shared" si="2"/>
        <v>35.1</v>
      </c>
    </row>
    <row r="8" hidden="1">
      <c r="A8" s="3" t="str">
        <f t="shared" si="3"/>
        <v>SL-20250106-FMC-CS 009-9</v>
      </c>
      <c r="B8" s="2">
        <f t="array" ref="B8">INDEX(helper!$A$3:$A3996,ROUNDUP((ROW()-1)/COUNTA(helper!$D$3:$D3996),0))</f>
        <v>45663</v>
      </c>
      <c r="C8" s="5" t="str">
        <f t="array" ref="C8">IF(B8="","",INDEX(helper!$D$3:$D3996,MOD(ROW()-2,COUNTA(helper!$D$3:$D3996))+1))</f>
        <v>FMC</v>
      </c>
      <c r="D8" s="3" t="str">
        <f t="array" ref="D8">IF(B8="","",INDEX(helper!$E$3:$E3996,MOD(ROW()-2,COUNTA(helper!$D$3:$D3996))+1))</f>
        <v>CS 009</v>
      </c>
      <c r="E8" s="3">
        <f t="array" ref="E8">IF(B8="","",INDEX(helper!$F$3:$F3996,MOD(ROW()-2,COUNTA(helper!$D$3:$D3996))+1))</f>
        <v>9</v>
      </c>
      <c r="F8" s="3">
        <f>IF(B8="","",SUMIFS('inventory ledger'!$H:$H,'inventory ledger'!$C:$C,C8,'inventory ledger'!$D:$D,D8,'inventory ledger'!$E:$E,E8,'inventory ledger'!$A:$A,"&lt;="&amp;B8+TIME(23,59,59))-SUMIFS('inventory ledger'!$I:$I,'inventory ledger'!$C:$C,C8,'inventory ledger'!$D:$D,D8,'inventory ledger'!$E:$E,E8,'inventory ledger'!$A:$A,"&lt;="&amp;B8+TIME(23,59,59)))</f>
        <v>0</v>
      </c>
      <c r="G8" s="3">
        <f>IFERROR(__xludf.DUMMYFUNCTION("IF(F8&lt;=0,0,IFERROR(ROUNDUP(F8/INDEX(FILTER('warehouse config'!$D:$D,('warehouse config'!$B:$B=C8)*('warehouse config'!$C:$C=D8)*('warehouse config'!$G:$G&lt;=B8)*(('warehouse config'!$H:$H&gt;=B8)+ISBLANK('warehouse config'!$H:$H))),1)),0))"),0.0)</f>
        <v>0</v>
      </c>
      <c r="H8" s="3">
        <f>IFERROR(__xludf.DUMMYFUNCTION("IFERROR(INDEX(FILTER('cost master'!$E:$E,('cost master'!$B:$B=C8)*('cost master'!$D:$D=""Storage cost per pallet / week"")*('cost master'!$G:$G&lt;=B8)*(('cost master'!$H:$H&gt;=B8)+ISBLANK('cost master'!$H:$H))),1),0)"),3.9)</f>
        <v>3.9</v>
      </c>
      <c r="I8" s="3">
        <f t="shared" si="4"/>
        <v>0</v>
      </c>
      <c r="J8" s="27">
        <f t="shared" si="5"/>
        <v>45642</v>
      </c>
      <c r="K8" s="27">
        <f t="shared" si="6"/>
        <v>45672</v>
      </c>
      <c r="U8" s="1" t="s">
        <v>471</v>
      </c>
      <c r="V8" s="5">
        <v>45677.0</v>
      </c>
      <c r="W8" s="3" t="str">
        <f t="shared" si="1"/>
        <v>February 2025</v>
      </c>
      <c r="X8" s="3" t="s">
        <v>87</v>
      </c>
      <c r="Y8" s="3" t="s">
        <v>37</v>
      </c>
      <c r="Z8" s="3">
        <v>11.0</v>
      </c>
      <c r="AA8" s="1">
        <f>LET(bal_date, V8+TIME(23,59,59), SUMIFS('inventory ledger'!$H:$H, 'inventory ledger'!$C:$C, X8, 'inventory ledger'!$D:$D, Y8, 'inventory ledger'!$E:$E, Z8, 'inventory ledger'!$A:$A, "&lt;="&amp;bal_date) - SUMIFS('inventory ledger'!$I:$I, 'inventory ledger'!$C:$C, X8, 'inventory ledger'!$D:$D, Y8, 'inventory ledger'!$E:$E, Z8, 'inventory ledger'!$A:$A, "&lt;="&amp;bal_date))</f>
        <v>46</v>
      </c>
      <c r="AB8" s="1">
        <f>IFERROR(__xludf.DUMMYFUNCTION("IFERROR(ROUNDUP(AA8 / MAX(1, INDEX(FILTER('warehouse config'!$D:$D, ('warehouse config'!$B:$B=X8) * ('warehouse config'!$C:$C=Y8) * ('warehouse config'!$G:$G&lt;=V8) * (('warehouse config'!$H:$H&gt;=V8) + ISBLANK('warehouse config'!$H:$H))),1))),0)"),2.0)</f>
        <v>2</v>
      </c>
      <c r="AC8" s="1">
        <f>IFERROR(__xludf.DUMMYFUNCTION("IFERROR(INDEX(FILTER('cost master'!$E:$E, ('cost master'!$B:$B=X8) * ('cost master'!$D:$D=""Storage cost per pallet / week"") * ('cost master'!$G:$G&lt;=V8) * (('cost master'!$H:$H&gt;=V8) + ISBLANK('cost master'!$H:$H))),1),0)"),3.9)</f>
        <v>3.9</v>
      </c>
      <c r="AD8" s="1">
        <f t="shared" si="2"/>
        <v>7.8</v>
      </c>
    </row>
    <row r="9" hidden="1">
      <c r="A9" s="3" t="str">
        <f t="shared" si="3"/>
        <v>SL-20250106-FMC-CS 010-9</v>
      </c>
      <c r="B9" s="2">
        <f t="array" ref="B9">INDEX(helper!$A$3:$A3996,ROUNDUP((ROW()-1)/COUNTA(helper!$D$3:$D3996),0))</f>
        <v>45663</v>
      </c>
      <c r="C9" s="5" t="str">
        <f t="array" ref="C9">IF(B9="","",INDEX(helper!$D$3:$D3996,MOD(ROW()-2,COUNTA(helper!$D$3:$D3996))+1))</f>
        <v>FMC</v>
      </c>
      <c r="D9" s="3" t="str">
        <f t="array" ref="D9">IF(B9="","",INDEX(helper!$E$3:$E3996,MOD(ROW()-2,COUNTA(helper!$D$3:$D3996))+1))</f>
        <v>CS 010</v>
      </c>
      <c r="E9" s="3">
        <f t="array" ref="E9">IF(B9="","",INDEX(helper!$F$3:$F3996,MOD(ROW()-2,COUNTA(helper!$D$3:$D3996))+1))</f>
        <v>9</v>
      </c>
      <c r="F9" s="3">
        <f>IF(B9="","",SUMIFS('inventory ledger'!$H:$H,'inventory ledger'!$C:$C,C9,'inventory ledger'!$D:$D,D9,'inventory ledger'!$E:$E,E9,'inventory ledger'!$A:$A,"&lt;="&amp;B9+TIME(23,59,59))-SUMIFS('inventory ledger'!$I:$I,'inventory ledger'!$C:$C,C9,'inventory ledger'!$D:$D,D9,'inventory ledger'!$E:$E,E9,'inventory ledger'!$A:$A,"&lt;="&amp;B9+TIME(23,59,59)))</f>
        <v>6</v>
      </c>
      <c r="G9" s="3">
        <f>IFERROR(__xludf.DUMMYFUNCTION("IF(F9&lt;=0,0,IFERROR(ROUNDUP(F9/INDEX(FILTER('warehouse config'!$D:$D,('warehouse config'!$B:$B=C9)*('warehouse config'!$C:$C=D9)*('warehouse config'!$G:$G&lt;=B9)*(('warehouse config'!$H:$H&gt;=B9)+ISBLANK('warehouse config'!$H:$H))),1)),0))"),1.0)</f>
        <v>1</v>
      </c>
      <c r="H9" s="3">
        <f>IFERROR(__xludf.DUMMYFUNCTION("IFERROR(INDEX(FILTER('cost master'!$E:$E,('cost master'!$B:$B=C9)*('cost master'!$D:$D=""Storage cost per pallet / week"")*('cost master'!$G:$G&lt;=B9)*(('cost master'!$H:$H&gt;=B9)+ISBLANK('cost master'!$H:$H))),1),0)"),3.9)</f>
        <v>3.9</v>
      </c>
      <c r="I9" s="3">
        <f t="shared" si="4"/>
        <v>3.9</v>
      </c>
      <c r="J9" s="27">
        <f t="shared" si="5"/>
        <v>45642</v>
      </c>
      <c r="K9" s="27">
        <f t="shared" si="6"/>
        <v>45672</v>
      </c>
      <c r="U9" s="1" t="s">
        <v>472</v>
      </c>
      <c r="V9" s="5">
        <v>45684.0</v>
      </c>
      <c r="W9" s="3" t="str">
        <f t="shared" si="1"/>
        <v>February 2025</v>
      </c>
      <c r="X9" s="3" t="s">
        <v>87</v>
      </c>
      <c r="Y9" s="3" t="s">
        <v>28</v>
      </c>
      <c r="Z9" s="3">
        <v>9.0</v>
      </c>
      <c r="AA9" s="1">
        <f>LET(bal_date, V9+TIME(23,59,59), SUMIFS('inventory ledger'!$H:$H, 'inventory ledger'!$C:$C, X9, 'inventory ledger'!$D:$D, Y9, 'inventory ledger'!$E:$E, Z9, 'inventory ledger'!$A:$A, "&lt;="&amp;bal_date) - SUMIFS('inventory ledger'!$I:$I, 'inventory ledger'!$C:$C, X9, 'inventory ledger'!$D:$D, Y9, 'inventory ledger'!$E:$E, Z9, 'inventory ledger'!$A:$A, "&lt;="&amp;bal_date))</f>
        <v>14</v>
      </c>
      <c r="AB9" s="1">
        <f>IFERROR(__xludf.DUMMYFUNCTION("IFERROR(ROUNDUP(AA9 / MAX(1, INDEX(FILTER('warehouse config'!$D:$D, ('warehouse config'!$B:$B=X9) * ('warehouse config'!$C:$C=Y9) * ('warehouse config'!$G:$G&lt;=V9) * (('warehouse config'!$H:$H&gt;=V9) + ISBLANK('warehouse config'!$H:$H))),1))),0)"),1.0)</f>
        <v>1</v>
      </c>
      <c r="AC9" s="1">
        <f>IFERROR(__xludf.DUMMYFUNCTION("IFERROR(INDEX(FILTER('cost master'!$E:$E, ('cost master'!$B:$B=X9) * ('cost master'!$D:$D=""Storage cost per pallet / week"") * ('cost master'!$G:$G&lt;=V9) * (('cost master'!$H:$H&gt;=V9) + ISBLANK('cost master'!$H:$H))),1),0)"),3.9)</f>
        <v>3.9</v>
      </c>
      <c r="AD9" s="1">
        <f t="shared" si="2"/>
        <v>3.9</v>
      </c>
    </row>
    <row r="10" hidden="1">
      <c r="A10" s="3" t="str">
        <f t="shared" si="3"/>
        <v>SL-20250106-FMC-CS-CDS-001-9</v>
      </c>
      <c r="B10" s="2">
        <f t="array" ref="B10">INDEX(helper!$A$3:$A3996,ROUNDUP((ROW()-1)/COUNTA(helper!$D$3:$D3996),0))</f>
        <v>45663</v>
      </c>
      <c r="C10" s="5" t="str">
        <f t="array" ref="C10">IF(B10="","",INDEX(helper!$D$3:$D3996,MOD(ROW()-2,COUNTA(helper!$D$3:$D3996))+1))</f>
        <v>FMC</v>
      </c>
      <c r="D10" s="3" t="str">
        <f t="array" ref="D10">IF(B10="","",INDEX(helper!$E$3:$E3996,MOD(ROW()-2,COUNTA(helper!$D$3:$D3996))+1))</f>
        <v>CS-CDS-001</v>
      </c>
      <c r="E10" s="3">
        <f t="array" ref="E10">IF(B10="","",INDEX(helper!$F$3:$F3996,MOD(ROW()-2,COUNTA(helper!$D$3:$D3996))+1))</f>
        <v>9</v>
      </c>
      <c r="F10" s="3">
        <f>IF(B10="","",SUMIFS('inventory ledger'!$H:$H,'inventory ledger'!$C:$C,C10,'inventory ledger'!$D:$D,D10,'inventory ledger'!$E:$E,E10,'inventory ledger'!$A:$A,"&lt;="&amp;B10+TIME(23,59,59))-SUMIFS('inventory ledger'!$I:$I,'inventory ledger'!$C:$C,C10,'inventory ledger'!$D:$D,D10,'inventory ledger'!$E:$E,E10,'inventory ledger'!$A:$A,"&lt;="&amp;B10+TIME(23,59,59)))</f>
        <v>0</v>
      </c>
      <c r="G10" s="3">
        <f>IFERROR(__xludf.DUMMYFUNCTION("IF(F10&lt;=0,0,IFERROR(ROUNDUP(F10/INDEX(FILTER('warehouse config'!$D:$D,('warehouse config'!$B:$B=C10)*('warehouse config'!$C:$C=D10)*('warehouse config'!$G:$G&lt;=B10)*(('warehouse config'!$H:$H&gt;=B10)+ISBLANK('warehouse config'!$H:$H))),1)),0))"),0.0)</f>
        <v>0</v>
      </c>
      <c r="H10" s="3">
        <f>IFERROR(__xludf.DUMMYFUNCTION("IFERROR(INDEX(FILTER('cost master'!$E:$E,('cost master'!$B:$B=C10)*('cost master'!$D:$D=""Storage cost per pallet / week"")*('cost master'!$G:$G&lt;=B10)*(('cost master'!$H:$H&gt;=B10)+ISBLANK('cost master'!$H:$H))),1),0)"),3.9)</f>
        <v>3.9</v>
      </c>
      <c r="I10" s="3">
        <f t="shared" si="4"/>
        <v>0</v>
      </c>
      <c r="J10" s="27">
        <f t="shared" si="5"/>
        <v>45642</v>
      </c>
      <c r="K10" s="27">
        <f t="shared" si="6"/>
        <v>45672</v>
      </c>
      <c r="U10" s="1" t="s">
        <v>473</v>
      </c>
      <c r="V10" s="5">
        <v>45684.0</v>
      </c>
      <c r="W10" s="3" t="str">
        <f t="shared" si="1"/>
        <v>February 2025</v>
      </c>
      <c r="X10" s="3" t="s">
        <v>87</v>
      </c>
      <c r="Y10" s="3" t="s">
        <v>37</v>
      </c>
      <c r="Z10" s="3">
        <v>10.0</v>
      </c>
      <c r="AA10" s="1">
        <f>LET(bal_date, V10+TIME(23,59,59), SUMIFS('inventory ledger'!$H:$H, 'inventory ledger'!$C:$C, X10, 'inventory ledger'!$D:$D, Y10, 'inventory ledger'!$E:$E, Z10, 'inventory ledger'!$A:$A, "&lt;="&amp;bal_date) - SUMIFS('inventory ledger'!$I:$I, 'inventory ledger'!$C:$C, X10, 'inventory ledger'!$D:$D, Y10, 'inventory ledger'!$E:$E, Z10, 'inventory ledger'!$A:$A, "&lt;="&amp;bal_date))</f>
        <v>26</v>
      </c>
      <c r="AB10" s="1">
        <f>IFERROR(__xludf.DUMMYFUNCTION("IFERROR(ROUNDUP(AA10 / MAX(1, INDEX(FILTER('warehouse config'!$D:$D, ('warehouse config'!$B:$B=X10) * ('warehouse config'!$C:$C=Y10) * ('warehouse config'!$G:$G&lt;=V10) * (('warehouse config'!$H:$H&gt;=V10) + ISBLANK('warehouse config'!$H:$H))),1))),0)"),1.0)</f>
        <v>1</v>
      </c>
      <c r="AC10" s="1">
        <f>IFERROR(__xludf.DUMMYFUNCTION("IFERROR(INDEX(FILTER('cost master'!$E:$E, ('cost master'!$B:$B=X10) * ('cost master'!$D:$D=""Storage cost per pallet / week"") * ('cost master'!$G:$G&lt;=V10) * (('cost master'!$H:$H&gt;=V10) + ISBLANK('cost master'!$H:$H))),1),0)"),3.9)</f>
        <v>3.9</v>
      </c>
      <c r="AD10" s="1">
        <f t="shared" si="2"/>
        <v>3.9</v>
      </c>
    </row>
    <row r="11" hidden="1">
      <c r="A11" s="3" t="str">
        <f t="shared" si="3"/>
        <v>SL-20250106-FMC-CS-CDS-002-9</v>
      </c>
      <c r="B11" s="2">
        <f t="array" ref="B11">INDEX(helper!$A$3:$A3996,ROUNDUP((ROW()-1)/COUNTA(helper!$D$3:$D3996),0))</f>
        <v>45663</v>
      </c>
      <c r="C11" s="5" t="str">
        <f t="array" ref="C11">IF(B11="","",INDEX(helper!$D$3:$D3996,MOD(ROW()-2,COUNTA(helper!$D$3:$D3996))+1))</f>
        <v>FMC</v>
      </c>
      <c r="D11" s="3" t="str">
        <f t="array" ref="D11">IF(B11="","",INDEX(helper!$E$3:$E3996,MOD(ROW()-2,COUNTA(helper!$D$3:$D3996))+1))</f>
        <v>CS-CDS-002</v>
      </c>
      <c r="E11" s="3">
        <f t="array" ref="E11">IF(B11="","",INDEX(helper!$F$3:$F3996,MOD(ROW()-2,COUNTA(helper!$D$3:$D3996))+1))</f>
        <v>9</v>
      </c>
      <c r="F11" s="3">
        <f>IF(B11="","",SUMIFS('inventory ledger'!$H:$H,'inventory ledger'!$C:$C,C11,'inventory ledger'!$D:$D,D11,'inventory ledger'!$E:$E,E11,'inventory ledger'!$A:$A,"&lt;="&amp;B11+TIME(23,59,59))-SUMIFS('inventory ledger'!$I:$I,'inventory ledger'!$C:$C,C11,'inventory ledger'!$D:$D,D11,'inventory ledger'!$E:$E,E11,'inventory ledger'!$A:$A,"&lt;="&amp;B11+TIME(23,59,59)))</f>
        <v>0</v>
      </c>
      <c r="G11" s="3">
        <f>IFERROR(__xludf.DUMMYFUNCTION("IF(F11&lt;=0,0,IFERROR(ROUNDUP(F11/INDEX(FILTER('warehouse config'!$D:$D,('warehouse config'!$B:$B=C11)*('warehouse config'!$C:$C=D11)*('warehouse config'!$G:$G&lt;=B11)*(('warehouse config'!$H:$H&gt;=B11)+ISBLANK('warehouse config'!$H:$H))),1)),0))"),0.0)</f>
        <v>0</v>
      </c>
      <c r="H11" s="3">
        <f>IFERROR(__xludf.DUMMYFUNCTION("IFERROR(INDEX(FILTER('cost master'!$E:$E,('cost master'!$B:$B=C11)*('cost master'!$D:$D=""Storage cost per pallet / week"")*('cost master'!$G:$G&lt;=B11)*(('cost master'!$H:$H&gt;=B11)+ISBLANK('cost master'!$H:$H))),1),0)"),3.9)</f>
        <v>3.9</v>
      </c>
      <c r="I11" s="3">
        <f t="shared" si="4"/>
        <v>0</v>
      </c>
      <c r="J11" s="27">
        <f t="shared" si="5"/>
        <v>45642</v>
      </c>
      <c r="K11" s="27">
        <f t="shared" si="6"/>
        <v>45672</v>
      </c>
      <c r="U11" s="1" t="s">
        <v>474</v>
      </c>
      <c r="V11" s="5">
        <v>45684.0</v>
      </c>
      <c r="W11" s="3" t="str">
        <f t="shared" si="1"/>
        <v>February 2025</v>
      </c>
      <c r="X11" s="3" t="s">
        <v>87</v>
      </c>
      <c r="Y11" s="3" t="s">
        <v>44</v>
      </c>
      <c r="Z11" s="3">
        <v>11.0</v>
      </c>
      <c r="AA11" s="1">
        <f>LET(bal_date, V11+TIME(23,59,59), SUMIFS('inventory ledger'!$H:$H, 'inventory ledger'!$C:$C, X11, 'inventory ledger'!$D:$D, Y11, 'inventory ledger'!$E:$E, Z11, 'inventory ledger'!$A:$A, "&lt;="&amp;bal_date) - SUMIFS('inventory ledger'!$I:$I, 'inventory ledger'!$C:$C, X11, 'inventory ledger'!$D:$D, Y11, 'inventory ledger'!$E:$E, Z11, 'inventory ledger'!$A:$A, "&lt;="&amp;bal_date))</f>
        <v>54</v>
      </c>
      <c r="AB11" s="1">
        <f>IFERROR(__xludf.DUMMYFUNCTION("IFERROR(ROUNDUP(AA11 / MAX(1, INDEX(FILTER('warehouse config'!$D:$D, ('warehouse config'!$B:$B=X11) * ('warehouse config'!$C:$C=Y11) * ('warehouse config'!$G:$G&lt;=V11) * (('warehouse config'!$H:$H&gt;=V11) + ISBLANK('warehouse config'!$H:$H))),1))),0)"),4.0)</f>
        <v>4</v>
      </c>
      <c r="AC11" s="1">
        <f>IFERROR(__xludf.DUMMYFUNCTION("IFERROR(INDEX(FILTER('cost master'!$E:$E, ('cost master'!$B:$B=X11) * ('cost master'!$D:$D=""Storage cost per pallet / week"") * ('cost master'!$G:$G&lt;=V11) * (('cost master'!$H:$H&gt;=V11) + ISBLANK('cost master'!$H:$H))),1),0)"),3.9)</f>
        <v>3.9</v>
      </c>
      <c r="AD11" s="1">
        <f t="shared" si="2"/>
        <v>15.6</v>
      </c>
    </row>
    <row r="12" hidden="1">
      <c r="A12" s="3" t="str">
        <f t="shared" si="3"/>
        <v>SL-20250106-FMC-CS 007-10</v>
      </c>
      <c r="B12" s="2">
        <f t="array" ref="B12">INDEX(helper!$A$3:$A3996,ROUNDUP((ROW()-1)/COUNTA(helper!$D$3:$D3996),0))</f>
        <v>45663</v>
      </c>
      <c r="C12" s="5" t="str">
        <f t="array" ref="C12">IF(B12="","",INDEX(helper!$D$3:$D3996,MOD(ROW()-2,COUNTA(helper!$D$3:$D3996))+1))</f>
        <v>FMC</v>
      </c>
      <c r="D12" s="3" t="str">
        <f t="array" ref="D12">IF(B12="","",INDEX(helper!$E$3:$E3996,MOD(ROW()-2,COUNTA(helper!$D$3:$D3996))+1))</f>
        <v>CS 007</v>
      </c>
      <c r="E12" s="3">
        <f t="array" ref="E12">IF(B12="","",INDEX(helper!$F$3:$F3996,MOD(ROW()-2,COUNTA(helper!$D$3:$D3996))+1))</f>
        <v>10</v>
      </c>
      <c r="F12" s="3">
        <f>IF(B12="","",SUMIFS('inventory ledger'!$H:$H,'inventory ledger'!$C:$C,C12,'inventory ledger'!$D:$D,D12,'inventory ledger'!$E:$E,E12,'inventory ledger'!$A:$A,"&lt;="&amp;B12+TIME(23,59,59))-SUMIFS('inventory ledger'!$I:$I,'inventory ledger'!$C:$C,C12,'inventory ledger'!$D:$D,D12,'inventory ledger'!$E:$E,E12,'inventory ledger'!$A:$A,"&lt;="&amp;B12+TIME(23,59,59)))</f>
        <v>0</v>
      </c>
      <c r="G12" s="3">
        <f>IFERROR(__xludf.DUMMYFUNCTION("IF(F12&lt;=0,0,IFERROR(ROUNDUP(F12/INDEX(FILTER('warehouse config'!$D:$D,('warehouse config'!$B:$B=C12)*('warehouse config'!$C:$C=D12)*('warehouse config'!$G:$G&lt;=B12)*(('warehouse config'!$H:$H&gt;=B12)+ISBLANK('warehouse config'!$H:$H))),1)),0))"),0.0)</f>
        <v>0</v>
      </c>
      <c r="H12" s="3">
        <f>IFERROR(__xludf.DUMMYFUNCTION("IFERROR(INDEX(FILTER('cost master'!$E:$E,('cost master'!$B:$B=C12)*('cost master'!$D:$D=""Storage cost per pallet / week"")*('cost master'!$G:$G&lt;=B12)*(('cost master'!$H:$H&gt;=B12)+ISBLANK('cost master'!$H:$H))),1),0)"),3.9)</f>
        <v>3.9</v>
      </c>
      <c r="I12" s="3">
        <f t="shared" si="4"/>
        <v>0</v>
      </c>
      <c r="J12" s="27">
        <f t="shared" si="5"/>
        <v>45642</v>
      </c>
      <c r="K12" s="27">
        <f t="shared" si="6"/>
        <v>45672</v>
      </c>
      <c r="U12" s="1" t="s">
        <v>475</v>
      </c>
      <c r="V12" s="5">
        <v>45684.0</v>
      </c>
      <c r="W12" s="3" t="str">
        <f t="shared" si="1"/>
        <v>February 2025</v>
      </c>
      <c r="X12" s="3" t="s">
        <v>87</v>
      </c>
      <c r="Y12" s="3" t="s">
        <v>37</v>
      </c>
      <c r="Z12" s="3">
        <v>11.0</v>
      </c>
      <c r="AA12" s="1">
        <f>LET(bal_date, V12+TIME(23,59,59), SUMIFS('inventory ledger'!$H:$H, 'inventory ledger'!$C:$C, X12, 'inventory ledger'!$D:$D, Y12, 'inventory ledger'!$E:$E, Z12, 'inventory ledger'!$A:$A, "&lt;="&amp;bal_date) - SUMIFS('inventory ledger'!$I:$I, 'inventory ledger'!$C:$C, X12, 'inventory ledger'!$D:$D, Y12, 'inventory ledger'!$E:$E, Z12, 'inventory ledger'!$A:$A, "&lt;="&amp;bal_date))</f>
        <v>46</v>
      </c>
      <c r="AB12" s="1">
        <f>IFERROR(__xludf.DUMMYFUNCTION("IFERROR(ROUNDUP(AA12 / MAX(1, INDEX(FILTER('warehouse config'!$D:$D, ('warehouse config'!$B:$B=X12) * ('warehouse config'!$C:$C=Y12) * ('warehouse config'!$G:$G&lt;=V12) * (('warehouse config'!$H:$H&gt;=V12) + ISBLANK('warehouse config'!$H:$H))),1))),0)"),2.0)</f>
        <v>2</v>
      </c>
      <c r="AC12" s="1">
        <f>IFERROR(__xludf.DUMMYFUNCTION("IFERROR(INDEX(FILTER('cost master'!$E:$E, ('cost master'!$B:$B=X12) * ('cost master'!$D:$D=""Storage cost per pallet / week"") * ('cost master'!$G:$G&lt;=V12) * (('cost master'!$H:$H&gt;=V12) + ISBLANK('cost master'!$H:$H))),1),0)"),3.9)</f>
        <v>3.9</v>
      </c>
      <c r="AD12" s="1">
        <f t="shared" si="2"/>
        <v>7.8</v>
      </c>
    </row>
    <row r="13" hidden="1">
      <c r="A13" s="3" t="str">
        <f t="shared" si="3"/>
        <v>SL-20250106-FMC-CS 009-10</v>
      </c>
      <c r="B13" s="2">
        <f t="array" ref="B13">INDEX(helper!$A$3:$A3996,ROUNDUP((ROW()-1)/COUNTA(helper!$D$3:$D3996),0))</f>
        <v>45663</v>
      </c>
      <c r="C13" s="5" t="str">
        <f t="array" ref="C13">IF(B13="","",INDEX(helper!$D$3:$D3996,MOD(ROW()-2,COUNTA(helper!$D$3:$D3996))+1))</f>
        <v>FMC</v>
      </c>
      <c r="D13" s="3" t="str">
        <f t="array" ref="D13">IF(B13="","",INDEX(helper!$E$3:$E3996,MOD(ROW()-2,COUNTA(helper!$D$3:$D3996))+1))</f>
        <v>CS 009</v>
      </c>
      <c r="E13" s="3">
        <f t="array" ref="E13">IF(B13="","",INDEX(helper!$F$3:$F3996,MOD(ROW()-2,COUNTA(helper!$D$3:$D3996))+1))</f>
        <v>10</v>
      </c>
      <c r="F13" s="3">
        <f>IF(B13="","",SUMIFS('inventory ledger'!$H:$H,'inventory ledger'!$C:$C,C13,'inventory ledger'!$D:$D,D13,'inventory ledger'!$E:$E,E13,'inventory ledger'!$A:$A,"&lt;="&amp;B13+TIME(23,59,59))-SUMIFS('inventory ledger'!$I:$I,'inventory ledger'!$C:$C,C13,'inventory ledger'!$D:$D,D13,'inventory ledger'!$E:$E,E13,'inventory ledger'!$A:$A,"&lt;="&amp;B13+TIME(23,59,59)))</f>
        <v>0</v>
      </c>
      <c r="G13" s="3">
        <f>IFERROR(__xludf.DUMMYFUNCTION("IF(F13&lt;=0,0,IFERROR(ROUNDUP(F13/INDEX(FILTER('warehouse config'!$D:$D,('warehouse config'!$B:$B=C13)*('warehouse config'!$C:$C=D13)*('warehouse config'!$G:$G&lt;=B13)*(('warehouse config'!$H:$H&gt;=B13)+ISBLANK('warehouse config'!$H:$H))),1)),0))"),0.0)</f>
        <v>0</v>
      </c>
      <c r="H13" s="3">
        <f>IFERROR(__xludf.DUMMYFUNCTION("IFERROR(INDEX(FILTER('cost master'!$E:$E,('cost master'!$B:$B=C13)*('cost master'!$D:$D=""Storage cost per pallet / week"")*('cost master'!$G:$G&lt;=B13)*(('cost master'!$H:$H&gt;=B13)+ISBLANK('cost master'!$H:$H))),1),0)"),3.9)</f>
        <v>3.9</v>
      </c>
      <c r="I13" s="3">
        <f t="shared" si="4"/>
        <v>0</v>
      </c>
      <c r="J13" s="27">
        <f t="shared" si="5"/>
        <v>45642</v>
      </c>
      <c r="K13" s="27">
        <f t="shared" si="6"/>
        <v>45672</v>
      </c>
      <c r="U13" s="1" t="s">
        <v>476</v>
      </c>
      <c r="V13" s="5">
        <v>45691.0</v>
      </c>
      <c r="W13" s="3" t="str">
        <f t="shared" si="1"/>
        <v>February 2025</v>
      </c>
      <c r="X13" s="3" t="s">
        <v>87</v>
      </c>
      <c r="Y13" s="3" t="s">
        <v>28</v>
      </c>
      <c r="Z13" s="3">
        <v>9.0</v>
      </c>
      <c r="AA13" s="1">
        <f>LET(bal_date, V13+TIME(23,59,59), SUMIFS('inventory ledger'!$H:$H, 'inventory ledger'!$C:$C, X13, 'inventory ledger'!$D:$D, Y13, 'inventory ledger'!$E:$E, Z13, 'inventory ledger'!$A:$A, "&lt;="&amp;bal_date) - SUMIFS('inventory ledger'!$I:$I, 'inventory ledger'!$C:$C, X13, 'inventory ledger'!$D:$D, Y13, 'inventory ledger'!$E:$E, Z13, 'inventory ledger'!$A:$A, "&lt;="&amp;bal_date))</f>
        <v>14</v>
      </c>
      <c r="AB13" s="1">
        <f>IFERROR(__xludf.DUMMYFUNCTION("IFERROR(ROUNDUP(AA13 / MAX(1, INDEX(FILTER('warehouse config'!$D:$D, ('warehouse config'!$B:$B=X13) * ('warehouse config'!$C:$C=Y13) * ('warehouse config'!$G:$G&lt;=V13) * (('warehouse config'!$H:$H&gt;=V13) + ISBLANK('warehouse config'!$H:$H))),1))),0)"),1.0)</f>
        <v>1</v>
      </c>
      <c r="AC13" s="1">
        <f>IFERROR(__xludf.DUMMYFUNCTION("IFERROR(INDEX(FILTER('cost master'!$E:$E, ('cost master'!$B:$B=X13) * ('cost master'!$D:$D=""Storage cost per pallet / week"") * ('cost master'!$G:$G&lt;=V13) * (('cost master'!$H:$H&gt;=V13) + ISBLANK('cost master'!$H:$H))),1),0)"),3.9)</f>
        <v>3.9</v>
      </c>
      <c r="AD13" s="1">
        <f t="shared" si="2"/>
        <v>3.9</v>
      </c>
    </row>
    <row r="14" hidden="1">
      <c r="A14" s="3" t="str">
        <f t="shared" si="3"/>
        <v>SL-20250106-FMC-CS 010-10</v>
      </c>
      <c r="B14" s="2">
        <f t="array" ref="B14">INDEX(helper!$A$3:$A3996,ROUNDUP((ROW()-1)/COUNTA(helper!$D$3:$D3996),0))</f>
        <v>45663</v>
      </c>
      <c r="C14" s="5" t="str">
        <f t="array" ref="C14">IF(B14="","",INDEX(helper!$D$3:$D3996,MOD(ROW()-2,COUNTA(helper!$D$3:$D3996))+1))</f>
        <v>FMC</v>
      </c>
      <c r="D14" s="3" t="str">
        <f t="array" ref="D14">IF(B14="","",INDEX(helper!$E$3:$E3996,MOD(ROW()-2,COUNTA(helper!$D$3:$D3996))+1))</f>
        <v>CS 010</v>
      </c>
      <c r="E14" s="3">
        <f t="array" ref="E14">IF(B14="","",INDEX(helper!$F$3:$F3996,MOD(ROW()-2,COUNTA(helper!$D$3:$D3996))+1))</f>
        <v>10</v>
      </c>
      <c r="F14" s="3">
        <f>IF(B14="","",SUMIFS('inventory ledger'!$H:$H,'inventory ledger'!$C:$C,C14,'inventory ledger'!$D:$D,D14,'inventory ledger'!$E:$E,E14,'inventory ledger'!$A:$A,"&lt;="&amp;B14+TIME(23,59,59))-SUMIFS('inventory ledger'!$I:$I,'inventory ledger'!$C:$C,C14,'inventory ledger'!$D:$D,D14,'inventory ledger'!$E:$E,E14,'inventory ledger'!$A:$A,"&lt;="&amp;B14+TIME(23,59,59)))</f>
        <v>40</v>
      </c>
      <c r="G14" s="3">
        <f>IFERROR(__xludf.DUMMYFUNCTION("IF(F14&lt;=0,0,IFERROR(ROUNDUP(F14/INDEX(FILTER('warehouse config'!$D:$D,('warehouse config'!$B:$B=C14)*('warehouse config'!$C:$C=D14)*('warehouse config'!$G:$G&lt;=B14)*(('warehouse config'!$H:$H&gt;=B14)+ISBLANK('warehouse config'!$H:$H))),1)),0))"),2.0)</f>
        <v>2</v>
      </c>
      <c r="H14" s="3">
        <f>IFERROR(__xludf.DUMMYFUNCTION("IFERROR(INDEX(FILTER('cost master'!$E:$E,('cost master'!$B:$B=C14)*('cost master'!$D:$D=""Storage cost per pallet / week"")*('cost master'!$G:$G&lt;=B14)*(('cost master'!$H:$H&gt;=B14)+ISBLANK('cost master'!$H:$H))),1),0)"),3.9)</f>
        <v>3.9</v>
      </c>
      <c r="I14" s="3">
        <f t="shared" si="4"/>
        <v>7.8</v>
      </c>
      <c r="J14" s="27">
        <f t="shared" si="5"/>
        <v>45642</v>
      </c>
      <c r="K14" s="27">
        <f t="shared" si="6"/>
        <v>45672</v>
      </c>
      <c r="U14" s="1" t="s">
        <v>477</v>
      </c>
      <c r="V14" s="5">
        <v>45691.0</v>
      </c>
      <c r="W14" s="3" t="str">
        <f t="shared" si="1"/>
        <v>February 2025</v>
      </c>
      <c r="X14" s="3" t="s">
        <v>87</v>
      </c>
      <c r="Y14" s="3" t="s">
        <v>37</v>
      </c>
      <c r="Z14" s="3">
        <v>10.0</v>
      </c>
      <c r="AA14" s="1">
        <f>LET(bal_date, V14+TIME(23,59,59), SUMIFS('inventory ledger'!$H:$H, 'inventory ledger'!$C:$C, X14, 'inventory ledger'!$D:$D, Y14, 'inventory ledger'!$E:$E, Z14, 'inventory ledger'!$A:$A, "&lt;="&amp;bal_date) - SUMIFS('inventory ledger'!$I:$I, 'inventory ledger'!$C:$C, X14, 'inventory ledger'!$D:$D, Y14, 'inventory ledger'!$E:$E, Z14, 'inventory ledger'!$A:$A, "&lt;="&amp;bal_date))</f>
        <v>26</v>
      </c>
      <c r="AB14" s="1">
        <f>IFERROR(__xludf.DUMMYFUNCTION("IFERROR(ROUNDUP(AA14 / MAX(1, INDEX(FILTER('warehouse config'!$D:$D, ('warehouse config'!$B:$B=X14) * ('warehouse config'!$C:$C=Y14) * ('warehouse config'!$G:$G&lt;=V14) * (('warehouse config'!$H:$H&gt;=V14) + ISBLANK('warehouse config'!$H:$H))),1))),0)"),1.0)</f>
        <v>1</v>
      </c>
      <c r="AC14" s="1">
        <f>IFERROR(__xludf.DUMMYFUNCTION("IFERROR(INDEX(FILTER('cost master'!$E:$E, ('cost master'!$B:$B=X14) * ('cost master'!$D:$D=""Storage cost per pallet / week"") * ('cost master'!$G:$G&lt;=V14) * (('cost master'!$H:$H&gt;=V14) + ISBLANK('cost master'!$H:$H))),1),0)"),3.9)</f>
        <v>3.9</v>
      </c>
      <c r="AD14" s="1">
        <f t="shared" si="2"/>
        <v>3.9</v>
      </c>
    </row>
    <row r="15" hidden="1">
      <c r="A15" s="3" t="str">
        <f t="shared" si="3"/>
        <v>SL-20250106-FMC-CS-CDS-001-10</v>
      </c>
      <c r="B15" s="2">
        <f t="array" ref="B15">INDEX(helper!$A$3:$A3996,ROUNDUP((ROW()-1)/COUNTA(helper!$D$3:$D3996),0))</f>
        <v>45663</v>
      </c>
      <c r="C15" s="5" t="str">
        <f t="array" ref="C15">IF(B15="","",INDEX(helper!$D$3:$D3996,MOD(ROW()-2,COUNTA(helper!$D$3:$D3996))+1))</f>
        <v>FMC</v>
      </c>
      <c r="D15" s="3" t="str">
        <f t="array" ref="D15">IF(B15="","",INDEX(helper!$E$3:$E3996,MOD(ROW()-2,COUNTA(helper!$D$3:$D3996))+1))</f>
        <v>CS-CDS-001</v>
      </c>
      <c r="E15" s="3">
        <f t="array" ref="E15">IF(B15="","",INDEX(helper!$F$3:$F3996,MOD(ROW()-2,COUNTA(helper!$D$3:$D3996))+1))</f>
        <v>10</v>
      </c>
      <c r="F15" s="3">
        <f>IF(B15="","",SUMIFS('inventory ledger'!$H:$H,'inventory ledger'!$C:$C,C15,'inventory ledger'!$D:$D,D15,'inventory ledger'!$E:$E,E15,'inventory ledger'!$A:$A,"&lt;="&amp;B15+TIME(23,59,59))-SUMIFS('inventory ledger'!$I:$I,'inventory ledger'!$C:$C,C15,'inventory ledger'!$D:$D,D15,'inventory ledger'!$E:$E,E15,'inventory ledger'!$A:$A,"&lt;="&amp;B15+TIME(23,59,59)))</f>
        <v>10</v>
      </c>
      <c r="G15" s="3">
        <f>IFERROR(__xludf.DUMMYFUNCTION("IF(F15&lt;=0,0,IFERROR(ROUNDUP(F15/INDEX(FILTER('warehouse config'!$D:$D,('warehouse config'!$B:$B=C15)*('warehouse config'!$C:$C=D15)*('warehouse config'!$G:$G&lt;=B15)*(('warehouse config'!$H:$H&gt;=B15)+ISBLANK('warehouse config'!$H:$H))),1)),0))"),1.0)</f>
        <v>1</v>
      </c>
      <c r="H15" s="3">
        <f>IFERROR(__xludf.DUMMYFUNCTION("IFERROR(INDEX(FILTER('cost master'!$E:$E,('cost master'!$B:$B=C15)*('cost master'!$D:$D=""Storage cost per pallet / week"")*('cost master'!$G:$G&lt;=B15)*(('cost master'!$H:$H&gt;=B15)+ISBLANK('cost master'!$H:$H))),1),0)"),3.9)</f>
        <v>3.9</v>
      </c>
      <c r="I15" s="3">
        <f t="shared" si="4"/>
        <v>3.9</v>
      </c>
      <c r="J15" s="27">
        <f t="shared" si="5"/>
        <v>45642</v>
      </c>
      <c r="K15" s="27">
        <f t="shared" si="6"/>
        <v>45672</v>
      </c>
      <c r="U15" s="1" t="s">
        <v>478</v>
      </c>
      <c r="V15" s="5">
        <v>45691.0</v>
      </c>
      <c r="W15" s="3" t="str">
        <f t="shared" si="1"/>
        <v>February 2025</v>
      </c>
      <c r="X15" s="3" t="s">
        <v>87</v>
      </c>
      <c r="Y15" s="3" t="s">
        <v>37</v>
      </c>
      <c r="Z15" s="3">
        <v>11.0</v>
      </c>
      <c r="AA15" s="1">
        <f>LET(bal_date, V15+TIME(23,59,59), SUMIFS('inventory ledger'!$H:$H, 'inventory ledger'!$C:$C, X15, 'inventory ledger'!$D:$D, Y15, 'inventory ledger'!$E:$E, Z15, 'inventory ledger'!$A:$A, "&lt;="&amp;bal_date) - SUMIFS('inventory ledger'!$I:$I, 'inventory ledger'!$C:$C, X15, 'inventory ledger'!$D:$D, Y15, 'inventory ledger'!$E:$E, Z15, 'inventory ledger'!$A:$A, "&lt;="&amp;bal_date))</f>
        <v>46</v>
      </c>
      <c r="AB15" s="1">
        <f>IFERROR(__xludf.DUMMYFUNCTION("IFERROR(ROUNDUP(AA15 / MAX(1, INDEX(FILTER('warehouse config'!$D:$D, ('warehouse config'!$B:$B=X15) * ('warehouse config'!$C:$C=Y15) * ('warehouse config'!$G:$G&lt;=V15) * (('warehouse config'!$H:$H&gt;=V15) + ISBLANK('warehouse config'!$H:$H))),1))),0)"),2.0)</f>
        <v>2</v>
      </c>
      <c r="AC15" s="1">
        <f>IFERROR(__xludf.DUMMYFUNCTION("IFERROR(INDEX(FILTER('cost master'!$E:$E, ('cost master'!$B:$B=X15) * ('cost master'!$D:$D=""Storage cost per pallet / week"") * ('cost master'!$G:$G&lt;=V15) * (('cost master'!$H:$H&gt;=V15) + ISBLANK('cost master'!$H:$H))),1),0)"),3.9)</f>
        <v>3.9</v>
      </c>
      <c r="AD15" s="1">
        <f t="shared" si="2"/>
        <v>7.8</v>
      </c>
    </row>
    <row r="16" hidden="1">
      <c r="A16" s="3" t="str">
        <f t="shared" si="3"/>
        <v>SL-20250106-FMC-CS 007-11</v>
      </c>
      <c r="B16" s="2">
        <f t="array" ref="B16">INDEX(helper!$A$3:$A3996,ROUNDUP((ROW()-1)/COUNTA(helper!$D$3:$D3996),0))</f>
        <v>45663</v>
      </c>
      <c r="C16" s="5" t="str">
        <f t="array" ref="C16">IF(B16="","",INDEX(helper!$D$3:$D3996,MOD(ROW()-2,COUNTA(helper!$D$3:$D3996))+1))</f>
        <v>FMC</v>
      </c>
      <c r="D16" s="3" t="str">
        <f t="array" ref="D16">IF(B16="","",INDEX(helper!$E$3:$E3996,MOD(ROW()-2,COUNTA(helper!$D$3:$D3996))+1))</f>
        <v>CS 007</v>
      </c>
      <c r="E16" s="3">
        <f t="array" ref="E16">IF(B16="","",INDEX(helper!$F$3:$F3996,MOD(ROW()-2,COUNTA(helper!$D$3:$D3996))+1))</f>
        <v>11</v>
      </c>
      <c r="F16" s="3">
        <f>IF(B16="","",SUMIFS('inventory ledger'!$H:$H,'inventory ledger'!$C:$C,C16,'inventory ledger'!$D:$D,D16,'inventory ledger'!$E:$E,E16,'inventory ledger'!$A:$A,"&lt;="&amp;B16+TIME(23,59,59))-SUMIFS('inventory ledger'!$I:$I,'inventory ledger'!$C:$C,C16,'inventory ledger'!$D:$D,D16,'inventory ledger'!$E:$E,E16,'inventory ledger'!$A:$A,"&lt;="&amp;B16+TIME(23,59,59)))</f>
        <v>140</v>
      </c>
      <c r="G16" s="3">
        <f>IFERROR(__xludf.DUMMYFUNCTION("IF(F16&lt;=0,0,IFERROR(ROUNDUP(F16/INDEX(FILTER('warehouse config'!$D:$D,('warehouse config'!$B:$B=C16)*('warehouse config'!$C:$C=D16)*('warehouse config'!$G:$G&lt;=B16)*(('warehouse config'!$H:$H&gt;=B16)+ISBLANK('warehouse config'!$H:$H))),1)),0))"),10.0)</f>
        <v>10</v>
      </c>
      <c r="H16" s="3">
        <f>IFERROR(__xludf.DUMMYFUNCTION("IFERROR(INDEX(FILTER('cost master'!$E:$E,('cost master'!$B:$B=C16)*('cost master'!$D:$D=""Storage cost per pallet / week"")*('cost master'!$G:$G&lt;=B16)*(('cost master'!$H:$H&gt;=B16)+ISBLANK('cost master'!$H:$H))),1),0)"),3.9)</f>
        <v>3.9</v>
      </c>
      <c r="I16" s="3">
        <f t="shared" si="4"/>
        <v>39</v>
      </c>
      <c r="J16" s="27">
        <f t="shared" si="5"/>
        <v>45642</v>
      </c>
      <c r="K16" s="27">
        <f t="shared" si="6"/>
        <v>45672</v>
      </c>
      <c r="U16" s="1" t="s">
        <v>479</v>
      </c>
      <c r="V16" s="5">
        <v>45698.0</v>
      </c>
      <c r="W16" s="3" t="str">
        <f t="shared" si="1"/>
        <v>February 2025</v>
      </c>
      <c r="X16" s="3" t="s">
        <v>87</v>
      </c>
      <c r="Y16" s="3" t="s">
        <v>28</v>
      </c>
      <c r="Z16" s="3">
        <v>9.0</v>
      </c>
      <c r="AA16" s="1">
        <f>LET(bal_date, V16+TIME(23,59,59), SUMIFS('inventory ledger'!$H:$H, 'inventory ledger'!$C:$C, X16, 'inventory ledger'!$D:$D, Y16, 'inventory ledger'!$E:$E, Z16, 'inventory ledger'!$A:$A, "&lt;="&amp;bal_date) - SUMIFS('inventory ledger'!$I:$I, 'inventory ledger'!$C:$C, X16, 'inventory ledger'!$D:$D, Y16, 'inventory ledger'!$E:$E, Z16, 'inventory ledger'!$A:$A, "&lt;="&amp;bal_date))</f>
        <v>14</v>
      </c>
      <c r="AB16" s="1">
        <f>IFERROR(__xludf.DUMMYFUNCTION("IFERROR(ROUNDUP(AA16 / MAX(1, INDEX(FILTER('warehouse config'!$D:$D, ('warehouse config'!$B:$B=X16) * ('warehouse config'!$C:$C=Y16) * ('warehouse config'!$G:$G&lt;=V16) * (('warehouse config'!$H:$H&gt;=V16) + ISBLANK('warehouse config'!$H:$H))),1))),0)"),1.0)</f>
        <v>1</v>
      </c>
      <c r="AC16" s="1">
        <f>IFERROR(__xludf.DUMMYFUNCTION("IFERROR(INDEX(FILTER('cost master'!$E:$E, ('cost master'!$B:$B=X16) * ('cost master'!$D:$D=""Storage cost per pallet / week"") * ('cost master'!$G:$G&lt;=V16) * (('cost master'!$H:$H&gt;=V16) + ISBLANK('cost master'!$H:$H))),1),0)"),3.9)</f>
        <v>3.9</v>
      </c>
      <c r="AD16" s="1">
        <f t="shared" si="2"/>
        <v>3.9</v>
      </c>
    </row>
    <row r="17" hidden="1">
      <c r="A17" s="3" t="str">
        <f t="shared" si="3"/>
        <v>SL-20250106-FMC-CS 009-11</v>
      </c>
      <c r="B17" s="2">
        <f t="array" ref="B17">INDEX(helper!$A$3:$A3996,ROUNDUP((ROW()-1)/COUNTA(helper!$D$3:$D3996),0))</f>
        <v>45663</v>
      </c>
      <c r="C17" s="5" t="str">
        <f t="array" ref="C17">IF(B17="","",INDEX(helper!$D$3:$D3996,MOD(ROW()-2,COUNTA(helper!$D$3:$D3996))+1))</f>
        <v>FMC</v>
      </c>
      <c r="D17" s="3" t="str">
        <f t="array" ref="D17">IF(B17="","",INDEX(helper!$E$3:$E3996,MOD(ROW()-2,COUNTA(helper!$D$3:$D3996))+1))</f>
        <v>CS 009</v>
      </c>
      <c r="E17" s="3">
        <f t="array" ref="E17">IF(B17="","",INDEX(helper!$F$3:$F3996,MOD(ROW()-2,COUNTA(helper!$D$3:$D3996))+1))</f>
        <v>11</v>
      </c>
      <c r="F17" s="3">
        <f>IF(B17="","",SUMIFS('inventory ledger'!$H:$H,'inventory ledger'!$C:$C,C17,'inventory ledger'!$D:$D,D17,'inventory ledger'!$E:$E,E17,'inventory ledger'!$A:$A,"&lt;="&amp;B17+TIME(23,59,59))-SUMIFS('inventory ledger'!$I:$I,'inventory ledger'!$C:$C,C17,'inventory ledger'!$D:$D,D17,'inventory ledger'!$E:$E,E17,'inventory ledger'!$A:$A,"&lt;="&amp;B17+TIME(23,59,59)))</f>
        <v>28</v>
      </c>
      <c r="G17" s="3">
        <f>IFERROR(__xludf.DUMMYFUNCTION("IF(F17&lt;=0,0,IFERROR(ROUNDUP(F17/INDEX(FILTER('warehouse config'!$D:$D,('warehouse config'!$B:$B=C17)*('warehouse config'!$C:$C=D17)*('warehouse config'!$G:$G&lt;=B17)*(('warehouse config'!$H:$H&gt;=B17)+ISBLANK('warehouse config'!$H:$H))),1)),0))"),2.0)</f>
        <v>2</v>
      </c>
      <c r="H17" s="3">
        <f>IFERROR(__xludf.DUMMYFUNCTION("IFERROR(INDEX(FILTER('cost master'!$E:$E,('cost master'!$B:$B=C17)*('cost master'!$D:$D=""Storage cost per pallet / week"")*('cost master'!$G:$G&lt;=B17)*(('cost master'!$H:$H&gt;=B17)+ISBLANK('cost master'!$H:$H))),1),0)"),3.9)</f>
        <v>3.9</v>
      </c>
      <c r="I17" s="3">
        <f t="shared" si="4"/>
        <v>7.8</v>
      </c>
      <c r="J17" s="27">
        <f t="shared" si="5"/>
        <v>45642</v>
      </c>
      <c r="K17" s="27">
        <f t="shared" si="6"/>
        <v>45672</v>
      </c>
    </row>
    <row r="18" hidden="1">
      <c r="A18" s="3" t="str">
        <f t="shared" si="3"/>
        <v>SL-20250106-FMC-CS 010-11</v>
      </c>
      <c r="B18" s="2">
        <f t="array" ref="B18">INDEX(helper!$A$3:$A3996,ROUNDUP((ROW()-1)/COUNTA(helper!$D$3:$D3996),0))</f>
        <v>45663</v>
      </c>
      <c r="C18" s="5" t="str">
        <f t="array" ref="C18">IF(B18="","",INDEX(helper!$D$3:$D3996,MOD(ROW()-2,COUNTA(helper!$D$3:$D3996))+1))</f>
        <v>FMC</v>
      </c>
      <c r="D18" s="3" t="str">
        <f t="array" ref="D18">IF(B18="","",INDEX(helper!$E$3:$E3996,MOD(ROW()-2,COUNTA(helper!$D$3:$D3996))+1))</f>
        <v>CS 010</v>
      </c>
      <c r="E18" s="3">
        <f t="array" ref="E18">IF(B18="","",INDEX(helper!$F$3:$F3996,MOD(ROW()-2,COUNTA(helper!$D$3:$D3996))+1))</f>
        <v>11</v>
      </c>
      <c r="F18" s="3">
        <f>IF(B18="","",SUMIFS('inventory ledger'!$H:$H,'inventory ledger'!$C:$C,C18,'inventory ledger'!$D:$D,D18,'inventory ledger'!$E:$E,E18,'inventory ledger'!$A:$A,"&lt;="&amp;B18+TIME(23,59,59))-SUMIFS('inventory ledger'!$I:$I,'inventory ledger'!$C:$C,C18,'inventory ledger'!$D:$D,D18,'inventory ledger'!$E:$E,E18,'inventory ledger'!$A:$A,"&lt;="&amp;B18+TIME(23,59,59)))</f>
        <v>46</v>
      </c>
      <c r="G18" s="3">
        <f>IFERROR(__xludf.DUMMYFUNCTION("IF(F18&lt;=0,0,IFERROR(ROUNDUP(F18/INDEX(FILTER('warehouse config'!$D:$D,('warehouse config'!$B:$B=C18)*('warehouse config'!$C:$C=D18)*('warehouse config'!$G:$G&lt;=B18)*(('warehouse config'!$H:$H&gt;=B18)+ISBLANK('warehouse config'!$H:$H))),1)),0))"),2.0)</f>
        <v>2</v>
      </c>
      <c r="H18" s="3">
        <f>IFERROR(__xludf.DUMMYFUNCTION("IFERROR(INDEX(FILTER('cost master'!$E:$E,('cost master'!$B:$B=C18)*('cost master'!$D:$D=""Storage cost per pallet / week"")*('cost master'!$G:$G&lt;=B18)*(('cost master'!$H:$H&gt;=B18)+ISBLANK('cost master'!$H:$H))),1),0)"),3.9)</f>
        <v>3.9</v>
      </c>
      <c r="I18" s="3">
        <f t="shared" si="4"/>
        <v>7.8</v>
      </c>
      <c r="J18" s="27">
        <f t="shared" si="5"/>
        <v>45642</v>
      </c>
      <c r="K18" s="27">
        <f t="shared" si="6"/>
        <v>45672</v>
      </c>
      <c r="U18" s="1" t="s">
        <v>480</v>
      </c>
      <c r="V18" s="5">
        <v>45698.0</v>
      </c>
      <c r="W18" s="3" t="str">
        <f>TEXT(EDATE(V18, IF(DAY(V18)&gt;15,1,0)), "mmmm yyyy")</f>
        <v>February 2025</v>
      </c>
      <c r="X18" s="3" t="s">
        <v>87</v>
      </c>
      <c r="Y18" s="3" t="s">
        <v>37</v>
      </c>
      <c r="Z18" s="3">
        <v>11.0</v>
      </c>
      <c r="AA18" s="1">
        <f>LET(bal_date, V18+TIME(23,59,59), SUMIFS('inventory ledger'!$H:$H, 'inventory ledger'!$C:$C, X18, 'inventory ledger'!$D:$D, Y18, 'inventory ledger'!$E:$E, Z18, 'inventory ledger'!$A:$A, "&lt;="&amp;bal_date) - SUMIFS('inventory ledger'!$I:$I, 'inventory ledger'!$C:$C, X18, 'inventory ledger'!$D:$D, Y18, 'inventory ledger'!$E:$E, Z18, 'inventory ledger'!$A:$A, "&lt;="&amp;bal_date))</f>
        <v>46</v>
      </c>
      <c r="AB18" s="1">
        <f>IFERROR(__xludf.DUMMYFUNCTION("IFERROR(ROUNDUP(AA18 / MAX(1, INDEX(FILTER('warehouse config'!$D:$D, ('warehouse config'!$B:$B=X18) * ('warehouse config'!$C:$C=Y18) * ('warehouse config'!$G:$G&lt;=V18) * (('warehouse config'!$H:$H&gt;=V18) + ISBLANK('warehouse config'!$H:$H))),1))),0)"),2.0)</f>
        <v>2</v>
      </c>
      <c r="AC18" s="1">
        <f>IFERROR(__xludf.DUMMYFUNCTION("IFERROR(INDEX(FILTER('cost master'!$E:$E, ('cost master'!$B:$B=X18) * ('cost master'!$D:$D=""Storage cost per pallet / week"") * ('cost master'!$G:$G&lt;=V18) * (('cost master'!$H:$H&gt;=V18) + ISBLANK('cost master'!$H:$H))),1),0)"),3.9)</f>
        <v>3.9</v>
      </c>
      <c r="AD18" s="1">
        <f>AB18*AC18</f>
        <v>7.8</v>
      </c>
    </row>
    <row r="19" hidden="1">
      <c r="A19" s="3" t="str">
        <f t="shared" si="3"/>
        <v>SL-20250106-Vglobal-CS 007-12</v>
      </c>
      <c r="B19" s="2">
        <f t="array" ref="B19">INDEX(helper!$A$3:$A3996,ROUNDUP((ROW()-1)/COUNTA(helper!$D$3:$D3996),0))</f>
        <v>45663</v>
      </c>
      <c r="C19" s="5" t="str">
        <f t="array" ref="C19">IF(B19="","",INDEX(helper!$D$3:$D3996,MOD(ROW()-2,COUNTA(helper!$D$3:$D3996))+1))</f>
        <v>Vglobal</v>
      </c>
      <c r="D19" s="3" t="str">
        <f t="array" ref="D19">IF(B19="","",INDEX(helper!$E$3:$E3996,MOD(ROW()-2,COUNTA(helper!$D$3:$D3996))+1))</f>
        <v>CS 007</v>
      </c>
      <c r="E19" s="3">
        <f t="array" ref="E19">IF(B19="","",INDEX(helper!$F$3:$F3996,MOD(ROW()-2,COUNTA(helper!$D$3:$D3996))+1))</f>
        <v>12</v>
      </c>
      <c r="F19" s="3">
        <f>IF(B19="","",SUMIFS('inventory ledger'!$H:$H,'inventory ledger'!$C:$C,C19,'inventory ledger'!$D:$D,D19,'inventory ledger'!$E:$E,E19,'inventory ledger'!$A:$A,"&lt;="&amp;B19+TIME(23,59,59))-SUMIFS('inventory ledger'!$I:$I,'inventory ledger'!$C:$C,C19,'inventory ledger'!$D:$D,D19,'inventory ledger'!$E:$E,E19,'inventory ledger'!$A:$A,"&lt;="&amp;B19+TIME(23,59,59)))</f>
        <v>228</v>
      </c>
      <c r="G19" s="3">
        <f>IFERROR(__xludf.DUMMYFUNCTION("IF(F19&lt;=0,0,IFERROR(ROUNDUP(F19/INDEX(FILTER('warehouse config'!$D:$D,('warehouse config'!$B:$B=C19)*('warehouse config'!$C:$C=D19)*('warehouse config'!$G:$G&lt;=B19)*(('warehouse config'!$H:$H&gt;=B19)+ISBLANK('warehouse config'!$H:$H))),1)),0))"),15.0)</f>
        <v>15</v>
      </c>
      <c r="H19" s="3">
        <f>IFERROR(__xludf.DUMMYFUNCTION("IFERROR(INDEX(FILTER('cost master'!$E:$E,('cost master'!$B:$B=C19)*('cost master'!$D:$D=""Storage cost per pallet / week"")*('cost master'!$G:$G&lt;=B19)*(('cost master'!$H:$H&gt;=B19)+ISBLANK('cost master'!$H:$H))),1),0)"),2.6)</f>
        <v>2.6</v>
      </c>
      <c r="I19" s="3">
        <f t="shared" si="4"/>
        <v>39</v>
      </c>
      <c r="J19" s="27">
        <f t="shared" si="5"/>
        <v>45642</v>
      </c>
      <c r="K19" s="27">
        <f t="shared" si="6"/>
        <v>45672</v>
      </c>
    </row>
    <row r="20" hidden="1">
      <c r="A20" s="3" t="str">
        <f t="shared" si="3"/>
        <v>SL-20250106-Vglobal-CS 011-12</v>
      </c>
      <c r="B20" s="2">
        <f t="array" ref="B20">INDEX(helper!$A$3:$A3996,ROUNDUP((ROW()-1)/COUNTA(helper!$D$3:$D3996),0))</f>
        <v>45663</v>
      </c>
      <c r="C20" s="5" t="str">
        <f t="array" ref="C20">IF(B20="","",INDEX(helper!$D$3:$D3996,MOD(ROW()-2,COUNTA(helper!$D$3:$D3996))+1))</f>
        <v>Vglobal</v>
      </c>
      <c r="D20" s="3" t="str">
        <f t="array" ref="D20">IF(B20="","",INDEX(helper!$E$3:$E3996,MOD(ROW()-2,COUNTA(helper!$D$3:$D3996))+1))</f>
        <v>CS 011</v>
      </c>
      <c r="E20" s="3">
        <f t="array" ref="E20">IF(B20="","",INDEX(helper!$F$3:$F3996,MOD(ROW()-2,COUNTA(helper!$D$3:$D3996))+1))</f>
        <v>12</v>
      </c>
      <c r="F20" s="3">
        <f>IF(B20="","",SUMIFS('inventory ledger'!$H:$H,'inventory ledger'!$C:$C,C20,'inventory ledger'!$D:$D,D20,'inventory ledger'!$E:$E,E20,'inventory ledger'!$A:$A,"&lt;="&amp;B20+TIME(23,59,59))-SUMIFS('inventory ledger'!$I:$I,'inventory ledger'!$C:$C,C20,'inventory ledger'!$D:$D,D20,'inventory ledger'!$E:$E,E20,'inventory ledger'!$A:$A,"&lt;="&amp;B20+TIME(23,59,59)))</f>
        <v>105</v>
      </c>
      <c r="G20" s="3">
        <f>IFERROR(__xludf.DUMMYFUNCTION("IF(F20&lt;=0,0,IFERROR(ROUNDUP(F20/INDEX(FILTER('warehouse config'!$D:$D,('warehouse config'!$B:$B=C20)*('warehouse config'!$C:$C=D20)*('warehouse config'!$G:$G&lt;=B20)*(('warehouse config'!$H:$H&gt;=B20)+ISBLANK('warehouse config'!$H:$H))),1)),0))"),6.0)</f>
        <v>6</v>
      </c>
      <c r="H20" s="3">
        <f>IFERROR(__xludf.DUMMYFUNCTION("IFERROR(INDEX(FILTER('cost master'!$E:$E,('cost master'!$B:$B=C20)*('cost master'!$D:$D=""Storage cost per pallet / week"")*('cost master'!$G:$G&lt;=B20)*(('cost master'!$H:$H&gt;=B20)+ISBLANK('cost master'!$H:$H))),1),0)"),2.6)</f>
        <v>2.6</v>
      </c>
      <c r="I20" s="3">
        <f t="shared" si="4"/>
        <v>15.6</v>
      </c>
      <c r="J20" s="27">
        <f t="shared" si="5"/>
        <v>45642</v>
      </c>
      <c r="K20" s="27">
        <f t="shared" si="6"/>
        <v>45672</v>
      </c>
    </row>
    <row r="21" hidden="1">
      <c r="A21" s="3" t="str">
        <f t="shared" si="3"/>
        <v>SL-20250106-Vglobal-CS 008-12</v>
      </c>
      <c r="B21" s="2">
        <f t="array" ref="B21">INDEX(helper!$A$3:$A3996,ROUNDUP((ROW()-1)/COUNTA(helper!$D$3:$D3996),0))</f>
        <v>45663</v>
      </c>
      <c r="C21" s="5" t="str">
        <f t="array" ref="C21">IF(B21="","",INDEX(helper!$D$3:$D3996,MOD(ROW()-2,COUNTA(helper!$D$3:$D3996))+1))</f>
        <v>Vglobal</v>
      </c>
      <c r="D21" s="3" t="str">
        <f t="array" ref="D21">IF(B21="","",INDEX(helper!$E$3:$E3996,MOD(ROW()-2,COUNTA(helper!$D$3:$D3996))+1))</f>
        <v>CS 008</v>
      </c>
      <c r="E21" s="3">
        <f t="array" ref="E21">IF(B21="","",INDEX(helper!$F$3:$F3996,MOD(ROW()-2,COUNTA(helper!$D$3:$D3996))+1))</f>
        <v>12</v>
      </c>
      <c r="F21" s="3">
        <f>IF(B21="","",SUMIFS('inventory ledger'!$H:$H,'inventory ledger'!$C:$C,C21,'inventory ledger'!$D:$D,D21,'inventory ledger'!$E:$E,E21,'inventory ledger'!$A:$A,"&lt;="&amp;B21+TIME(23,59,59))-SUMIFS('inventory ledger'!$I:$I,'inventory ledger'!$C:$C,C21,'inventory ledger'!$D:$D,D21,'inventory ledger'!$E:$E,E21,'inventory ledger'!$A:$A,"&lt;="&amp;B21+TIME(23,59,59)))</f>
        <v>20</v>
      </c>
      <c r="G21" s="3">
        <f>IFERROR(__xludf.DUMMYFUNCTION("IF(F21&lt;=0,0,IFERROR(ROUNDUP(F21/INDEX(FILTER('warehouse config'!$D:$D,('warehouse config'!$B:$B=C21)*('warehouse config'!$C:$C=D21)*('warehouse config'!$G:$G&lt;=B21)*(('warehouse config'!$H:$H&gt;=B21)+ISBLANK('warehouse config'!$H:$H))),1)),0))"),1.0)</f>
        <v>1</v>
      </c>
      <c r="H21" s="3">
        <f>IFERROR(__xludf.DUMMYFUNCTION("IFERROR(INDEX(FILTER('cost master'!$E:$E,('cost master'!$B:$B=C21)*('cost master'!$D:$D=""Storage cost per pallet / week"")*('cost master'!$G:$G&lt;=B21)*(('cost master'!$H:$H&gt;=B21)+ISBLANK('cost master'!$H:$H))),1),0)"),2.6)</f>
        <v>2.6</v>
      </c>
      <c r="I21" s="3">
        <f t="shared" si="4"/>
        <v>2.6</v>
      </c>
      <c r="J21" s="27">
        <f t="shared" si="5"/>
        <v>45642</v>
      </c>
      <c r="K21" s="27">
        <f t="shared" si="6"/>
        <v>45672</v>
      </c>
    </row>
    <row r="22" hidden="1">
      <c r="A22" s="3" t="str">
        <f t="shared" si="3"/>
        <v>SL-20250106-Vglobal-CS 010-12</v>
      </c>
      <c r="B22" s="2">
        <f t="array" ref="B22">INDEX(helper!$A$3:$A3996,ROUNDUP((ROW()-1)/COUNTA(helper!$D$3:$D3996),0))</f>
        <v>45663</v>
      </c>
      <c r="C22" s="5" t="str">
        <f t="array" ref="C22">IF(B22="","",INDEX(helper!$D$3:$D3996,MOD(ROW()-2,COUNTA(helper!$D$3:$D3996))+1))</f>
        <v>Vglobal</v>
      </c>
      <c r="D22" s="3" t="str">
        <f t="array" ref="D22">IF(B22="","",INDEX(helper!$E$3:$E3996,MOD(ROW()-2,COUNTA(helper!$D$3:$D3996))+1))</f>
        <v>CS 010</v>
      </c>
      <c r="E22" s="3">
        <f t="array" ref="E22">IF(B22="","",INDEX(helper!$F$3:$F3996,MOD(ROW()-2,COUNTA(helper!$D$3:$D3996))+1))</f>
        <v>12</v>
      </c>
      <c r="F22" s="3">
        <f>IF(B22="","",SUMIFS('inventory ledger'!$H:$H,'inventory ledger'!$C:$C,C22,'inventory ledger'!$D:$D,D22,'inventory ledger'!$E:$E,E22,'inventory ledger'!$A:$A,"&lt;="&amp;B22+TIME(23,59,59))-SUMIFS('inventory ledger'!$I:$I,'inventory ledger'!$C:$C,C22,'inventory ledger'!$D:$D,D22,'inventory ledger'!$E:$E,E22,'inventory ledger'!$A:$A,"&lt;="&amp;B22+TIME(23,59,59)))</f>
        <v>80</v>
      </c>
      <c r="G22" s="3">
        <f>IFERROR(__xludf.DUMMYFUNCTION("IF(F22&lt;=0,0,IFERROR(ROUNDUP(F22/INDEX(FILTER('warehouse config'!$D:$D,('warehouse config'!$B:$B=C22)*('warehouse config'!$C:$C=D22)*('warehouse config'!$G:$G&lt;=B22)*(('warehouse config'!$H:$H&gt;=B22)+ISBLANK('warehouse config'!$H:$H))),1)),0))"),4.0)</f>
        <v>4</v>
      </c>
      <c r="H22" s="3">
        <f>IFERROR(__xludf.DUMMYFUNCTION("IFERROR(INDEX(FILTER('cost master'!$E:$E,('cost master'!$B:$B=C22)*('cost master'!$D:$D=""Storage cost per pallet / week"")*('cost master'!$G:$G&lt;=B22)*(('cost master'!$H:$H&gt;=B22)+ISBLANK('cost master'!$H:$H))),1),0)"),2.6)</f>
        <v>2.6</v>
      </c>
      <c r="I22" s="3">
        <f t="shared" si="4"/>
        <v>10.4</v>
      </c>
      <c r="J22" s="27">
        <f t="shared" si="5"/>
        <v>45642</v>
      </c>
      <c r="K22" s="27">
        <f t="shared" si="6"/>
        <v>45672</v>
      </c>
    </row>
    <row r="23" hidden="1">
      <c r="A23" s="3" t="str">
        <f t="shared" si="3"/>
        <v>SL-20250106-Vglobal-CS 009-12</v>
      </c>
      <c r="B23" s="2">
        <f t="array" ref="B23">INDEX(helper!$A$3:$A3996,ROUNDUP((ROW()-1)/COUNTA(helper!$D$3:$D3996),0))</f>
        <v>45663</v>
      </c>
      <c r="C23" s="5" t="str">
        <f t="array" ref="C23">IF(B23="","",INDEX(helper!$D$3:$D3996,MOD(ROW()-2,COUNTA(helper!$D$3:$D3996))+1))</f>
        <v>Vglobal</v>
      </c>
      <c r="D23" s="3" t="str">
        <f t="array" ref="D23">IF(B23="","",INDEX(helper!$E$3:$E3996,MOD(ROW()-2,COUNTA(helper!$D$3:$D3996))+1))</f>
        <v>CS 009</v>
      </c>
      <c r="E23" s="3">
        <f t="array" ref="E23">IF(B23="","",INDEX(helper!$F$3:$F3996,MOD(ROW()-2,COUNTA(helper!$D$3:$D3996))+1))</f>
        <v>12</v>
      </c>
      <c r="F23" s="3">
        <f>IF(B23="","",SUMIFS('inventory ledger'!$H:$H,'inventory ledger'!$C:$C,C23,'inventory ledger'!$D:$D,D23,'inventory ledger'!$E:$E,E23,'inventory ledger'!$A:$A,"&lt;="&amp;B23+TIME(23,59,59))-SUMIFS('inventory ledger'!$I:$I,'inventory ledger'!$C:$C,C23,'inventory ledger'!$D:$D,D23,'inventory ledger'!$E:$E,E23,'inventory ledger'!$A:$A,"&lt;="&amp;B23+TIME(23,59,59)))</f>
        <v>104</v>
      </c>
      <c r="G23" s="3">
        <f>IFERROR(__xludf.DUMMYFUNCTION("IF(F23&lt;=0,0,IFERROR(ROUNDUP(F23/INDEX(FILTER('warehouse config'!$D:$D,('warehouse config'!$B:$B=C23)*('warehouse config'!$C:$C=D23)*('warehouse config'!$G:$G&lt;=B23)*(('warehouse config'!$H:$H&gt;=B23)+ISBLANK('warehouse config'!$H:$H))),1)),0))"),7.0)</f>
        <v>7</v>
      </c>
      <c r="H23" s="3">
        <f>IFERROR(__xludf.DUMMYFUNCTION("IFERROR(INDEX(FILTER('cost master'!$E:$E,('cost master'!$B:$B=C23)*('cost master'!$D:$D=""Storage cost per pallet / week"")*('cost master'!$G:$G&lt;=B23)*(('cost master'!$H:$H&gt;=B23)+ISBLANK('cost master'!$H:$H))),1),0)"),2.6)</f>
        <v>2.6</v>
      </c>
      <c r="I23" s="3">
        <f t="shared" si="4"/>
        <v>18.2</v>
      </c>
      <c r="J23" s="27">
        <f t="shared" si="5"/>
        <v>45642</v>
      </c>
      <c r="K23" s="27">
        <f t="shared" si="6"/>
        <v>45672</v>
      </c>
    </row>
    <row r="24" hidden="1">
      <c r="A24" s="3" t="str">
        <f t="shared" si="3"/>
        <v>SL-20250106-Vglobal-CS 012-12</v>
      </c>
      <c r="B24" s="2">
        <f t="array" ref="B24">INDEX(helper!$A$3:$A3996,ROUNDUP((ROW()-1)/COUNTA(helper!$D$3:$D3996),0))</f>
        <v>45663</v>
      </c>
      <c r="C24" s="5" t="str">
        <f t="array" ref="C24">IF(B24="","",INDEX(helper!$D$3:$D3996,MOD(ROW()-2,COUNTA(helper!$D$3:$D3996))+1))</f>
        <v>Vglobal</v>
      </c>
      <c r="D24" s="3" t="str">
        <f t="array" ref="D24">IF(B24="","",INDEX(helper!$E$3:$E3996,MOD(ROW()-2,COUNTA(helper!$D$3:$D3996))+1))</f>
        <v>CS 012</v>
      </c>
      <c r="E24" s="3">
        <f t="array" ref="E24">IF(B24="","",INDEX(helper!$F$3:$F3996,MOD(ROW()-2,COUNTA(helper!$D$3:$D3996))+1))</f>
        <v>12</v>
      </c>
      <c r="F24" s="3">
        <f>IF(B24="","",SUMIFS('inventory ledger'!$H:$H,'inventory ledger'!$C:$C,C24,'inventory ledger'!$D:$D,D24,'inventory ledger'!$E:$E,E24,'inventory ledger'!$A:$A,"&lt;="&amp;B24+TIME(23,59,59))-SUMIFS('inventory ledger'!$I:$I,'inventory ledger'!$C:$C,C24,'inventory ledger'!$D:$D,D24,'inventory ledger'!$E:$E,E24,'inventory ledger'!$A:$A,"&lt;="&amp;B24+TIME(23,59,59)))</f>
        <v>6</v>
      </c>
      <c r="G24" s="3">
        <f>IFERROR(__xludf.DUMMYFUNCTION("IF(F24&lt;=0,0,IFERROR(ROUNDUP(F24/INDEX(FILTER('warehouse config'!$D:$D,('warehouse config'!$B:$B=C24)*('warehouse config'!$C:$C=D24)*('warehouse config'!$G:$G&lt;=B24)*(('warehouse config'!$H:$H&gt;=B24)+ISBLANK('warehouse config'!$H:$H))),1)),0))"),1.0)</f>
        <v>1</v>
      </c>
      <c r="H24" s="3">
        <f>IFERROR(__xludf.DUMMYFUNCTION("IFERROR(INDEX(FILTER('cost master'!$E:$E,('cost master'!$B:$B=C24)*('cost master'!$D:$D=""Storage cost per pallet / week"")*('cost master'!$G:$G&lt;=B24)*(('cost master'!$H:$H&gt;=B24)+ISBLANK('cost master'!$H:$H))),1),0)"),2.6)</f>
        <v>2.6</v>
      </c>
      <c r="I24" s="3">
        <f t="shared" si="4"/>
        <v>2.6</v>
      </c>
      <c r="J24" s="27">
        <f t="shared" si="5"/>
        <v>45642</v>
      </c>
      <c r="K24" s="27">
        <f t="shared" si="6"/>
        <v>45672</v>
      </c>
    </row>
    <row r="25" hidden="1">
      <c r="A25" s="3" t="str">
        <f t="shared" si="3"/>
        <v>SL-20250106-Vglobal-CS-CDS-001-3</v>
      </c>
      <c r="B25" s="2">
        <f t="array" ref="B25">INDEX(helper!$A$3:$A3996,ROUNDUP((ROW()-1)/COUNTA(helper!$D$3:$D3996),0))</f>
        <v>45663</v>
      </c>
      <c r="C25" s="5" t="str">
        <f t="array" ref="C25">IF(B25="","",INDEX(helper!$D$3:$D3996,MOD(ROW()-2,COUNTA(helper!$D$3:$D3996))+1))</f>
        <v>Vglobal</v>
      </c>
      <c r="D25" s="3" t="str">
        <f t="array" ref="D25">IF(B25="","",INDEX(helper!$E$3:$E3996,MOD(ROW()-2,COUNTA(helper!$D$3:$D3996))+1))</f>
        <v>CS-CDS-001</v>
      </c>
      <c r="E25" s="3">
        <f t="array" ref="E25">IF(B25="","",INDEX(helper!$F$3:$F3996,MOD(ROW()-2,COUNTA(helper!$D$3:$D3996))+1))</f>
        <v>3</v>
      </c>
      <c r="F25" s="3">
        <f>IF(B25="","",SUMIFS('inventory ledger'!$H:$H,'inventory ledger'!$C:$C,C25,'inventory ledger'!$D:$D,D25,'inventory ledger'!$E:$E,E25,'inventory ledger'!$A:$A,"&lt;="&amp;B25+TIME(23,59,59))-SUMIFS('inventory ledger'!$I:$I,'inventory ledger'!$C:$C,C25,'inventory ledger'!$D:$D,D25,'inventory ledger'!$E:$E,E25,'inventory ledger'!$A:$A,"&lt;="&amp;B25+TIME(23,59,59)))</f>
        <v>55</v>
      </c>
      <c r="G25" s="3">
        <f>IFERROR(__xludf.DUMMYFUNCTION("IF(F25&lt;=0,0,IFERROR(ROUNDUP(F25/INDEX(FILTER('warehouse config'!$D:$D,('warehouse config'!$B:$B=C25)*('warehouse config'!$C:$C=D25)*('warehouse config'!$G:$G&lt;=B25)*(('warehouse config'!$H:$H&gt;=B25)+ISBLANK('warehouse config'!$H:$H))),1)),0))"),4.0)</f>
        <v>4</v>
      </c>
      <c r="H25" s="3">
        <f>IFERROR(__xludf.DUMMYFUNCTION("IFERROR(INDEX(FILTER('cost master'!$E:$E,('cost master'!$B:$B=C25)*('cost master'!$D:$D=""Storage cost per pallet / week"")*('cost master'!$G:$G&lt;=B25)*(('cost master'!$H:$H&gt;=B25)+ISBLANK('cost master'!$H:$H))),1),0)"),2.6)</f>
        <v>2.6</v>
      </c>
      <c r="I25" s="3">
        <f t="shared" si="4"/>
        <v>10.4</v>
      </c>
      <c r="J25" s="27">
        <f t="shared" si="5"/>
        <v>45642</v>
      </c>
      <c r="K25" s="27">
        <f t="shared" si="6"/>
        <v>45672</v>
      </c>
    </row>
    <row r="26" hidden="1">
      <c r="A26" s="3" t="str">
        <f t="shared" si="3"/>
        <v>SL-20250106-Vglobal-CS-CDS-002-3</v>
      </c>
      <c r="B26" s="2">
        <f t="array" ref="B26">INDEX(helper!$A$3:$A3996,ROUNDUP((ROW()-1)/COUNTA(helper!$D$3:$D3996),0))</f>
        <v>45663</v>
      </c>
      <c r="C26" s="5" t="str">
        <f t="array" ref="C26">IF(B26="","",INDEX(helper!$D$3:$D3996,MOD(ROW()-2,COUNTA(helper!$D$3:$D3996))+1))</f>
        <v>Vglobal</v>
      </c>
      <c r="D26" s="3" t="str">
        <f t="array" ref="D26">IF(B26="","",INDEX(helper!$E$3:$E3996,MOD(ROW()-2,COUNTA(helper!$D$3:$D3996))+1))</f>
        <v>CS-CDS-002</v>
      </c>
      <c r="E26" s="3">
        <f t="array" ref="E26">IF(B26="","",INDEX(helper!$F$3:$F3996,MOD(ROW()-2,COUNTA(helper!$D$3:$D3996))+1))</f>
        <v>3</v>
      </c>
      <c r="F26" s="3">
        <f>IF(B26="","",SUMIFS('inventory ledger'!$H:$H,'inventory ledger'!$C:$C,C26,'inventory ledger'!$D:$D,D26,'inventory ledger'!$E:$E,E26,'inventory ledger'!$A:$A,"&lt;="&amp;B26+TIME(23,59,59))-SUMIFS('inventory ledger'!$I:$I,'inventory ledger'!$C:$C,C26,'inventory ledger'!$D:$D,D26,'inventory ledger'!$E:$E,E26,'inventory ledger'!$A:$A,"&lt;="&amp;B26+TIME(23,59,59)))</f>
        <v>64</v>
      </c>
      <c r="G26" s="3">
        <f>IFERROR(__xludf.DUMMYFUNCTION("IF(F26&lt;=0,0,IFERROR(ROUNDUP(F26/INDEX(FILTER('warehouse config'!$D:$D,('warehouse config'!$B:$B=C26)*('warehouse config'!$C:$C=D26)*('warehouse config'!$G:$G&lt;=B26)*(('warehouse config'!$H:$H&gt;=B26)+ISBLANK('warehouse config'!$H:$H))),1)),0))"),4.0)</f>
        <v>4</v>
      </c>
      <c r="H26" s="3">
        <f>IFERROR(__xludf.DUMMYFUNCTION("IFERROR(INDEX(FILTER('cost master'!$E:$E,('cost master'!$B:$B=C26)*('cost master'!$D:$D=""Storage cost per pallet / week"")*('cost master'!$G:$G&lt;=B26)*(('cost master'!$H:$H&gt;=B26)+ISBLANK('cost master'!$H:$H))),1),0)"),2.6)</f>
        <v>2.6</v>
      </c>
      <c r="I26" s="3">
        <f t="shared" si="4"/>
        <v>10.4</v>
      </c>
      <c r="J26" s="27">
        <f t="shared" si="5"/>
        <v>45642</v>
      </c>
      <c r="K26" s="27">
        <f t="shared" si="6"/>
        <v>45672</v>
      </c>
    </row>
    <row r="27" hidden="1">
      <c r="A27" s="3" t="str">
        <f t="shared" si="3"/>
        <v>SL-20250106-4as-CS-CDS-001-4</v>
      </c>
      <c r="B27" s="2">
        <f t="array" ref="B27">INDEX(helper!$A$3:$A3996,ROUNDUP((ROW()-1)/COUNTA(helper!$D$3:$D3996),0))</f>
        <v>45663</v>
      </c>
      <c r="C27" s="5" t="str">
        <f t="array" ref="C27">IF(B27="","",INDEX(helper!$D$3:$D3996,MOD(ROW()-2,COUNTA(helper!$D$3:$D3996))+1))</f>
        <v>4as</v>
      </c>
      <c r="D27" s="3" t="str">
        <f t="array" ref="D27">IF(B27="","",INDEX(helper!$E$3:$E3996,MOD(ROW()-2,COUNTA(helper!$D$3:$D3996))+1))</f>
        <v>CS-CDS-001</v>
      </c>
      <c r="E27" s="3">
        <f t="array" ref="E27">IF(B27="","",INDEX(helper!$F$3:$F3996,MOD(ROW()-2,COUNTA(helper!$D$3:$D3996))+1))</f>
        <v>4</v>
      </c>
      <c r="F27" s="3">
        <f>IF(B27="","",SUMIFS('inventory ledger'!$H:$H,'inventory ledger'!$C:$C,C27,'inventory ledger'!$D:$D,D27,'inventory ledger'!$E:$E,E27,'inventory ledger'!$A:$A,"&lt;="&amp;B27+TIME(23,59,59))-SUMIFS('inventory ledger'!$I:$I,'inventory ledger'!$C:$C,C27,'inventory ledger'!$D:$D,D27,'inventory ledger'!$E:$E,E27,'inventory ledger'!$A:$A,"&lt;="&amp;B27+TIME(23,59,59)))</f>
        <v>91</v>
      </c>
      <c r="G27" s="3">
        <f>IFERROR(__xludf.DUMMYFUNCTION("IF(F27&lt;=0,0,IFERROR(ROUNDUP(F27/INDEX(FILTER('warehouse config'!$D:$D,('warehouse config'!$B:$B=C27)*('warehouse config'!$C:$C=D27)*('warehouse config'!$G:$G&lt;=B27)*(('warehouse config'!$H:$H&gt;=B27)+ISBLANK('warehouse config'!$H:$H))),1)),0))"),5.0)</f>
        <v>5</v>
      </c>
      <c r="H27" s="3">
        <f>IFERROR(__xludf.DUMMYFUNCTION("IFERROR(INDEX(FILTER('cost master'!$E:$E,('cost master'!$B:$B=C27)*('cost master'!$D:$D=""Storage cost per pallet / week"")*('cost master'!$G:$G&lt;=B27)*(('cost master'!$H:$H&gt;=B27)+ISBLANK('cost master'!$H:$H))),1),0)"),9.0)</f>
        <v>9</v>
      </c>
      <c r="I27" s="3">
        <f t="shared" si="4"/>
        <v>45</v>
      </c>
      <c r="J27" s="27">
        <f t="shared" si="5"/>
        <v>45642</v>
      </c>
      <c r="K27" s="27">
        <f t="shared" si="6"/>
        <v>45672</v>
      </c>
    </row>
    <row r="28" hidden="1">
      <c r="A28" s="3" t="str">
        <f t="shared" si="3"/>
        <v>SL-20250106-4as-CS-CDS-002-4</v>
      </c>
      <c r="B28" s="2">
        <f t="array" ref="B28">INDEX(helper!$A$3:$A3996,ROUNDUP((ROW()-1)/COUNTA(helper!$D$3:$D3996),0))</f>
        <v>45663</v>
      </c>
      <c r="C28" s="5" t="str">
        <f t="array" ref="C28">IF(B28="","",INDEX(helper!$D$3:$D3996,MOD(ROW()-2,COUNTA(helper!$D$3:$D3996))+1))</f>
        <v>4as</v>
      </c>
      <c r="D28" s="3" t="str">
        <f t="array" ref="D28">IF(B28="","",INDEX(helper!$E$3:$E3996,MOD(ROW()-2,COUNTA(helper!$D$3:$D3996))+1))</f>
        <v>CS-CDS-002</v>
      </c>
      <c r="E28" s="3">
        <f t="array" ref="E28">IF(B28="","",INDEX(helper!$F$3:$F3996,MOD(ROW()-2,COUNTA(helper!$D$3:$D3996))+1))</f>
        <v>4</v>
      </c>
      <c r="F28" s="3">
        <f>IF(B28="","",SUMIFS('inventory ledger'!$H:$H,'inventory ledger'!$C:$C,C28,'inventory ledger'!$D:$D,D28,'inventory ledger'!$E:$E,E28,'inventory ledger'!$A:$A,"&lt;="&amp;B28+TIME(23,59,59))-SUMIFS('inventory ledger'!$I:$I,'inventory ledger'!$C:$C,C28,'inventory ledger'!$D:$D,D28,'inventory ledger'!$E:$E,E28,'inventory ledger'!$A:$A,"&lt;="&amp;B28+TIME(23,59,59)))</f>
        <v>179</v>
      </c>
      <c r="G28" s="3">
        <f>IFERROR(__xludf.DUMMYFUNCTION("IF(F28&lt;=0,0,IFERROR(ROUNDUP(F28/INDEX(FILTER('warehouse config'!$D:$D,('warehouse config'!$B:$B=C28)*('warehouse config'!$C:$C=D28)*('warehouse config'!$G:$G&lt;=B28)*(('warehouse config'!$H:$H&gt;=B28)+ISBLANK('warehouse config'!$H:$H))),1)),0))"),9.0)</f>
        <v>9</v>
      </c>
      <c r="H28" s="3">
        <f>IFERROR(__xludf.DUMMYFUNCTION("IFERROR(INDEX(FILTER('cost master'!$E:$E,('cost master'!$B:$B=C28)*('cost master'!$D:$D=""Storage cost per pallet / week"")*('cost master'!$G:$G&lt;=B28)*(('cost master'!$H:$H&gt;=B28)+ISBLANK('cost master'!$H:$H))),1),0)"),9.0)</f>
        <v>9</v>
      </c>
      <c r="I28" s="3">
        <f t="shared" si="4"/>
        <v>81</v>
      </c>
      <c r="J28" s="27">
        <f t="shared" si="5"/>
        <v>45642</v>
      </c>
      <c r="K28" s="27">
        <f t="shared" si="6"/>
        <v>45672</v>
      </c>
    </row>
    <row r="29" hidden="1">
      <c r="A29" s="3" t="str">
        <f t="shared" si="3"/>
        <v>SL-20250106-Vglobal-CS 007-13</v>
      </c>
      <c r="B29" s="2">
        <f t="array" ref="B29">INDEX(helper!$A$3:$A3996,ROUNDUP((ROW()-1)/COUNTA(helper!$D$3:$D3996),0))</f>
        <v>45663</v>
      </c>
      <c r="C29" s="5" t="str">
        <f t="array" ref="C29">IF(B29="","",INDEX(helper!$D$3:$D3996,MOD(ROW()-2,COUNTA(helper!$D$3:$D3996))+1))</f>
        <v>Vglobal</v>
      </c>
      <c r="D29" s="3" t="str">
        <f t="array" ref="D29">IF(B29="","",INDEX(helper!$E$3:$E3996,MOD(ROW()-2,COUNTA(helper!$D$3:$D3996))+1))</f>
        <v>CS 007</v>
      </c>
      <c r="E29" s="3">
        <f t="array" ref="E29">IF(B29="","",INDEX(helper!$F$3:$F3996,MOD(ROW()-2,COUNTA(helper!$D$3:$D3996))+1))</f>
        <v>13</v>
      </c>
      <c r="F29" s="3">
        <f>IF(B29="","",SUMIFS('inventory ledger'!$H:$H,'inventory ledger'!$C:$C,C29,'inventory ledger'!$D:$D,D29,'inventory ledger'!$E:$E,E29,'inventory ledger'!$A:$A,"&lt;="&amp;B29+TIME(23,59,59))-SUMIFS('inventory ledger'!$I:$I,'inventory ledger'!$C:$C,C29,'inventory ledger'!$D:$D,D29,'inventory ledger'!$E:$E,E29,'inventory ledger'!$A:$A,"&lt;="&amp;B29+TIME(23,59,59)))</f>
        <v>0</v>
      </c>
      <c r="G29" s="3">
        <f>IFERROR(__xludf.DUMMYFUNCTION("IF(F29&lt;=0,0,IFERROR(ROUNDUP(F29/INDEX(FILTER('warehouse config'!$D:$D,('warehouse config'!$B:$B=C29)*('warehouse config'!$C:$C=D29)*('warehouse config'!$G:$G&lt;=B29)*(('warehouse config'!$H:$H&gt;=B29)+ISBLANK('warehouse config'!$H:$H))),1)),0))"),0.0)</f>
        <v>0</v>
      </c>
      <c r="H29" s="3">
        <f>IFERROR(__xludf.DUMMYFUNCTION("IFERROR(INDEX(FILTER('cost master'!$E:$E,('cost master'!$B:$B=C29)*('cost master'!$D:$D=""Storage cost per pallet / week"")*('cost master'!$G:$G&lt;=B29)*(('cost master'!$H:$H&gt;=B29)+ISBLANK('cost master'!$H:$H))),1),0)"),2.6)</f>
        <v>2.6</v>
      </c>
      <c r="I29" s="3">
        <f t="shared" si="4"/>
        <v>0</v>
      </c>
      <c r="J29" s="27">
        <f t="shared" si="5"/>
        <v>45642</v>
      </c>
      <c r="K29" s="27">
        <f t="shared" si="6"/>
        <v>45672</v>
      </c>
    </row>
    <row r="30" hidden="1">
      <c r="A30" s="3" t="str">
        <f t="shared" si="3"/>
        <v>SL-20250106-Vglobal-CS 011-13</v>
      </c>
      <c r="B30" s="2">
        <f t="array" ref="B30">INDEX(helper!$A$3:$A3996,ROUNDUP((ROW()-1)/COUNTA(helper!$D$3:$D3996),0))</f>
        <v>45663</v>
      </c>
      <c r="C30" s="5" t="str">
        <f t="array" ref="C30">IF(B30="","",INDEX(helper!$D$3:$D3996,MOD(ROW()-2,COUNTA(helper!$D$3:$D3996))+1))</f>
        <v>Vglobal</v>
      </c>
      <c r="D30" s="3" t="str">
        <f t="array" ref="D30">IF(B30="","",INDEX(helper!$E$3:$E3996,MOD(ROW()-2,COUNTA(helper!$D$3:$D3996))+1))</f>
        <v>CS 011</v>
      </c>
      <c r="E30" s="3">
        <f t="array" ref="E30">IF(B30="","",INDEX(helper!$F$3:$F3996,MOD(ROW()-2,COUNTA(helper!$D$3:$D3996))+1))</f>
        <v>13</v>
      </c>
      <c r="F30" s="3">
        <f>IF(B30="","",SUMIFS('inventory ledger'!$H:$H,'inventory ledger'!$C:$C,C30,'inventory ledger'!$D:$D,D30,'inventory ledger'!$E:$E,E30,'inventory ledger'!$A:$A,"&lt;="&amp;B30+TIME(23,59,59))-SUMIFS('inventory ledger'!$I:$I,'inventory ledger'!$C:$C,C30,'inventory ledger'!$D:$D,D30,'inventory ledger'!$E:$E,E30,'inventory ledger'!$A:$A,"&lt;="&amp;B30+TIME(23,59,59)))</f>
        <v>0</v>
      </c>
      <c r="G30" s="3">
        <f>IFERROR(__xludf.DUMMYFUNCTION("IF(F30&lt;=0,0,IFERROR(ROUNDUP(F30/INDEX(FILTER('warehouse config'!$D:$D,('warehouse config'!$B:$B=C30)*('warehouse config'!$C:$C=D30)*('warehouse config'!$G:$G&lt;=B30)*(('warehouse config'!$H:$H&gt;=B30)+ISBLANK('warehouse config'!$H:$H))),1)),0))"),0.0)</f>
        <v>0</v>
      </c>
      <c r="H30" s="3">
        <f>IFERROR(__xludf.DUMMYFUNCTION("IFERROR(INDEX(FILTER('cost master'!$E:$E,('cost master'!$B:$B=C30)*('cost master'!$D:$D=""Storage cost per pallet / week"")*('cost master'!$G:$G&lt;=B30)*(('cost master'!$H:$H&gt;=B30)+ISBLANK('cost master'!$H:$H))),1),0)"),2.6)</f>
        <v>2.6</v>
      </c>
      <c r="I30" s="3">
        <f t="shared" si="4"/>
        <v>0</v>
      </c>
      <c r="J30" s="27">
        <f t="shared" si="5"/>
        <v>45642</v>
      </c>
      <c r="K30" s="27">
        <f t="shared" si="6"/>
        <v>45672</v>
      </c>
    </row>
    <row r="31" hidden="1">
      <c r="A31" s="3" t="str">
        <f t="shared" si="3"/>
        <v>SL-20250106-Vglobal-CS 008-13</v>
      </c>
      <c r="B31" s="2">
        <f t="array" ref="B31">INDEX(helper!$A$3:$A3996,ROUNDUP((ROW()-1)/COUNTA(helper!$D$3:$D3996),0))</f>
        <v>45663</v>
      </c>
      <c r="C31" s="5" t="str">
        <f t="array" ref="C31">IF(B31="","",INDEX(helper!$D$3:$D3996,MOD(ROW()-2,COUNTA(helper!$D$3:$D3996))+1))</f>
        <v>Vglobal</v>
      </c>
      <c r="D31" s="3" t="str">
        <f t="array" ref="D31">IF(B31="","",INDEX(helper!$E$3:$E3996,MOD(ROW()-2,COUNTA(helper!$D$3:$D3996))+1))</f>
        <v>CS 008</v>
      </c>
      <c r="E31" s="3">
        <f t="array" ref="E31">IF(B31="","",INDEX(helper!$F$3:$F3996,MOD(ROW()-2,COUNTA(helper!$D$3:$D3996))+1))</f>
        <v>13</v>
      </c>
      <c r="F31" s="3">
        <f>IF(B31="","",SUMIFS('inventory ledger'!$H:$H,'inventory ledger'!$C:$C,C31,'inventory ledger'!$D:$D,D31,'inventory ledger'!$E:$E,E31,'inventory ledger'!$A:$A,"&lt;="&amp;B31+TIME(23,59,59))-SUMIFS('inventory ledger'!$I:$I,'inventory ledger'!$C:$C,C31,'inventory ledger'!$D:$D,D31,'inventory ledger'!$E:$E,E31,'inventory ledger'!$A:$A,"&lt;="&amp;B31+TIME(23,59,59)))</f>
        <v>0</v>
      </c>
      <c r="G31" s="3">
        <f>IFERROR(__xludf.DUMMYFUNCTION("IF(F31&lt;=0,0,IFERROR(ROUNDUP(F31/INDEX(FILTER('warehouse config'!$D:$D,('warehouse config'!$B:$B=C31)*('warehouse config'!$C:$C=D31)*('warehouse config'!$G:$G&lt;=B31)*(('warehouse config'!$H:$H&gt;=B31)+ISBLANK('warehouse config'!$H:$H))),1)),0))"),0.0)</f>
        <v>0</v>
      </c>
      <c r="H31" s="3">
        <f>IFERROR(__xludf.DUMMYFUNCTION("IFERROR(INDEX(FILTER('cost master'!$E:$E,('cost master'!$B:$B=C31)*('cost master'!$D:$D=""Storage cost per pallet / week"")*('cost master'!$G:$G&lt;=B31)*(('cost master'!$H:$H&gt;=B31)+ISBLANK('cost master'!$H:$H))),1),0)"),2.6)</f>
        <v>2.6</v>
      </c>
      <c r="I31" s="3">
        <f t="shared" si="4"/>
        <v>0</v>
      </c>
      <c r="J31" s="27">
        <f t="shared" si="5"/>
        <v>45642</v>
      </c>
      <c r="K31" s="27">
        <f t="shared" si="6"/>
        <v>45672</v>
      </c>
    </row>
    <row r="32" hidden="1">
      <c r="A32" s="3" t="str">
        <f t="shared" si="3"/>
        <v>SL-20250106-Vglobal-CS 010-13</v>
      </c>
      <c r="B32" s="2">
        <f t="array" ref="B32">INDEX(helper!$A$3:$A3996,ROUNDUP((ROW()-1)/COUNTA(helper!$D$3:$D3996),0))</f>
        <v>45663</v>
      </c>
      <c r="C32" s="5" t="str">
        <f t="array" ref="C32">IF(B32="","",INDEX(helper!$D$3:$D3996,MOD(ROW()-2,COUNTA(helper!$D$3:$D3996))+1))</f>
        <v>Vglobal</v>
      </c>
      <c r="D32" s="3" t="str">
        <f t="array" ref="D32">IF(B32="","",INDEX(helper!$E$3:$E3996,MOD(ROW()-2,COUNTA(helper!$D$3:$D3996))+1))</f>
        <v>CS 010</v>
      </c>
      <c r="E32" s="3">
        <f t="array" ref="E32">IF(B32="","",INDEX(helper!$F$3:$F3996,MOD(ROW()-2,COUNTA(helper!$D$3:$D3996))+1))</f>
        <v>13</v>
      </c>
      <c r="F32" s="3">
        <f>IF(B32="","",SUMIFS('inventory ledger'!$H:$H,'inventory ledger'!$C:$C,C32,'inventory ledger'!$D:$D,D32,'inventory ledger'!$E:$E,E32,'inventory ledger'!$A:$A,"&lt;="&amp;B32+TIME(23,59,59))-SUMIFS('inventory ledger'!$I:$I,'inventory ledger'!$C:$C,C32,'inventory ledger'!$D:$D,D32,'inventory ledger'!$E:$E,E32,'inventory ledger'!$A:$A,"&lt;="&amp;B32+TIME(23,59,59)))</f>
        <v>0</v>
      </c>
      <c r="G32" s="3">
        <f>IFERROR(__xludf.DUMMYFUNCTION("IF(F32&lt;=0,0,IFERROR(ROUNDUP(F32/INDEX(FILTER('warehouse config'!$D:$D,('warehouse config'!$B:$B=C32)*('warehouse config'!$C:$C=D32)*('warehouse config'!$G:$G&lt;=B32)*(('warehouse config'!$H:$H&gt;=B32)+ISBLANK('warehouse config'!$H:$H))),1)),0))"),0.0)</f>
        <v>0</v>
      </c>
      <c r="H32" s="3">
        <f>IFERROR(__xludf.DUMMYFUNCTION("IFERROR(INDEX(FILTER('cost master'!$E:$E,('cost master'!$B:$B=C32)*('cost master'!$D:$D=""Storage cost per pallet / week"")*('cost master'!$G:$G&lt;=B32)*(('cost master'!$H:$H&gt;=B32)+ISBLANK('cost master'!$H:$H))),1),0)"),2.6)</f>
        <v>2.6</v>
      </c>
      <c r="I32" s="3">
        <f t="shared" si="4"/>
        <v>0</v>
      </c>
      <c r="J32" s="27">
        <f t="shared" si="5"/>
        <v>45642</v>
      </c>
      <c r="K32" s="27">
        <f t="shared" si="6"/>
        <v>45672</v>
      </c>
    </row>
    <row r="33" hidden="1">
      <c r="A33" s="3" t="str">
        <f t="shared" si="3"/>
        <v>SL-20250106-Vglobal-CS 009-13</v>
      </c>
      <c r="B33" s="2">
        <f t="array" ref="B33">INDEX(helper!$A$3:$A3996,ROUNDUP((ROW()-1)/COUNTA(helper!$D$3:$D3996),0))</f>
        <v>45663</v>
      </c>
      <c r="C33" s="5" t="str">
        <f t="array" ref="C33">IF(B33="","",INDEX(helper!$D$3:$D3996,MOD(ROW()-2,COUNTA(helper!$D$3:$D3996))+1))</f>
        <v>Vglobal</v>
      </c>
      <c r="D33" s="3" t="str">
        <f t="array" ref="D33">IF(B33="","",INDEX(helper!$E$3:$E3996,MOD(ROW()-2,COUNTA(helper!$D$3:$D3996))+1))</f>
        <v>CS 009</v>
      </c>
      <c r="E33" s="3">
        <f t="array" ref="E33">IF(B33="","",INDEX(helper!$F$3:$F3996,MOD(ROW()-2,COUNTA(helper!$D$3:$D3996))+1))</f>
        <v>13</v>
      </c>
      <c r="F33" s="3">
        <f>IF(B33="","",SUMIFS('inventory ledger'!$H:$H,'inventory ledger'!$C:$C,C33,'inventory ledger'!$D:$D,D33,'inventory ledger'!$E:$E,E33,'inventory ledger'!$A:$A,"&lt;="&amp;B33+TIME(23,59,59))-SUMIFS('inventory ledger'!$I:$I,'inventory ledger'!$C:$C,C33,'inventory ledger'!$D:$D,D33,'inventory ledger'!$E:$E,E33,'inventory ledger'!$A:$A,"&lt;="&amp;B33+TIME(23,59,59)))</f>
        <v>0</v>
      </c>
      <c r="G33" s="3">
        <f>IFERROR(__xludf.DUMMYFUNCTION("IF(F33&lt;=0,0,IFERROR(ROUNDUP(F33/INDEX(FILTER('warehouse config'!$D:$D,('warehouse config'!$B:$B=C33)*('warehouse config'!$C:$C=D33)*('warehouse config'!$G:$G&lt;=B33)*(('warehouse config'!$H:$H&gt;=B33)+ISBLANK('warehouse config'!$H:$H))),1)),0))"),0.0)</f>
        <v>0</v>
      </c>
      <c r="H33" s="3">
        <f>IFERROR(__xludf.DUMMYFUNCTION("IFERROR(INDEX(FILTER('cost master'!$E:$E,('cost master'!$B:$B=C33)*('cost master'!$D:$D=""Storage cost per pallet / week"")*('cost master'!$G:$G&lt;=B33)*(('cost master'!$H:$H&gt;=B33)+ISBLANK('cost master'!$H:$H))),1),0)"),2.6)</f>
        <v>2.6</v>
      </c>
      <c r="I33" s="3">
        <f t="shared" si="4"/>
        <v>0</v>
      </c>
      <c r="J33" s="27">
        <f t="shared" si="5"/>
        <v>45642</v>
      </c>
      <c r="K33" s="27">
        <f t="shared" si="6"/>
        <v>45672</v>
      </c>
    </row>
    <row r="34" hidden="1">
      <c r="A34" s="3" t="str">
        <f t="shared" si="3"/>
        <v>SL-20250106-Vglobal-CS 012-13</v>
      </c>
      <c r="B34" s="2">
        <f t="array" ref="B34">INDEX(helper!$A$3:$A3996,ROUNDUP((ROW()-1)/COUNTA(helper!$D$3:$D3996),0))</f>
        <v>45663</v>
      </c>
      <c r="C34" s="5" t="str">
        <f t="array" ref="C34">IF(B34="","",INDEX(helper!$D$3:$D3996,MOD(ROW()-2,COUNTA(helper!$D$3:$D3996))+1))</f>
        <v>Vglobal</v>
      </c>
      <c r="D34" s="3" t="str">
        <f t="array" ref="D34">IF(B34="","",INDEX(helper!$E$3:$E3996,MOD(ROW()-2,COUNTA(helper!$D$3:$D3996))+1))</f>
        <v>CS 012</v>
      </c>
      <c r="E34" s="3">
        <f t="array" ref="E34">IF(B34="","",INDEX(helper!$F$3:$F3996,MOD(ROW()-2,COUNTA(helper!$D$3:$D3996))+1))</f>
        <v>13</v>
      </c>
      <c r="F34" s="3">
        <f>IF(B34="","",SUMIFS('inventory ledger'!$H:$H,'inventory ledger'!$C:$C,C34,'inventory ledger'!$D:$D,D34,'inventory ledger'!$E:$E,E34,'inventory ledger'!$A:$A,"&lt;="&amp;B34+TIME(23,59,59))-SUMIFS('inventory ledger'!$I:$I,'inventory ledger'!$C:$C,C34,'inventory ledger'!$D:$D,D34,'inventory ledger'!$E:$E,E34,'inventory ledger'!$A:$A,"&lt;="&amp;B34+TIME(23,59,59)))</f>
        <v>0</v>
      </c>
      <c r="G34" s="3">
        <f>IFERROR(__xludf.DUMMYFUNCTION("IF(F34&lt;=0,0,IFERROR(ROUNDUP(F34/INDEX(FILTER('warehouse config'!$D:$D,('warehouse config'!$B:$B=C34)*('warehouse config'!$C:$C=D34)*('warehouse config'!$G:$G&lt;=B34)*(('warehouse config'!$H:$H&gt;=B34)+ISBLANK('warehouse config'!$H:$H))),1)),0))"),0.0)</f>
        <v>0</v>
      </c>
      <c r="H34" s="3">
        <f>IFERROR(__xludf.DUMMYFUNCTION("IFERROR(INDEX(FILTER('cost master'!$E:$E,('cost master'!$B:$B=C34)*('cost master'!$D:$D=""Storage cost per pallet / week"")*('cost master'!$G:$G&lt;=B34)*(('cost master'!$H:$H&gt;=B34)+ISBLANK('cost master'!$H:$H))),1),0)"),2.6)</f>
        <v>2.6</v>
      </c>
      <c r="I34" s="3">
        <f t="shared" si="4"/>
        <v>0</v>
      </c>
      <c r="J34" s="27">
        <f t="shared" si="5"/>
        <v>45642</v>
      </c>
      <c r="K34" s="27">
        <f t="shared" si="6"/>
        <v>45672</v>
      </c>
    </row>
    <row r="35" hidden="1">
      <c r="A35" s="3" t="str">
        <f t="shared" si="3"/>
        <v>SL-20250106-FMC-CS 008-11</v>
      </c>
      <c r="B35" s="2">
        <f t="array" ref="B35">INDEX(helper!$A$3:$A3996,ROUNDUP((ROW()-1)/COUNTA(helper!$D$3:$D3996),0))</f>
        <v>45663</v>
      </c>
      <c r="C35" s="5" t="str">
        <f t="array" ref="C35">IF(B35="","",INDEX(helper!$D$3:$D3996,MOD(ROW()-2,COUNTA(helper!$D$3:$D3996))+1))</f>
        <v>FMC</v>
      </c>
      <c r="D35" s="3" t="str">
        <f t="array" ref="D35">IF(B35="","",INDEX(helper!$E$3:$E3996,MOD(ROW()-2,COUNTA(helper!$D$3:$D3996))+1))</f>
        <v>CS 008</v>
      </c>
      <c r="E35" s="3">
        <f t="array" ref="E35">IF(B35="","",INDEX(helper!$F$3:$F3996,MOD(ROW()-2,COUNTA(helper!$D$3:$D3996))+1))</f>
        <v>11</v>
      </c>
      <c r="F35" s="3">
        <f>IF(B35="","",SUMIFS('inventory ledger'!$H:$H,'inventory ledger'!$C:$C,C35,'inventory ledger'!$D:$D,D35,'inventory ledger'!$E:$E,E35,'inventory ledger'!$A:$A,"&lt;="&amp;B35+TIME(23,59,59))-SUMIFS('inventory ledger'!$I:$I,'inventory ledger'!$C:$C,C35,'inventory ledger'!$D:$D,D35,'inventory ledger'!$E:$E,E35,'inventory ledger'!$A:$A,"&lt;="&amp;B35+TIME(23,59,59)))</f>
        <v>0</v>
      </c>
      <c r="G35" s="3">
        <f>IFERROR(__xludf.DUMMYFUNCTION("IF(F35&lt;=0,0,IFERROR(ROUNDUP(F35/INDEX(FILTER('warehouse config'!$D:$D,('warehouse config'!$B:$B=C35)*('warehouse config'!$C:$C=D35)*('warehouse config'!$G:$G&lt;=B35)*(('warehouse config'!$H:$H&gt;=B35)+ISBLANK('warehouse config'!$H:$H))),1)),0))"),0.0)</f>
        <v>0</v>
      </c>
      <c r="H35" s="3">
        <f>IFERROR(__xludf.DUMMYFUNCTION("IFERROR(INDEX(FILTER('cost master'!$E:$E,('cost master'!$B:$B=C35)*('cost master'!$D:$D=""Storage cost per pallet / week"")*('cost master'!$G:$G&lt;=B35)*(('cost master'!$H:$H&gt;=B35)+ISBLANK('cost master'!$H:$H))),1),0)"),3.9)</f>
        <v>3.9</v>
      </c>
      <c r="I35" s="3">
        <f t="shared" si="4"/>
        <v>0</v>
      </c>
      <c r="J35" s="27">
        <f t="shared" si="5"/>
        <v>45642</v>
      </c>
      <c r="K35" s="27">
        <f t="shared" si="6"/>
        <v>45672</v>
      </c>
    </row>
    <row r="36" hidden="1">
      <c r="A36" s="3" t="str">
        <f t="shared" si="3"/>
        <v>SL-20250113-FMC-CS 007-8</v>
      </c>
      <c r="B36" s="2">
        <f t="array" ref="B36">INDEX(helper!$A$3:$A3996,ROUNDUP((ROW()-1)/COUNTA(helper!$D$3:$D3996),0))</f>
        <v>45670</v>
      </c>
      <c r="C36" s="5" t="str">
        <f t="array" ref="C36">IF(B36="","",INDEX(helper!$D$3:$D3996,MOD(ROW()-2,COUNTA(helper!$D$3:$D3996))+1))</f>
        <v>FMC</v>
      </c>
      <c r="D36" s="3" t="str">
        <f t="array" ref="D36">IF(B36="","",INDEX(helper!$E$3:$E3996,MOD(ROW()-2,COUNTA(helper!$D$3:$D3996))+1))</f>
        <v>CS 007</v>
      </c>
      <c r="E36" s="3">
        <f t="array" ref="E36">IF(B36="","",INDEX(helper!$F$3:$F3996,MOD(ROW()-2,COUNTA(helper!$D$3:$D3996))+1))</f>
        <v>8</v>
      </c>
      <c r="F36" s="3">
        <f>IF(B36="","",SUMIFS('inventory ledger'!$H:$H,'inventory ledger'!$C:$C,C36,'inventory ledger'!$D:$D,D36,'inventory ledger'!$E:$E,E36,'inventory ledger'!$A:$A,"&lt;="&amp;B36+TIME(23,59,59))-SUMIFS('inventory ledger'!$I:$I,'inventory ledger'!$C:$C,C36,'inventory ledger'!$D:$D,D36,'inventory ledger'!$E:$E,E36,'inventory ledger'!$A:$A,"&lt;="&amp;B36+TIME(23,59,59)))</f>
        <v>0</v>
      </c>
      <c r="G36" s="3">
        <f>IFERROR(__xludf.DUMMYFUNCTION("IF(F36&lt;=0,0,IFERROR(ROUNDUP(F36/INDEX(FILTER('warehouse config'!$D:$D,('warehouse config'!$B:$B=C36)*('warehouse config'!$C:$C=D36)*('warehouse config'!$G:$G&lt;=B36)*(('warehouse config'!$H:$H&gt;=B36)+ISBLANK('warehouse config'!$H:$H))),1)),0))"),0.0)</f>
        <v>0</v>
      </c>
      <c r="H36" s="3">
        <f>IFERROR(__xludf.DUMMYFUNCTION("IFERROR(INDEX(FILTER('cost master'!$E:$E,('cost master'!$B:$B=C36)*('cost master'!$D:$D=""Storage cost per pallet / week"")*('cost master'!$G:$G&lt;=B36)*(('cost master'!$H:$H&gt;=B36)+ISBLANK('cost master'!$H:$H))),1),0)"),3.9)</f>
        <v>3.9</v>
      </c>
      <c r="I36" s="3">
        <f t="shared" si="4"/>
        <v>0</v>
      </c>
      <c r="J36" s="27">
        <f t="shared" si="5"/>
        <v>45642</v>
      </c>
      <c r="K36" s="27">
        <f t="shared" si="6"/>
        <v>45672</v>
      </c>
    </row>
    <row r="37" hidden="1">
      <c r="A37" s="3" t="str">
        <f t="shared" si="3"/>
        <v>SL-20250113-FMC-CS 008-8</v>
      </c>
      <c r="B37" s="2">
        <f t="array" ref="B37">INDEX(helper!$A$3:$A3996,ROUNDUP((ROW()-1)/COUNTA(helper!$D$3:$D3996),0))</f>
        <v>45670</v>
      </c>
      <c r="C37" s="5" t="str">
        <f t="array" ref="C37">IF(B37="","",INDEX(helper!$D$3:$D3996,MOD(ROW()-2,COUNTA(helper!$D$3:$D3996))+1))</f>
        <v>FMC</v>
      </c>
      <c r="D37" s="3" t="str">
        <f t="array" ref="D37">IF(B37="","",INDEX(helper!$E$3:$E3996,MOD(ROW()-2,COUNTA(helper!$D$3:$D3996))+1))</f>
        <v>CS 008</v>
      </c>
      <c r="E37" s="3">
        <f t="array" ref="E37">IF(B37="","",INDEX(helper!$F$3:$F3996,MOD(ROW()-2,COUNTA(helper!$D$3:$D3996))+1))</f>
        <v>8</v>
      </c>
      <c r="F37" s="3">
        <f>IF(B37="","",SUMIFS('inventory ledger'!$H:$H,'inventory ledger'!$C:$C,C37,'inventory ledger'!$D:$D,D37,'inventory ledger'!$E:$E,E37,'inventory ledger'!$A:$A,"&lt;="&amp;B37+TIME(23,59,59))-SUMIFS('inventory ledger'!$I:$I,'inventory ledger'!$C:$C,C37,'inventory ledger'!$D:$D,D37,'inventory ledger'!$E:$E,E37,'inventory ledger'!$A:$A,"&lt;="&amp;B37+TIME(23,59,59)))</f>
        <v>1</v>
      </c>
      <c r="G37" s="3">
        <f>IFERROR(__xludf.DUMMYFUNCTION("IF(F37&lt;=0,0,IFERROR(ROUNDUP(F37/INDEX(FILTER('warehouse config'!$D:$D,('warehouse config'!$B:$B=C37)*('warehouse config'!$C:$C=D37)*('warehouse config'!$G:$G&lt;=B37)*(('warehouse config'!$H:$H&gt;=B37)+ISBLANK('warehouse config'!$H:$H))),1)),0))"),1.0)</f>
        <v>1</v>
      </c>
      <c r="H37" s="3">
        <f>IFERROR(__xludf.DUMMYFUNCTION("IFERROR(INDEX(FILTER('cost master'!$E:$E,('cost master'!$B:$B=C37)*('cost master'!$D:$D=""Storage cost per pallet / week"")*('cost master'!$G:$G&lt;=B37)*(('cost master'!$H:$H&gt;=B37)+ISBLANK('cost master'!$H:$H))),1),0)"),3.9)</f>
        <v>3.9</v>
      </c>
      <c r="I37" s="3">
        <f t="shared" si="4"/>
        <v>3.9</v>
      </c>
      <c r="J37" s="27">
        <f t="shared" si="5"/>
        <v>45642</v>
      </c>
      <c r="K37" s="27">
        <f t="shared" si="6"/>
        <v>45672</v>
      </c>
    </row>
    <row r="38" hidden="1">
      <c r="A38" s="3" t="str">
        <f t="shared" si="3"/>
        <v>SL-20250113-FMC-CS 009-8</v>
      </c>
      <c r="B38" s="2">
        <f t="array" ref="B38">INDEX(helper!$A$3:$A3996,ROUNDUP((ROW()-1)/COUNTA(helper!$D$3:$D3996),0))</f>
        <v>45670</v>
      </c>
      <c r="C38" s="5" t="str">
        <f t="array" ref="C38">IF(B38="","",INDEX(helper!$D$3:$D3996,MOD(ROW()-2,COUNTA(helper!$D$3:$D3996))+1))</f>
        <v>FMC</v>
      </c>
      <c r="D38" s="3" t="str">
        <f t="array" ref="D38">IF(B38="","",INDEX(helper!$E$3:$E3996,MOD(ROW()-2,COUNTA(helper!$D$3:$D3996))+1))</f>
        <v>CS 009</v>
      </c>
      <c r="E38" s="3">
        <f t="array" ref="E38">IF(B38="","",INDEX(helper!$F$3:$F3996,MOD(ROW()-2,COUNTA(helper!$D$3:$D3996))+1))</f>
        <v>8</v>
      </c>
      <c r="F38" s="3">
        <f>IF(B38="","",SUMIFS('inventory ledger'!$H:$H,'inventory ledger'!$C:$C,C38,'inventory ledger'!$D:$D,D38,'inventory ledger'!$E:$E,E38,'inventory ledger'!$A:$A,"&lt;="&amp;B38+TIME(23,59,59))-SUMIFS('inventory ledger'!$I:$I,'inventory ledger'!$C:$C,C38,'inventory ledger'!$D:$D,D38,'inventory ledger'!$E:$E,E38,'inventory ledger'!$A:$A,"&lt;="&amp;B38+TIME(23,59,59)))</f>
        <v>0</v>
      </c>
      <c r="G38" s="3">
        <f>IFERROR(__xludf.DUMMYFUNCTION("IF(F38&lt;=0,0,IFERROR(ROUNDUP(F38/INDEX(FILTER('warehouse config'!$D:$D,('warehouse config'!$B:$B=C38)*('warehouse config'!$C:$C=D38)*('warehouse config'!$G:$G&lt;=B38)*(('warehouse config'!$H:$H&gt;=B38)+ISBLANK('warehouse config'!$H:$H))),1)),0))"),0.0)</f>
        <v>0</v>
      </c>
      <c r="H38" s="3">
        <f>IFERROR(__xludf.DUMMYFUNCTION("IFERROR(INDEX(FILTER('cost master'!$E:$E,('cost master'!$B:$B=C38)*('cost master'!$D:$D=""Storage cost per pallet / week"")*('cost master'!$G:$G&lt;=B38)*(('cost master'!$H:$H&gt;=B38)+ISBLANK('cost master'!$H:$H))),1),0)"),3.9)</f>
        <v>3.9</v>
      </c>
      <c r="I38" s="3">
        <f t="shared" si="4"/>
        <v>0</v>
      </c>
      <c r="J38" s="27">
        <f t="shared" si="5"/>
        <v>45642</v>
      </c>
      <c r="K38" s="27">
        <f t="shared" si="6"/>
        <v>45672</v>
      </c>
    </row>
    <row r="39" hidden="1">
      <c r="A39" s="3" t="str">
        <f t="shared" si="3"/>
        <v>SL-20250113-FMC-CS 010-8</v>
      </c>
      <c r="B39" s="2">
        <f t="array" ref="B39">INDEX(helper!$A$3:$A3996,ROUNDUP((ROW()-1)/COUNTA(helper!$D$3:$D3996),0))</f>
        <v>45670</v>
      </c>
      <c r="C39" s="5" t="str">
        <f t="array" ref="C39">IF(B39="","",INDEX(helper!$D$3:$D3996,MOD(ROW()-2,COUNTA(helper!$D$3:$D3996))+1))</f>
        <v>FMC</v>
      </c>
      <c r="D39" s="3" t="str">
        <f t="array" ref="D39">IF(B39="","",INDEX(helper!$E$3:$E3996,MOD(ROW()-2,COUNTA(helper!$D$3:$D3996))+1))</f>
        <v>CS 010</v>
      </c>
      <c r="E39" s="3">
        <f t="array" ref="E39">IF(B39="","",INDEX(helper!$F$3:$F3996,MOD(ROW()-2,COUNTA(helper!$D$3:$D3996))+1))</f>
        <v>8</v>
      </c>
      <c r="F39" s="3">
        <f>IF(B39="","",SUMIFS('inventory ledger'!$H:$H,'inventory ledger'!$C:$C,C39,'inventory ledger'!$D:$D,D39,'inventory ledger'!$E:$E,E39,'inventory ledger'!$A:$A,"&lt;="&amp;B39+TIME(23,59,59))-SUMIFS('inventory ledger'!$I:$I,'inventory ledger'!$C:$C,C39,'inventory ledger'!$D:$D,D39,'inventory ledger'!$E:$E,E39,'inventory ledger'!$A:$A,"&lt;="&amp;B39+TIME(23,59,59)))</f>
        <v>0</v>
      </c>
      <c r="G39" s="3">
        <f>IFERROR(__xludf.DUMMYFUNCTION("IF(F39&lt;=0,0,IFERROR(ROUNDUP(F39/INDEX(FILTER('warehouse config'!$D:$D,('warehouse config'!$B:$B=C39)*('warehouse config'!$C:$C=D39)*('warehouse config'!$G:$G&lt;=B39)*(('warehouse config'!$H:$H&gt;=B39)+ISBLANK('warehouse config'!$H:$H))),1)),0))"),0.0)</f>
        <v>0</v>
      </c>
      <c r="H39" s="3">
        <f>IFERROR(__xludf.DUMMYFUNCTION("IFERROR(INDEX(FILTER('cost master'!$E:$E,('cost master'!$B:$B=C39)*('cost master'!$D:$D=""Storage cost per pallet / week"")*('cost master'!$G:$G&lt;=B39)*(('cost master'!$H:$H&gt;=B39)+ISBLANK('cost master'!$H:$H))),1),0)"),3.9)</f>
        <v>3.9</v>
      </c>
      <c r="I39" s="3">
        <f t="shared" si="4"/>
        <v>0</v>
      </c>
      <c r="J39" s="27">
        <f t="shared" si="5"/>
        <v>45642</v>
      </c>
      <c r="K39" s="27">
        <f t="shared" si="6"/>
        <v>45672</v>
      </c>
    </row>
    <row r="40" hidden="1">
      <c r="A40" s="3" t="str">
        <f t="shared" si="3"/>
        <v>SL-20250113-FMC-CS 007-9</v>
      </c>
      <c r="B40" s="2">
        <f t="array" ref="B40">INDEX(helper!$A$3:$A3996,ROUNDUP((ROW()-1)/COUNTA(helper!$D$3:$D3996),0))</f>
        <v>45670</v>
      </c>
      <c r="C40" s="5" t="str">
        <f t="array" ref="C40">IF(B40="","",INDEX(helper!$D$3:$D3996,MOD(ROW()-2,COUNTA(helper!$D$3:$D3996))+1))</f>
        <v>FMC</v>
      </c>
      <c r="D40" s="3" t="str">
        <f t="array" ref="D40">IF(B40="","",INDEX(helper!$E$3:$E3996,MOD(ROW()-2,COUNTA(helper!$D$3:$D3996))+1))</f>
        <v>CS 007</v>
      </c>
      <c r="E40" s="3">
        <f t="array" ref="E40">IF(B40="","",INDEX(helper!$F$3:$F3996,MOD(ROW()-2,COUNTA(helper!$D$3:$D3996))+1))</f>
        <v>9</v>
      </c>
      <c r="F40" s="3">
        <f>IF(B40="","",SUMIFS('inventory ledger'!$H:$H,'inventory ledger'!$C:$C,C40,'inventory ledger'!$D:$D,D40,'inventory ledger'!$E:$E,E40,'inventory ledger'!$A:$A,"&lt;="&amp;B40+TIME(23,59,59))-SUMIFS('inventory ledger'!$I:$I,'inventory ledger'!$C:$C,C40,'inventory ledger'!$D:$D,D40,'inventory ledger'!$E:$E,E40,'inventory ledger'!$A:$A,"&lt;="&amp;B40+TIME(23,59,59)))</f>
        <v>0</v>
      </c>
      <c r="G40" s="3">
        <f>IFERROR(__xludf.DUMMYFUNCTION("IF(F40&lt;=0,0,IFERROR(ROUNDUP(F40/INDEX(FILTER('warehouse config'!$D:$D,('warehouse config'!$B:$B=C40)*('warehouse config'!$C:$C=D40)*('warehouse config'!$G:$G&lt;=B40)*(('warehouse config'!$H:$H&gt;=B40)+ISBLANK('warehouse config'!$H:$H))),1)),0))"),0.0)</f>
        <v>0</v>
      </c>
      <c r="H40" s="3">
        <f>IFERROR(__xludf.DUMMYFUNCTION("IFERROR(INDEX(FILTER('cost master'!$E:$E,('cost master'!$B:$B=C40)*('cost master'!$D:$D=""Storage cost per pallet / week"")*('cost master'!$G:$G&lt;=B40)*(('cost master'!$H:$H&gt;=B40)+ISBLANK('cost master'!$H:$H))),1),0)"),3.9)</f>
        <v>3.9</v>
      </c>
      <c r="I40" s="3">
        <f t="shared" si="4"/>
        <v>0</v>
      </c>
      <c r="J40" s="27">
        <f t="shared" si="5"/>
        <v>45642</v>
      </c>
      <c r="K40" s="27">
        <f t="shared" si="6"/>
        <v>45672</v>
      </c>
    </row>
    <row r="41" hidden="1">
      <c r="A41" s="3" t="str">
        <f t="shared" si="3"/>
        <v>SL-20250113-FMC-CS 008-9</v>
      </c>
      <c r="B41" s="2">
        <f t="array" ref="B41">INDEX(helper!$A$3:$A3996,ROUNDUP((ROW()-1)/COUNTA(helper!$D$3:$D3996),0))</f>
        <v>45670</v>
      </c>
      <c r="C41" s="5" t="str">
        <f t="array" ref="C41">IF(B41="","",INDEX(helper!$D$3:$D3996,MOD(ROW()-2,COUNTA(helper!$D$3:$D3996))+1))</f>
        <v>FMC</v>
      </c>
      <c r="D41" s="3" t="str">
        <f t="array" ref="D41">IF(B41="","",INDEX(helper!$E$3:$E3996,MOD(ROW()-2,COUNTA(helper!$D$3:$D3996))+1))</f>
        <v>CS 008</v>
      </c>
      <c r="E41" s="3">
        <f t="array" ref="E41">IF(B41="","",INDEX(helper!$F$3:$F3996,MOD(ROW()-2,COUNTA(helper!$D$3:$D3996))+1))</f>
        <v>9</v>
      </c>
      <c r="F41" s="3">
        <f>IF(B41="","",SUMIFS('inventory ledger'!$H:$H,'inventory ledger'!$C:$C,C41,'inventory ledger'!$D:$D,D41,'inventory ledger'!$E:$E,E41,'inventory ledger'!$A:$A,"&lt;="&amp;B41+TIME(23,59,59))-SUMIFS('inventory ledger'!$I:$I,'inventory ledger'!$C:$C,C41,'inventory ledger'!$D:$D,D41,'inventory ledger'!$E:$E,E41,'inventory ledger'!$A:$A,"&lt;="&amp;B41+TIME(23,59,59)))</f>
        <v>17</v>
      </c>
      <c r="G41" s="3">
        <f>IFERROR(__xludf.DUMMYFUNCTION("IF(F41&lt;=0,0,IFERROR(ROUNDUP(F41/INDEX(FILTER('warehouse config'!$D:$D,('warehouse config'!$B:$B=C41)*('warehouse config'!$C:$C=D41)*('warehouse config'!$G:$G&lt;=B41)*(('warehouse config'!$H:$H&gt;=B41)+ISBLANK('warehouse config'!$H:$H))),1)),0))"),1.0)</f>
        <v>1</v>
      </c>
      <c r="H41" s="3">
        <f>IFERROR(__xludf.DUMMYFUNCTION("IFERROR(INDEX(FILTER('cost master'!$E:$E,('cost master'!$B:$B=C41)*('cost master'!$D:$D=""Storage cost per pallet / week"")*('cost master'!$G:$G&lt;=B41)*(('cost master'!$H:$H&gt;=B41)+ISBLANK('cost master'!$H:$H))),1),0)"),3.9)</f>
        <v>3.9</v>
      </c>
      <c r="I41" s="3">
        <f t="shared" si="4"/>
        <v>3.9</v>
      </c>
      <c r="J41" s="27">
        <f t="shared" si="5"/>
        <v>45642</v>
      </c>
      <c r="K41" s="27">
        <f t="shared" si="6"/>
        <v>45672</v>
      </c>
    </row>
    <row r="42" hidden="1">
      <c r="A42" s="3" t="str">
        <f t="shared" si="3"/>
        <v>SL-20250113-FMC-CS 009-9</v>
      </c>
      <c r="B42" s="2">
        <f t="array" ref="B42">INDEX(helper!$A$3:$A3996,ROUNDUP((ROW()-1)/COUNTA(helper!$D$3:$D3996),0))</f>
        <v>45670</v>
      </c>
      <c r="C42" s="5" t="str">
        <f t="array" ref="C42">IF(B42="","",INDEX(helper!$D$3:$D3996,MOD(ROW()-2,COUNTA(helper!$D$3:$D3996))+1))</f>
        <v>FMC</v>
      </c>
      <c r="D42" s="3" t="str">
        <f t="array" ref="D42">IF(B42="","",INDEX(helper!$E$3:$E3996,MOD(ROW()-2,COUNTA(helper!$D$3:$D3996))+1))</f>
        <v>CS 009</v>
      </c>
      <c r="E42" s="3">
        <f t="array" ref="E42">IF(B42="","",INDEX(helper!$F$3:$F3996,MOD(ROW()-2,COUNTA(helper!$D$3:$D3996))+1))</f>
        <v>9</v>
      </c>
      <c r="F42" s="3">
        <f>IF(B42="","",SUMIFS('inventory ledger'!$H:$H,'inventory ledger'!$C:$C,C42,'inventory ledger'!$D:$D,D42,'inventory ledger'!$E:$E,E42,'inventory ledger'!$A:$A,"&lt;="&amp;B42+TIME(23,59,59))-SUMIFS('inventory ledger'!$I:$I,'inventory ledger'!$C:$C,C42,'inventory ledger'!$D:$D,D42,'inventory ledger'!$E:$E,E42,'inventory ledger'!$A:$A,"&lt;="&amp;B42+TIME(23,59,59)))</f>
        <v>0</v>
      </c>
      <c r="G42" s="3">
        <f>IFERROR(__xludf.DUMMYFUNCTION("IF(F42&lt;=0,0,IFERROR(ROUNDUP(F42/INDEX(FILTER('warehouse config'!$D:$D,('warehouse config'!$B:$B=C42)*('warehouse config'!$C:$C=D42)*('warehouse config'!$G:$G&lt;=B42)*(('warehouse config'!$H:$H&gt;=B42)+ISBLANK('warehouse config'!$H:$H))),1)),0))"),0.0)</f>
        <v>0</v>
      </c>
      <c r="H42" s="3">
        <f>IFERROR(__xludf.DUMMYFUNCTION("IFERROR(INDEX(FILTER('cost master'!$E:$E,('cost master'!$B:$B=C42)*('cost master'!$D:$D=""Storage cost per pallet / week"")*('cost master'!$G:$G&lt;=B42)*(('cost master'!$H:$H&gt;=B42)+ISBLANK('cost master'!$H:$H))),1),0)"),3.9)</f>
        <v>3.9</v>
      </c>
      <c r="I42" s="3">
        <f t="shared" si="4"/>
        <v>0</v>
      </c>
      <c r="J42" s="27">
        <f t="shared" si="5"/>
        <v>45642</v>
      </c>
      <c r="K42" s="27">
        <f t="shared" si="6"/>
        <v>45672</v>
      </c>
    </row>
    <row r="43" hidden="1">
      <c r="A43" s="3" t="str">
        <f t="shared" si="3"/>
        <v>SL-20250113-FMC-CS 010-9</v>
      </c>
      <c r="B43" s="2">
        <f t="array" ref="B43">INDEX(helper!$A$3:$A3996,ROUNDUP((ROW()-1)/COUNTA(helper!$D$3:$D3996),0))</f>
        <v>45670</v>
      </c>
      <c r="C43" s="5" t="str">
        <f t="array" ref="C43">IF(B43="","",INDEX(helper!$D$3:$D3996,MOD(ROW()-2,COUNTA(helper!$D$3:$D3996))+1))</f>
        <v>FMC</v>
      </c>
      <c r="D43" s="3" t="str">
        <f t="array" ref="D43">IF(B43="","",INDEX(helper!$E$3:$E3996,MOD(ROW()-2,COUNTA(helper!$D$3:$D3996))+1))</f>
        <v>CS 010</v>
      </c>
      <c r="E43" s="3">
        <f t="array" ref="E43">IF(B43="","",INDEX(helper!$F$3:$F3996,MOD(ROW()-2,COUNTA(helper!$D$3:$D3996))+1))</f>
        <v>9</v>
      </c>
      <c r="F43" s="3">
        <f>IF(B43="","",SUMIFS('inventory ledger'!$H:$H,'inventory ledger'!$C:$C,C43,'inventory ledger'!$D:$D,D43,'inventory ledger'!$E:$E,E43,'inventory ledger'!$A:$A,"&lt;="&amp;B43+TIME(23,59,59))-SUMIFS('inventory ledger'!$I:$I,'inventory ledger'!$C:$C,C43,'inventory ledger'!$D:$D,D43,'inventory ledger'!$E:$E,E43,'inventory ledger'!$A:$A,"&lt;="&amp;B43+TIME(23,59,59)))</f>
        <v>6</v>
      </c>
      <c r="G43" s="3">
        <f>IFERROR(__xludf.DUMMYFUNCTION("IF(F43&lt;=0,0,IFERROR(ROUNDUP(F43/INDEX(FILTER('warehouse config'!$D:$D,('warehouse config'!$B:$B=C43)*('warehouse config'!$C:$C=D43)*('warehouse config'!$G:$G&lt;=B43)*(('warehouse config'!$H:$H&gt;=B43)+ISBLANK('warehouse config'!$H:$H))),1)),0))"),1.0)</f>
        <v>1</v>
      </c>
      <c r="H43" s="3">
        <f>IFERROR(__xludf.DUMMYFUNCTION("IFERROR(INDEX(FILTER('cost master'!$E:$E,('cost master'!$B:$B=C43)*('cost master'!$D:$D=""Storage cost per pallet / week"")*('cost master'!$G:$G&lt;=B43)*(('cost master'!$H:$H&gt;=B43)+ISBLANK('cost master'!$H:$H))),1),0)"),3.9)</f>
        <v>3.9</v>
      </c>
      <c r="I43" s="3">
        <f t="shared" si="4"/>
        <v>3.9</v>
      </c>
      <c r="J43" s="27">
        <f t="shared" si="5"/>
        <v>45642</v>
      </c>
      <c r="K43" s="27">
        <f t="shared" si="6"/>
        <v>45672</v>
      </c>
    </row>
    <row r="44" hidden="1">
      <c r="A44" s="3" t="str">
        <f t="shared" si="3"/>
        <v>SL-20250113-FMC-CS-CDS-001-9</v>
      </c>
      <c r="B44" s="2">
        <f t="array" ref="B44">INDEX(helper!$A$3:$A3996,ROUNDUP((ROW()-1)/COUNTA(helper!$D$3:$D3996),0))</f>
        <v>45670</v>
      </c>
      <c r="C44" s="5" t="str">
        <f t="array" ref="C44">IF(B44="","",INDEX(helper!$D$3:$D3996,MOD(ROW()-2,COUNTA(helper!$D$3:$D3996))+1))</f>
        <v>FMC</v>
      </c>
      <c r="D44" s="3" t="str">
        <f t="array" ref="D44">IF(B44="","",INDEX(helper!$E$3:$E3996,MOD(ROW()-2,COUNTA(helper!$D$3:$D3996))+1))</f>
        <v>CS-CDS-001</v>
      </c>
      <c r="E44" s="3">
        <f t="array" ref="E44">IF(B44="","",INDEX(helper!$F$3:$F3996,MOD(ROW()-2,COUNTA(helper!$D$3:$D3996))+1))</f>
        <v>9</v>
      </c>
      <c r="F44" s="3">
        <f>IF(B44="","",SUMIFS('inventory ledger'!$H:$H,'inventory ledger'!$C:$C,C44,'inventory ledger'!$D:$D,D44,'inventory ledger'!$E:$E,E44,'inventory ledger'!$A:$A,"&lt;="&amp;B44+TIME(23,59,59))-SUMIFS('inventory ledger'!$I:$I,'inventory ledger'!$C:$C,C44,'inventory ledger'!$D:$D,D44,'inventory ledger'!$E:$E,E44,'inventory ledger'!$A:$A,"&lt;="&amp;B44+TIME(23,59,59)))</f>
        <v>0</v>
      </c>
      <c r="G44" s="3">
        <f>IFERROR(__xludf.DUMMYFUNCTION("IF(F44&lt;=0,0,IFERROR(ROUNDUP(F44/INDEX(FILTER('warehouse config'!$D:$D,('warehouse config'!$B:$B=C44)*('warehouse config'!$C:$C=D44)*('warehouse config'!$G:$G&lt;=B44)*(('warehouse config'!$H:$H&gt;=B44)+ISBLANK('warehouse config'!$H:$H))),1)),0))"),0.0)</f>
        <v>0</v>
      </c>
      <c r="H44" s="3">
        <f>IFERROR(__xludf.DUMMYFUNCTION("IFERROR(INDEX(FILTER('cost master'!$E:$E,('cost master'!$B:$B=C44)*('cost master'!$D:$D=""Storage cost per pallet / week"")*('cost master'!$G:$G&lt;=B44)*(('cost master'!$H:$H&gt;=B44)+ISBLANK('cost master'!$H:$H))),1),0)"),3.9)</f>
        <v>3.9</v>
      </c>
      <c r="I44" s="3">
        <f t="shared" si="4"/>
        <v>0</v>
      </c>
      <c r="J44" s="27">
        <f t="shared" si="5"/>
        <v>45642</v>
      </c>
      <c r="K44" s="27">
        <f t="shared" si="6"/>
        <v>45672</v>
      </c>
    </row>
    <row r="45" hidden="1">
      <c r="A45" s="3" t="str">
        <f t="shared" si="3"/>
        <v>SL-20250113-FMC-CS-CDS-002-9</v>
      </c>
      <c r="B45" s="2">
        <f t="array" ref="B45">INDEX(helper!$A$3:$A3996,ROUNDUP((ROW()-1)/COUNTA(helper!$D$3:$D3996),0))</f>
        <v>45670</v>
      </c>
      <c r="C45" s="5" t="str">
        <f t="array" ref="C45">IF(B45="","",INDEX(helper!$D$3:$D3996,MOD(ROW()-2,COUNTA(helper!$D$3:$D3996))+1))</f>
        <v>FMC</v>
      </c>
      <c r="D45" s="3" t="str">
        <f t="array" ref="D45">IF(B45="","",INDEX(helper!$E$3:$E3996,MOD(ROW()-2,COUNTA(helper!$D$3:$D3996))+1))</f>
        <v>CS-CDS-002</v>
      </c>
      <c r="E45" s="3">
        <f t="array" ref="E45">IF(B45="","",INDEX(helper!$F$3:$F3996,MOD(ROW()-2,COUNTA(helper!$D$3:$D3996))+1))</f>
        <v>9</v>
      </c>
      <c r="F45" s="3">
        <f>IF(B45="","",SUMIFS('inventory ledger'!$H:$H,'inventory ledger'!$C:$C,C45,'inventory ledger'!$D:$D,D45,'inventory ledger'!$E:$E,E45,'inventory ledger'!$A:$A,"&lt;="&amp;B45+TIME(23,59,59))-SUMIFS('inventory ledger'!$I:$I,'inventory ledger'!$C:$C,C45,'inventory ledger'!$D:$D,D45,'inventory ledger'!$E:$E,E45,'inventory ledger'!$A:$A,"&lt;="&amp;B45+TIME(23,59,59)))</f>
        <v>0</v>
      </c>
      <c r="G45" s="3">
        <f>IFERROR(__xludf.DUMMYFUNCTION("IF(F45&lt;=0,0,IFERROR(ROUNDUP(F45/INDEX(FILTER('warehouse config'!$D:$D,('warehouse config'!$B:$B=C45)*('warehouse config'!$C:$C=D45)*('warehouse config'!$G:$G&lt;=B45)*(('warehouse config'!$H:$H&gt;=B45)+ISBLANK('warehouse config'!$H:$H))),1)),0))"),0.0)</f>
        <v>0</v>
      </c>
      <c r="H45" s="3">
        <f>IFERROR(__xludf.DUMMYFUNCTION("IFERROR(INDEX(FILTER('cost master'!$E:$E,('cost master'!$B:$B=C45)*('cost master'!$D:$D=""Storage cost per pallet / week"")*('cost master'!$G:$G&lt;=B45)*(('cost master'!$H:$H&gt;=B45)+ISBLANK('cost master'!$H:$H))),1),0)"),3.9)</f>
        <v>3.9</v>
      </c>
      <c r="I45" s="3">
        <f t="shared" si="4"/>
        <v>0</v>
      </c>
      <c r="J45" s="27">
        <f t="shared" si="5"/>
        <v>45642</v>
      </c>
      <c r="K45" s="27">
        <f t="shared" si="6"/>
        <v>45672</v>
      </c>
    </row>
    <row r="46" hidden="1">
      <c r="A46" s="3" t="str">
        <f t="shared" si="3"/>
        <v>SL-20250113-FMC-CS 007-10</v>
      </c>
      <c r="B46" s="2">
        <f t="array" ref="B46">INDEX(helper!$A$3:$A3996,ROUNDUP((ROW()-1)/COUNTA(helper!$D$3:$D3996),0))</f>
        <v>45670</v>
      </c>
      <c r="C46" s="5" t="str">
        <f t="array" ref="C46">IF(B46="","",INDEX(helper!$D$3:$D3996,MOD(ROW()-2,COUNTA(helper!$D$3:$D3996))+1))</f>
        <v>FMC</v>
      </c>
      <c r="D46" s="3" t="str">
        <f t="array" ref="D46">IF(B46="","",INDEX(helper!$E$3:$E3996,MOD(ROW()-2,COUNTA(helper!$D$3:$D3996))+1))</f>
        <v>CS 007</v>
      </c>
      <c r="E46" s="3">
        <f t="array" ref="E46">IF(B46="","",INDEX(helper!$F$3:$F3996,MOD(ROW()-2,COUNTA(helper!$D$3:$D3996))+1))</f>
        <v>10</v>
      </c>
      <c r="F46" s="3">
        <f>IF(B46="","",SUMIFS('inventory ledger'!$H:$H,'inventory ledger'!$C:$C,C46,'inventory ledger'!$D:$D,D46,'inventory ledger'!$E:$E,E46,'inventory ledger'!$A:$A,"&lt;="&amp;B46+TIME(23,59,59))-SUMIFS('inventory ledger'!$I:$I,'inventory ledger'!$C:$C,C46,'inventory ledger'!$D:$D,D46,'inventory ledger'!$E:$E,E46,'inventory ledger'!$A:$A,"&lt;="&amp;B46+TIME(23,59,59)))</f>
        <v>0</v>
      </c>
      <c r="G46" s="3">
        <f>IFERROR(__xludf.DUMMYFUNCTION("IF(F46&lt;=0,0,IFERROR(ROUNDUP(F46/INDEX(FILTER('warehouse config'!$D:$D,('warehouse config'!$B:$B=C46)*('warehouse config'!$C:$C=D46)*('warehouse config'!$G:$G&lt;=B46)*(('warehouse config'!$H:$H&gt;=B46)+ISBLANK('warehouse config'!$H:$H))),1)),0))"),0.0)</f>
        <v>0</v>
      </c>
      <c r="H46" s="3">
        <f>IFERROR(__xludf.DUMMYFUNCTION("IFERROR(INDEX(FILTER('cost master'!$E:$E,('cost master'!$B:$B=C46)*('cost master'!$D:$D=""Storage cost per pallet / week"")*('cost master'!$G:$G&lt;=B46)*(('cost master'!$H:$H&gt;=B46)+ISBLANK('cost master'!$H:$H))),1),0)"),3.9)</f>
        <v>3.9</v>
      </c>
      <c r="I46" s="3">
        <f t="shared" si="4"/>
        <v>0</v>
      </c>
      <c r="J46" s="27">
        <f t="shared" si="5"/>
        <v>45642</v>
      </c>
      <c r="K46" s="27">
        <f t="shared" si="6"/>
        <v>45672</v>
      </c>
    </row>
    <row r="47" hidden="1">
      <c r="A47" s="3" t="str">
        <f t="shared" si="3"/>
        <v>SL-20250113-FMC-CS 009-10</v>
      </c>
      <c r="B47" s="2">
        <f t="array" ref="B47">INDEX(helper!$A$3:$A3996,ROUNDUP((ROW()-1)/COUNTA(helper!$D$3:$D3996),0))</f>
        <v>45670</v>
      </c>
      <c r="C47" s="5" t="str">
        <f t="array" ref="C47">IF(B47="","",INDEX(helper!$D$3:$D3996,MOD(ROW()-2,COUNTA(helper!$D$3:$D3996))+1))</f>
        <v>FMC</v>
      </c>
      <c r="D47" s="3" t="str">
        <f t="array" ref="D47">IF(B47="","",INDEX(helper!$E$3:$E3996,MOD(ROW()-2,COUNTA(helper!$D$3:$D3996))+1))</f>
        <v>CS 009</v>
      </c>
      <c r="E47" s="3">
        <f t="array" ref="E47">IF(B47="","",INDEX(helper!$F$3:$F3996,MOD(ROW()-2,COUNTA(helper!$D$3:$D3996))+1))</f>
        <v>10</v>
      </c>
      <c r="F47" s="3">
        <f>IF(B47="","",SUMIFS('inventory ledger'!$H:$H,'inventory ledger'!$C:$C,C47,'inventory ledger'!$D:$D,D47,'inventory ledger'!$E:$E,E47,'inventory ledger'!$A:$A,"&lt;="&amp;B47+TIME(23,59,59))-SUMIFS('inventory ledger'!$I:$I,'inventory ledger'!$C:$C,C47,'inventory ledger'!$D:$D,D47,'inventory ledger'!$E:$E,E47,'inventory ledger'!$A:$A,"&lt;="&amp;B47+TIME(23,59,59)))</f>
        <v>0</v>
      </c>
      <c r="G47" s="3">
        <f>IFERROR(__xludf.DUMMYFUNCTION("IF(F47&lt;=0,0,IFERROR(ROUNDUP(F47/INDEX(FILTER('warehouse config'!$D:$D,('warehouse config'!$B:$B=C47)*('warehouse config'!$C:$C=D47)*('warehouse config'!$G:$G&lt;=B47)*(('warehouse config'!$H:$H&gt;=B47)+ISBLANK('warehouse config'!$H:$H))),1)),0))"),0.0)</f>
        <v>0</v>
      </c>
      <c r="H47" s="3">
        <f>IFERROR(__xludf.DUMMYFUNCTION("IFERROR(INDEX(FILTER('cost master'!$E:$E,('cost master'!$B:$B=C47)*('cost master'!$D:$D=""Storage cost per pallet / week"")*('cost master'!$G:$G&lt;=B47)*(('cost master'!$H:$H&gt;=B47)+ISBLANK('cost master'!$H:$H))),1),0)"),3.9)</f>
        <v>3.9</v>
      </c>
      <c r="I47" s="3">
        <f t="shared" si="4"/>
        <v>0</v>
      </c>
      <c r="J47" s="27">
        <f t="shared" si="5"/>
        <v>45642</v>
      </c>
      <c r="K47" s="27">
        <f t="shared" si="6"/>
        <v>45672</v>
      </c>
    </row>
    <row r="48" hidden="1">
      <c r="A48" s="3" t="str">
        <f t="shared" si="3"/>
        <v>SL-20250113-FMC-CS 010-10</v>
      </c>
      <c r="B48" s="2">
        <f t="array" ref="B48">INDEX(helper!$A$3:$A3996,ROUNDUP((ROW()-1)/COUNTA(helper!$D$3:$D3996),0))</f>
        <v>45670</v>
      </c>
      <c r="C48" s="5" t="str">
        <f t="array" ref="C48">IF(B48="","",INDEX(helper!$D$3:$D3996,MOD(ROW()-2,COUNTA(helper!$D$3:$D3996))+1))</f>
        <v>FMC</v>
      </c>
      <c r="D48" s="3" t="str">
        <f t="array" ref="D48">IF(B48="","",INDEX(helper!$E$3:$E3996,MOD(ROW()-2,COUNTA(helper!$D$3:$D3996))+1))</f>
        <v>CS 010</v>
      </c>
      <c r="E48" s="3">
        <f t="array" ref="E48">IF(B48="","",INDEX(helper!$F$3:$F3996,MOD(ROW()-2,COUNTA(helper!$D$3:$D3996))+1))</f>
        <v>10</v>
      </c>
      <c r="F48" s="3">
        <f>IF(B48="","",SUMIFS('inventory ledger'!$H:$H,'inventory ledger'!$C:$C,C48,'inventory ledger'!$D:$D,D48,'inventory ledger'!$E:$E,E48,'inventory ledger'!$A:$A,"&lt;="&amp;B48+TIME(23,59,59))-SUMIFS('inventory ledger'!$I:$I,'inventory ledger'!$C:$C,C48,'inventory ledger'!$D:$D,D48,'inventory ledger'!$E:$E,E48,'inventory ledger'!$A:$A,"&lt;="&amp;B48+TIME(23,59,59)))</f>
        <v>40</v>
      </c>
      <c r="G48" s="3">
        <f>IFERROR(__xludf.DUMMYFUNCTION("IF(F48&lt;=0,0,IFERROR(ROUNDUP(F48/INDEX(FILTER('warehouse config'!$D:$D,('warehouse config'!$B:$B=C48)*('warehouse config'!$C:$C=D48)*('warehouse config'!$G:$G&lt;=B48)*(('warehouse config'!$H:$H&gt;=B48)+ISBLANK('warehouse config'!$H:$H))),1)),0))"),2.0)</f>
        <v>2</v>
      </c>
      <c r="H48" s="3">
        <f>IFERROR(__xludf.DUMMYFUNCTION("IFERROR(INDEX(FILTER('cost master'!$E:$E,('cost master'!$B:$B=C48)*('cost master'!$D:$D=""Storage cost per pallet / week"")*('cost master'!$G:$G&lt;=B48)*(('cost master'!$H:$H&gt;=B48)+ISBLANK('cost master'!$H:$H))),1),0)"),3.9)</f>
        <v>3.9</v>
      </c>
      <c r="I48" s="3">
        <f t="shared" si="4"/>
        <v>7.8</v>
      </c>
      <c r="J48" s="27">
        <f t="shared" si="5"/>
        <v>45642</v>
      </c>
      <c r="K48" s="27">
        <f t="shared" si="6"/>
        <v>45672</v>
      </c>
    </row>
    <row r="49" hidden="1">
      <c r="A49" s="3" t="str">
        <f t="shared" si="3"/>
        <v>SL-20250113-FMC-CS-CDS-001-10</v>
      </c>
      <c r="B49" s="2">
        <f t="array" ref="B49">INDEX(helper!$A$3:$A3996,ROUNDUP((ROW()-1)/COUNTA(helper!$D$3:$D3996),0))</f>
        <v>45670</v>
      </c>
      <c r="C49" s="5" t="str">
        <f t="array" ref="C49">IF(B49="","",INDEX(helper!$D$3:$D3996,MOD(ROW()-2,COUNTA(helper!$D$3:$D3996))+1))</f>
        <v>FMC</v>
      </c>
      <c r="D49" s="3" t="str">
        <f t="array" ref="D49">IF(B49="","",INDEX(helper!$E$3:$E3996,MOD(ROW()-2,COUNTA(helper!$D$3:$D3996))+1))</f>
        <v>CS-CDS-001</v>
      </c>
      <c r="E49" s="3">
        <f t="array" ref="E49">IF(B49="","",INDEX(helper!$F$3:$F3996,MOD(ROW()-2,COUNTA(helper!$D$3:$D3996))+1))</f>
        <v>10</v>
      </c>
      <c r="F49" s="3">
        <f>IF(B49="","",SUMIFS('inventory ledger'!$H:$H,'inventory ledger'!$C:$C,C49,'inventory ledger'!$D:$D,D49,'inventory ledger'!$E:$E,E49,'inventory ledger'!$A:$A,"&lt;="&amp;B49+TIME(23,59,59))-SUMIFS('inventory ledger'!$I:$I,'inventory ledger'!$C:$C,C49,'inventory ledger'!$D:$D,D49,'inventory ledger'!$E:$E,E49,'inventory ledger'!$A:$A,"&lt;="&amp;B49+TIME(23,59,59)))</f>
        <v>10</v>
      </c>
      <c r="G49" s="3">
        <f>IFERROR(__xludf.DUMMYFUNCTION("IF(F49&lt;=0,0,IFERROR(ROUNDUP(F49/INDEX(FILTER('warehouse config'!$D:$D,('warehouse config'!$B:$B=C49)*('warehouse config'!$C:$C=D49)*('warehouse config'!$G:$G&lt;=B49)*(('warehouse config'!$H:$H&gt;=B49)+ISBLANK('warehouse config'!$H:$H))),1)),0))"),1.0)</f>
        <v>1</v>
      </c>
      <c r="H49" s="3">
        <f>IFERROR(__xludf.DUMMYFUNCTION("IFERROR(INDEX(FILTER('cost master'!$E:$E,('cost master'!$B:$B=C49)*('cost master'!$D:$D=""Storage cost per pallet / week"")*('cost master'!$G:$G&lt;=B49)*(('cost master'!$H:$H&gt;=B49)+ISBLANK('cost master'!$H:$H))),1),0)"),3.9)</f>
        <v>3.9</v>
      </c>
      <c r="I49" s="3">
        <f t="shared" si="4"/>
        <v>3.9</v>
      </c>
      <c r="J49" s="27">
        <f t="shared" si="5"/>
        <v>45642</v>
      </c>
      <c r="K49" s="27">
        <f t="shared" si="6"/>
        <v>45672</v>
      </c>
    </row>
    <row r="50" hidden="1">
      <c r="A50" s="3" t="str">
        <f t="shared" si="3"/>
        <v>SL-20250113-FMC-CS 007-11</v>
      </c>
      <c r="B50" s="2">
        <f t="array" ref="B50">INDEX(helper!$A$3:$A3996,ROUNDUP((ROW()-1)/COUNTA(helper!$D$3:$D3996),0))</f>
        <v>45670</v>
      </c>
      <c r="C50" s="5" t="str">
        <f t="array" ref="C50">IF(B50="","",INDEX(helper!$D$3:$D3996,MOD(ROW()-2,COUNTA(helper!$D$3:$D3996))+1))</f>
        <v>FMC</v>
      </c>
      <c r="D50" s="3" t="str">
        <f t="array" ref="D50">IF(B50="","",INDEX(helper!$E$3:$E3996,MOD(ROW()-2,COUNTA(helper!$D$3:$D3996))+1))</f>
        <v>CS 007</v>
      </c>
      <c r="E50" s="3">
        <f t="array" ref="E50">IF(B50="","",INDEX(helper!$F$3:$F3996,MOD(ROW()-2,COUNTA(helper!$D$3:$D3996))+1))</f>
        <v>11</v>
      </c>
      <c r="F50" s="3">
        <f>IF(B50="","",SUMIFS('inventory ledger'!$H:$H,'inventory ledger'!$C:$C,C50,'inventory ledger'!$D:$D,D50,'inventory ledger'!$E:$E,E50,'inventory ledger'!$A:$A,"&lt;="&amp;B50+TIME(23,59,59))-SUMIFS('inventory ledger'!$I:$I,'inventory ledger'!$C:$C,C50,'inventory ledger'!$D:$D,D50,'inventory ledger'!$E:$E,E50,'inventory ledger'!$A:$A,"&lt;="&amp;B50+TIME(23,59,59)))</f>
        <v>140</v>
      </c>
      <c r="G50" s="3">
        <f>IFERROR(__xludf.DUMMYFUNCTION("IF(F50&lt;=0,0,IFERROR(ROUNDUP(F50/INDEX(FILTER('warehouse config'!$D:$D,('warehouse config'!$B:$B=C50)*('warehouse config'!$C:$C=D50)*('warehouse config'!$G:$G&lt;=B50)*(('warehouse config'!$H:$H&gt;=B50)+ISBLANK('warehouse config'!$H:$H))),1)),0))"),10.0)</f>
        <v>10</v>
      </c>
      <c r="H50" s="3">
        <f>IFERROR(__xludf.DUMMYFUNCTION("IFERROR(INDEX(FILTER('cost master'!$E:$E,('cost master'!$B:$B=C50)*('cost master'!$D:$D=""Storage cost per pallet / week"")*('cost master'!$G:$G&lt;=B50)*(('cost master'!$H:$H&gt;=B50)+ISBLANK('cost master'!$H:$H))),1),0)"),3.9)</f>
        <v>3.9</v>
      </c>
      <c r="I50" s="3">
        <f t="shared" si="4"/>
        <v>39</v>
      </c>
      <c r="J50" s="27">
        <f t="shared" si="5"/>
        <v>45642</v>
      </c>
      <c r="K50" s="27">
        <f t="shared" si="6"/>
        <v>45672</v>
      </c>
    </row>
    <row r="51" hidden="1">
      <c r="A51" s="3" t="str">
        <f t="shared" si="3"/>
        <v>SL-20250113-FMC-CS 009-11</v>
      </c>
      <c r="B51" s="2">
        <f t="array" ref="B51">INDEX(helper!$A$3:$A3996,ROUNDUP((ROW()-1)/COUNTA(helper!$D$3:$D3996),0))</f>
        <v>45670</v>
      </c>
      <c r="C51" s="5" t="str">
        <f t="array" ref="C51">IF(B51="","",INDEX(helper!$D$3:$D3996,MOD(ROW()-2,COUNTA(helper!$D$3:$D3996))+1))</f>
        <v>FMC</v>
      </c>
      <c r="D51" s="3" t="str">
        <f t="array" ref="D51">IF(B51="","",INDEX(helper!$E$3:$E3996,MOD(ROW()-2,COUNTA(helper!$D$3:$D3996))+1))</f>
        <v>CS 009</v>
      </c>
      <c r="E51" s="3">
        <f t="array" ref="E51">IF(B51="","",INDEX(helper!$F$3:$F3996,MOD(ROW()-2,COUNTA(helper!$D$3:$D3996))+1))</f>
        <v>11</v>
      </c>
      <c r="F51" s="3">
        <f>IF(B51="","",SUMIFS('inventory ledger'!$H:$H,'inventory ledger'!$C:$C,C51,'inventory ledger'!$D:$D,D51,'inventory ledger'!$E:$E,E51,'inventory ledger'!$A:$A,"&lt;="&amp;B51+TIME(23,59,59))-SUMIFS('inventory ledger'!$I:$I,'inventory ledger'!$C:$C,C51,'inventory ledger'!$D:$D,D51,'inventory ledger'!$E:$E,E51,'inventory ledger'!$A:$A,"&lt;="&amp;B51+TIME(23,59,59)))</f>
        <v>28</v>
      </c>
      <c r="G51" s="3">
        <f>IFERROR(__xludf.DUMMYFUNCTION("IF(F51&lt;=0,0,IFERROR(ROUNDUP(F51/INDEX(FILTER('warehouse config'!$D:$D,('warehouse config'!$B:$B=C51)*('warehouse config'!$C:$C=D51)*('warehouse config'!$G:$G&lt;=B51)*(('warehouse config'!$H:$H&gt;=B51)+ISBLANK('warehouse config'!$H:$H))),1)),0))"),2.0)</f>
        <v>2</v>
      </c>
      <c r="H51" s="3">
        <f>IFERROR(__xludf.DUMMYFUNCTION("IFERROR(INDEX(FILTER('cost master'!$E:$E,('cost master'!$B:$B=C51)*('cost master'!$D:$D=""Storage cost per pallet / week"")*('cost master'!$G:$G&lt;=B51)*(('cost master'!$H:$H&gt;=B51)+ISBLANK('cost master'!$H:$H))),1),0)"),3.9)</f>
        <v>3.9</v>
      </c>
      <c r="I51" s="3">
        <f t="shared" si="4"/>
        <v>7.8</v>
      </c>
      <c r="J51" s="27">
        <f t="shared" si="5"/>
        <v>45642</v>
      </c>
      <c r="K51" s="27">
        <f t="shared" si="6"/>
        <v>45672</v>
      </c>
    </row>
    <row r="52" hidden="1">
      <c r="A52" s="3" t="str">
        <f t="shared" si="3"/>
        <v>SL-20250113-FMC-CS 010-11</v>
      </c>
      <c r="B52" s="2">
        <f t="array" ref="B52">INDEX(helper!$A$3:$A3996,ROUNDUP((ROW()-1)/COUNTA(helper!$D$3:$D3996),0))</f>
        <v>45670</v>
      </c>
      <c r="C52" s="5" t="str">
        <f t="array" ref="C52">IF(B52="","",INDEX(helper!$D$3:$D3996,MOD(ROW()-2,COUNTA(helper!$D$3:$D3996))+1))</f>
        <v>FMC</v>
      </c>
      <c r="D52" s="3" t="str">
        <f t="array" ref="D52">IF(B52="","",INDEX(helper!$E$3:$E3996,MOD(ROW()-2,COUNTA(helper!$D$3:$D3996))+1))</f>
        <v>CS 010</v>
      </c>
      <c r="E52" s="3">
        <f t="array" ref="E52">IF(B52="","",INDEX(helper!$F$3:$F3996,MOD(ROW()-2,COUNTA(helper!$D$3:$D3996))+1))</f>
        <v>11</v>
      </c>
      <c r="F52" s="3">
        <f>IF(B52="","",SUMIFS('inventory ledger'!$H:$H,'inventory ledger'!$C:$C,C52,'inventory ledger'!$D:$D,D52,'inventory ledger'!$E:$E,E52,'inventory ledger'!$A:$A,"&lt;="&amp;B52+TIME(23,59,59))-SUMIFS('inventory ledger'!$I:$I,'inventory ledger'!$C:$C,C52,'inventory ledger'!$D:$D,D52,'inventory ledger'!$E:$E,E52,'inventory ledger'!$A:$A,"&lt;="&amp;B52+TIME(23,59,59)))</f>
        <v>46</v>
      </c>
      <c r="G52" s="3">
        <f>IFERROR(__xludf.DUMMYFUNCTION("IF(F52&lt;=0,0,IFERROR(ROUNDUP(F52/INDEX(FILTER('warehouse config'!$D:$D,('warehouse config'!$B:$B=C52)*('warehouse config'!$C:$C=D52)*('warehouse config'!$G:$G&lt;=B52)*(('warehouse config'!$H:$H&gt;=B52)+ISBLANK('warehouse config'!$H:$H))),1)),0))"),2.0)</f>
        <v>2</v>
      </c>
      <c r="H52" s="3">
        <f>IFERROR(__xludf.DUMMYFUNCTION("IFERROR(INDEX(FILTER('cost master'!$E:$E,('cost master'!$B:$B=C52)*('cost master'!$D:$D=""Storage cost per pallet / week"")*('cost master'!$G:$G&lt;=B52)*(('cost master'!$H:$H&gt;=B52)+ISBLANK('cost master'!$H:$H))),1),0)"),3.9)</f>
        <v>3.9</v>
      </c>
      <c r="I52" s="3">
        <f t="shared" si="4"/>
        <v>7.8</v>
      </c>
      <c r="J52" s="27">
        <f t="shared" si="5"/>
        <v>45642</v>
      </c>
      <c r="K52" s="27">
        <f t="shared" si="6"/>
        <v>45672</v>
      </c>
    </row>
    <row r="53" hidden="1">
      <c r="A53" s="3" t="str">
        <f t="shared" si="3"/>
        <v>SL-20250113-Vglobal-CS 007-12</v>
      </c>
      <c r="B53" s="2">
        <f t="array" ref="B53">INDEX(helper!$A$3:$A3996,ROUNDUP((ROW()-1)/COUNTA(helper!$D$3:$D3996),0))</f>
        <v>45670</v>
      </c>
      <c r="C53" s="5" t="str">
        <f t="array" ref="C53">IF(B53="","",INDEX(helper!$D$3:$D3996,MOD(ROW()-2,COUNTA(helper!$D$3:$D3996))+1))</f>
        <v>Vglobal</v>
      </c>
      <c r="D53" s="3" t="str">
        <f t="array" ref="D53">IF(B53="","",INDEX(helper!$E$3:$E3996,MOD(ROW()-2,COUNTA(helper!$D$3:$D3996))+1))</f>
        <v>CS 007</v>
      </c>
      <c r="E53" s="3">
        <f t="array" ref="E53">IF(B53="","",INDEX(helper!$F$3:$F3996,MOD(ROW()-2,COUNTA(helper!$D$3:$D3996))+1))</f>
        <v>12</v>
      </c>
      <c r="F53" s="3">
        <f>IF(B53="","",SUMIFS('inventory ledger'!$H:$H,'inventory ledger'!$C:$C,C53,'inventory ledger'!$D:$D,D53,'inventory ledger'!$E:$E,E53,'inventory ledger'!$A:$A,"&lt;="&amp;B53+TIME(23,59,59))-SUMIFS('inventory ledger'!$I:$I,'inventory ledger'!$C:$C,C53,'inventory ledger'!$D:$D,D53,'inventory ledger'!$E:$E,E53,'inventory ledger'!$A:$A,"&lt;="&amp;B53+TIME(23,59,59)))</f>
        <v>228</v>
      </c>
      <c r="G53" s="3">
        <f>IFERROR(__xludf.DUMMYFUNCTION("IF(F53&lt;=0,0,IFERROR(ROUNDUP(F53/INDEX(FILTER('warehouse config'!$D:$D,('warehouse config'!$B:$B=C53)*('warehouse config'!$C:$C=D53)*('warehouse config'!$G:$G&lt;=B53)*(('warehouse config'!$H:$H&gt;=B53)+ISBLANK('warehouse config'!$H:$H))),1)),0))"),15.0)</f>
        <v>15</v>
      </c>
      <c r="H53" s="3">
        <f>IFERROR(__xludf.DUMMYFUNCTION("IFERROR(INDEX(FILTER('cost master'!$E:$E,('cost master'!$B:$B=C53)*('cost master'!$D:$D=""Storage cost per pallet / week"")*('cost master'!$G:$G&lt;=B53)*(('cost master'!$H:$H&gt;=B53)+ISBLANK('cost master'!$H:$H))),1),0)"),2.6)</f>
        <v>2.6</v>
      </c>
      <c r="I53" s="3">
        <f t="shared" si="4"/>
        <v>39</v>
      </c>
      <c r="J53" s="27">
        <f t="shared" si="5"/>
        <v>45642</v>
      </c>
      <c r="K53" s="27">
        <f t="shared" si="6"/>
        <v>45672</v>
      </c>
    </row>
    <row r="54" hidden="1">
      <c r="A54" s="3" t="str">
        <f t="shared" si="3"/>
        <v>SL-20250113-Vglobal-CS 011-12</v>
      </c>
      <c r="B54" s="2">
        <f t="array" ref="B54">INDEX(helper!$A$3:$A3996,ROUNDUP((ROW()-1)/COUNTA(helper!$D$3:$D3996),0))</f>
        <v>45670</v>
      </c>
      <c r="C54" s="5" t="str">
        <f t="array" ref="C54">IF(B54="","",INDEX(helper!$D$3:$D3996,MOD(ROW()-2,COUNTA(helper!$D$3:$D3996))+1))</f>
        <v>Vglobal</v>
      </c>
      <c r="D54" s="3" t="str">
        <f t="array" ref="D54">IF(B54="","",INDEX(helper!$E$3:$E3996,MOD(ROW()-2,COUNTA(helper!$D$3:$D3996))+1))</f>
        <v>CS 011</v>
      </c>
      <c r="E54" s="3">
        <f t="array" ref="E54">IF(B54="","",INDEX(helper!$F$3:$F3996,MOD(ROW()-2,COUNTA(helper!$D$3:$D3996))+1))</f>
        <v>12</v>
      </c>
      <c r="F54" s="3">
        <f>IF(B54="","",SUMIFS('inventory ledger'!$H:$H,'inventory ledger'!$C:$C,C54,'inventory ledger'!$D:$D,D54,'inventory ledger'!$E:$E,E54,'inventory ledger'!$A:$A,"&lt;="&amp;B54+TIME(23,59,59))-SUMIFS('inventory ledger'!$I:$I,'inventory ledger'!$C:$C,C54,'inventory ledger'!$D:$D,D54,'inventory ledger'!$E:$E,E54,'inventory ledger'!$A:$A,"&lt;="&amp;B54+TIME(23,59,59)))</f>
        <v>105</v>
      </c>
      <c r="G54" s="3">
        <f>IFERROR(__xludf.DUMMYFUNCTION("IF(F54&lt;=0,0,IFERROR(ROUNDUP(F54/INDEX(FILTER('warehouse config'!$D:$D,('warehouse config'!$B:$B=C54)*('warehouse config'!$C:$C=D54)*('warehouse config'!$G:$G&lt;=B54)*(('warehouse config'!$H:$H&gt;=B54)+ISBLANK('warehouse config'!$H:$H))),1)),0))"),6.0)</f>
        <v>6</v>
      </c>
      <c r="H54" s="3">
        <f>IFERROR(__xludf.DUMMYFUNCTION("IFERROR(INDEX(FILTER('cost master'!$E:$E,('cost master'!$B:$B=C54)*('cost master'!$D:$D=""Storage cost per pallet / week"")*('cost master'!$G:$G&lt;=B54)*(('cost master'!$H:$H&gt;=B54)+ISBLANK('cost master'!$H:$H))),1),0)"),2.6)</f>
        <v>2.6</v>
      </c>
      <c r="I54" s="3">
        <f t="shared" si="4"/>
        <v>15.6</v>
      </c>
      <c r="J54" s="27">
        <f t="shared" si="5"/>
        <v>45642</v>
      </c>
      <c r="K54" s="27">
        <f t="shared" si="6"/>
        <v>45672</v>
      </c>
    </row>
    <row r="55" hidden="1">
      <c r="A55" s="3" t="str">
        <f t="shared" si="3"/>
        <v>SL-20250113-Vglobal-CS 008-12</v>
      </c>
      <c r="B55" s="2">
        <f t="array" ref="B55">INDEX(helper!$A$3:$A3996,ROUNDUP((ROW()-1)/COUNTA(helper!$D$3:$D3996),0))</f>
        <v>45670</v>
      </c>
      <c r="C55" s="5" t="str">
        <f t="array" ref="C55">IF(B55="","",INDEX(helper!$D$3:$D3996,MOD(ROW()-2,COUNTA(helper!$D$3:$D3996))+1))</f>
        <v>Vglobal</v>
      </c>
      <c r="D55" s="3" t="str">
        <f t="array" ref="D55">IF(B55="","",INDEX(helper!$E$3:$E3996,MOD(ROW()-2,COUNTA(helper!$D$3:$D3996))+1))</f>
        <v>CS 008</v>
      </c>
      <c r="E55" s="3">
        <f t="array" ref="E55">IF(B55="","",INDEX(helper!$F$3:$F3996,MOD(ROW()-2,COUNTA(helper!$D$3:$D3996))+1))</f>
        <v>12</v>
      </c>
      <c r="F55" s="3">
        <f>IF(B55="","",SUMIFS('inventory ledger'!$H:$H,'inventory ledger'!$C:$C,C55,'inventory ledger'!$D:$D,D55,'inventory ledger'!$E:$E,E55,'inventory ledger'!$A:$A,"&lt;="&amp;B55+TIME(23,59,59))-SUMIFS('inventory ledger'!$I:$I,'inventory ledger'!$C:$C,C55,'inventory ledger'!$D:$D,D55,'inventory ledger'!$E:$E,E55,'inventory ledger'!$A:$A,"&lt;="&amp;B55+TIME(23,59,59)))</f>
        <v>20</v>
      </c>
      <c r="G55" s="3">
        <f>IFERROR(__xludf.DUMMYFUNCTION("IF(F55&lt;=0,0,IFERROR(ROUNDUP(F55/INDEX(FILTER('warehouse config'!$D:$D,('warehouse config'!$B:$B=C55)*('warehouse config'!$C:$C=D55)*('warehouse config'!$G:$G&lt;=B55)*(('warehouse config'!$H:$H&gt;=B55)+ISBLANK('warehouse config'!$H:$H))),1)),0))"),1.0)</f>
        <v>1</v>
      </c>
      <c r="H55" s="3">
        <f>IFERROR(__xludf.DUMMYFUNCTION("IFERROR(INDEX(FILTER('cost master'!$E:$E,('cost master'!$B:$B=C55)*('cost master'!$D:$D=""Storage cost per pallet / week"")*('cost master'!$G:$G&lt;=B55)*(('cost master'!$H:$H&gt;=B55)+ISBLANK('cost master'!$H:$H))),1),0)"),2.6)</f>
        <v>2.6</v>
      </c>
      <c r="I55" s="3">
        <f t="shared" si="4"/>
        <v>2.6</v>
      </c>
      <c r="J55" s="27">
        <f t="shared" si="5"/>
        <v>45642</v>
      </c>
      <c r="K55" s="27">
        <f t="shared" si="6"/>
        <v>45672</v>
      </c>
    </row>
    <row r="56" hidden="1">
      <c r="A56" s="3" t="str">
        <f t="shared" si="3"/>
        <v>SL-20250113-Vglobal-CS 010-12</v>
      </c>
      <c r="B56" s="2">
        <f t="array" ref="B56">INDEX(helper!$A$3:$A3996,ROUNDUP((ROW()-1)/COUNTA(helper!$D$3:$D3996),0))</f>
        <v>45670</v>
      </c>
      <c r="C56" s="5" t="str">
        <f t="array" ref="C56">IF(B56="","",INDEX(helper!$D$3:$D3996,MOD(ROW()-2,COUNTA(helper!$D$3:$D3996))+1))</f>
        <v>Vglobal</v>
      </c>
      <c r="D56" s="3" t="str">
        <f t="array" ref="D56">IF(B56="","",INDEX(helper!$E$3:$E3996,MOD(ROW()-2,COUNTA(helper!$D$3:$D3996))+1))</f>
        <v>CS 010</v>
      </c>
      <c r="E56" s="3">
        <f t="array" ref="E56">IF(B56="","",INDEX(helper!$F$3:$F3996,MOD(ROW()-2,COUNTA(helper!$D$3:$D3996))+1))</f>
        <v>12</v>
      </c>
      <c r="F56" s="3">
        <f>IF(B56="","",SUMIFS('inventory ledger'!$H:$H,'inventory ledger'!$C:$C,C56,'inventory ledger'!$D:$D,D56,'inventory ledger'!$E:$E,E56,'inventory ledger'!$A:$A,"&lt;="&amp;B56+TIME(23,59,59))-SUMIFS('inventory ledger'!$I:$I,'inventory ledger'!$C:$C,C56,'inventory ledger'!$D:$D,D56,'inventory ledger'!$E:$E,E56,'inventory ledger'!$A:$A,"&lt;="&amp;B56+TIME(23,59,59)))</f>
        <v>80</v>
      </c>
      <c r="G56" s="3">
        <f>IFERROR(__xludf.DUMMYFUNCTION("IF(F56&lt;=0,0,IFERROR(ROUNDUP(F56/INDEX(FILTER('warehouse config'!$D:$D,('warehouse config'!$B:$B=C56)*('warehouse config'!$C:$C=D56)*('warehouse config'!$G:$G&lt;=B56)*(('warehouse config'!$H:$H&gt;=B56)+ISBLANK('warehouse config'!$H:$H))),1)),0))"),4.0)</f>
        <v>4</v>
      </c>
      <c r="H56" s="3">
        <f>IFERROR(__xludf.DUMMYFUNCTION("IFERROR(INDEX(FILTER('cost master'!$E:$E,('cost master'!$B:$B=C56)*('cost master'!$D:$D=""Storage cost per pallet / week"")*('cost master'!$G:$G&lt;=B56)*(('cost master'!$H:$H&gt;=B56)+ISBLANK('cost master'!$H:$H))),1),0)"),2.6)</f>
        <v>2.6</v>
      </c>
      <c r="I56" s="3">
        <f t="shared" si="4"/>
        <v>10.4</v>
      </c>
      <c r="J56" s="27">
        <f t="shared" si="5"/>
        <v>45642</v>
      </c>
      <c r="K56" s="27">
        <f t="shared" si="6"/>
        <v>45672</v>
      </c>
    </row>
    <row r="57" hidden="1">
      <c r="A57" s="3" t="str">
        <f t="shared" si="3"/>
        <v>SL-20250113-Vglobal-CS 009-12</v>
      </c>
      <c r="B57" s="2">
        <f t="array" ref="B57">INDEX(helper!$A$3:$A3996,ROUNDUP((ROW()-1)/COUNTA(helper!$D$3:$D3996),0))</f>
        <v>45670</v>
      </c>
      <c r="C57" s="5" t="str">
        <f t="array" ref="C57">IF(B57="","",INDEX(helper!$D$3:$D3996,MOD(ROW()-2,COUNTA(helper!$D$3:$D3996))+1))</f>
        <v>Vglobal</v>
      </c>
      <c r="D57" s="3" t="str">
        <f t="array" ref="D57">IF(B57="","",INDEX(helper!$E$3:$E3996,MOD(ROW()-2,COUNTA(helper!$D$3:$D3996))+1))</f>
        <v>CS 009</v>
      </c>
      <c r="E57" s="3">
        <f t="array" ref="E57">IF(B57="","",INDEX(helper!$F$3:$F3996,MOD(ROW()-2,COUNTA(helper!$D$3:$D3996))+1))</f>
        <v>12</v>
      </c>
      <c r="F57" s="3">
        <f>IF(B57="","",SUMIFS('inventory ledger'!$H:$H,'inventory ledger'!$C:$C,C57,'inventory ledger'!$D:$D,D57,'inventory ledger'!$E:$E,E57,'inventory ledger'!$A:$A,"&lt;="&amp;B57+TIME(23,59,59))-SUMIFS('inventory ledger'!$I:$I,'inventory ledger'!$C:$C,C57,'inventory ledger'!$D:$D,D57,'inventory ledger'!$E:$E,E57,'inventory ledger'!$A:$A,"&lt;="&amp;B57+TIME(23,59,59)))</f>
        <v>104</v>
      </c>
      <c r="G57" s="3">
        <f>IFERROR(__xludf.DUMMYFUNCTION("IF(F57&lt;=0,0,IFERROR(ROUNDUP(F57/INDEX(FILTER('warehouse config'!$D:$D,('warehouse config'!$B:$B=C57)*('warehouse config'!$C:$C=D57)*('warehouse config'!$G:$G&lt;=B57)*(('warehouse config'!$H:$H&gt;=B57)+ISBLANK('warehouse config'!$H:$H))),1)),0))"),7.0)</f>
        <v>7</v>
      </c>
      <c r="H57" s="3">
        <f>IFERROR(__xludf.DUMMYFUNCTION("IFERROR(INDEX(FILTER('cost master'!$E:$E,('cost master'!$B:$B=C57)*('cost master'!$D:$D=""Storage cost per pallet / week"")*('cost master'!$G:$G&lt;=B57)*(('cost master'!$H:$H&gt;=B57)+ISBLANK('cost master'!$H:$H))),1),0)"),2.6)</f>
        <v>2.6</v>
      </c>
      <c r="I57" s="3">
        <f t="shared" si="4"/>
        <v>18.2</v>
      </c>
      <c r="J57" s="27">
        <f t="shared" si="5"/>
        <v>45642</v>
      </c>
      <c r="K57" s="27">
        <f t="shared" si="6"/>
        <v>45672</v>
      </c>
    </row>
    <row r="58" hidden="1">
      <c r="A58" s="3" t="str">
        <f t="shared" si="3"/>
        <v>SL-20250113-Vglobal-CS 012-12</v>
      </c>
      <c r="B58" s="2">
        <f t="array" ref="B58">INDEX(helper!$A$3:$A3996,ROUNDUP((ROW()-1)/COUNTA(helper!$D$3:$D3996),0))</f>
        <v>45670</v>
      </c>
      <c r="C58" s="5" t="str">
        <f t="array" ref="C58">IF(B58="","",INDEX(helper!$D$3:$D3996,MOD(ROW()-2,COUNTA(helper!$D$3:$D3996))+1))</f>
        <v>Vglobal</v>
      </c>
      <c r="D58" s="3" t="str">
        <f t="array" ref="D58">IF(B58="","",INDEX(helper!$E$3:$E3996,MOD(ROW()-2,COUNTA(helper!$D$3:$D3996))+1))</f>
        <v>CS 012</v>
      </c>
      <c r="E58" s="3">
        <f t="array" ref="E58">IF(B58="","",INDEX(helper!$F$3:$F3996,MOD(ROW()-2,COUNTA(helper!$D$3:$D3996))+1))</f>
        <v>12</v>
      </c>
      <c r="F58" s="3">
        <f>IF(B58="","",SUMIFS('inventory ledger'!$H:$H,'inventory ledger'!$C:$C,C58,'inventory ledger'!$D:$D,D58,'inventory ledger'!$E:$E,E58,'inventory ledger'!$A:$A,"&lt;="&amp;B58+TIME(23,59,59))-SUMIFS('inventory ledger'!$I:$I,'inventory ledger'!$C:$C,C58,'inventory ledger'!$D:$D,D58,'inventory ledger'!$E:$E,E58,'inventory ledger'!$A:$A,"&lt;="&amp;B58+TIME(23,59,59)))</f>
        <v>6</v>
      </c>
      <c r="G58" s="3">
        <f>IFERROR(__xludf.DUMMYFUNCTION("IF(F58&lt;=0,0,IFERROR(ROUNDUP(F58/INDEX(FILTER('warehouse config'!$D:$D,('warehouse config'!$B:$B=C58)*('warehouse config'!$C:$C=D58)*('warehouse config'!$G:$G&lt;=B58)*(('warehouse config'!$H:$H&gt;=B58)+ISBLANK('warehouse config'!$H:$H))),1)),0))"),1.0)</f>
        <v>1</v>
      </c>
      <c r="H58" s="3">
        <f>IFERROR(__xludf.DUMMYFUNCTION("IFERROR(INDEX(FILTER('cost master'!$E:$E,('cost master'!$B:$B=C58)*('cost master'!$D:$D=""Storage cost per pallet / week"")*('cost master'!$G:$G&lt;=B58)*(('cost master'!$H:$H&gt;=B58)+ISBLANK('cost master'!$H:$H))),1),0)"),2.6)</f>
        <v>2.6</v>
      </c>
      <c r="I58" s="3">
        <f t="shared" si="4"/>
        <v>2.6</v>
      </c>
      <c r="J58" s="27">
        <f t="shared" si="5"/>
        <v>45642</v>
      </c>
      <c r="K58" s="27">
        <f t="shared" si="6"/>
        <v>45672</v>
      </c>
    </row>
    <row r="59" hidden="1">
      <c r="A59" s="3" t="str">
        <f t="shared" si="3"/>
        <v>SL-20250113-Vglobal-CS-CDS-001-3</v>
      </c>
      <c r="B59" s="2">
        <f t="array" ref="B59">INDEX(helper!$A$3:$A3996,ROUNDUP((ROW()-1)/COUNTA(helper!$D$3:$D3996),0))</f>
        <v>45670</v>
      </c>
      <c r="C59" s="5" t="str">
        <f t="array" ref="C59">IF(B59="","",INDEX(helper!$D$3:$D3996,MOD(ROW()-2,COUNTA(helper!$D$3:$D3996))+1))</f>
        <v>Vglobal</v>
      </c>
      <c r="D59" s="3" t="str">
        <f t="array" ref="D59">IF(B59="","",INDEX(helper!$E$3:$E3996,MOD(ROW()-2,COUNTA(helper!$D$3:$D3996))+1))</f>
        <v>CS-CDS-001</v>
      </c>
      <c r="E59" s="3">
        <f t="array" ref="E59">IF(B59="","",INDEX(helper!$F$3:$F3996,MOD(ROW()-2,COUNTA(helper!$D$3:$D3996))+1))</f>
        <v>3</v>
      </c>
      <c r="F59" s="3">
        <f>IF(B59="","",SUMIFS('inventory ledger'!$H:$H,'inventory ledger'!$C:$C,C59,'inventory ledger'!$D:$D,D59,'inventory ledger'!$E:$E,E59,'inventory ledger'!$A:$A,"&lt;="&amp;B59+TIME(23,59,59))-SUMIFS('inventory ledger'!$I:$I,'inventory ledger'!$C:$C,C59,'inventory ledger'!$D:$D,D59,'inventory ledger'!$E:$E,E59,'inventory ledger'!$A:$A,"&lt;="&amp;B59+TIME(23,59,59)))</f>
        <v>55</v>
      </c>
      <c r="G59" s="3">
        <f>IFERROR(__xludf.DUMMYFUNCTION("IF(F59&lt;=0,0,IFERROR(ROUNDUP(F59/INDEX(FILTER('warehouse config'!$D:$D,('warehouse config'!$B:$B=C59)*('warehouse config'!$C:$C=D59)*('warehouse config'!$G:$G&lt;=B59)*(('warehouse config'!$H:$H&gt;=B59)+ISBLANK('warehouse config'!$H:$H))),1)),0))"),4.0)</f>
        <v>4</v>
      </c>
      <c r="H59" s="3">
        <f>IFERROR(__xludf.DUMMYFUNCTION("IFERROR(INDEX(FILTER('cost master'!$E:$E,('cost master'!$B:$B=C59)*('cost master'!$D:$D=""Storage cost per pallet / week"")*('cost master'!$G:$G&lt;=B59)*(('cost master'!$H:$H&gt;=B59)+ISBLANK('cost master'!$H:$H))),1),0)"),2.6)</f>
        <v>2.6</v>
      </c>
      <c r="I59" s="3">
        <f t="shared" si="4"/>
        <v>10.4</v>
      </c>
      <c r="J59" s="27">
        <f t="shared" si="5"/>
        <v>45642</v>
      </c>
      <c r="K59" s="27">
        <f t="shared" si="6"/>
        <v>45672</v>
      </c>
    </row>
    <row r="60" hidden="1">
      <c r="A60" s="3" t="str">
        <f t="shared" si="3"/>
        <v>SL-20250113-Vglobal-CS-CDS-002-3</v>
      </c>
      <c r="B60" s="2">
        <f t="array" ref="B60">INDEX(helper!$A$3:$A3996,ROUNDUP((ROW()-1)/COUNTA(helper!$D$3:$D3996),0))</f>
        <v>45670</v>
      </c>
      <c r="C60" s="5" t="str">
        <f t="array" ref="C60">IF(B60="","",INDEX(helper!$D$3:$D3996,MOD(ROW()-2,COUNTA(helper!$D$3:$D3996))+1))</f>
        <v>Vglobal</v>
      </c>
      <c r="D60" s="3" t="str">
        <f t="array" ref="D60">IF(B60="","",INDEX(helper!$E$3:$E3996,MOD(ROW()-2,COUNTA(helper!$D$3:$D3996))+1))</f>
        <v>CS-CDS-002</v>
      </c>
      <c r="E60" s="3">
        <f t="array" ref="E60">IF(B60="","",INDEX(helper!$F$3:$F3996,MOD(ROW()-2,COUNTA(helper!$D$3:$D3996))+1))</f>
        <v>3</v>
      </c>
      <c r="F60" s="3">
        <f>IF(B60="","",SUMIFS('inventory ledger'!$H:$H,'inventory ledger'!$C:$C,C60,'inventory ledger'!$D:$D,D60,'inventory ledger'!$E:$E,E60,'inventory ledger'!$A:$A,"&lt;="&amp;B60+TIME(23,59,59))-SUMIFS('inventory ledger'!$I:$I,'inventory ledger'!$C:$C,C60,'inventory ledger'!$D:$D,D60,'inventory ledger'!$E:$E,E60,'inventory ledger'!$A:$A,"&lt;="&amp;B60+TIME(23,59,59)))</f>
        <v>64</v>
      </c>
      <c r="G60" s="3">
        <f>IFERROR(__xludf.DUMMYFUNCTION("IF(F60&lt;=0,0,IFERROR(ROUNDUP(F60/INDEX(FILTER('warehouse config'!$D:$D,('warehouse config'!$B:$B=C60)*('warehouse config'!$C:$C=D60)*('warehouse config'!$G:$G&lt;=B60)*(('warehouse config'!$H:$H&gt;=B60)+ISBLANK('warehouse config'!$H:$H))),1)),0))"),4.0)</f>
        <v>4</v>
      </c>
      <c r="H60" s="3">
        <f>IFERROR(__xludf.DUMMYFUNCTION("IFERROR(INDEX(FILTER('cost master'!$E:$E,('cost master'!$B:$B=C60)*('cost master'!$D:$D=""Storage cost per pallet / week"")*('cost master'!$G:$G&lt;=B60)*(('cost master'!$H:$H&gt;=B60)+ISBLANK('cost master'!$H:$H))),1),0)"),2.6)</f>
        <v>2.6</v>
      </c>
      <c r="I60" s="3">
        <f t="shared" si="4"/>
        <v>10.4</v>
      </c>
      <c r="J60" s="27">
        <f t="shared" si="5"/>
        <v>45642</v>
      </c>
      <c r="K60" s="27">
        <f t="shared" si="6"/>
        <v>45672</v>
      </c>
    </row>
    <row r="61" hidden="1">
      <c r="A61" s="3" t="str">
        <f t="shared" si="3"/>
        <v>SL-20250113-4as-CS-CDS-001-4</v>
      </c>
      <c r="B61" s="2">
        <f t="array" ref="B61">INDEX(helper!$A$3:$A3996,ROUNDUP((ROW()-1)/COUNTA(helper!$D$3:$D3996),0))</f>
        <v>45670</v>
      </c>
      <c r="C61" s="5" t="str">
        <f t="array" ref="C61">IF(B61="","",INDEX(helper!$D$3:$D3996,MOD(ROW()-2,COUNTA(helper!$D$3:$D3996))+1))</f>
        <v>4as</v>
      </c>
      <c r="D61" s="3" t="str">
        <f t="array" ref="D61">IF(B61="","",INDEX(helper!$E$3:$E3996,MOD(ROW()-2,COUNTA(helper!$D$3:$D3996))+1))</f>
        <v>CS-CDS-001</v>
      </c>
      <c r="E61" s="3">
        <f t="array" ref="E61">IF(B61="","",INDEX(helper!$F$3:$F3996,MOD(ROW()-2,COUNTA(helper!$D$3:$D3996))+1))</f>
        <v>4</v>
      </c>
      <c r="F61" s="3">
        <f>IF(B61="","",SUMIFS('inventory ledger'!$H:$H,'inventory ledger'!$C:$C,C61,'inventory ledger'!$D:$D,D61,'inventory ledger'!$E:$E,E61,'inventory ledger'!$A:$A,"&lt;="&amp;B61+TIME(23,59,59))-SUMIFS('inventory ledger'!$I:$I,'inventory ledger'!$C:$C,C61,'inventory ledger'!$D:$D,D61,'inventory ledger'!$E:$E,E61,'inventory ledger'!$A:$A,"&lt;="&amp;B61+TIME(23,59,59)))</f>
        <v>91</v>
      </c>
      <c r="G61" s="3">
        <f>IFERROR(__xludf.DUMMYFUNCTION("IF(F61&lt;=0,0,IFERROR(ROUNDUP(F61/INDEX(FILTER('warehouse config'!$D:$D,('warehouse config'!$B:$B=C61)*('warehouse config'!$C:$C=D61)*('warehouse config'!$G:$G&lt;=B61)*(('warehouse config'!$H:$H&gt;=B61)+ISBLANK('warehouse config'!$H:$H))),1)),0))"),5.0)</f>
        <v>5</v>
      </c>
      <c r="H61" s="3">
        <f>IFERROR(__xludf.DUMMYFUNCTION("IFERROR(INDEX(FILTER('cost master'!$E:$E,('cost master'!$B:$B=C61)*('cost master'!$D:$D=""Storage cost per pallet / week"")*('cost master'!$G:$G&lt;=B61)*(('cost master'!$H:$H&gt;=B61)+ISBLANK('cost master'!$H:$H))),1),0)"),9.0)</f>
        <v>9</v>
      </c>
      <c r="I61" s="3">
        <f t="shared" si="4"/>
        <v>45</v>
      </c>
      <c r="J61" s="27">
        <f t="shared" si="5"/>
        <v>45642</v>
      </c>
      <c r="K61" s="27">
        <f t="shared" si="6"/>
        <v>45672</v>
      </c>
    </row>
    <row r="62" hidden="1">
      <c r="A62" s="3" t="str">
        <f t="shared" si="3"/>
        <v>SL-20250113-4as-CS-CDS-002-4</v>
      </c>
      <c r="B62" s="2">
        <f t="array" ref="B62">INDEX(helper!$A$3:$A3996,ROUNDUP((ROW()-1)/COUNTA(helper!$D$3:$D3996),0))</f>
        <v>45670</v>
      </c>
      <c r="C62" s="5" t="str">
        <f t="array" ref="C62">IF(B62="","",INDEX(helper!$D$3:$D3996,MOD(ROW()-2,COUNTA(helper!$D$3:$D3996))+1))</f>
        <v>4as</v>
      </c>
      <c r="D62" s="3" t="str">
        <f t="array" ref="D62">IF(B62="","",INDEX(helper!$E$3:$E3996,MOD(ROW()-2,COUNTA(helper!$D$3:$D3996))+1))</f>
        <v>CS-CDS-002</v>
      </c>
      <c r="E62" s="3">
        <f t="array" ref="E62">IF(B62="","",INDEX(helper!$F$3:$F3996,MOD(ROW()-2,COUNTA(helper!$D$3:$D3996))+1))</f>
        <v>4</v>
      </c>
      <c r="F62" s="3">
        <f>IF(B62="","",SUMIFS('inventory ledger'!$H:$H,'inventory ledger'!$C:$C,C62,'inventory ledger'!$D:$D,D62,'inventory ledger'!$E:$E,E62,'inventory ledger'!$A:$A,"&lt;="&amp;B62+TIME(23,59,59))-SUMIFS('inventory ledger'!$I:$I,'inventory ledger'!$C:$C,C62,'inventory ledger'!$D:$D,D62,'inventory ledger'!$E:$E,E62,'inventory ledger'!$A:$A,"&lt;="&amp;B62+TIME(23,59,59)))</f>
        <v>179</v>
      </c>
      <c r="G62" s="3">
        <f>IFERROR(__xludf.DUMMYFUNCTION("IF(F62&lt;=0,0,IFERROR(ROUNDUP(F62/INDEX(FILTER('warehouse config'!$D:$D,('warehouse config'!$B:$B=C62)*('warehouse config'!$C:$C=D62)*('warehouse config'!$G:$G&lt;=B62)*(('warehouse config'!$H:$H&gt;=B62)+ISBLANK('warehouse config'!$H:$H))),1)),0))"),9.0)</f>
        <v>9</v>
      </c>
      <c r="H62" s="3">
        <f>IFERROR(__xludf.DUMMYFUNCTION("IFERROR(INDEX(FILTER('cost master'!$E:$E,('cost master'!$B:$B=C62)*('cost master'!$D:$D=""Storage cost per pallet / week"")*('cost master'!$G:$G&lt;=B62)*(('cost master'!$H:$H&gt;=B62)+ISBLANK('cost master'!$H:$H))),1),0)"),9.0)</f>
        <v>9</v>
      </c>
      <c r="I62" s="3">
        <f t="shared" si="4"/>
        <v>81</v>
      </c>
      <c r="J62" s="27">
        <f t="shared" si="5"/>
        <v>45642</v>
      </c>
      <c r="K62" s="27">
        <f t="shared" si="6"/>
        <v>45672</v>
      </c>
    </row>
    <row r="63" hidden="1">
      <c r="A63" s="3" t="str">
        <f t="shared" si="3"/>
        <v>SL-20250113-Vglobal-CS 007-13</v>
      </c>
      <c r="B63" s="2">
        <f t="array" ref="B63">INDEX(helper!$A$3:$A3996,ROUNDUP((ROW()-1)/COUNTA(helper!$D$3:$D3996),0))</f>
        <v>45670</v>
      </c>
      <c r="C63" s="5" t="str">
        <f t="array" ref="C63">IF(B63="","",INDEX(helper!$D$3:$D3996,MOD(ROW()-2,COUNTA(helper!$D$3:$D3996))+1))</f>
        <v>Vglobal</v>
      </c>
      <c r="D63" s="3" t="str">
        <f t="array" ref="D63">IF(B63="","",INDEX(helper!$E$3:$E3996,MOD(ROW()-2,COUNTA(helper!$D$3:$D3996))+1))</f>
        <v>CS 007</v>
      </c>
      <c r="E63" s="3">
        <f t="array" ref="E63">IF(B63="","",INDEX(helper!$F$3:$F3996,MOD(ROW()-2,COUNTA(helper!$D$3:$D3996))+1))</f>
        <v>13</v>
      </c>
      <c r="F63" s="3">
        <f>IF(B63="","",SUMIFS('inventory ledger'!$H:$H,'inventory ledger'!$C:$C,C63,'inventory ledger'!$D:$D,D63,'inventory ledger'!$E:$E,E63,'inventory ledger'!$A:$A,"&lt;="&amp;B63+TIME(23,59,59))-SUMIFS('inventory ledger'!$I:$I,'inventory ledger'!$C:$C,C63,'inventory ledger'!$D:$D,D63,'inventory ledger'!$E:$E,E63,'inventory ledger'!$A:$A,"&lt;="&amp;B63+TIME(23,59,59)))</f>
        <v>285</v>
      </c>
      <c r="G63" s="3">
        <f>IFERROR(__xludf.DUMMYFUNCTION("IF(F63&lt;=0,0,IFERROR(ROUNDUP(F63/INDEX(FILTER('warehouse config'!$D:$D,('warehouse config'!$B:$B=C63)*('warehouse config'!$C:$C=D63)*('warehouse config'!$G:$G&lt;=B63)*(('warehouse config'!$H:$H&gt;=B63)+ISBLANK('warehouse config'!$H:$H))),1)),0))"),18.0)</f>
        <v>18</v>
      </c>
      <c r="H63" s="3">
        <f>IFERROR(__xludf.DUMMYFUNCTION("IFERROR(INDEX(FILTER('cost master'!$E:$E,('cost master'!$B:$B=C63)*('cost master'!$D:$D=""Storage cost per pallet / week"")*('cost master'!$G:$G&lt;=B63)*(('cost master'!$H:$H&gt;=B63)+ISBLANK('cost master'!$H:$H))),1),0)"),2.6)</f>
        <v>2.6</v>
      </c>
      <c r="I63" s="3">
        <f t="shared" si="4"/>
        <v>46.8</v>
      </c>
      <c r="J63" s="27">
        <f t="shared" si="5"/>
        <v>45642</v>
      </c>
      <c r="K63" s="27">
        <f t="shared" si="6"/>
        <v>45672</v>
      </c>
    </row>
    <row r="64" hidden="1">
      <c r="A64" s="3" t="str">
        <f t="shared" si="3"/>
        <v>SL-20250113-Vglobal-CS 011-13</v>
      </c>
      <c r="B64" s="2">
        <f t="array" ref="B64">INDEX(helper!$A$3:$A3996,ROUNDUP((ROW()-1)/COUNTA(helper!$D$3:$D3996),0))</f>
        <v>45670</v>
      </c>
      <c r="C64" s="5" t="str">
        <f t="array" ref="C64">IF(B64="","",INDEX(helper!$D$3:$D3996,MOD(ROW()-2,COUNTA(helper!$D$3:$D3996))+1))</f>
        <v>Vglobal</v>
      </c>
      <c r="D64" s="3" t="str">
        <f t="array" ref="D64">IF(B64="","",INDEX(helper!$E$3:$E3996,MOD(ROW()-2,COUNTA(helper!$D$3:$D3996))+1))</f>
        <v>CS 011</v>
      </c>
      <c r="E64" s="3">
        <f t="array" ref="E64">IF(B64="","",INDEX(helper!$F$3:$F3996,MOD(ROW()-2,COUNTA(helper!$D$3:$D3996))+1))</f>
        <v>13</v>
      </c>
      <c r="F64" s="3">
        <f>IF(B64="","",SUMIFS('inventory ledger'!$H:$H,'inventory ledger'!$C:$C,C64,'inventory ledger'!$D:$D,D64,'inventory ledger'!$E:$E,E64,'inventory ledger'!$A:$A,"&lt;="&amp;B64+TIME(23,59,59))-SUMIFS('inventory ledger'!$I:$I,'inventory ledger'!$C:$C,C64,'inventory ledger'!$D:$D,D64,'inventory ledger'!$E:$E,E64,'inventory ledger'!$A:$A,"&lt;="&amp;B64+TIME(23,59,59)))</f>
        <v>175</v>
      </c>
      <c r="G64" s="3">
        <f>IFERROR(__xludf.DUMMYFUNCTION("IF(F64&lt;=0,0,IFERROR(ROUNDUP(F64/INDEX(FILTER('warehouse config'!$D:$D,('warehouse config'!$B:$B=C64)*('warehouse config'!$C:$C=D64)*('warehouse config'!$G:$G&lt;=B64)*(('warehouse config'!$H:$H&gt;=B64)+ISBLANK('warehouse config'!$H:$H))),1)),0))"),9.0)</f>
        <v>9</v>
      </c>
      <c r="H64" s="3">
        <f>IFERROR(__xludf.DUMMYFUNCTION("IFERROR(INDEX(FILTER('cost master'!$E:$E,('cost master'!$B:$B=C64)*('cost master'!$D:$D=""Storage cost per pallet / week"")*('cost master'!$G:$G&lt;=B64)*(('cost master'!$H:$H&gt;=B64)+ISBLANK('cost master'!$H:$H))),1),0)"),2.6)</f>
        <v>2.6</v>
      </c>
      <c r="I64" s="3">
        <f t="shared" si="4"/>
        <v>23.4</v>
      </c>
      <c r="J64" s="27">
        <f t="shared" si="5"/>
        <v>45642</v>
      </c>
      <c r="K64" s="27">
        <f t="shared" si="6"/>
        <v>45672</v>
      </c>
    </row>
    <row r="65" hidden="1">
      <c r="A65" s="3" t="str">
        <f t="shared" si="3"/>
        <v>SL-20250113-Vglobal-CS 008-13</v>
      </c>
      <c r="B65" s="2">
        <f t="array" ref="B65">INDEX(helper!$A$3:$A3996,ROUNDUP((ROW()-1)/COUNTA(helper!$D$3:$D3996),0))</f>
        <v>45670</v>
      </c>
      <c r="C65" s="5" t="str">
        <f t="array" ref="C65">IF(B65="","",INDEX(helper!$D$3:$D3996,MOD(ROW()-2,COUNTA(helper!$D$3:$D3996))+1))</f>
        <v>Vglobal</v>
      </c>
      <c r="D65" s="3" t="str">
        <f t="array" ref="D65">IF(B65="","",INDEX(helper!$E$3:$E3996,MOD(ROW()-2,COUNTA(helper!$D$3:$D3996))+1))</f>
        <v>CS 008</v>
      </c>
      <c r="E65" s="3">
        <f t="array" ref="E65">IF(B65="","",INDEX(helper!$F$3:$F3996,MOD(ROW()-2,COUNTA(helper!$D$3:$D3996))+1))</f>
        <v>13</v>
      </c>
      <c r="F65" s="3">
        <f>IF(B65="","",SUMIFS('inventory ledger'!$H:$H,'inventory ledger'!$C:$C,C65,'inventory ledger'!$D:$D,D65,'inventory ledger'!$E:$E,E65,'inventory ledger'!$A:$A,"&lt;="&amp;B65+TIME(23,59,59))-SUMIFS('inventory ledger'!$I:$I,'inventory ledger'!$C:$C,C65,'inventory ledger'!$D:$D,D65,'inventory ledger'!$E:$E,E65,'inventory ledger'!$A:$A,"&lt;="&amp;B65+TIME(23,59,59)))</f>
        <v>20</v>
      </c>
      <c r="G65" s="3">
        <f>IFERROR(__xludf.DUMMYFUNCTION("IF(F65&lt;=0,0,IFERROR(ROUNDUP(F65/INDEX(FILTER('warehouse config'!$D:$D,('warehouse config'!$B:$B=C65)*('warehouse config'!$C:$C=D65)*('warehouse config'!$G:$G&lt;=B65)*(('warehouse config'!$H:$H&gt;=B65)+ISBLANK('warehouse config'!$H:$H))),1)),0))"),1.0)</f>
        <v>1</v>
      </c>
      <c r="H65" s="3">
        <f>IFERROR(__xludf.DUMMYFUNCTION("IFERROR(INDEX(FILTER('cost master'!$E:$E,('cost master'!$B:$B=C65)*('cost master'!$D:$D=""Storage cost per pallet / week"")*('cost master'!$G:$G&lt;=B65)*(('cost master'!$H:$H&gt;=B65)+ISBLANK('cost master'!$H:$H))),1),0)"),2.6)</f>
        <v>2.6</v>
      </c>
      <c r="I65" s="3">
        <f t="shared" si="4"/>
        <v>2.6</v>
      </c>
      <c r="J65" s="27">
        <f t="shared" si="5"/>
        <v>45642</v>
      </c>
      <c r="K65" s="27">
        <f t="shared" si="6"/>
        <v>45672</v>
      </c>
    </row>
    <row r="66" hidden="1">
      <c r="A66" s="3" t="str">
        <f t="shared" si="3"/>
        <v>SL-20250113-Vglobal-CS 010-13</v>
      </c>
      <c r="B66" s="2">
        <f t="array" ref="B66">INDEX(helper!$A$3:$A3996,ROUNDUP((ROW()-1)/COUNTA(helper!$D$3:$D3996),0))</f>
        <v>45670</v>
      </c>
      <c r="C66" s="5" t="str">
        <f t="array" ref="C66">IF(B66="","",INDEX(helper!$D$3:$D3996,MOD(ROW()-2,COUNTA(helper!$D$3:$D3996))+1))</f>
        <v>Vglobal</v>
      </c>
      <c r="D66" s="3" t="str">
        <f t="array" ref="D66">IF(B66="","",INDEX(helper!$E$3:$E3996,MOD(ROW()-2,COUNTA(helper!$D$3:$D3996))+1))</f>
        <v>CS 010</v>
      </c>
      <c r="E66" s="3">
        <f t="array" ref="E66">IF(B66="","",INDEX(helper!$F$3:$F3996,MOD(ROW()-2,COUNTA(helper!$D$3:$D3996))+1))</f>
        <v>13</v>
      </c>
      <c r="F66" s="3">
        <f>IF(B66="","",SUMIFS('inventory ledger'!$H:$H,'inventory ledger'!$C:$C,C66,'inventory ledger'!$D:$D,D66,'inventory ledger'!$E:$E,E66,'inventory ledger'!$A:$A,"&lt;="&amp;B66+TIME(23,59,59))-SUMIFS('inventory ledger'!$I:$I,'inventory ledger'!$C:$C,C66,'inventory ledger'!$D:$D,D66,'inventory ledger'!$E:$E,E66,'inventory ledger'!$A:$A,"&lt;="&amp;B66+TIME(23,59,59)))</f>
        <v>80</v>
      </c>
      <c r="G66" s="3">
        <f>IFERROR(__xludf.DUMMYFUNCTION("IF(F66&lt;=0,0,IFERROR(ROUNDUP(F66/INDEX(FILTER('warehouse config'!$D:$D,('warehouse config'!$B:$B=C66)*('warehouse config'!$C:$C=D66)*('warehouse config'!$G:$G&lt;=B66)*(('warehouse config'!$H:$H&gt;=B66)+ISBLANK('warehouse config'!$H:$H))),1)),0))"),4.0)</f>
        <v>4</v>
      </c>
      <c r="H66" s="3">
        <f>IFERROR(__xludf.DUMMYFUNCTION("IFERROR(INDEX(FILTER('cost master'!$E:$E,('cost master'!$B:$B=C66)*('cost master'!$D:$D=""Storage cost per pallet / week"")*('cost master'!$G:$G&lt;=B66)*(('cost master'!$H:$H&gt;=B66)+ISBLANK('cost master'!$H:$H))),1),0)"),2.6)</f>
        <v>2.6</v>
      </c>
      <c r="I66" s="3">
        <f t="shared" si="4"/>
        <v>10.4</v>
      </c>
      <c r="J66" s="27">
        <f t="shared" si="5"/>
        <v>45642</v>
      </c>
      <c r="K66" s="27">
        <f t="shared" si="6"/>
        <v>45672</v>
      </c>
    </row>
    <row r="67" hidden="1">
      <c r="A67" s="3" t="str">
        <f t="shared" si="3"/>
        <v>SL-20250113-Vglobal-CS 009-13</v>
      </c>
      <c r="B67" s="2">
        <f t="array" ref="B67">INDEX(helper!$A$3:$A3996,ROUNDUP((ROW()-1)/COUNTA(helper!$D$3:$D3996),0))</f>
        <v>45670</v>
      </c>
      <c r="C67" s="5" t="str">
        <f t="array" ref="C67">IF(B67="","",INDEX(helper!$D$3:$D3996,MOD(ROW()-2,COUNTA(helper!$D$3:$D3996))+1))</f>
        <v>Vglobal</v>
      </c>
      <c r="D67" s="3" t="str">
        <f t="array" ref="D67">IF(B67="","",INDEX(helper!$E$3:$E3996,MOD(ROW()-2,COUNTA(helper!$D$3:$D3996))+1))</f>
        <v>CS 009</v>
      </c>
      <c r="E67" s="3">
        <f t="array" ref="E67">IF(B67="","",INDEX(helper!$F$3:$F3996,MOD(ROW()-2,COUNTA(helper!$D$3:$D3996))+1))</f>
        <v>13</v>
      </c>
      <c r="F67" s="3">
        <f>IF(B67="","",SUMIFS('inventory ledger'!$H:$H,'inventory ledger'!$C:$C,C67,'inventory ledger'!$D:$D,D67,'inventory ledger'!$E:$E,E67,'inventory ledger'!$A:$A,"&lt;="&amp;B67+TIME(23,59,59))-SUMIFS('inventory ledger'!$I:$I,'inventory ledger'!$C:$C,C67,'inventory ledger'!$D:$D,D67,'inventory ledger'!$E:$E,E67,'inventory ledger'!$A:$A,"&lt;="&amp;B67+TIME(23,59,59)))</f>
        <v>88</v>
      </c>
      <c r="G67" s="3">
        <f>IFERROR(__xludf.DUMMYFUNCTION("IF(F67&lt;=0,0,IFERROR(ROUNDUP(F67/INDEX(FILTER('warehouse config'!$D:$D,('warehouse config'!$B:$B=C67)*('warehouse config'!$C:$C=D67)*('warehouse config'!$G:$G&lt;=B67)*(('warehouse config'!$H:$H&gt;=B67)+ISBLANK('warehouse config'!$H:$H))),1)),0))"),6.0)</f>
        <v>6</v>
      </c>
      <c r="H67" s="3">
        <f>IFERROR(__xludf.DUMMYFUNCTION("IFERROR(INDEX(FILTER('cost master'!$E:$E,('cost master'!$B:$B=C67)*('cost master'!$D:$D=""Storage cost per pallet / week"")*('cost master'!$G:$G&lt;=B67)*(('cost master'!$H:$H&gt;=B67)+ISBLANK('cost master'!$H:$H))),1),0)"),2.6)</f>
        <v>2.6</v>
      </c>
      <c r="I67" s="3">
        <f t="shared" si="4"/>
        <v>15.6</v>
      </c>
      <c r="J67" s="27">
        <f t="shared" si="5"/>
        <v>45642</v>
      </c>
      <c r="K67" s="27">
        <f t="shared" si="6"/>
        <v>45672</v>
      </c>
    </row>
    <row r="68" hidden="1">
      <c r="A68" s="3" t="str">
        <f t="shared" si="3"/>
        <v>SL-20250113-Vglobal-CS 012-13</v>
      </c>
      <c r="B68" s="2">
        <f t="array" ref="B68">INDEX(helper!$A$3:$A3996,ROUNDUP((ROW()-1)/COUNTA(helper!$D$3:$D3996),0))</f>
        <v>45670</v>
      </c>
      <c r="C68" s="5" t="str">
        <f t="array" ref="C68">IF(B68="","",INDEX(helper!$D$3:$D3996,MOD(ROW()-2,COUNTA(helper!$D$3:$D3996))+1))</f>
        <v>Vglobal</v>
      </c>
      <c r="D68" s="3" t="str">
        <f t="array" ref="D68">IF(B68="","",INDEX(helper!$E$3:$E3996,MOD(ROW()-2,COUNTA(helper!$D$3:$D3996))+1))</f>
        <v>CS 012</v>
      </c>
      <c r="E68" s="3">
        <f t="array" ref="E68">IF(B68="","",INDEX(helper!$F$3:$F3996,MOD(ROW()-2,COUNTA(helper!$D$3:$D3996))+1))</f>
        <v>13</v>
      </c>
      <c r="F68" s="3">
        <f>IF(B68="","",SUMIFS('inventory ledger'!$H:$H,'inventory ledger'!$C:$C,C68,'inventory ledger'!$D:$D,D68,'inventory ledger'!$E:$E,E68,'inventory ledger'!$A:$A,"&lt;="&amp;B68+TIME(23,59,59))-SUMIFS('inventory ledger'!$I:$I,'inventory ledger'!$C:$C,C68,'inventory ledger'!$D:$D,D68,'inventory ledger'!$E:$E,E68,'inventory ledger'!$A:$A,"&lt;="&amp;B68+TIME(23,59,59)))</f>
        <v>131</v>
      </c>
      <c r="G68" s="3">
        <f>IFERROR(__xludf.DUMMYFUNCTION("IF(F68&lt;=0,0,IFERROR(ROUNDUP(F68/INDEX(FILTER('warehouse config'!$D:$D,('warehouse config'!$B:$B=C68)*('warehouse config'!$C:$C=D68)*('warehouse config'!$G:$G&lt;=B68)*(('warehouse config'!$H:$H&gt;=B68)+ISBLANK('warehouse config'!$H:$H))),1)),0))"),7.0)</f>
        <v>7</v>
      </c>
      <c r="H68" s="3">
        <f>IFERROR(__xludf.DUMMYFUNCTION("IFERROR(INDEX(FILTER('cost master'!$E:$E,('cost master'!$B:$B=C68)*('cost master'!$D:$D=""Storage cost per pallet / week"")*('cost master'!$G:$G&lt;=B68)*(('cost master'!$H:$H&gt;=B68)+ISBLANK('cost master'!$H:$H))),1),0)"),2.6)</f>
        <v>2.6</v>
      </c>
      <c r="I68" s="3">
        <f t="shared" si="4"/>
        <v>18.2</v>
      </c>
      <c r="J68" s="27">
        <f t="shared" si="5"/>
        <v>45642</v>
      </c>
      <c r="K68" s="27">
        <f t="shared" si="6"/>
        <v>45672</v>
      </c>
    </row>
    <row r="69" hidden="1">
      <c r="A69" s="3" t="str">
        <f t="shared" si="3"/>
        <v>SL-20250113-FMC-CS 008-11</v>
      </c>
      <c r="B69" s="2">
        <f t="array" ref="B69">INDEX(helper!$A$3:$A3996,ROUNDUP((ROW()-1)/COUNTA(helper!$D$3:$D3996),0))</f>
        <v>45670</v>
      </c>
      <c r="C69" s="5" t="str">
        <f t="array" ref="C69">IF(B69="","",INDEX(helper!$D$3:$D3996,MOD(ROW()-2,COUNTA(helper!$D$3:$D3996))+1))</f>
        <v>FMC</v>
      </c>
      <c r="D69" s="3" t="str">
        <f t="array" ref="D69">IF(B69="","",INDEX(helper!$E$3:$E3996,MOD(ROW()-2,COUNTA(helper!$D$3:$D3996))+1))</f>
        <v>CS 008</v>
      </c>
      <c r="E69" s="3">
        <f t="array" ref="E69">IF(B69="","",INDEX(helper!$F$3:$F3996,MOD(ROW()-2,COUNTA(helper!$D$3:$D3996))+1))</f>
        <v>11</v>
      </c>
      <c r="F69" s="3">
        <f>IF(B69="","",SUMIFS('inventory ledger'!$H:$H,'inventory ledger'!$C:$C,C69,'inventory ledger'!$D:$D,D69,'inventory ledger'!$E:$E,E69,'inventory ledger'!$A:$A,"&lt;="&amp;B69+TIME(23,59,59))-SUMIFS('inventory ledger'!$I:$I,'inventory ledger'!$C:$C,C69,'inventory ledger'!$D:$D,D69,'inventory ledger'!$E:$E,E69,'inventory ledger'!$A:$A,"&lt;="&amp;B69+TIME(23,59,59)))</f>
        <v>0</v>
      </c>
      <c r="G69" s="3">
        <f>IFERROR(__xludf.DUMMYFUNCTION("IF(F69&lt;=0,0,IFERROR(ROUNDUP(F69/INDEX(FILTER('warehouse config'!$D:$D,('warehouse config'!$B:$B=C69)*('warehouse config'!$C:$C=D69)*('warehouse config'!$G:$G&lt;=B69)*(('warehouse config'!$H:$H&gt;=B69)+ISBLANK('warehouse config'!$H:$H))),1)),0))"),0.0)</f>
        <v>0</v>
      </c>
      <c r="H69" s="3">
        <f>IFERROR(__xludf.DUMMYFUNCTION("IFERROR(INDEX(FILTER('cost master'!$E:$E,('cost master'!$B:$B=C69)*('cost master'!$D:$D=""Storage cost per pallet / week"")*('cost master'!$G:$G&lt;=B69)*(('cost master'!$H:$H&gt;=B69)+ISBLANK('cost master'!$H:$H))),1),0)"),3.9)</f>
        <v>3.9</v>
      </c>
      <c r="I69" s="3">
        <f t="shared" si="4"/>
        <v>0</v>
      </c>
      <c r="J69" s="27">
        <f t="shared" si="5"/>
        <v>45642</v>
      </c>
      <c r="K69" s="27">
        <f t="shared" si="6"/>
        <v>45672</v>
      </c>
    </row>
    <row r="70" hidden="1">
      <c r="A70" s="3" t="str">
        <f t="shared" si="3"/>
        <v>SL-20250120-FMC-CS 007-8</v>
      </c>
      <c r="B70" s="2">
        <f t="array" ref="B70">INDEX(helper!$A$3:$A3996,ROUNDUP((ROW()-1)/COUNTA(helper!$D$3:$D3996),0))</f>
        <v>45677</v>
      </c>
      <c r="C70" s="5" t="str">
        <f t="array" ref="C70">IF(B70="","",INDEX(helper!$D$3:$D3996,MOD(ROW()-2,COUNTA(helper!$D$3:$D3996))+1))</f>
        <v>FMC</v>
      </c>
      <c r="D70" s="3" t="str">
        <f t="array" ref="D70">IF(B70="","",INDEX(helper!$E$3:$E3996,MOD(ROW()-2,COUNTA(helper!$D$3:$D3996))+1))</f>
        <v>CS 007</v>
      </c>
      <c r="E70" s="3">
        <f t="array" ref="E70">IF(B70="","",INDEX(helper!$F$3:$F3996,MOD(ROW()-2,COUNTA(helper!$D$3:$D3996))+1))</f>
        <v>8</v>
      </c>
      <c r="F70" s="3">
        <f>IF(B70="","",SUMIFS('inventory ledger'!$H:$H,'inventory ledger'!$C:$C,C70,'inventory ledger'!$D:$D,D70,'inventory ledger'!$E:$E,E70,'inventory ledger'!$A:$A,"&lt;="&amp;B70+TIME(23,59,59))-SUMIFS('inventory ledger'!$I:$I,'inventory ledger'!$C:$C,C70,'inventory ledger'!$D:$D,D70,'inventory ledger'!$E:$E,E70,'inventory ledger'!$A:$A,"&lt;="&amp;B70+TIME(23,59,59)))</f>
        <v>0</v>
      </c>
      <c r="G70" s="3">
        <f>IFERROR(__xludf.DUMMYFUNCTION("IF(F70&lt;=0,0,IFERROR(ROUNDUP(F70/INDEX(FILTER('warehouse config'!$D:$D,('warehouse config'!$B:$B=C70)*('warehouse config'!$C:$C=D70)*('warehouse config'!$G:$G&lt;=B70)*(('warehouse config'!$H:$H&gt;=B70)+ISBLANK('warehouse config'!$H:$H))),1)),0))"),0.0)</f>
        <v>0</v>
      </c>
      <c r="H70" s="3">
        <f>IFERROR(__xludf.DUMMYFUNCTION("IFERROR(INDEX(FILTER('cost master'!$E:$E,('cost master'!$B:$B=C70)*('cost master'!$D:$D=""Storage cost per pallet / week"")*('cost master'!$G:$G&lt;=B70)*(('cost master'!$H:$H&gt;=B70)+ISBLANK('cost master'!$H:$H))),1),0)"),3.9)</f>
        <v>3.9</v>
      </c>
      <c r="I70" s="3">
        <f t="shared" si="4"/>
        <v>0</v>
      </c>
      <c r="J70" s="27">
        <f t="shared" si="5"/>
        <v>45673</v>
      </c>
      <c r="K70" s="27">
        <f t="shared" si="6"/>
        <v>45703</v>
      </c>
    </row>
    <row r="71" hidden="1">
      <c r="A71" s="3" t="str">
        <f t="shared" si="3"/>
        <v>SL-20250120-FMC-CS 008-8</v>
      </c>
      <c r="B71" s="2">
        <f t="array" ref="B71">INDEX(helper!$A$3:$A3996,ROUNDUP((ROW()-1)/COUNTA(helper!$D$3:$D3996),0))</f>
        <v>45677</v>
      </c>
      <c r="C71" s="5" t="str">
        <f t="array" ref="C71">IF(B71="","",INDEX(helper!$D$3:$D3996,MOD(ROW()-2,COUNTA(helper!$D$3:$D3996))+1))</f>
        <v>FMC</v>
      </c>
      <c r="D71" s="3" t="str">
        <f t="array" ref="D71">IF(B71="","",INDEX(helper!$E$3:$E3996,MOD(ROW()-2,COUNTA(helper!$D$3:$D3996))+1))</f>
        <v>CS 008</v>
      </c>
      <c r="E71" s="3">
        <f t="array" ref="E71">IF(B71="","",INDEX(helper!$F$3:$F3996,MOD(ROW()-2,COUNTA(helper!$D$3:$D3996))+1))</f>
        <v>8</v>
      </c>
      <c r="F71" s="3">
        <f>IF(B71="","",SUMIFS('inventory ledger'!$H:$H,'inventory ledger'!$C:$C,C71,'inventory ledger'!$D:$D,D71,'inventory ledger'!$E:$E,E71,'inventory ledger'!$A:$A,"&lt;="&amp;B71+TIME(23,59,59))-SUMIFS('inventory ledger'!$I:$I,'inventory ledger'!$C:$C,C71,'inventory ledger'!$D:$D,D71,'inventory ledger'!$E:$E,E71,'inventory ledger'!$A:$A,"&lt;="&amp;B71+TIME(23,59,59)))</f>
        <v>1</v>
      </c>
      <c r="G71" s="3">
        <f>IFERROR(__xludf.DUMMYFUNCTION("IF(F71&lt;=0,0,IFERROR(ROUNDUP(F71/INDEX(FILTER('warehouse config'!$D:$D,('warehouse config'!$B:$B=C71)*('warehouse config'!$C:$C=D71)*('warehouse config'!$G:$G&lt;=B71)*(('warehouse config'!$H:$H&gt;=B71)+ISBLANK('warehouse config'!$H:$H))),1)),0))"),1.0)</f>
        <v>1</v>
      </c>
      <c r="H71" s="3">
        <f>IFERROR(__xludf.DUMMYFUNCTION("IFERROR(INDEX(FILTER('cost master'!$E:$E,('cost master'!$B:$B=C71)*('cost master'!$D:$D=""Storage cost per pallet / week"")*('cost master'!$G:$G&lt;=B71)*(('cost master'!$H:$H&gt;=B71)+ISBLANK('cost master'!$H:$H))),1),0)"),3.9)</f>
        <v>3.9</v>
      </c>
      <c r="I71" s="3">
        <f t="shared" si="4"/>
        <v>3.9</v>
      </c>
      <c r="J71" s="27">
        <f t="shared" si="5"/>
        <v>45673</v>
      </c>
      <c r="K71" s="27">
        <f t="shared" si="6"/>
        <v>45703</v>
      </c>
    </row>
    <row r="72" hidden="1">
      <c r="A72" s="3" t="str">
        <f t="shared" si="3"/>
        <v>SL-20250120-FMC-CS 009-8</v>
      </c>
      <c r="B72" s="2">
        <f t="array" ref="B72">INDEX(helper!$A$3:$A3996,ROUNDUP((ROW()-1)/COUNTA(helper!$D$3:$D3996),0))</f>
        <v>45677</v>
      </c>
      <c r="C72" s="5" t="str">
        <f t="array" ref="C72">IF(B72="","",INDEX(helper!$D$3:$D3996,MOD(ROW()-2,COUNTA(helper!$D$3:$D3996))+1))</f>
        <v>FMC</v>
      </c>
      <c r="D72" s="3" t="str">
        <f t="array" ref="D72">IF(B72="","",INDEX(helper!$E$3:$E3996,MOD(ROW()-2,COUNTA(helper!$D$3:$D3996))+1))</f>
        <v>CS 009</v>
      </c>
      <c r="E72" s="3">
        <f t="array" ref="E72">IF(B72="","",INDEX(helper!$F$3:$F3996,MOD(ROW()-2,COUNTA(helper!$D$3:$D3996))+1))</f>
        <v>8</v>
      </c>
      <c r="F72" s="3">
        <f>IF(B72="","",SUMIFS('inventory ledger'!$H:$H,'inventory ledger'!$C:$C,C72,'inventory ledger'!$D:$D,D72,'inventory ledger'!$E:$E,E72,'inventory ledger'!$A:$A,"&lt;="&amp;B72+TIME(23,59,59))-SUMIFS('inventory ledger'!$I:$I,'inventory ledger'!$C:$C,C72,'inventory ledger'!$D:$D,D72,'inventory ledger'!$E:$E,E72,'inventory ledger'!$A:$A,"&lt;="&amp;B72+TIME(23,59,59)))</f>
        <v>0</v>
      </c>
      <c r="G72" s="3">
        <f>IFERROR(__xludf.DUMMYFUNCTION("IF(F72&lt;=0,0,IFERROR(ROUNDUP(F72/INDEX(FILTER('warehouse config'!$D:$D,('warehouse config'!$B:$B=C72)*('warehouse config'!$C:$C=D72)*('warehouse config'!$G:$G&lt;=B72)*(('warehouse config'!$H:$H&gt;=B72)+ISBLANK('warehouse config'!$H:$H))),1)),0))"),0.0)</f>
        <v>0</v>
      </c>
      <c r="H72" s="3">
        <f>IFERROR(__xludf.DUMMYFUNCTION("IFERROR(INDEX(FILTER('cost master'!$E:$E,('cost master'!$B:$B=C72)*('cost master'!$D:$D=""Storage cost per pallet / week"")*('cost master'!$G:$G&lt;=B72)*(('cost master'!$H:$H&gt;=B72)+ISBLANK('cost master'!$H:$H))),1),0)"),3.9)</f>
        <v>3.9</v>
      </c>
      <c r="I72" s="3">
        <f t="shared" si="4"/>
        <v>0</v>
      </c>
      <c r="J72" s="27">
        <f t="shared" si="5"/>
        <v>45673</v>
      </c>
      <c r="K72" s="27">
        <f t="shared" si="6"/>
        <v>45703</v>
      </c>
    </row>
    <row r="73" hidden="1">
      <c r="A73" s="3" t="str">
        <f t="shared" si="3"/>
        <v>SL-20250120-FMC-CS 010-8</v>
      </c>
      <c r="B73" s="2">
        <f t="array" ref="B73">INDEX(helper!$A$3:$A3996,ROUNDUP((ROW()-1)/COUNTA(helper!$D$3:$D3996),0))</f>
        <v>45677</v>
      </c>
      <c r="C73" s="5" t="str">
        <f t="array" ref="C73">IF(B73="","",INDEX(helper!$D$3:$D3996,MOD(ROW()-2,COUNTA(helper!$D$3:$D3996))+1))</f>
        <v>FMC</v>
      </c>
      <c r="D73" s="3" t="str">
        <f t="array" ref="D73">IF(B73="","",INDEX(helper!$E$3:$E3996,MOD(ROW()-2,COUNTA(helper!$D$3:$D3996))+1))</f>
        <v>CS 010</v>
      </c>
      <c r="E73" s="3">
        <f t="array" ref="E73">IF(B73="","",INDEX(helper!$F$3:$F3996,MOD(ROW()-2,COUNTA(helper!$D$3:$D3996))+1))</f>
        <v>8</v>
      </c>
      <c r="F73" s="3">
        <f>IF(B73="","",SUMIFS('inventory ledger'!$H:$H,'inventory ledger'!$C:$C,C73,'inventory ledger'!$D:$D,D73,'inventory ledger'!$E:$E,E73,'inventory ledger'!$A:$A,"&lt;="&amp;B73+TIME(23,59,59))-SUMIFS('inventory ledger'!$I:$I,'inventory ledger'!$C:$C,C73,'inventory ledger'!$D:$D,D73,'inventory ledger'!$E:$E,E73,'inventory ledger'!$A:$A,"&lt;="&amp;B73+TIME(23,59,59)))</f>
        <v>0</v>
      </c>
      <c r="G73" s="3">
        <f>IFERROR(__xludf.DUMMYFUNCTION("IF(F73&lt;=0,0,IFERROR(ROUNDUP(F73/INDEX(FILTER('warehouse config'!$D:$D,('warehouse config'!$B:$B=C73)*('warehouse config'!$C:$C=D73)*('warehouse config'!$G:$G&lt;=B73)*(('warehouse config'!$H:$H&gt;=B73)+ISBLANK('warehouse config'!$H:$H))),1)),0))"),0.0)</f>
        <v>0</v>
      </c>
      <c r="H73" s="3">
        <f>IFERROR(__xludf.DUMMYFUNCTION("IFERROR(INDEX(FILTER('cost master'!$E:$E,('cost master'!$B:$B=C73)*('cost master'!$D:$D=""Storage cost per pallet / week"")*('cost master'!$G:$G&lt;=B73)*(('cost master'!$H:$H&gt;=B73)+ISBLANK('cost master'!$H:$H))),1),0)"),3.9)</f>
        <v>3.9</v>
      </c>
      <c r="I73" s="3">
        <f t="shared" si="4"/>
        <v>0</v>
      </c>
      <c r="J73" s="27">
        <f t="shared" si="5"/>
        <v>45673</v>
      </c>
      <c r="K73" s="27">
        <f t="shared" si="6"/>
        <v>45703</v>
      </c>
    </row>
    <row r="74" hidden="1">
      <c r="A74" s="3" t="str">
        <f t="shared" si="3"/>
        <v>SL-20250120-FMC-CS 007-9</v>
      </c>
      <c r="B74" s="2">
        <f t="array" ref="B74">INDEX(helper!$A$3:$A3996,ROUNDUP((ROW()-1)/COUNTA(helper!$D$3:$D3996),0))</f>
        <v>45677</v>
      </c>
      <c r="C74" s="5" t="str">
        <f t="array" ref="C74">IF(B74="","",INDEX(helper!$D$3:$D3996,MOD(ROW()-2,COUNTA(helper!$D$3:$D3996))+1))</f>
        <v>FMC</v>
      </c>
      <c r="D74" s="3" t="str">
        <f t="array" ref="D74">IF(B74="","",INDEX(helper!$E$3:$E3996,MOD(ROW()-2,COUNTA(helper!$D$3:$D3996))+1))</f>
        <v>CS 007</v>
      </c>
      <c r="E74" s="3">
        <f t="array" ref="E74">IF(B74="","",INDEX(helper!$F$3:$F3996,MOD(ROW()-2,COUNTA(helper!$D$3:$D3996))+1))</f>
        <v>9</v>
      </c>
      <c r="F74" s="3">
        <f>IF(B74="","",SUMIFS('inventory ledger'!$H:$H,'inventory ledger'!$C:$C,C74,'inventory ledger'!$D:$D,D74,'inventory ledger'!$E:$E,E74,'inventory ledger'!$A:$A,"&lt;="&amp;B74+TIME(23,59,59))-SUMIFS('inventory ledger'!$I:$I,'inventory ledger'!$C:$C,C74,'inventory ledger'!$D:$D,D74,'inventory ledger'!$E:$E,E74,'inventory ledger'!$A:$A,"&lt;="&amp;B74+TIME(23,59,59)))</f>
        <v>0</v>
      </c>
      <c r="G74" s="3">
        <f>IFERROR(__xludf.DUMMYFUNCTION("IF(F74&lt;=0,0,IFERROR(ROUNDUP(F74/INDEX(FILTER('warehouse config'!$D:$D,('warehouse config'!$B:$B=C74)*('warehouse config'!$C:$C=D74)*('warehouse config'!$G:$G&lt;=B74)*(('warehouse config'!$H:$H&gt;=B74)+ISBLANK('warehouse config'!$H:$H))),1)),0))"),0.0)</f>
        <v>0</v>
      </c>
      <c r="H74" s="3">
        <f>IFERROR(__xludf.DUMMYFUNCTION("IFERROR(INDEX(FILTER('cost master'!$E:$E,('cost master'!$B:$B=C74)*('cost master'!$D:$D=""Storage cost per pallet / week"")*('cost master'!$G:$G&lt;=B74)*(('cost master'!$H:$H&gt;=B74)+ISBLANK('cost master'!$H:$H))),1),0)"),3.9)</f>
        <v>3.9</v>
      </c>
      <c r="I74" s="3">
        <f t="shared" si="4"/>
        <v>0</v>
      </c>
      <c r="J74" s="27">
        <f t="shared" si="5"/>
        <v>45673</v>
      </c>
      <c r="K74" s="27">
        <f t="shared" si="6"/>
        <v>45703</v>
      </c>
    </row>
    <row r="75" hidden="1">
      <c r="A75" s="3" t="str">
        <f t="shared" si="3"/>
        <v>SL-20250120-FMC-CS 008-9</v>
      </c>
      <c r="B75" s="2">
        <f t="array" ref="B75">INDEX(helper!$A$3:$A3996,ROUNDUP((ROW()-1)/COUNTA(helper!$D$3:$D3996),0))</f>
        <v>45677</v>
      </c>
      <c r="C75" s="5" t="str">
        <f t="array" ref="C75">IF(B75="","",INDEX(helper!$D$3:$D3996,MOD(ROW()-2,COUNTA(helper!$D$3:$D3996))+1))</f>
        <v>FMC</v>
      </c>
      <c r="D75" s="3" t="str">
        <f t="array" ref="D75">IF(B75="","",INDEX(helper!$E$3:$E3996,MOD(ROW()-2,COUNTA(helper!$D$3:$D3996))+1))</f>
        <v>CS 008</v>
      </c>
      <c r="E75" s="3">
        <f t="array" ref="E75">IF(B75="","",INDEX(helper!$F$3:$F3996,MOD(ROW()-2,COUNTA(helper!$D$3:$D3996))+1))</f>
        <v>9</v>
      </c>
      <c r="F75" s="3">
        <f>IF(B75="","",SUMIFS('inventory ledger'!$H:$H,'inventory ledger'!$C:$C,C75,'inventory ledger'!$D:$D,D75,'inventory ledger'!$E:$E,E75,'inventory ledger'!$A:$A,"&lt;="&amp;B75+TIME(23,59,59))-SUMIFS('inventory ledger'!$I:$I,'inventory ledger'!$C:$C,C75,'inventory ledger'!$D:$D,D75,'inventory ledger'!$E:$E,E75,'inventory ledger'!$A:$A,"&lt;="&amp;B75+TIME(23,59,59)))</f>
        <v>17</v>
      </c>
      <c r="G75" s="3">
        <f>IFERROR(__xludf.DUMMYFUNCTION("IF(F75&lt;=0,0,IFERROR(ROUNDUP(F75/INDEX(FILTER('warehouse config'!$D:$D,('warehouse config'!$B:$B=C75)*('warehouse config'!$C:$C=D75)*('warehouse config'!$G:$G&lt;=B75)*(('warehouse config'!$H:$H&gt;=B75)+ISBLANK('warehouse config'!$H:$H))),1)),0))"),1.0)</f>
        <v>1</v>
      </c>
      <c r="H75" s="3">
        <f>IFERROR(__xludf.DUMMYFUNCTION("IFERROR(INDEX(FILTER('cost master'!$E:$E,('cost master'!$B:$B=C75)*('cost master'!$D:$D=""Storage cost per pallet / week"")*('cost master'!$G:$G&lt;=B75)*(('cost master'!$H:$H&gt;=B75)+ISBLANK('cost master'!$H:$H))),1),0)"),3.9)</f>
        <v>3.9</v>
      </c>
      <c r="I75" s="3">
        <f t="shared" si="4"/>
        <v>3.9</v>
      </c>
      <c r="J75" s="27">
        <f t="shared" si="5"/>
        <v>45673</v>
      </c>
      <c r="K75" s="27">
        <f t="shared" si="6"/>
        <v>45703</v>
      </c>
    </row>
    <row r="76" hidden="1">
      <c r="A76" s="3" t="str">
        <f t="shared" si="3"/>
        <v>SL-20250120-FMC-CS 009-9</v>
      </c>
      <c r="B76" s="2">
        <f t="array" ref="B76">INDEX(helper!$A$3:$A3996,ROUNDUP((ROW()-1)/COUNTA(helper!$D$3:$D3996),0))</f>
        <v>45677</v>
      </c>
      <c r="C76" s="5" t="str">
        <f t="array" ref="C76">IF(B76="","",INDEX(helper!$D$3:$D3996,MOD(ROW()-2,COUNTA(helper!$D$3:$D3996))+1))</f>
        <v>FMC</v>
      </c>
      <c r="D76" s="3" t="str">
        <f t="array" ref="D76">IF(B76="","",INDEX(helper!$E$3:$E3996,MOD(ROW()-2,COUNTA(helper!$D$3:$D3996))+1))</f>
        <v>CS 009</v>
      </c>
      <c r="E76" s="3">
        <f t="array" ref="E76">IF(B76="","",INDEX(helper!$F$3:$F3996,MOD(ROW()-2,COUNTA(helper!$D$3:$D3996))+1))</f>
        <v>9</v>
      </c>
      <c r="F76" s="3">
        <f>IF(B76="","",SUMIFS('inventory ledger'!$H:$H,'inventory ledger'!$C:$C,C76,'inventory ledger'!$D:$D,D76,'inventory ledger'!$E:$E,E76,'inventory ledger'!$A:$A,"&lt;="&amp;B76+TIME(23,59,59))-SUMIFS('inventory ledger'!$I:$I,'inventory ledger'!$C:$C,C76,'inventory ledger'!$D:$D,D76,'inventory ledger'!$E:$E,E76,'inventory ledger'!$A:$A,"&lt;="&amp;B76+TIME(23,59,59)))</f>
        <v>0</v>
      </c>
      <c r="G76" s="3">
        <f>IFERROR(__xludf.DUMMYFUNCTION("IF(F76&lt;=0,0,IFERROR(ROUNDUP(F76/INDEX(FILTER('warehouse config'!$D:$D,('warehouse config'!$B:$B=C76)*('warehouse config'!$C:$C=D76)*('warehouse config'!$G:$G&lt;=B76)*(('warehouse config'!$H:$H&gt;=B76)+ISBLANK('warehouse config'!$H:$H))),1)),0))"),0.0)</f>
        <v>0</v>
      </c>
      <c r="H76" s="3">
        <f>IFERROR(__xludf.DUMMYFUNCTION("IFERROR(INDEX(FILTER('cost master'!$E:$E,('cost master'!$B:$B=C76)*('cost master'!$D:$D=""Storage cost per pallet / week"")*('cost master'!$G:$G&lt;=B76)*(('cost master'!$H:$H&gt;=B76)+ISBLANK('cost master'!$H:$H))),1),0)"),3.9)</f>
        <v>3.9</v>
      </c>
      <c r="I76" s="3">
        <f t="shared" si="4"/>
        <v>0</v>
      </c>
      <c r="J76" s="27">
        <f t="shared" si="5"/>
        <v>45673</v>
      </c>
      <c r="K76" s="27">
        <f t="shared" si="6"/>
        <v>45703</v>
      </c>
    </row>
    <row r="77" hidden="1">
      <c r="A77" s="3" t="str">
        <f t="shared" si="3"/>
        <v>SL-20250120-FMC-CS 010-9</v>
      </c>
      <c r="B77" s="2">
        <f t="array" ref="B77">INDEX(helper!$A$3:$A3996,ROUNDUP((ROW()-1)/COUNTA(helper!$D$3:$D3996),0))</f>
        <v>45677</v>
      </c>
      <c r="C77" s="5" t="str">
        <f t="array" ref="C77">IF(B77="","",INDEX(helper!$D$3:$D3996,MOD(ROW()-2,COUNTA(helper!$D$3:$D3996))+1))</f>
        <v>FMC</v>
      </c>
      <c r="D77" s="3" t="str">
        <f t="array" ref="D77">IF(B77="","",INDEX(helper!$E$3:$E3996,MOD(ROW()-2,COUNTA(helper!$D$3:$D3996))+1))</f>
        <v>CS 010</v>
      </c>
      <c r="E77" s="3">
        <f t="array" ref="E77">IF(B77="","",INDEX(helper!$F$3:$F3996,MOD(ROW()-2,COUNTA(helper!$D$3:$D3996))+1))</f>
        <v>9</v>
      </c>
      <c r="F77" s="3">
        <f>IF(B77="","",SUMIFS('inventory ledger'!$H:$H,'inventory ledger'!$C:$C,C77,'inventory ledger'!$D:$D,D77,'inventory ledger'!$E:$E,E77,'inventory ledger'!$A:$A,"&lt;="&amp;B77+TIME(23,59,59))-SUMIFS('inventory ledger'!$I:$I,'inventory ledger'!$C:$C,C77,'inventory ledger'!$D:$D,D77,'inventory ledger'!$E:$E,E77,'inventory ledger'!$A:$A,"&lt;="&amp;B77+TIME(23,59,59)))</f>
        <v>0</v>
      </c>
      <c r="G77" s="3">
        <f>IFERROR(__xludf.DUMMYFUNCTION("IF(F77&lt;=0,0,IFERROR(ROUNDUP(F77/INDEX(FILTER('warehouse config'!$D:$D,('warehouse config'!$B:$B=C77)*('warehouse config'!$C:$C=D77)*('warehouse config'!$G:$G&lt;=B77)*(('warehouse config'!$H:$H&gt;=B77)+ISBLANK('warehouse config'!$H:$H))),1)),0))"),0.0)</f>
        <v>0</v>
      </c>
      <c r="H77" s="3">
        <f>IFERROR(__xludf.DUMMYFUNCTION("IFERROR(INDEX(FILTER('cost master'!$E:$E,('cost master'!$B:$B=C77)*('cost master'!$D:$D=""Storage cost per pallet / week"")*('cost master'!$G:$G&lt;=B77)*(('cost master'!$H:$H&gt;=B77)+ISBLANK('cost master'!$H:$H))),1),0)"),3.9)</f>
        <v>3.9</v>
      </c>
      <c r="I77" s="3">
        <f t="shared" si="4"/>
        <v>0</v>
      </c>
      <c r="J77" s="27">
        <f t="shared" si="5"/>
        <v>45673</v>
      </c>
      <c r="K77" s="27">
        <f t="shared" si="6"/>
        <v>45703</v>
      </c>
    </row>
    <row r="78" hidden="1">
      <c r="A78" s="3" t="str">
        <f t="shared" si="3"/>
        <v>SL-20250120-FMC-CS-CDS-001-9</v>
      </c>
      <c r="B78" s="2">
        <f t="array" ref="B78">INDEX(helper!$A$3:$A3996,ROUNDUP((ROW()-1)/COUNTA(helper!$D$3:$D3996),0))</f>
        <v>45677</v>
      </c>
      <c r="C78" s="5" t="str">
        <f t="array" ref="C78">IF(B78="","",INDEX(helper!$D$3:$D3996,MOD(ROW()-2,COUNTA(helper!$D$3:$D3996))+1))</f>
        <v>FMC</v>
      </c>
      <c r="D78" s="3" t="str">
        <f t="array" ref="D78">IF(B78="","",INDEX(helper!$E$3:$E3996,MOD(ROW()-2,COUNTA(helper!$D$3:$D3996))+1))</f>
        <v>CS-CDS-001</v>
      </c>
      <c r="E78" s="3">
        <f t="array" ref="E78">IF(B78="","",INDEX(helper!$F$3:$F3996,MOD(ROW()-2,COUNTA(helper!$D$3:$D3996))+1))</f>
        <v>9</v>
      </c>
      <c r="F78" s="3">
        <f>IF(B78="","",SUMIFS('inventory ledger'!$H:$H,'inventory ledger'!$C:$C,C78,'inventory ledger'!$D:$D,D78,'inventory ledger'!$E:$E,E78,'inventory ledger'!$A:$A,"&lt;="&amp;B78+TIME(23,59,59))-SUMIFS('inventory ledger'!$I:$I,'inventory ledger'!$C:$C,C78,'inventory ledger'!$D:$D,D78,'inventory ledger'!$E:$E,E78,'inventory ledger'!$A:$A,"&lt;="&amp;B78+TIME(23,59,59)))</f>
        <v>0</v>
      </c>
      <c r="G78" s="3">
        <f>IFERROR(__xludf.DUMMYFUNCTION("IF(F78&lt;=0,0,IFERROR(ROUNDUP(F78/INDEX(FILTER('warehouse config'!$D:$D,('warehouse config'!$B:$B=C78)*('warehouse config'!$C:$C=D78)*('warehouse config'!$G:$G&lt;=B78)*(('warehouse config'!$H:$H&gt;=B78)+ISBLANK('warehouse config'!$H:$H))),1)),0))"),0.0)</f>
        <v>0</v>
      </c>
      <c r="H78" s="3">
        <f>IFERROR(__xludf.DUMMYFUNCTION("IFERROR(INDEX(FILTER('cost master'!$E:$E,('cost master'!$B:$B=C78)*('cost master'!$D:$D=""Storage cost per pallet / week"")*('cost master'!$G:$G&lt;=B78)*(('cost master'!$H:$H&gt;=B78)+ISBLANK('cost master'!$H:$H))),1),0)"),3.9)</f>
        <v>3.9</v>
      </c>
      <c r="I78" s="3">
        <f t="shared" si="4"/>
        <v>0</v>
      </c>
      <c r="J78" s="27">
        <f t="shared" si="5"/>
        <v>45673</v>
      </c>
      <c r="K78" s="27">
        <f t="shared" si="6"/>
        <v>45703</v>
      </c>
    </row>
    <row r="79" hidden="1">
      <c r="A79" s="3" t="str">
        <f t="shared" si="3"/>
        <v>SL-20250120-FMC-CS-CDS-002-9</v>
      </c>
      <c r="B79" s="2">
        <f t="array" ref="B79">INDEX(helper!$A$3:$A3996,ROUNDUP((ROW()-1)/COUNTA(helper!$D$3:$D3996),0))</f>
        <v>45677</v>
      </c>
      <c r="C79" s="5" t="str">
        <f t="array" ref="C79">IF(B79="","",INDEX(helper!$D$3:$D3996,MOD(ROW()-2,COUNTA(helper!$D$3:$D3996))+1))</f>
        <v>FMC</v>
      </c>
      <c r="D79" s="3" t="str">
        <f t="array" ref="D79">IF(B79="","",INDEX(helper!$E$3:$E3996,MOD(ROW()-2,COUNTA(helper!$D$3:$D3996))+1))</f>
        <v>CS-CDS-002</v>
      </c>
      <c r="E79" s="3">
        <f t="array" ref="E79">IF(B79="","",INDEX(helper!$F$3:$F3996,MOD(ROW()-2,COUNTA(helper!$D$3:$D3996))+1))</f>
        <v>9</v>
      </c>
      <c r="F79" s="3">
        <f>IF(B79="","",SUMIFS('inventory ledger'!$H:$H,'inventory ledger'!$C:$C,C79,'inventory ledger'!$D:$D,D79,'inventory ledger'!$E:$E,E79,'inventory ledger'!$A:$A,"&lt;="&amp;B79+TIME(23,59,59))-SUMIFS('inventory ledger'!$I:$I,'inventory ledger'!$C:$C,C79,'inventory ledger'!$D:$D,D79,'inventory ledger'!$E:$E,E79,'inventory ledger'!$A:$A,"&lt;="&amp;B79+TIME(23,59,59)))</f>
        <v>0</v>
      </c>
      <c r="G79" s="3">
        <f>IFERROR(__xludf.DUMMYFUNCTION("IF(F79&lt;=0,0,IFERROR(ROUNDUP(F79/INDEX(FILTER('warehouse config'!$D:$D,('warehouse config'!$B:$B=C79)*('warehouse config'!$C:$C=D79)*('warehouse config'!$G:$G&lt;=B79)*(('warehouse config'!$H:$H&gt;=B79)+ISBLANK('warehouse config'!$H:$H))),1)),0))"),0.0)</f>
        <v>0</v>
      </c>
      <c r="H79" s="3">
        <f>IFERROR(__xludf.DUMMYFUNCTION("IFERROR(INDEX(FILTER('cost master'!$E:$E,('cost master'!$B:$B=C79)*('cost master'!$D:$D=""Storage cost per pallet / week"")*('cost master'!$G:$G&lt;=B79)*(('cost master'!$H:$H&gt;=B79)+ISBLANK('cost master'!$H:$H))),1),0)"),3.9)</f>
        <v>3.9</v>
      </c>
      <c r="I79" s="3">
        <f t="shared" si="4"/>
        <v>0</v>
      </c>
      <c r="J79" s="27">
        <f t="shared" si="5"/>
        <v>45673</v>
      </c>
      <c r="K79" s="27">
        <f t="shared" si="6"/>
        <v>45703</v>
      </c>
    </row>
    <row r="80" hidden="1">
      <c r="A80" s="3" t="str">
        <f t="shared" si="3"/>
        <v>SL-20250120-FMC-CS 007-10</v>
      </c>
      <c r="B80" s="2">
        <f t="array" ref="B80">INDEX(helper!$A$3:$A3996,ROUNDUP((ROW()-1)/COUNTA(helper!$D$3:$D3996),0))</f>
        <v>45677</v>
      </c>
      <c r="C80" s="5" t="str">
        <f t="array" ref="C80">IF(B80="","",INDEX(helper!$D$3:$D3996,MOD(ROW()-2,COUNTA(helper!$D$3:$D3996))+1))</f>
        <v>FMC</v>
      </c>
      <c r="D80" s="3" t="str">
        <f t="array" ref="D80">IF(B80="","",INDEX(helper!$E$3:$E3996,MOD(ROW()-2,COUNTA(helper!$D$3:$D3996))+1))</f>
        <v>CS 007</v>
      </c>
      <c r="E80" s="3">
        <f t="array" ref="E80">IF(B80="","",INDEX(helper!$F$3:$F3996,MOD(ROW()-2,COUNTA(helper!$D$3:$D3996))+1))</f>
        <v>10</v>
      </c>
      <c r="F80" s="3">
        <f>IF(B80="","",SUMIFS('inventory ledger'!$H:$H,'inventory ledger'!$C:$C,C80,'inventory ledger'!$D:$D,D80,'inventory ledger'!$E:$E,E80,'inventory ledger'!$A:$A,"&lt;="&amp;B80+TIME(23,59,59))-SUMIFS('inventory ledger'!$I:$I,'inventory ledger'!$C:$C,C80,'inventory ledger'!$D:$D,D80,'inventory ledger'!$E:$E,E80,'inventory ledger'!$A:$A,"&lt;="&amp;B80+TIME(23,59,59)))</f>
        <v>0</v>
      </c>
      <c r="G80" s="3">
        <f>IFERROR(__xludf.DUMMYFUNCTION("IF(F80&lt;=0,0,IFERROR(ROUNDUP(F80/INDEX(FILTER('warehouse config'!$D:$D,('warehouse config'!$B:$B=C80)*('warehouse config'!$C:$C=D80)*('warehouse config'!$G:$G&lt;=B80)*(('warehouse config'!$H:$H&gt;=B80)+ISBLANK('warehouse config'!$H:$H))),1)),0))"),0.0)</f>
        <v>0</v>
      </c>
      <c r="H80" s="3">
        <f>IFERROR(__xludf.DUMMYFUNCTION("IFERROR(INDEX(FILTER('cost master'!$E:$E,('cost master'!$B:$B=C80)*('cost master'!$D:$D=""Storage cost per pallet / week"")*('cost master'!$G:$G&lt;=B80)*(('cost master'!$H:$H&gt;=B80)+ISBLANK('cost master'!$H:$H))),1),0)"),3.9)</f>
        <v>3.9</v>
      </c>
      <c r="I80" s="3">
        <f t="shared" si="4"/>
        <v>0</v>
      </c>
      <c r="J80" s="27">
        <f t="shared" si="5"/>
        <v>45673</v>
      </c>
      <c r="K80" s="27">
        <f t="shared" si="6"/>
        <v>45703</v>
      </c>
    </row>
    <row r="81" hidden="1">
      <c r="A81" s="3" t="str">
        <f t="shared" si="3"/>
        <v>SL-20250120-FMC-CS 009-10</v>
      </c>
      <c r="B81" s="2">
        <f t="array" ref="B81">INDEX(helper!$A$3:$A3996,ROUNDUP((ROW()-1)/COUNTA(helper!$D$3:$D3996),0))</f>
        <v>45677</v>
      </c>
      <c r="C81" s="5" t="str">
        <f t="array" ref="C81">IF(B81="","",INDEX(helper!$D$3:$D3996,MOD(ROW()-2,COUNTA(helper!$D$3:$D3996))+1))</f>
        <v>FMC</v>
      </c>
      <c r="D81" s="3" t="str">
        <f t="array" ref="D81">IF(B81="","",INDEX(helper!$E$3:$E3996,MOD(ROW()-2,COUNTA(helper!$D$3:$D3996))+1))</f>
        <v>CS 009</v>
      </c>
      <c r="E81" s="3">
        <f t="array" ref="E81">IF(B81="","",INDEX(helper!$F$3:$F3996,MOD(ROW()-2,COUNTA(helper!$D$3:$D3996))+1))</f>
        <v>10</v>
      </c>
      <c r="F81" s="3">
        <f>IF(B81="","",SUMIFS('inventory ledger'!$H:$H,'inventory ledger'!$C:$C,C81,'inventory ledger'!$D:$D,D81,'inventory ledger'!$E:$E,E81,'inventory ledger'!$A:$A,"&lt;="&amp;B81+TIME(23,59,59))-SUMIFS('inventory ledger'!$I:$I,'inventory ledger'!$C:$C,C81,'inventory ledger'!$D:$D,D81,'inventory ledger'!$E:$E,E81,'inventory ledger'!$A:$A,"&lt;="&amp;B81+TIME(23,59,59)))</f>
        <v>0</v>
      </c>
      <c r="G81" s="3">
        <f>IFERROR(__xludf.DUMMYFUNCTION("IF(F81&lt;=0,0,IFERROR(ROUNDUP(F81/INDEX(FILTER('warehouse config'!$D:$D,('warehouse config'!$B:$B=C81)*('warehouse config'!$C:$C=D81)*('warehouse config'!$G:$G&lt;=B81)*(('warehouse config'!$H:$H&gt;=B81)+ISBLANK('warehouse config'!$H:$H))),1)),0))"),0.0)</f>
        <v>0</v>
      </c>
      <c r="H81" s="3">
        <f>IFERROR(__xludf.DUMMYFUNCTION("IFERROR(INDEX(FILTER('cost master'!$E:$E,('cost master'!$B:$B=C81)*('cost master'!$D:$D=""Storage cost per pallet / week"")*('cost master'!$G:$G&lt;=B81)*(('cost master'!$H:$H&gt;=B81)+ISBLANK('cost master'!$H:$H))),1),0)"),3.9)</f>
        <v>3.9</v>
      </c>
      <c r="I81" s="3">
        <f t="shared" si="4"/>
        <v>0</v>
      </c>
      <c r="J81" s="27">
        <f t="shared" si="5"/>
        <v>45673</v>
      </c>
      <c r="K81" s="27">
        <f t="shared" si="6"/>
        <v>45703</v>
      </c>
    </row>
    <row r="82" hidden="1">
      <c r="A82" s="3" t="str">
        <f t="shared" si="3"/>
        <v>SL-20250120-FMC-CS 010-10</v>
      </c>
      <c r="B82" s="2">
        <f t="array" ref="B82">INDEX(helper!$A$3:$A3996,ROUNDUP((ROW()-1)/COUNTA(helper!$D$3:$D3996),0))</f>
        <v>45677</v>
      </c>
      <c r="C82" s="5" t="str">
        <f t="array" ref="C82">IF(B82="","",INDEX(helper!$D$3:$D3996,MOD(ROW()-2,COUNTA(helper!$D$3:$D3996))+1))</f>
        <v>FMC</v>
      </c>
      <c r="D82" s="3" t="str">
        <f t="array" ref="D82">IF(B82="","",INDEX(helper!$E$3:$E3996,MOD(ROW()-2,COUNTA(helper!$D$3:$D3996))+1))</f>
        <v>CS 010</v>
      </c>
      <c r="E82" s="3">
        <f t="array" ref="E82">IF(B82="","",INDEX(helper!$F$3:$F3996,MOD(ROW()-2,COUNTA(helper!$D$3:$D3996))+1))</f>
        <v>10</v>
      </c>
      <c r="F82" s="3">
        <f>IF(B82="","",SUMIFS('inventory ledger'!$H:$H,'inventory ledger'!$C:$C,C82,'inventory ledger'!$D:$D,D82,'inventory ledger'!$E:$E,E82,'inventory ledger'!$A:$A,"&lt;="&amp;B82+TIME(23,59,59))-SUMIFS('inventory ledger'!$I:$I,'inventory ledger'!$C:$C,C82,'inventory ledger'!$D:$D,D82,'inventory ledger'!$E:$E,E82,'inventory ledger'!$A:$A,"&lt;="&amp;B82+TIME(23,59,59)))</f>
        <v>26</v>
      </c>
      <c r="G82" s="3">
        <f>IFERROR(__xludf.DUMMYFUNCTION("IF(F82&lt;=0,0,IFERROR(ROUNDUP(F82/INDEX(FILTER('warehouse config'!$D:$D,('warehouse config'!$B:$B=C82)*('warehouse config'!$C:$C=D82)*('warehouse config'!$G:$G&lt;=B82)*(('warehouse config'!$H:$H&gt;=B82)+ISBLANK('warehouse config'!$H:$H))),1)),0))"),1.0)</f>
        <v>1</v>
      </c>
      <c r="H82" s="3">
        <f>IFERROR(__xludf.DUMMYFUNCTION("IFERROR(INDEX(FILTER('cost master'!$E:$E,('cost master'!$B:$B=C82)*('cost master'!$D:$D=""Storage cost per pallet / week"")*('cost master'!$G:$G&lt;=B82)*(('cost master'!$H:$H&gt;=B82)+ISBLANK('cost master'!$H:$H))),1),0)"),3.9)</f>
        <v>3.9</v>
      </c>
      <c r="I82" s="3">
        <f t="shared" si="4"/>
        <v>3.9</v>
      </c>
      <c r="J82" s="27">
        <f t="shared" si="5"/>
        <v>45673</v>
      </c>
      <c r="K82" s="27">
        <f t="shared" si="6"/>
        <v>45703</v>
      </c>
    </row>
    <row r="83" hidden="1">
      <c r="A83" s="3" t="str">
        <f t="shared" si="3"/>
        <v>SL-20250120-FMC-CS-CDS-001-10</v>
      </c>
      <c r="B83" s="2">
        <f t="array" ref="B83">INDEX(helper!$A$3:$A3996,ROUNDUP((ROW()-1)/COUNTA(helper!$D$3:$D3996),0))</f>
        <v>45677</v>
      </c>
      <c r="C83" s="5" t="str">
        <f t="array" ref="C83">IF(B83="","",INDEX(helper!$D$3:$D3996,MOD(ROW()-2,COUNTA(helper!$D$3:$D3996))+1))</f>
        <v>FMC</v>
      </c>
      <c r="D83" s="3" t="str">
        <f t="array" ref="D83">IF(B83="","",INDEX(helper!$E$3:$E3996,MOD(ROW()-2,COUNTA(helper!$D$3:$D3996))+1))</f>
        <v>CS-CDS-001</v>
      </c>
      <c r="E83" s="3">
        <f t="array" ref="E83">IF(B83="","",INDEX(helper!$F$3:$F3996,MOD(ROW()-2,COUNTA(helper!$D$3:$D3996))+1))</f>
        <v>10</v>
      </c>
      <c r="F83" s="3">
        <f>IF(B83="","",SUMIFS('inventory ledger'!$H:$H,'inventory ledger'!$C:$C,C83,'inventory ledger'!$D:$D,D83,'inventory ledger'!$E:$E,E83,'inventory ledger'!$A:$A,"&lt;="&amp;B83+TIME(23,59,59))-SUMIFS('inventory ledger'!$I:$I,'inventory ledger'!$C:$C,C83,'inventory ledger'!$D:$D,D83,'inventory ledger'!$E:$E,E83,'inventory ledger'!$A:$A,"&lt;="&amp;B83+TIME(23,59,59)))</f>
        <v>0</v>
      </c>
      <c r="G83" s="3">
        <f>IFERROR(__xludf.DUMMYFUNCTION("IF(F83&lt;=0,0,IFERROR(ROUNDUP(F83/INDEX(FILTER('warehouse config'!$D:$D,('warehouse config'!$B:$B=C83)*('warehouse config'!$C:$C=D83)*('warehouse config'!$G:$G&lt;=B83)*(('warehouse config'!$H:$H&gt;=B83)+ISBLANK('warehouse config'!$H:$H))),1)),0))"),0.0)</f>
        <v>0</v>
      </c>
      <c r="H83" s="3">
        <f>IFERROR(__xludf.DUMMYFUNCTION("IFERROR(INDEX(FILTER('cost master'!$E:$E,('cost master'!$B:$B=C83)*('cost master'!$D:$D=""Storage cost per pallet / week"")*('cost master'!$G:$G&lt;=B83)*(('cost master'!$H:$H&gt;=B83)+ISBLANK('cost master'!$H:$H))),1),0)"),3.9)</f>
        <v>3.9</v>
      </c>
      <c r="I83" s="3">
        <f t="shared" si="4"/>
        <v>0</v>
      </c>
      <c r="J83" s="27">
        <f t="shared" si="5"/>
        <v>45673</v>
      </c>
      <c r="K83" s="27">
        <f t="shared" si="6"/>
        <v>45703</v>
      </c>
    </row>
    <row r="84" hidden="1">
      <c r="A84" s="3" t="str">
        <f t="shared" si="3"/>
        <v>SL-20250120-FMC-CS 007-11</v>
      </c>
      <c r="B84" s="2">
        <f t="array" ref="B84">INDEX(helper!$A$3:$A3996,ROUNDUP((ROW()-1)/COUNTA(helper!$D$3:$D3996),0))</f>
        <v>45677</v>
      </c>
      <c r="C84" s="5" t="str">
        <f t="array" ref="C84">IF(B84="","",INDEX(helper!$D$3:$D3996,MOD(ROW()-2,COUNTA(helper!$D$3:$D3996))+1))</f>
        <v>FMC</v>
      </c>
      <c r="D84" s="3" t="str">
        <f t="array" ref="D84">IF(B84="","",INDEX(helper!$E$3:$E3996,MOD(ROW()-2,COUNTA(helper!$D$3:$D3996))+1))</f>
        <v>CS 007</v>
      </c>
      <c r="E84" s="3">
        <f t="array" ref="E84">IF(B84="","",INDEX(helper!$F$3:$F3996,MOD(ROW()-2,COUNTA(helper!$D$3:$D3996))+1))</f>
        <v>11</v>
      </c>
      <c r="F84" s="3">
        <f>IF(B84="","",SUMIFS('inventory ledger'!$H:$H,'inventory ledger'!$C:$C,C84,'inventory ledger'!$D:$D,D84,'inventory ledger'!$E:$E,E84,'inventory ledger'!$A:$A,"&lt;="&amp;B84+TIME(23,59,59))-SUMIFS('inventory ledger'!$I:$I,'inventory ledger'!$C:$C,C84,'inventory ledger'!$D:$D,D84,'inventory ledger'!$E:$E,E84,'inventory ledger'!$A:$A,"&lt;="&amp;B84+TIME(23,59,59)))</f>
        <v>122</v>
      </c>
      <c r="G84" s="3">
        <f>IFERROR(__xludf.DUMMYFUNCTION("IF(F84&lt;=0,0,IFERROR(ROUNDUP(F84/INDEX(FILTER('warehouse config'!$D:$D,('warehouse config'!$B:$B=C84)*('warehouse config'!$C:$C=D84)*('warehouse config'!$G:$G&lt;=B84)*(('warehouse config'!$H:$H&gt;=B84)+ISBLANK('warehouse config'!$H:$H))),1)),0))"),9.0)</f>
        <v>9</v>
      </c>
      <c r="H84" s="3">
        <f>IFERROR(__xludf.DUMMYFUNCTION("IFERROR(INDEX(FILTER('cost master'!$E:$E,('cost master'!$B:$B=C84)*('cost master'!$D:$D=""Storage cost per pallet / week"")*('cost master'!$G:$G&lt;=B84)*(('cost master'!$H:$H&gt;=B84)+ISBLANK('cost master'!$H:$H))),1),0)"),3.9)</f>
        <v>3.9</v>
      </c>
      <c r="I84" s="3">
        <f t="shared" si="4"/>
        <v>35.1</v>
      </c>
      <c r="J84" s="27">
        <f t="shared" si="5"/>
        <v>45673</v>
      </c>
      <c r="K84" s="27">
        <f t="shared" si="6"/>
        <v>45703</v>
      </c>
    </row>
    <row r="85" hidden="1">
      <c r="A85" s="3" t="str">
        <f t="shared" si="3"/>
        <v>SL-20250120-FMC-CS 009-11</v>
      </c>
      <c r="B85" s="2">
        <f t="array" ref="B85">INDEX(helper!$A$3:$A3996,ROUNDUP((ROW()-1)/COUNTA(helper!$D$3:$D3996),0))</f>
        <v>45677</v>
      </c>
      <c r="C85" s="5" t="str">
        <f t="array" ref="C85">IF(B85="","",INDEX(helper!$D$3:$D3996,MOD(ROW()-2,COUNTA(helper!$D$3:$D3996))+1))</f>
        <v>FMC</v>
      </c>
      <c r="D85" s="3" t="str">
        <f t="array" ref="D85">IF(B85="","",INDEX(helper!$E$3:$E3996,MOD(ROW()-2,COUNTA(helper!$D$3:$D3996))+1))</f>
        <v>CS 009</v>
      </c>
      <c r="E85" s="3">
        <f t="array" ref="E85">IF(B85="","",INDEX(helper!$F$3:$F3996,MOD(ROW()-2,COUNTA(helper!$D$3:$D3996))+1))</f>
        <v>11</v>
      </c>
      <c r="F85" s="3">
        <f>IF(B85="","",SUMIFS('inventory ledger'!$H:$H,'inventory ledger'!$C:$C,C85,'inventory ledger'!$D:$D,D85,'inventory ledger'!$E:$E,E85,'inventory ledger'!$A:$A,"&lt;="&amp;B85+TIME(23,59,59))-SUMIFS('inventory ledger'!$I:$I,'inventory ledger'!$C:$C,C85,'inventory ledger'!$D:$D,D85,'inventory ledger'!$E:$E,E85,'inventory ledger'!$A:$A,"&lt;="&amp;B85+TIME(23,59,59)))</f>
        <v>0</v>
      </c>
      <c r="G85" s="3">
        <f>IFERROR(__xludf.DUMMYFUNCTION("IF(F85&lt;=0,0,IFERROR(ROUNDUP(F85/INDEX(FILTER('warehouse config'!$D:$D,('warehouse config'!$B:$B=C85)*('warehouse config'!$C:$C=D85)*('warehouse config'!$G:$G&lt;=B85)*(('warehouse config'!$H:$H&gt;=B85)+ISBLANK('warehouse config'!$H:$H))),1)),0))"),0.0)</f>
        <v>0</v>
      </c>
      <c r="H85" s="3">
        <f>IFERROR(__xludf.DUMMYFUNCTION("IFERROR(INDEX(FILTER('cost master'!$E:$E,('cost master'!$B:$B=C85)*('cost master'!$D:$D=""Storage cost per pallet / week"")*('cost master'!$G:$G&lt;=B85)*(('cost master'!$H:$H&gt;=B85)+ISBLANK('cost master'!$H:$H))),1),0)"),3.9)</f>
        <v>3.9</v>
      </c>
      <c r="I85" s="3">
        <f t="shared" si="4"/>
        <v>0</v>
      </c>
      <c r="J85" s="27">
        <f t="shared" si="5"/>
        <v>45673</v>
      </c>
      <c r="K85" s="27">
        <f t="shared" si="6"/>
        <v>45703</v>
      </c>
    </row>
    <row r="86" hidden="1">
      <c r="A86" s="3" t="str">
        <f t="shared" si="3"/>
        <v>SL-20250120-FMC-CS 010-11</v>
      </c>
      <c r="B86" s="2">
        <f t="array" ref="B86">INDEX(helper!$A$3:$A3996,ROUNDUP((ROW()-1)/COUNTA(helper!$D$3:$D3996),0))</f>
        <v>45677</v>
      </c>
      <c r="C86" s="5" t="str">
        <f t="array" ref="C86">IF(B86="","",INDEX(helper!$D$3:$D3996,MOD(ROW()-2,COUNTA(helper!$D$3:$D3996))+1))</f>
        <v>FMC</v>
      </c>
      <c r="D86" s="3" t="str">
        <f t="array" ref="D86">IF(B86="","",INDEX(helper!$E$3:$E3996,MOD(ROW()-2,COUNTA(helper!$D$3:$D3996))+1))</f>
        <v>CS 010</v>
      </c>
      <c r="E86" s="3">
        <f t="array" ref="E86">IF(B86="","",INDEX(helper!$F$3:$F3996,MOD(ROW()-2,COUNTA(helper!$D$3:$D3996))+1))</f>
        <v>11</v>
      </c>
      <c r="F86" s="3">
        <f>IF(B86="","",SUMIFS('inventory ledger'!$H:$H,'inventory ledger'!$C:$C,C86,'inventory ledger'!$D:$D,D86,'inventory ledger'!$E:$E,E86,'inventory ledger'!$A:$A,"&lt;="&amp;B86+TIME(23,59,59))-SUMIFS('inventory ledger'!$I:$I,'inventory ledger'!$C:$C,C86,'inventory ledger'!$D:$D,D86,'inventory ledger'!$E:$E,E86,'inventory ledger'!$A:$A,"&lt;="&amp;B86+TIME(23,59,59)))</f>
        <v>46</v>
      </c>
      <c r="G86" s="3">
        <f>IFERROR(__xludf.DUMMYFUNCTION("IF(F86&lt;=0,0,IFERROR(ROUNDUP(F86/INDEX(FILTER('warehouse config'!$D:$D,('warehouse config'!$B:$B=C86)*('warehouse config'!$C:$C=D86)*('warehouse config'!$G:$G&lt;=B86)*(('warehouse config'!$H:$H&gt;=B86)+ISBLANK('warehouse config'!$H:$H))),1)),0))"),2.0)</f>
        <v>2</v>
      </c>
      <c r="H86" s="3">
        <f>IFERROR(__xludf.DUMMYFUNCTION("IFERROR(INDEX(FILTER('cost master'!$E:$E,('cost master'!$B:$B=C86)*('cost master'!$D:$D=""Storage cost per pallet / week"")*('cost master'!$G:$G&lt;=B86)*(('cost master'!$H:$H&gt;=B86)+ISBLANK('cost master'!$H:$H))),1),0)"),3.9)</f>
        <v>3.9</v>
      </c>
      <c r="I86" s="3">
        <f t="shared" si="4"/>
        <v>7.8</v>
      </c>
      <c r="J86" s="27">
        <f t="shared" si="5"/>
        <v>45673</v>
      </c>
      <c r="K86" s="27">
        <f t="shared" si="6"/>
        <v>45703</v>
      </c>
    </row>
    <row r="87" hidden="1">
      <c r="A87" s="3" t="str">
        <f t="shared" si="3"/>
        <v>SL-20250120-Vglobal-CS 007-12</v>
      </c>
      <c r="B87" s="2">
        <f t="array" ref="B87">INDEX(helper!$A$3:$A3996,ROUNDUP((ROW()-1)/COUNTA(helper!$D$3:$D3996),0))</f>
        <v>45677</v>
      </c>
      <c r="C87" s="5" t="str">
        <f t="array" ref="C87">IF(B87="","",INDEX(helper!$D$3:$D3996,MOD(ROW()-2,COUNTA(helper!$D$3:$D3996))+1))</f>
        <v>Vglobal</v>
      </c>
      <c r="D87" s="3" t="str">
        <f t="array" ref="D87">IF(B87="","",INDEX(helper!$E$3:$E3996,MOD(ROW()-2,COUNTA(helper!$D$3:$D3996))+1))</f>
        <v>CS 007</v>
      </c>
      <c r="E87" s="3">
        <f t="array" ref="E87">IF(B87="","",INDEX(helper!$F$3:$F3996,MOD(ROW()-2,COUNTA(helper!$D$3:$D3996))+1))</f>
        <v>12</v>
      </c>
      <c r="F87" s="3">
        <f>IF(B87="","",SUMIFS('inventory ledger'!$H:$H,'inventory ledger'!$C:$C,C87,'inventory ledger'!$D:$D,D87,'inventory ledger'!$E:$E,E87,'inventory ledger'!$A:$A,"&lt;="&amp;B87+TIME(23,59,59))-SUMIFS('inventory ledger'!$I:$I,'inventory ledger'!$C:$C,C87,'inventory ledger'!$D:$D,D87,'inventory ledger'!$E:$E,E87,'inventory ledger'!$A:$A,"&lt;="&amp;B87+TIME(23,59,59)))</f>
        <v>228</v>
      </c>
      <c r="G87" s="3">
        <f>IFERROR(__xludf.DUMMYFUNCTION("IF(F87&lt;=0,0,IFERROR(ROUNDUP(F87/INDEX(FILTER('warehouse config'!$D:$D,('warehouse config'!$B:$B=C87)*('warehouse config'!$C:$C=D87)*('warehouse config'!$G:$G&lt;=B87)*(('warehouse config'!$H:$H&gt;=B87)+ISBLANK('warehouse config'!$H:$H))),1)),0))"),15.0)</f>
        <v>15</v>
      </c>
      <c r="H87" s="3">
        <f>IFERROR(__xludf.DUMMYFUNCTION("IFERROR(INDEX(FILTER('cost master'!$E:$E,('cost master'!$B:$B=C87)*('cost master'!$D:$D=""Storage cost per pallet / week"")*('cost master'!$G:$G&lt;=B87)*(('cost master'!$H:$H&gt;=B87)+ISBLANK('cost master'!$H:$H))),1),0)"),2.6)</f>
        <v>2.6</v>
      </c>
      <c r="I87" s="3">
        <f t="shared" si="4"/>
        <v>39</v>
      </c>
      <c r="J87" s="27">
        <f t="shared" si="5"/>
        <v>45673</v>
      </c>
      <c r="K87" s="27">
        <f t="shared" si="6"/>
        <v>45703</v>
      </c>
    </row>
    <row r="88" hidden="1">
      <c r="A88" s="3" t="str">
        <f t="shared" si="3"/>
        <v>SL-20250120-Vglobal-CS 011-12</v>
      </c>
      <c r="B88" s="2">
        <f t="array" ref="B88">INDEX(helper!$A$3:$A3996,ROUNDUP((ROW()-1)/COUNTA(helper!$D$3:$D3996),0))</f>
        <v>45677</v>
      </c>
      <c r="C88" s="5" t="str">
        <f t="array" ref="C88">IF(B88="","",INDEX(helper!$D$3:$D3996,MOD(ROW()-2,COUNTA(helper!$D$3:$D3996))+1))</f>
        <v>Vglobal</v>
      </c>
      <c r="D88" s="3" t="str">
        <f t="array" ref="D88">IF(B88="","",INDEX(helper!$E$3:$E3996,MOD(ROW()-2,COUNTA(helper!$D$3:$D3996))+1))</f>
        <v>CS 011</v>
      </c>
      <c r="E88" s="3">
        <f t="array" ref="E88">IF(B88="","",INDEX(helper!$F$3:$F3996,MOD(ROW()-2,COUNTA(helper!$D$3:$D3996))+1))</f>
        <v>12</v>
      </c>
      <c r="F88" s="3">
        <f>IF(B88="","",SUMIFS('inventory ledger'!$H:$H,'inventory ledger'!$C:$C,C88,'inventory ledger'!$D:$D,D88,'inventory ledger'!$E:$E,E88,'inventory ledger'!$A:$A,"&lt;="&amp;B88+TIME(23,59,59))-SUMIFS('inventory ledger'!$I:$I,'inventory ledger'!$C:$C,C88,'inventory ledger'!$D:$D,D88,'inventory ledger'!$E:$E,E88,'inventory ledger'!$A:$A,"&lt;="&amp;B88+TIME(23,59,59)))</f>
        <v>81</v>
      </c>
      <c r="G88" s="3">
        <f>IFERROR(__xludf.DUMMYFUNCTION("IF(F88&lt;=0,0,IFERROR(ROUNDUP(F88/INDEX(FILTER('warehouse config'!$D:$D,('warehouse config'!$B:$B=C88)*('warehouse config'!$C:$C=D88)*('warehouse config'!$G:$G&lt;=B88)*(('warehouse config'!$H:$H&gt;=B88)+ISBLANK('warehouse config'!$H:$H))),1)),0))"),5.0)</f>
        <v>5</v>
      </c>
      <c r="H88" s="3">
        <f>IFERROR(__xludf.DUMMYFUNCTION("IFERROR(INDEX(FILTER('cost master'!$E:$E,('cost master'!$B:$B=C88)*('cost master'!$D:$D=""Storage cost per pallet / week"")*('cost master'!$G:$G&lt;=B88)*(('cost master'!$H:$H&gt;=B88)+ISBLANK('cost master'!$H:$H))),1),0)"),2.6)</f>
        <v>2.6</v>
      </c>
      <c r="I88" s="3">
        <f t="shared" si="4"/>
        <v>13</v>
      </c>
      <c r="J88" s="27">
        <f t="shared" si="5"/>
        <v>45673</v>
      </c>
      <c r="K88" s="27">
        <f t="shared" si="6"/>
        <v>45703</v>
      </c>
    </row>
    <row r="89" hidden="1">
      <c r="A89" s="3" t="str">
        <f t="shared" si="3"/>
        <v>SL-20250120-Vglobal-CS 008-12</v>
      </c>
      <c r="B89" s="2">
        <f t="array" ref="B89">INDEX(helper!$A$3:$A3996,ROUNDUP((ROW()-1)/COUNTA(helper!$D$3:$D3996),0))</f>
        <v>45677</v>
      </c>
      <c r="C89" s="5" t="str">
        <f t="array" ref="C89">IF(B89="","",INDEX(helper!$D$3:$D3996,MOD(ROW()-2,COUNTA(helper!$D$3:$D3996))+1))</f>
        <v>Vglobal</v>
      </c>
      <c r="D89" s="3" t="str">
        <f t="array" ref="D89">IF(B89="","",INDEX(helper!$E$3:$E3996,MOD(ROW()-2,COUNTA(helper!$D$3:$D3996))+1))</f>
        <v>CS 008</v>
      </c>
      <c r="E89" s="3">
        <f t="array" ref="E89">IF(B89="","",INDEX(helper!$F$3:$F3996,MOD(ROW()-2,COUNTA(helper!$D$3:$D3996))+1))</f>
        <v>12</v>
      </c>
      <c r="F89" s="3">
        <f>IF(B89="","",SUMIFS('inventory ledger'!$H:$H,'inventory ledger'!$C:$C,C89,'inventory ledger'!$D:$D,D89,'inventory ledger'!$E:$E,E89,'inventory ledger'!$A:$A,"&lt;="&amp;B89+TIME(23,59,59))-SUMIFS('inventory ledger'!$I:$I,'inventory ledger'!$C:$C,C89,'inventory ledger'!$D:$D,D89,'inventory ledger'!$E:$E,E89,'inventory ledger'!$A:$A,"&lt;="&amp;B89+TIME(23,59,59)))</f>
        <v>20</v>
      </c>
      <c r="G89" s="3">
        <f>IFERROR(__xludf.DUMMYFUNCTION("IF(F89&lt;=0,0,IFERROR(ROUNDUP(F89/INDEX(FILTER('warehouse config'!$D:$D,('warehouse config'!$B:$B=C89)*('warehouse config'!$C:$C=D89)*('warehouse config'!$G:$G&lt;=B89)*(('warehouse config'!$H:$H&gt;=B89)+ISBLANK('warehouse config'!$H:$H))),1)),0))"),1.0)</f>
        <v>1</v>
      </c>
      <c r="H89" s="3">
        <f>IFERROR(__xludf.DUMMYFUNCTION("IFERROR(INDEX(FILTER('cost master'!$E:$E,('cost master'!$B:$B=C89)*('cost master'!$D:$D=""Storage cost per pallet / week"")*('cost master'!$G:$G&lt;=B89)*(('cost master'!$H:$H&gt;=B89)+ISBLANK('cost master'!$H:$H))),1),0)"),2.6)</f>
        <v>2.6</v>
      </c>
      <c r="I89" s="3">
        <f t="shared" si="4"/>
        <v>2.6</v>
      </c>
      <c r="J89" s="27">
        <f t="shared" si="5"/>
        <v>45673</v>
      </c>
      <c r="K89" s="27">
        <f t="shared" si="6"/>
        <v>45703</v>
      </c>
    </row>
    <row r="90" hidden="1">
      <c r="A90" s="3" t="str">
        <f t="shared" si="3"/>
        <v>SL-20250120-Vglobal-CS 010-12</v>
      </c>
      <c r="B90" s="2">
        <f t="array" ref="B90">INDEX(helper!$A$3:$A3996,ROUNDUP((ROW()-1)/COUNTA(helper!$D$3:$D3996),0))</f>
        <v>45677</v>
      </c>
      <c r="C90" s="5" t="str">
        <f t="array" ref="C90">IF(B90="","",INDEX(helper!$D$3:$D3996,MOD(ROW()-2,COUNTA(helper!$D$3:$D3996))+1))</f>
        <v>Vglobal</v>
      </c>
      <c r="D90" s="3" t="str">
        <f t="array" ref="D90">IF(B90="","",INDEX(helper!$E$3:$E3996,MOD(ROW()-2,COUNTA(helper!$D$3:$D3996))+1))</f>
        <v>CS 010</v>
      </c>
      <c r="E90" s="3">
        <f t="array" ref="E90">IF(B90="","",INDEX(helper!$F$3:$F3996,MOD(ROW()-2,COUNTA(helper!$D$3:$D3996))+1))</f>
        <v>12</v>
      </c>
      <c r="F90" s="3">
        <f>IF(B90="","",SUMIFS('inventory ledger'!$H:$H,'inventory ledger'!$C:$C,C90,'inventory ledger'!$D:$D,D90,'inventory ledger'!$E:$E,E90,'inventory ledger'!$A:$A,"&lt;="&amp;B90+TIME(23,59,59))-SUMIFS('inventory ledger'!$I:$I,'inventory ledger'!$C:$C,C90,'inventory ledger'!$D:$D,D90,'inventory ledger'!$E:$E,E90,'inventory ledger'!$A:$A,"&lt;="&amp;B90+TIME(23,59,59)))</f>
        <v>80</v>
      </c>
      <c r="G90" s="3">
        <f>IFERROR(__xludf.DUMMYFUNCTION("IF(F90&lt;=0,0,IFERROR(ROUNDUP(F90/INDEX(FILTER('warehouse config'!$D:$D,('warehouse config'!$B:$B=C90)*('warehouse config'!$C:$C=D90)*('warehouse config'!$G:$G&lt;=B90)*(('warehouse config'!$H:$H&gt;=B90)+ISBLANK('warehouse config'!$H:$H))),1)),0))"),4.0)</f>
        <v>4</v>
      </c>
      <c r="H90" s="3">
        <f>IFERROR(__xludf.DUMMYFUNCTION("IFERROR(INDEX(FILTER('cost master'!$E:$E,('cost master'!$B:$B=C90)*('cost master'!$D:$D=""Storage cost per pallet / week"")*('cost master'!$G:$G&lt;=B90)*(('cost master'!$H:$H&gt;=B90)+ISBLANK('cost master'!$H:$H))),1),0)"),2.6)</f>
        <v>2.6</v>
      </c>
      <c r="I90" s="3">
        <f t="shared" si="4"/>
        <v>10.4</v>
      </c>
      <c r="J90" s="27">
        <f t="shared" si="5"/>
        <v>45673</v>
      </c>
      <c r="K90" s="27">
        <f t="shared" si="6"/>
        <v>45703</v>
      </c>
    </row>
    <row r="91" hidden="1">
      <c r="A91" s="3" t="str">
        <f t="shared" si="3"/>
        <v>SL-20250120-Vglobal-CS 009-12</v>
      </c>
      <c r="B91" s="2">
        <f t="array" ref="B91">INDEX(helper!$A$3:$A3996,ROUNDUP((ROW()-1)/COUNTA(helper!$D$3:$D3996),0))</f>
        <v>45677</v>
      </c>
      <c r="C91" s="5" t="str">
        <f t="array" ref="C91">IF(B91="","",INDEX(helper!$D$3:$D3996,MOD(ROW()-2,COUNTA(helper!$D$3:$D3996))+1))</f>
        <v>Vglobal</v>
      </c>
      <c r="D91" s="3" t="str">
        <f t="array" ref="D91">IF(B91="","",INDEX(helper!$E$3:$E3996,MOD(ROW()-2,COUNTA(helper!$D$3:$D3996))+1))</f>
        <v>CS 009</v>
      </c>
      <c r="E91" s="3">
        <f t="array" ref="E91">IF(B91="","",INDEX(helper!$F$3:$F3996,MOD(ROW()-2,COUNTA(helper!$D$3:$D3996))+1))</f>
        <v>12</v>
      </c>
      <c r="F91" s="3">
        <f>IF(B91="","",SUMIFS('inventory ledger'!$H:$H,'inventory ledger'!$C:$C,C91,'inventory ledger'!$D:$D,D91,'inventory ledger'!$E:$E,E91,'inventory ledger'!$A:$A,"&lt;="&amp;B91+TIME(23,59,59))-SUMIFS('inventory ledger'!$I:$I,'inventory ledger'!$C:$C,C91,'inventory ledger'!$D:$D,D91,'inventory ledger'!$E:$E,E91,'inventory ledger'!$A:$A,"&lt;="&amp;B91+TIME(23,59,59)))</f>
        <v>104</v>
      </c>
      <c r="G91" s="3">
        <f>IFERROR(__xludf.DUMMYFUNCTION("IF(F91&lt;=0,0,IFERROR(ROUNDUP(F91/INDEX(FILTER('warehouse config'!$D:$D,('warehouse config'!$B:$B=C91)*('warehouse config'!$C:$C=D91)*('warehouse config'!$G:$G&lt;=B91)*(('warehouse config'!$H:$H&gt;=B91)+ISBLANK('warehouse config'!$H:$H))),1)),0))"),7.0)</f>
        <v>7</v>
      </c>
      <c r="H91" s="3">
        <f>IFERROR(__xludf.DUMMYFUNCTION("IFERROR(INDEX(FILTER('cost master'!$E:$E,('cost master'!$B:$B=C91)*('cost master'!$D:$D=""Storage cost per pallet / week"")*('cost master'!$G:$G&lt;=B91)*(('cost master'!$H:$H&gt;=B91)+ISBLANK('cost master'!$H:$H))),1),0)"),2.6)</f>
        <v>2.6</v>
      </c>
      <c r="I91" s="3">
        <f t="shared" si="4"/>
        <v>18.2</v>
      </c>
      <c r="J91" s="27">
        <f t="shared" si="5"/>
        <v>45673</v>
      </c>
      <c r="K91" s="27">
        <f t="shared" si="6"/>
        <v>45703</v>
      </c>
    </row>
    <row r="92" hidden="1">
      <c r="A92" s="3" t="str">
        <f t="shared" si="3"/>
        <v>SL-20250120-Vglobal-CS 012-12</v>
      </c>
      <c r="B92" s="2">
        <f t="array" ref="B92">INDEX(helper!$A$3:$A3996,ROUNDUP((ROW()-1)/COUNTA(helper!$D$3:$D3996),0))</f>
        <v>45677</v>
      </c>
      <c r="C92" s="5" t="str">
        <f t="array" ref="C92">IF(B92="","",INDEX(helper!$D$3:$D3996,MOD(ROW()-2,COUNTA(helper!$D$3:$D3996))+1))</f>
        <v>Vglobal</v>
      </c>
      <c r="D92" s="3" t="str">
        <f t="array" ref="D92">IF(B92="","",INDEX(helper!$E$3:$E3996,MOD(ROW()-2,COUNTA(helper!$D$3:$D3996))+1))</f>
        <v>CS 012</v>
      </c>
      <c r="E92" s="3">
        <f t="array" ref="E92">IF(B92="","",INDEX(helper!$F$3:$F3996,MOD(ROW()-2,COUNTA(helper!$D$3:$D3996))+1))</f>
        <v>12</v>
      </c>
      <c r="F92" s="3">
        <f>IF(B92="","",SUMIFS('inventory ledger'!$H:$H,'inventory ledger'!$C:$C,C92,'inventory ledger'!$D:$D,D92,'inventory ledger'!$E:$E,E92,'inventory ledger'!$A:$A,"&lt;="&amp;B92+TIME(23,59,59))-SUMIFS('inventory ledger'!$I:$I,'inventory ledger'!$C:$C,C92,'inventory ledger'!$D:$D,D92,'inventory ledger'!$E:$E,E92,'inventory ledger'!$A:$A,"&lt;="&amp;B92+TIME(23,59,59)))</f>
        <v>0</v>
      </c>
      <c r="G92" s="3">
        <f>IFERROR(__xludf.DUMMYFUNCTION("IF(F92&lt;=0,0,IFERROR(ROUNDUP(F92/INDEX(FILTER('warehouse config'!$D:$D,('warehouse config'!$B:$B=C92)*('warehouse config'!$C:$C=D92)*('warehouse config'!$G:$G&lt;=B92)*(('warehouse config'!$H:$H&gt;=B92)+ISBLANK('warehouse config'!$H:$H))),1)),0))"),0.0)</f>
        <v>0</v>
      </c>
      <c r="H92" s="3">
        <f>IFERROR(__xludf.DUMMYFUNCTION("IFERROR(INDEX(FILTER('cost master'!$E:$E,('cost master'!$B:$B=C92)*('cost master'!$D:$D=""Storage cost per pallet / week"")*('cost master'!$G:$G&lt;=B92)*(('cost master'!$H:$H&gt;=B92)+ISBLANK('cost master'!$H:$H))),1),0)"),2.6)</f>
        <v>2.6</v>
      </c>
      <c r="I92" s="3">
        <f t="shared" si="4"/>
        <v>0</v>
      </c>
      <c r="J92" s="27">
        <f t="shared" si="5"/>
        <v>45673</v>
      </c>
      <c r="K92" s="27">
        <f t="shared" si="6"/>
        <v>45703</v>
      </c>
    </row>
    <row r="93" hidden="1">
      <c r="A93" s="3" t="str">
        <f t="shared" si="3"/>
        <v>SL-20250120-Vglobal-CS-CDS-001-3</v>
      </c>
      <c r="B93" s="2">
        <f t="array" ref="B93">INDEX(helper!$A$3:$A3996,ROUNDUP((ROW()-1)/COUNTA(helper!$D$3:$D3996),0))</f>
        <v>45677</v>
      </c>
      <c r="C93" s="5" t="str">
        <f t="array" ref="C93">IF(B93="","",INDEX(helper!$D$3:$D3996,MOD(ROW()-2,COUNTA(helper!$D$3:$D3996))+1))</f>
        <v>Vglobal</v>
      </c>
      <c r="D93" s="3" t="str">
        <f t="array" ref="D93">IF(B93="","",INDEX(helper!$E$3:$E3996,MOD(ROW()-2,COUNTA(helper!$D$3:$D3996))+1))</f>
        <v>CS-CDS-001</v>
      </c>
      <c r="E93" s="3">
        <f t="array" ref="E93">IF(B93="","",INDEX(helper!$F$3:$F3996,MOD(ROW()-2,COUNTA(helper!$D$3:$D3996))+1))</f>
        <v>3</v>
      </c>
      <c r="F93" s="3">
        <f>IF(B93="","",SUMIFS('inventory ledger'!$H:$H,'inventory ledger'!$C:$C,C93,'inventory ledger'!$D:$D,D93,'inventory ledger'!$E:$E,E93,'inventory ledger'!$A:$A,"&lt;="&amp;B93+TIME(23,59,59))-SUMIFS('inventory ledger'!$I:$I,'inventory ledger'!$C:$C,C93,'inventory ledger'!$D:$D,D93,'inventory ledger'!$E:$E,E93,'inventory ledger'!$A:$A,"&lt;="&amp;B93+TIME(23,59,59)))</f>
        <v>55</v>
      </c>
      <c r="G93" s="3">
        <f>IFERROR(__xludf.DUMMYFUNCTION("IF(F93&lt;=0,0,IFERROR(ROUNDUP(F93/INDEX(FILTER('warehouse config'!$D:$D,('warehouse config'!$B:$B=C93)*('warehouse config'!$C:$C=D93)*('warehouse config'!$G:$G&lt;=B93)*(('warehouse config'!$H:$H&gt;=B93)+ISBLANK('warehouse config'!$H:$H))),1)),0))"),4.0)</f>
        <v>4</v>
      </c>
      <c r="H93" s="3">
        <f>IFERROR(__xludf.DUMMYFUNCTION("IFERROR(INDEX(FILTER('cost master'!$E:$E,('cost master'!$B:$B=C93)*('cost master'!$D:$D=""Storage cost per pallet / week"")*('cost master'!$G:$G&lt;=B93)*(('cost master'!$H:$H&gt;=B93)+ISBLANK('cost master'!$H:$H))),1),0)"),2.6)</f>
        <v>2.6</v>
      </c>
      <c r="I93" s="3">
        <f t="shared" si="4"/>
        <v>10.4</v>
      </c>
      <c r="J93" s="27">
        <f t="shared" si="5"/>
        <v>45673</v>
      </c>
      <c r="K93" s="27">
        <f t="shared" si="6"/>
        <v>45703</v>
      </c>
    </row>
    <row r="94" hidden="1">
      <c r="A94" s="3" t="str">
        <f t="shared" si="3"/>
        <v>SL-20250120-Vglobal-CS-CDS-002-3</v>
      </c>
      <c r="B94" s="2">
        <f t="array" ref="B94">INDEX(helper!$A$3:$A3996,ROUNDUP((ROW()-1)/COUNTA(helper!$D$3:$D3996),0))</f>
        <v>45677</v>
      </c>
      <c r="C94" s="5" t="str">
        <f t="array" ref="C94">IF(B94="","",INDEX(helper!$D$3:$D3996,MOD(ROW()-2,COUNTA(helper!$D$3:$D3996))+1))</f>
        <v>Vglobal</v>
      </c>
      <c r="D94" s="3" t="str">
        <f t="array" ref="D94">IF(B94="","",INDEX(helper!$E$3:$E3996,MOD(ROW()-2,COUNTA(helper!$D$3:$D3996))+1))</f>
        <v>CS-CDS-002</v>
      </c>
      <c r="E94" s="3">
        <f t="array" ref="E94">IF(B94="","",INDEX(helper!$F$3:$F3996,MOD(ROW()-2,COUNTA(helper!$D$3:$D3996))+1))</f>
        <v>3</v>
      </c>
      <c r="F94" s="3">
        <f>IF(B94="","",SUMIFS('inventory ledger'!$H:$H,'inventory ledger'!$C:$C,C94,'inventory ledger'!$D:$D,D94,'inventory ledger'!$E:$E,E94,'inventory ledger'!$A:$A,"&lt;="&amp;B94+TIME(23,59,59))-SUMIFS('inventory ledger'!$I:$I,'inventory ledger'!$C:$C,C94,'inventory ledger'!$D:$D,D94,'inventory ledger'!$E:$E,E94,'inventory ledger'!$A:$A,"&lt;="&amp;B94+TIME(23,59,59)))</f>
        <v>24</v>
      </c>
      <c r="G94" s="3">
        <f>IFERROR(__xludf.DUMMYFUNCTION("IF(F94&lt;=0,0,IFERROR(ROUNDUP(F94/INDEX(FILTER('warehouse config'!$D:$D,('warehouse config'!$B:$B=C94)*('warehouse config'!$C:$C=D94)*('warehouse config'!$G:$G&lt;=B94)*(('warehouse config'!$H:$H&gt;=B94)+ISBLANK('warehouse config'!$H:$H))),1)),0))"),2.0)</f>
        <v>2</v>
      </c>
      <c r="H94" s="3">
        <f>IFERROR(__xludf.DUMMYFUNCTION("IFERROR(INDEX(FILTER('cost master'!$E:$E,('cost master'!$B:$B=C94)*('cost master'!$D:$D=""Storage cost per pallet / week"")*('cost master'!$G:$G&lt;=B94)*(('cost master'!$H:$H&gt;=B94)+ISBLANK('cost master'!$H:$H))),1),0)"),2.6)</f>
        <v>2.6</v>
      </c>
      <c r="I94" s="3">
        <f t="shared" si="4"/>
        <v>5.2</v>
      </c>
      <c r="J94" s="27">
        <f t="shared" si="5"/>
        <v>45673</v>
      </c>
      <c r="K94" s="27">
        <f t="shared" si="6"/>
        <v>45703</v>
      </c>
    </row>
    <row r="95" hidden="1">
      <c r="A95" s="3" t="str">
        <f t="shared" si="3"/>
        <v>SL-20250120-4as-CS-CDS-001-4</v>
      </c>
      <c r="B95" s="2">
        <f t="array" ref="B95">INDEX(helper!$A$3:$A3996,ROUNDUP((ROW()-1)/COUNTA(helper!$D$3:$D3996),0))</f>
        <v>45677</v>
      </c>
      <c r="C95" s="5" t="str">
        <f t="array" ref="C95">IF(B95="","",INDEX(helper!$D$3:$D3996,MOD(ROW()-2,COUNTA(helper!$D$3:$D3996))+1))</f>
        <v>4as</v>
      </c>
      <c r="D95" s="3" t="str">
        <f t="array" ref="D95">IF(B95="","",INDEX(helper!$E$3:$E3996,MOD(ROW()-2,COUNTA(helper!$D$3:$D3996))+1))</f>
        <v>CS-CDS-001</v>
      </c>
      <c r="E95" s="3">
        <f t="array" ref="E95">IF(B95="","",INDEX(helper!$F$3:$F3996,MOD(ROW()-2,COUNTA(helper!$D$3:$D3996))+1))</f>
        <v>4</v>
      </c>
      <c r="F95" s="3">
        <f>IF(B95="","",SUMIFS('inventory ledger'!$H:$H,'inventory ledger'!$C:$C,C95,'inventory ledger'!$D:$D,D95,'inventory ledger'!$E:$E,E95,'inventory ledger'!$A:$A,"&lt;="&amp;B95+TIME(23,59,59))-SUMIFS('inventory ledger'!$I:$I,'inventory ledger'!$C:$C,C95,'inventory ledger'!$D:$D,D95,'inventory ledger'!$E:$E,E95,'inventory ledger'!$A:$A,"&lt;="&amp;B95+TIME(23,59,59)))</f>
        <v>91</v>
      </c>
      <c r="G95" s="3">
        <f>IFERROR(__xludf.DUMMYFUNCTION("IF(F95&lt;=0,0,IFERROR(ROUNDUP(F95/INDEX(FILTER('warehouse config'!$D:$D,('warehouse config'!$B:$B=C95)*('warehouse config'!$C:$C=D95)*('warehouse config'!$G:$G&lt;=B95)*(('warehouse config'!$H:$H&gt;=B95)+ISBLANK('warehouse config'!$H:$H))),1)),0))"),5.0)</f>
        <v>5</v>
      </c>
      <c r="H95" s="3">
        <f>IFERROR(__xludf.DUMMYFUNCTION("IFERROR(INDEX(FILTER('cost master'!$E:$E,('cost master'!$B:$B=C95)*('cost master'!$D:$D=""Storage cost per pallet / week"")*('cost master'!$G:$G&lt;=B95)*(('cost master'!$H:$H&gt;=B95)+ISBLANK('cost master'!$H:$H))),1),0)"),9.0)</f>
        <v>9</v>
      </c>
      <c r="I95" s="3">
        <f t="shared" si="4"/>
        <v>45</v>
      </c>
      <c r="J95" s="27">
        <f t="shared" si="5"/>
        <v>45673</v>
      </c>
      <c r="K95" s="27">
        <f t="shared" si="6"/>
        <v>45703</v>
      </c>
    </row>
    <row r="96" hidden="1">
      <c r="A96" s="3" t="str">
        <f t="shared" si="3"/>
        <v>SL-20250120-4as-CS-CDS-002-4</v>
      </c>
      <c r="B96" s="2">
        <f t="array" ref="B96">INDEX(helper!$A$3:$A3996,ROUNDUP((ROW()-1)/COUNTA(helper!$D$3:$D3996),0))</f>
        <v>45677</v>
      </c>
      <c r="C96" s="5" t="str">
        <f t="array" ref="C96">IF(B96="","",INDEX(helper!$D$3:$D3996,MOD(ROW()-2,COUNTA(helper!$D$3:$D3996))+1))</f>
        <v>4as</v>
      </c>
      <c r="D96" s="3" t="str">
        <f t="array" ref="D96">IF(B96="","",INDEX(helper!$E$3:$E3996,MOD(ROW()-2,COUNTA(helper!$D$3:$D3996))+1))</f>
        <v>CS-CDS-002</v>
      </c>
      <c r="E96" s="3">
        <f t="array" ref="E96">IF(B96="","",INDEX(helper!$F$3:$F3996,MOD(ROW()-2,COUNTA(helper!$D$3:$D3996))+1))</f>
        <v>4</v>
      </c>
      <c r="F96" s="3">
        <f>IF(B96="","",SUMIFS('inventory ledger'!$H:$H,'inventory ledger'!$C:$C,C96,'inventory ledger'!$D:$D,D96,'inventory ledger'!$E:$E,E96,'inventory ledger'!$A:$A,"&lt;="&amp;B96+TIME(23,59,59))-SUMIFS('inventory ledger'!$I:$I,'inventory ledger'!$C:$C,C96,'inventory ledger'!$D:$D,D96,'inventory ledger'!$E:$E,E96,'inventory ledger'!$A:$A,"&lt;="&amp;B96+TIME(23,59,59)))</f>
        <v>179</v>
      </c>
      <c r="G96" s="3">
        <f>IFERROR(__xludf.DUMMYFUNCTION("IF(F96&lt;=0,0,IFERROR(ROUNDUP(F96/INDEX(FILTER('warehouse config'!$D:$D,('warehouse config'!$B:$B=C96)*('warehouse config'!$C:$C=D96)*('warehouse config'!$G:$G&lt;=B96)*(('warehouse config'!$H:$H&gt;=B96)+ISBLANK('warehouse config'!$H:$H))),1)),0))"),9.0)</f>
        <v>9</v>
      </c>
      <c r="H96" s="3">
        <f>IFERROR(__xludf.DUMMYFUNCTION("IFERROR(INDEX(FILTER('cost master'!$E:$E,('cost master'!$B:$B=C96)*('cost master'!$D:$D=""Storage cost per pallet / week"")*('cost master'!$G:$G&lt;=B96)*(('cost master'!$H:$H&gt;=B96)+ISBLANK('cost master'!$H:$H))),1),0)"),9.0)</f>
        <v>9</v>
      </c>
      <c r="I96" s="3">
        <f t="shared" si="4"/>
        <v>81</v>
      </c>
      <c r="J96" s="27">
        <f t="shared" si="5"/>
        <v>45673</v>
      </c>
      <c r="K96" s="27">
        <f t="shared" si="6"/>
        <v>45703</v>
      </c>
    </row>
    <row r="97" hidden="1">
      <c r="A97" s="3" t="str">
        <f t="shared" si="3"/>
        <v>SL-20250120-Vglobal-CS 007-13</v>
      </c>
      <c r="B97" s="2">
        <f t="array" ref="B97">INDEX(helper!$A$3:$A3996,ROUNDUP((ROW()-1)/COUNTA(helper!$D$3:$D3996),0))</f>
        <v>45677</v>
      </c>
      <c r="C97" s="5" t="str">
        <f t="array" ref="C97">IF(B97="","",INDEX(helper!$D$3:$D3996,MOD(ROW()-2,COUNTA(helper!$D$3:$D3996))+1))</f>
        <v>Vglobal</v>
      </c>
      <c r="D97" s="3" t="str">
        <f t="array" ref="D97">IF(B97="","",INDEX(helper!$E$3:$E3996,MOD(ROW()-2,COUNTA(helper!$D$3:$D3996))+1))</f>
        <v>CS 007</v>
      </c>
      <c r="E97" s="3">
        <f t="array" ref="E97">IF(B97="","",INDEX(helper!$F$3:$F3996,MOD(ROW()-2,COUNTA(helper!$D$3:$D3996))+1))</f>
        <v>13</v>
      </c>
      <c r="F97" s="3">
        <f>IF(B97="","",SUMIFS('inventory ledger'!$H:$H,'inventory ledger'!$C:$C,C97,'inventory ledger'!$D:$D,D97,'inventory ledger'!$E:$E,E97,'inventory ledger'!$A:$A,"&lt;="&amp;B97+TIME(23,59,59))-SUMIFS('inventory ledger'!$I:$I,'inventory ledger'!$C:$C,C97,'inventory ledger'!$D:$D,D97,'inventory ledger'!$E:$E,E97,'inventory ledger'!$A:$A,"&lt;="&amp;B97+TIME(23,59,59)))</f>
        <v>285</v>
      </c>
      <c r="G97" s="3">
        <f>IFERROR(__xludf.DUMMYFUNCTION("IF(F97&lt;=0,0,IFERROR(ROUNDUP(F97/INDEX(FILTER('warehouse config'!$D:$D,('warehouse config'!$B:$B=C97)*('warehouse config'!$C:$C=D97)*('warehouse config'!$G:$G&lt;=B97)*(('warehouse config'!$H:$H&gt;=B97)+ISBLANK('warehouse config'!$H:$H))),1)),0))"),18.0)</f>
        <v>18</v>
      </c>
      <c r="H97" s="3">
        <f>IFERROR(__xludf.DUMMYFUNCTION("IFERROR(INDEX(FILTER('cost master'!$E:$E,('cost master'!$B:$B=C97)*('cost master'!$D:$D=""Storage cost per pallet / week"")*('cost master'!$G:$G&lt;=B97)*(('cost master'!$H:$H&gt;=B97)+ISBLANK('cost master'!$H:$H))),1),0)"),2.6)</f>
        <v>2.6</v>
      </c>
      <c r="I97" s="3">
        <f t="shared" si="4"/>
        <v>46.8</v>
      </c>
      <c r="J97" s="27">
        <f t="shared" si="5"/>
        <v>45673</v>
      </c>
      <c r="K97" s="27">
        <f t="shared" si="6"/>
        <v>45703</v>
      </c>
    </row>
    <row r="98" hidden="1">
      <c r="A98" s="3" t="str">
        <f t="shared" si="3"/>
        <v>SL-20250120-Vglobal-CS 011-13</v>
      </c>
      <c r="B98" s="2">
        <f t="array" ref="B98">INDEX(helper!$A$3:$A3996,ROUNDUP((ROW()-1)/COUNTA(helper!$D$3:$D3996),0))</f>
        <v>45677</v>
      </c>
      <c r="C98" s="5" t="str">
        <f t="array" ref="C98">IF(B98="","",INDEX(helper!$D$3:$D3996,MOD(ROW()-2,COUNTA(helper!$D$3:$D3996))+1))</f>
        <v>Vglobal</v>
      </c>
      <c r="D98" s="3" t="str">
        <f t="array" ref="D98">IF(B98="","",INDEX(helper!$E$3:$E3996,MOD(ROW()-2,COUNTA(helper!$D$3:$D3996))+1))</f>
        <v>CS 011</v>
      </c>
      <c r="E98" s="3">
        <f t="array" ref="E98">IF(B98="","",INDEX(helper!$F$3:$F3996,MOD(ROW()-2,COUNTA(helper!$D$3:$D3996))+1))</f>
        <v>13</v>
      </c>
      <c r="F98" s="3">
        <f>IF(B98="","",SUMIFS('inventory ledger'!$H:$H,'inventory ledger'!$C:$C,C98,'inventory ledger'!$D:$D,D98,'inventory ledger'!$E:$E,E98,'inventory ledger'!$A:$A,"&lt;="&amp;B98+TIME(23,59,59))-SUMIFS('inventory ledger'!$I:$I,'inventory ledger'!$C:$C,C98,'inventory ledger'!$D:$D,D98,'inventory ledger'!$E:$E,E98,'inventory ledger'!$A:$A,"&lt;="&amp;B98+TIME(23,59,59)))</f>
        <v>175</v>
      </c>
      <c r="G98" s="3">
        <f>IFERROR(__xludf.DUMMYFUNCTION("IF(F98&lt;=0,0,IFERROR(ROUNDUP(F98/INDEX(FILTER('warehouse config'!$D:$D,('warehouse config'!$B:$B=C98)*('warehouse config'!$C:$C=D98)*('warehouse config'!$G:$G&lt;=B98)*(('warehouse config'!$H:$H&gt;=B98)+ISBLANK('warehouse config'!$H:$H))),1)),0))"),9.0)</f>
        <v>9</v>
      </c>
      <c r="H98" s="3">
        <f>IFERROR(__xludf.DUMMYFUNCTION("IFERROR(INDEX(FILTER('cost master'!$E:$E,('cost master'!$B:$B=C98)*('cost master'!$D:$D=""Storage cost per pallet / week"")*('cost master'!$G:$G&lt;=B98)*(('cost master'!$H:$H&gt;=B98)+ISBLANK('cost master'!$H:$H))),1),0)"),2.6)</f>
        <v>2.6</v>
      </c>
      <c r="I98" s="3">
        <f t="shared" si="4"/>
        <v>23.4</v>
      </c>
      <c r="J98" s="27">
        <f t="shared" si="5"/>
        <v>45673</v>
      </c>
      <c r="K98" s="27">
        <f t="shared" si="6"/>
        <v>45703</v>
      </c>
    </row>
    <row r="99" hidden="1">
      <c r="A99" s="3" t="str">
        <f t="shared" si="3"/>
        <v>SL-20250120-Vglobal-CS 008-13</v>
      </c>
      <c r="B99" s="2">
        <f t="array" ref="B99">INDEX(helper!$A$3:$A3996,ROUNDUP((ROW()-1)/COUNTA(helper!$D$3:$D3996),0))</f>
        <v>45677</v>
      </c>
      <c r="C99" s="5" t="str">
        <f t="array" ref="C99">IF(B99="","",INDEX(helper!$D$3:$D3996,MOD(ROW()-2,COUNTA(helper!$D$3:$D3996))+1))</f>
        <v>Vglobal</v>
      </c>
      <c r="D99" s="3" t="str">
        <f t="array" ref="D99">IF(B99="","",INDEX(helper!$E$3:$E3996,MOD(ROW()-2,COUNTA(helper!$D$3:$D3996))+1))</f>
        <v>CS 008</v>
      </c>
      <c r="E99" s="3">
        <f t="array" ref="E99">IF(B99="","",INDEX(helper!$F$3:$F3996,MOD(ROW()-2,COUNTA(helper!$D$3:$D3996))+1))</f>
        <v>13</v>
      </c>
      <c r="F99" s="3">
        <f>IF(B99="","",SUMIFS('inventory ledger'!$H:$H,'inventory ledger'!$C:$C,C99,'inventory ledger'!$D:$D,D99,'inventory ledger'!$E:$E,E99,'inventory ledger'!$A:$A,"&lt;="&amp;B99+TIME(23,59,59))-SUMIFS('inventory ledger'!$I:$I,'inventory ledger'!$C:$C,C99,'inventory ledger'!$D:$D,D99,'inventory ledger'!$E:$E,E99,'inventory ledger'!$A:$A,"&lt;="&amp;B99+TIME(23,59,59)))</f>
        <v>20</v>
      </c>
      <c r="G99" s="3">
        <f>IFERROR(__xludf.DUMMYFUNCTION("IF(F99&lt;=0,0,IFERROR(ROUNDUP(F99/INDEX(FILTER('warehouse config'!$D:$D,('warehouse config'!$B:$B=C99)*('warehouse config'!$C:$C=D99)*('warehouse config'!$G:$G&lt;=B99)*(('warehouse config'!$H:$H&gt;=B99)+ISBLANK('warehouse config'!$H:$H))),1)),0))"),1.0)</f>
        <v>1</v>
      </c>
      <c r="H99" s="3">
        <f>IFERROR(__xludf.DUMMYFUNCTION("IFERROR(INDEX(FILTER('cost master'!$E:$E,('cost master'!$B:$B=C99)*('cost master'!$D:$D=""Storage cost per pallet / week"")*('cost master'!$G:$G&lt;=B99)*(('cost master'!$H:$H&gt;=B99)+ISBLANK('cost master'!$H:$H))),1),0)"),2.6)</f>
        <v>2.6</v>
      </c>
      <c r="I99" s="3">
        <f t="shared" si="4"/>
        <v>2.6</v>
      </c>
      <c r="J99" s="27">
        <f t="shared" si="5"/>
        <v>45673</v>
      </c>
      <c r="K99" s="27">
        <f t="shared" si="6"/>
        <v>45703</v>
      </c>
    </row>
    <row r="100" hidden="1">
      <c r="A100" s="3" t="str">
        <f t="shared" si="3"/>
        <v>SL-20250120-Vglobal-CS 010-13</v>
      </c>
      <c r="B100" s="2">
        <f t="array" ref="B100">INDEX(helper!$A$3:$A3996,ROUNDUP((ROW()-1)/COUNTA(helper!$D$3:$D3996),0))</f>
        <v>45677</v>
      </c>
      <c r="C100" s="5" t="str">
        <f t="array" ref="C100">IF(B100="","",INDEX(helper!$D$3:$D3996,MOD(ROW()-2,COUNTA(helper!$D$3:$D3996))+1))</f>
        <v>Vglobal</v>
      </c>
      <c r="D100" s="3" t="str">
        <f t="array" ref="D100">IF(B100="","",INDEX(helper!$E$3:$E3996,MOD(ROW()-2,COUNTA(helper!$D$3:$D3996))+1))</f>
        <v>CS 010</v>
      </c>
      <c r="E100" s="3">
        <f t="array" ref="E100">IF(B100="","",INDEX(helper!$F$3:$F3996,MOD(ROW()-2,COUNTA(helper!$D$3:$D3996))+1))</f>
        <v>13</v>
      </c>
      <c r="F100" s="3">
        <f>IF(B100="","",SUMIFS('inventory ledger'!$H:$H,'inventory ledger'!$C:$C,C100,'inventory ledger'!$D:$D,D100,'inventory ledger'!$E:$E,E100,'inventory ledger'!$A:$A,"&lt;="&amp;B100+TIME(23,59,59))-SUMIFS('inventory ledger'!$I:$I,'inventory ledger'!$C:$C,C100,'inventory ledger'!$D:$D,D100,'inventory ledger'!$E:$E,E100,'inventory ledger'!$A:$A,"&lt;="&amp;B100+TIME(23,59,59)))</f>
        <v>80</v>
      </c>
      <c r="G100" s="3">
        <f>IFERROR(__xludf.DUMMYFUNCTION("IF(F100&lt;=0,0,IFERROR(ROUNDUP(F100/INDEX(FILTER('warehouse config'!$D:$D,('warehouse config'!$B:$B=C100)*('warehouse config'!$C:$C=D100)*('warehouse config'!$G:$G&lt;=B100)*(('warehouse config'!$H:$H&gt;=B100)+ISBLANK('warehouse config'!$H:$H))),1)),0))"),4.0)</f>
        <v>4</v>
      </c>
      <c r="H100" s="3">
        <f>IFERROR(__xludf.DUMMYFUNCTION("IFERROR(INDEX(FILTER('cost master'!$E:$E,('cost master'!$B:$B=C100)*('cost master'!$D:$D=""Storage cost per pallet / week"")*('cost master'!$G:$G&lt;=B100)*(('cost master'!$H:$H&gt;=B100)+ISBLANK('cost master'!$H:$H))),1),0)"),2.6)</f>
        <v>2.6</v>
      </c>
      <c r="I100" s="3">
        <f t="shared" si="4"/>
        <v>10.4</v>
      </c>
      <c r="J100" s="27">
        <f t="shared" si="5"/>
        <v>45673</v>
      </c>
      <c r="K100" s="27">
        <f t="shared" si="6"/>
        <v>45703</v>
      </c>
    </row>
    <row r="101" hidden="1">
      <c r="A101" s="3" t="str">
        <f t="shared" si="3"/>
        <v>SL-20250120-Vglobal-CS 009-13</v>
      </c>
      <c r="B101" s="2">
        <f t="array" ref="B101">INDEX(helper!$A$3:$A3996,ROUNDUP((ROW()-1)/COUNTA(helper!$D$3:$D3996),0))</f>
        <v>45677</v>
      </c>
      <c r="C101" s="5" t="str">
        <f t="array" ref="C101">IF(B101="","",INDEX(helper!$D$3:$D3996,MOD(ROW()-2,COUNTA(helper!$D$3:$D3996))+1))</f>
        <v>Vglobal</v>
      </c>
      <c r="D101" s="3" t="str">
        <f t="array" ref="D101">IF(B101="","",INDEX(helper!$E$3:$E3996,MOD(ROW()-2,COUNTA(helper!$D$3:$D3996))+1))</f>
        <v>CS 009</v>
      </c>
      <c r="E101" s="3">
        <f t="array" ref="E101">IF(B101="","",INDEX(helper!$F$3:$F3996,MOD(ROW()-2,COUNTA(helper!$D$3:$D3996))+1))</f>
        <v>13</v>
      </c>
      <c r="F101" s="3">
        <f>IF(B101="","",SUMIFS('inventory ledger'!$H:$H,'inventory ledger'!$C:$C,C101,'inventory ledger'!$D:$D,D101,'inventory ledger'!$E:$E,E101,'inventory ledger'!$A:$A,"&lt;="&amp;B101+TIME(23,59,59))-SUMIFS('inventory ledger'!$I:$I,'inventory ledger'!$C:$C,C101,'inventory ledger'!$D:$D,D101,'inventory ledger'!$E:$E,E101,'inventory ledger'!$A:$A,"&lt;="&amp;B101+TIME(23,59,59)))</f>
        <v>88</v>
      </c>
      <c r="G101" s="3">
        <f>IFERROR(__xludf.DUMMYFUNCTION("IF(F101&lt;=0,0,IFERROR(ROUNDUP(F101/INDEX(FILTER('warehouse config'!$D:$D,('warehouse config'!$B:$B=C101)*('warehouse config'!$C:$C=D101)*('warehouse config'!$G:$G&lt;=B101)*(('warehouse config'!$H:$H&gt;=B101)+ISBLANK('warehouse config'!$H:$H))),1)),0))"),6.0)</f>
        <v>6</v>
      </c>
      <c r="H101" s="3">
        <f>IFERROR(__xludf.DUMMYFUNCTION("IFERROR(INDEX(FILTER('cost master'!$E:$E,('cost master'!$B:$B=C101)*('cost master'!$D:$D=""Storage cost per pallet / week"")*('cost master'!$G:$G&lt;=B101)*(('cost master'!$H:$H&gt;=B101)+ISBLANK('cost master'!$H:$H))),1),0)"),2.6)</f>
        <v>2.6</v>
      </c>
      <c r="I101" s="3">
        <f t="shared" si="4"/>
        <v>15.6</v>
      </c>
      <c r="J101" s="27">
        <f t="shared" si="5"/>
        <v>45673</v>
      </c>
      <c r="K101" s="27">
        <f t="shared" si="6"/>
        <v>45703</v>
      </c>
    </row>
    <row r="102" hidden="1">
      <c r="A102" s="3" t="str">
        <f t="shared" si="3"/>
        <v>SL-20250120-Vglobal-CS 012-13</v>
      </c>
      <c r="B102" s="2">
        <f t="array" ref="B102">INDEX(helper!$A$3:$A3996,ROUNDUP((ROW()-1)/COUNTA(helper!$D$3:$D3996),0))</f>
        <v>45677</v>
      </c>
      <c r="C102" s="5" t="str">
        <f t="array" ref="C102">IF(B102="","",INDEX(helper!$D$3:$D3996,MOD(ROW()-2,COUNTA(helper!$D$3:$D3996))+1))</f>
        <v>Vglobal</v>
      </c>
      <c r="D102" s="3" t="str">
        <f t="array" ref="D102">IF(B102="","",INDEX(helper!$E$3:$E3996,MOD(ROW()-2,COUNTA(helper!$D$3:$D3996))+1))</f>
        <v>CS 012</v>
      </c>
      <c r="E102" s="3">
        <f t="array" ref="E102">IF(B102="","",INDEX(helper!$F$3:$F3996,MOD(ROW()-2,COUNTA(helper!$D$3:$D3996))+1))</f>
        <v>13</v>
      </c>
      <c r="F102" s="3">
        <f>IF(B102="","",SUMIFS('inventory ledger'!$H:$H,'inventory ledger'!$C:$C,C102,'inventory ledger'!$D:$D,D102,'inventory ledger'!$E:$E,E102,'inventory ledger'!$A:$A,"&lt;="&amp;B102+TIME(23,59,59))-SUMIFS('inventory ledger'!$I:$I,'inventory ledger'!$C:$C,C102,'inventory ledger'!$D:$D,D102,'inventory ledger'!$E:$E,E102,'inventory ledger'!$A:$A,"&lt;="&amp;B102+TIME(23,59,59)))</f>
        <v>113</v>
      </c>
      <c r="G102" s="3">
        <f>IFERROR(__xludf.DUMMYFUNCTION("IF(F102&lt;=0,0,IFERROR(ROUNDUP(F102/INDEX(FILTER('warehouse config'!$D:$D,('warehouse config'!$B:$B=C102)*('warehouse config'!$C:$C=D102)*('warehouse config'!$G:$G&lt;=B102)*(('warehouse config'!$H:$H&gt;=B102)+ISBLANK('warehouse config'!$H:$H))),1)),0))"),6.0)</f>
        <v>6</v>
      </c>
      <c r="H102" s="3">
        <f>IFERROR(__xludf.DUMMYFUNCTION("IFERROR(INDEX(FILTER('cost master'!$E:$E,('cost master'!$B:$B=C102)*('cost master'!$D:$D=""Storage cost per pallet / week"")*('cost master'!$G:$G&lt;=B102)*(('cost master'!$H:$H&gt;=B102)+ISBLANK('cost master'!$H:$H))),1),0)"),2.6)</f>
        <v>2.6</v>
      </c>
      <c r="I102" s="3">
        <f t="shared" si="4"/>
        <v>15.6</v>
      </c>
      <c r="J102" s="27">
        <f t="shared" si="5"/>
        <v>45673</v>
      </c>
      <c r="K102" s="27">
        <f t="shared" si="6"/>
        <v>45703</v>
      </c>
    </row>
    <row r="103" hidden="1">
      <c r="A103" s="3" t="str">
        <f t="shared" si="3"/>
        <v>SL-20250120-FMC-CS 008-11</v>
      </c>
      <c r="B103" s="2">
        <f t="array" ref="B103">INDEX(helper!$A$3:$A3996,ROUNDUP((ROW()-1)/COUNTA(helper!$D$3:$D3996),0))</f>
        <v>45677</v>
      </c>
      <c r="C103" s="5" t="str">
        <f t="array" ref="C103">IF(B103="","",INDEX(helper!$D$3:$D3996,MOD(ROW()-2,COUNTA(helper!$D$3:$D3996))+1))</f>
        <v>FMC</v>
      </c>
      <c r="D103" s="3" t="str">
        <f t="array" ref="D103">IF(B103="","",INDEX(helper!$E$3:$E3996,MOD(ROW()-2,COUNTA(helper!$D$3:$D3996))+1))</f>
        <v>CS 008</v>
      </c>
      <c r="E103" s="3">
        <f t="array" ref="E103">IF(B103="","",INDEX(helper!$F$3:$F3996,MOD(ROW()-2,COUNTA(helper!$D$3:$D3996))+1))</f>
        <v>11</v>
      </c>
      <c r="F103" s="3">
        <f>IF(B103="","",SUMIFS('inventory ledger'!$H:$H,'inventory ledger'!$C:$C,C103,'inventory ledger'!$D:$D,D103,'inventory ledger'!$E:$E,E103,'inventory ledger'!$A:$A,"&lt;="&amp;B103+TIME(23,59,59))-SUMIFS('inventory ledger'!$I:$I,'inventory ledger'!$C:$C,C103,'inventory ledger'!$D:$D,D103,'inventory ledger'!$E:$E,E103,'inventory ledger'!$A:$A,"&lt;="&amp;B103+TIME(23,59,59)))</f>
        <v>0</v>
      </c>
      <c r="G103" s="3">
        <f>IFERROR(__xludf.DUMMYFUNCTION("IF(F103&lt;=0,0,IFERROR(ROUNDUP(F103/INDEX(FILTER('warehouse config'!$D:$D,('warehouse config'!$B:$B=C103)*('warehouse config'!$C:$C=D103)*('warehouse config'!$G:$G&lt;=B103)*(('warehouse config'!$H:$H&gt;=B103)+ISBLANK('warehouse config'!$H:$H))),1)),0))"),0.0)</f>
        <v>0</v>
      </c>
      <c r="H103" s="3">
        <f>IFERROR(__xludf.DUMMYFUNCTION("IFERROR(INDEX(FILTER('cost master'!$E:$E,('cost master'!$B:$B=C103)*('cost master'!$D:$D=""Storage cost per pallet / week"")*('cost master'!$G:$G&lt;=B103)*(('cost master'!$H:$H&gt;=B103)+ISBLANK('cost master'!$H:$H))),1),0)"),3.9)</f>
        <v>3.9</v>
      </c>
      <c r="I103" s="3">
        <f t="shared" si="4"/>
        <v>0</v>
      </c>
      <c r="J103" s="27">
        <f t="shared" si="5"/>
        <v>45673</v>
      </c>
      <c r="K103" s="27">
        <f t="shared" si="6"/>
        <v>45703</v>
      </c>
    </row>
    <row r="104" hidden="1">
      <c r="A104" s="3" t="str">
        <f t="shared" si="3"/>
        <v>SL-20250127-FMC-CS 007-8</v>
      </c>
      <c r="B104" s="2">
        <f t="array" ref="B104">INDEX(helper!$A$3:$A3996,ROUNDUP((ROW()-1)/COUNTA(helper!$D$3:$D3996),0))</f>
        <v>45684</v>
      </c>
      <c r="C104" s="5" t="str">
        <f t="array" ref="C104">IF(B104="","",INDEX(helper!$D$3:$D3996,MOD(ROW()-2,COUNTA(helper!$D$3:$D3996))+1))</f>
        <v>FMC</v>
      </c>
      <c r="D104" s="3" t="str">
        <f t="array" ref="D104">IF(B104="","",INDEX(helper!$E$3:$E3996,MOD(ROW()-2,COUNTA(helper!$D$3:$D3996))+1))</f>
        <v>CS 007</v>
      </c>
      <c r="E104" s="3">
        <f t="array" ref="E104">IF(B104="","",INDEX(helper!$F$3:$F3996,MOD(ROW()-2,COUNTA(helper!$D$3:$D3996))+1))</f>
        <v>8</v>
      </c>
      <c r="F104" s="3">
        <f>IF(B104="","",SUMIFS('inventory ledger'!$H:$H,'inventory ledger'!$C:$C,C104,'inventory ledger'!$D:$D,D104,'inventory ledger'!$E:$E,E104,'inventory ledger'!$A:$A,"&lt;="&amp;B104+TIME(23,59,59))-SUMIFS('inventory ledger'!$I:$I,'inventory ledger'!$C:$C,C104,'inventory ledger'!$D:$D,D104,'inventory ledger'!$E:$E,E104,'inventory ledger'!$A:$A,"&lt;="&amp;B104+TIME(23,59,59)))</f>
        <v>0</v>
      </c>
      <c r="G104" s="3">
        <f>IFERROR(__xludf.DUMMYFUNCTION("IF(F104&lt;=0,0,IFERROR(ROUNDUP(F104/INDEX(FILTER('warehouse config'!$D:$D,('warehouse config'!$B:$B=C104)*('warehouse config'!$C:$C=D104)*('warehouse config'!$G:$G&lt;=B104)*(('warehouse config'!$H:$H&gt;=B104)+ISBLANK('warehouse config'!$H:$H))),1)),0))"),0.0)</f>
        <v>0</v>
      </c>
      <c r="H104" s="3">
        <f>IFERROR(__xludf.DUMMYFUNCTION("IFERROR(INDEX(FILTER('cost master'!$E:$E,('cost master'!$B:$B=C104)*('cost master'!$D:$D=""Storage cost per pallet / week"")*('cost master'!$G:$G&lt;=B104)*(('cost master'!$H:$H&gt;=B104)+ISBLANK('cost master'!$H:$H))),1),0)"),3.9)</f>
        <v>3.9</v>
      </c>
      <c r="I104" s="3">
        <f t="shared" si="4"/>
        <v>0</v>
      </c>
      <c r="J104" s="27">
        <f t="shared" si="5"/>
        <v>45673</v>
      </c>
      <c r="K104" s="27">
        <f t="shared" si="6"/>
        <v>45703</v>
      </c>
    </row>
    <row r="105" hidden="1">
      <c r="A105" s="3" t="str">
        <f t="shared" si="3"/>
        <v>SL-20250127-FMC-CS 008-8</v>
      </c>
      <c r="B105" s="2">
        <f t="array" ref="B105">INDEX(helper!$A$3:$A3996,ROUNDUP((ROW()-1)/COUNTA(helper!$D$3:$D3996),0))</f>
        <v>45684</v>
      </c>
      <c r="C105" s="5" t="str">
        <f t="array" ref="C105">IF(B105="","",INDEX(helper!$D$3:$D3996,MOD(ROW()-2,COUNTA(helper!$D$3:$D3996))+1))</f>
        <v>FMC</v>
      </c>
      <c r="D105" s="3" t="str">
        <f t="array" ref="D105">IF(B105="","",INDEX(helper!$E$3:$E3996,MOD(ROW()-2,COUNTA(helper!$D$3:$D3996))+1))</f>
        <v>CS 008</v>
      </c>
      <c r="E105" s="3">
        <f t="array" ref="E105">IF(B105="","",INDEX(helper!$F$3:$F3996,MOD(ROW()-2,COUNTA(helper!$D$3:$D3996))+1))</f>
        <v>8</v>
      </c>
      <c r="F105" s="3">
        <f>IF(B105="","",SUMIFS('inventory ledger'!$H:$H,'inventory ledger'!$C:$C,C105,'inventory ledger'!$D:$D,D105,'inventory ledger'!$E:$E,E105,'inventory ledger'!$A:$A,"&lt;="&amp;B105+TIME(23,59,59))-SUMIFS('inventory ledger'!$I:$I,'inventory ledger'!$C:$C,C105,'inventory ledger'!$D:$D,D105,'inventory ledger'!$E:$E,E105,'inventory ledger'!$A:$A,"&lt;="&amp;B105+TIME(23,59,59)))</f>
        <v>0</v>
      </c>
      <c r="G105" s="3">
        <f>IFERROR(__xludf.DUMMYFUNCTION("IF(F105&lt;=0,0,IFERROR(ROUNDUP(F105/INDEX(FILTER('warehouse config'!$D:$D,('warehouse config'!$B:$B=C105)*('warehouse config'!$C:$C=D105)*('warehouse config'!$G:$G&lt;=B105)*(('warehouse config'!$H:$H&gt;=B105)+ISBLANK('warehouse config'!$H:$H))),1)),0))"),0.0)</f>
        <v>0</v>
      </c>
      <c r="H105" s="3">
        <f>IFERROR(__xludf.DUMMYFUNCTION("IFERROR(INDEX(FILTER('cost master'!$E:$E,('cost master'!$B:$B=C105)*('cost master'!$D:$D=""Storage cost per pallet / week"")*('cost master'!$G:$G&lt;=B105)*(('cost master'!$H:$H&gt;=B105)+ISBLANK('cost master'!$H:$H))),1),0)"),3.9)</f>
        <v>3.9</v>
      </c>
      <c r="I105" s="3">
        <f t="shared" si="4"/>
        <v>0</v>
      </c>
      <c r="J105" s="27">
        <f t="shared" si="5"/>
        <v>45673</v>
      </c>
      <c r="K105" s="27">
        <f t="shared" si="6"/>
        <v>45703</v>
      </c>
    </row>
    <row r="106" hidden="1">
      <c r="A106" s="3" t="str">
        <f t="shared" si="3"/>
        <v>SL-20250127-FMC-CS 009-8</v>
      </c>
      <c r="B106" s="2">
        <f t="array" ref="B106">INDEX(helper!$A$3:$A3996,ROUNDUP((ROW()-1)/COUNTA(helper!$D$3:$D3996),0))</f>
        <v>45684</v>
      </c>
      <c r="C106" s="5" t="str">
        <f t="array" ref="C106">IF(B106="","",INDEX(helper!$D$3:$D3996,MOD(ROW()-2,COUNTA(helper!$D$3:$D3996))+1))</f>
        <v>FMC</v>
      </c>
      <c r="D106" s="3" t="str">
        <f t="array" ref="D106">IF(B106="","",INDEX(helper!$E$3:$E3996,MOD(ROW()-2,COUNTA(helper!$D$3:$D3996))+1))</f>
        <v>CS 009</v>
      </c>
      <c r="E106" s="3">
        <f t="array" ref="E106">IF(B106="","",INDEX(helper!$F$3:$F3996,MOD(ROW()-2,COUNTA(helper!$D$3:$D3996))+1))</f>
        <v>8</v>
      </c>
      <c r="F106" s="3">
        <f>IF(B106="","",SUMIFS('inventory ledger'!$H:$H,'inventory ledger'!$C:$C,C106,'inventory ledger'!$D:$D,D106,'inventory ledger'!$E:$E,E106,'inventory ledger'!$A:$A,"&lt;="&amp;B106+TIME(23,59,59))-SUMIFS('inventory ledger'!$I:$I,'inventory ledger'!$C:$C,C106,'inventory ledger'!$D:$D,D106,'inventory ledger'!$E:$E,E106,'inventory ledger'!$A:$A,"&lt;="&amp;B106+TIME(23,59,59)))</f>
        <v>0</v>
      </c>
      <c r="G106" s="3">
        <f>IFERROR(__xludf.DUMMYFUNCTION("IF(F106&lt;=0,0,IFERROR(ROUNDUP(F106/INDEX(FILTER('warehouse config'!$D:$D,('warehouse config'!$B:$B=C106)*('warehouse config'!$C:$C=D106)*('warehouse config'!$G:$G&lt;=B106)*(('warehouse config'!$H:$H&gt;=B106)+ISBLANK('warehouse config'!$H:$H))),1)),0))"),0.0)</f>
        <v>0</v>
      </c>
      <c r="H106" s="3">
        <f>IFERROR(__xludf.DUMMYFUNCTION("IFERROR(INDEX(FILTER('cost master'!$E:$E,('cost master'!$B:$B=C106)*('cost master'!$D:$D=""Storage cost per pallet / week"")*('cost master'!$G:$G&lt;=B106)*(('cost master'!$H:$H&gt;=B106)+ISBLANK('cost master'!$H:$H))),1),0)"),3.9)</f>
        <v>3.9</v>
      </c>
      <c r="I106" s="3">
        <f t="shared" si="4"/>
        <v>0</v>
      </c>
      <c r="J106" s="27">
        <f t="shared" si="5"/>
        <v>45673</v>
      </c>
      <c r="K106" s="27">
        <f t="shared" si="6"/>
        <v>45703</v>
      </c>
    </row>
    <row r="107" hidden="1">
      <c r="A107" s="3" t="str">
        <f t="shared" si="3"/>
        <v>SL-20250127-FMC-CS 010-8</v>
      </c>
      <c r="B107" s="2">
        <f t="array" ref="B107">INDEX(helper!$A$3:$A3996,ROUNDUP((ROW()-1)/COUNTA(helper!$D$3:$D3996),0))</f>
        <v>45684</v>
      </c>
      <c r="C107" s="5" t="str">
        <f t="array" ref="C107">IF(B107="","",INDEX(helper!$D$3:$D3996,MOD(ROW()-2,COUNTA(helper!$D$3:$D3996))+1))</f>
        <v>FMC</v>
      </c>
      <c r="D107" s="3" t="str">
        <f t="array" ref="D107">IF(B107="","",INDEX(helper!$E$3:$E3996,MOD(ROW()-2,COUNTA(helper!$D$3:$D3996))+1))</f>
        <v>CS 010</v>
      </c>
      <c r="E107" s="3">
        <f t="array" ref="E107">IF(B107="","",INDEX(helper!$F$3:$F3996,MOD(ROW()-2,COUNTA(helper!$D$3:$D3996))+1))</f>
        <v>8</v>
      </c>
      <c r="F107" s="3">
        <f>IF(B107="","",SUMIFS('inventory ledger'!$H:$H,'inventory ledger'!$C:$C,C107,'inventory ledger'!$D:$D,D107,'inventory ledger'!$E:$E,E107,'inventory ledger'!$A:$A,"&lt;="&amp;B107+TIME(23,59,59))-SUMIFS('inventory ledger'!$I:$I,'inventory ledger'!$C:$C,C107,'inventory ledger'!$D:$D,D107,'inventory ledger'!$E:$E,E107,'inventory ledger'!$A:$A,"&lt;="&amp;B107+TIME(23,59,59)))</f>
        <v>0</v>
      </c>
      <c r="G107" s="3">
        <f>IFERROR(__xludf.DUMMYFUNCTION("IF(F107&lt;=0,0,IFERROR(ROUNDUP(F107/INDEX(FILTER('warehouse config'!$D:$D,('warehouse config'!$B:$B=C107)*('warehouse config'!$C:$C=D107)*('warehouse config'!$G:$G&lt;=B107)*(('warehouse config'!$H:$H&gt;=B107)+ISBLANK('warehouse config'!$H:$H))),1)),0))"),0.0)</f>
        <v>0</v>
      </c>
      <c r="H107" s="3">
        <f>IFERROR(__xludf.DUMMYFUNCTION("IFERROR(INDEX(FILTER('cost master'!$E:$E,('cost master'!$B:$B=C107)*('cost master'!$D:$D=""Storage cost per pallet / week"")*('cost master'!$G:$G&lt;=B107)*(('cost master'!$H:$H&gt;=B107)+ISBLANK('cost master'!$H:$H))),1),0)"),3.9)</f>
        <v>3.9</v>
      </c>
      <c r="I107" s="3">
        <f t="shared" si="4"/>
        <v>0</v>
      </c>
      <c r="J107" s="27">
        <f t="shared" si="5"/>
        <v>45673</v>
      </c>
      <c r="K107" s="27">
        <f t="shared" si="6"/>
        <v>45703</v>
      </c>
    </row>
    <row r="108" hidden="1">
      <c r="A108" s="3" t="str">
        <f t="shared" si="3"/>
        <v>SL-20250127-FMC-CS 007-9</v>
      </c>
      <c r="B108" s="2">
        <f t="array" ref="B108">INDEX(helper!$A$3:$A3996,ROUNDUP((ROW()-1)/COUNTA(helper!$D$3:$D3996),0))</f>
        <v>45684</v>
      </c>
      <c r="C108" s="5" t="str">
        <f t="array" ref="C108">IF(B108="","",INDEX(helper!$D$3:$D3996,MOD(ROW()-2,COUNTA(helper!$D$3:$D3996))+1))</f>
        <v>FMC</v>
      </c>
      <c r="D108" s="3" t="str">
        <f t="array" ref="D108">IF(B108="","",INDEX(helper!$E$3:$E3996,MOD(ROW()-2,COUNTA(helper!$D$3:$D3996))+1))</f>
        <v>CS 007</v>
      </c>
      <c r="E108" s="3">
        <f t="array" ref="E108">IF(B108="","",INDEX(helper!$F$3:$F3996,MOD(ROW()-2,COUNTA(helper!$D$3:$D3996))+1))</f>
        <v>9</v>
      </c>
      <c r="F108" s="3">
        <f>IF(B108="","",SUMIFS('inventory ledger'!$H:$H,'inventory ledger'!$C:$C,C108,'inventory ledger'!$D:$D,D108,'inventory ledger'!$E:$E,E108,'inventory ledger'!$A:$A,"&lt;="&amp;B108+TIME(23,59,59))-SUMIFS('inventory ledger'!$I:$I,'inventory ledger'!$C:$C,C108,'inventory ledger'!$D:$D,D108,'inventory ledger'!$E:$E,E108,'inventory ledger'!$A:$A,"&lt;="&amp;B108+TIME(23,59,59)))</f>
        <v>0</v>
      </c>
      <c r="G108" s="3">
        <f>IFERROR(__xludf.DUMMYFUNCTION("IF(F108&lt;=0,0,IFERROR(ROUNDUP(F108/INDEX(FILTER('warehouse config'!$D:$D,('warehouse config'!$B:$B=C108)*('warehouse config'!$C:$C=D108)*('warehouse config'!$G:$G&lt;=B108)*(('warehouse config'!$H:$H&gt;=B108)+ISBLANK('warehouse config'!$H:$H))),1)),0))"),0.0)</f>
        <v>0</v>
      </c>
      <c r="H108" s="3">
        <f>IFERROR(__xludf.DUMMYFUNCTION("IFERROR(INDEX(FILTER('cost master'!$E:$E,('cost master'!$B:$B=C108)*('cost master'!$D:$D=""Storage cost per pallet / week"")*('cost master'!$G:$G&lt;=B108)*(('cost master'!$H:$H&gt;=B108)+ISBLANK('cost master'!$H:$H))),1),0)"),3.9)</f>
        <v>3.9</v>
      </c>
      <c r="I108" s="3">
        <f t="shared" si="4"/>
        <v>0</v>
      </c>
      <c r="J108" s="27">
        <f t="shared" si="5"/>
        <v>45673</v>
      </c>
      <c r="K108" s="27">
        <f t="shared" si="6"/>
        <v>45703</v>
      </c>
    </row>
    <row r="109" hidden="1">
      <c r="A109" s="3" t="str">
        <f t="shared" si="3"/>
        <v>SL-20250127-FMC-CS 008-9</v>
      </c>
      <c r="B109" s="2">
        <f t="array" ref="B109">INDEX(helper!$A$3:$A3996,ROUNDUP((ROW()-1)/COUNTA(helper!$D$3:$D3996),0))</f>
        <v>45684</v>
      </c>
      <c r="C109" s="5" t="str">
        <f t="array" ref="C109">IF(B109="","",INDEX(helper!$D$3:$D3996,MOD(ROW()-2,COUNTA(helper!$D$3:$D3996))+1))</f>
        <v>FMC</v>
      </c>
      <c r="D109" s="3" t="str">
        <f t="array" ref="D109">IF(B109="","",INDEX(helper!$E$3:$E3996,MOD(ROW()-2,COUNTA(helper!$D$3:$D3996))+1))</f>
        <v>CS 008</v>
      </c>
      <c r="E109" s="3">
        <f t="array" ref="E109">IF(B109="","",INDEX(helper!$F$3:$F3996,MOD(ROW()-2,COUNTA(helper!$D$3:$D3996))+1))</f>
        <v>9</v>
      </c>
      <c r="F109" s="3">
        <f>IF(B109="","",SUMIFS('inventory ledger'!$H:$H,'inventory ledger'!$C:$C,C109,'inventory ledger'!$D:$D,D109,'inventory ledger'!$E:$E,E109,'inventory ledger'!$A:$A,"&lt;="&amp;B109+TIME(23,59,59))-SUMIFS('inventory ledger'!$I:$I,'inventory ledger'!$C:$C,C109,'inventory ledger'!$D:$D,D109,'inventory ledger'!$E:$E,E109,'inventory ledger'!$A:$A,"&lt;="&amp;B109+TIME(23,59,59)))</f>
        <v>14</v>
      </c>
      <c r="G109" s="3">
        <f>IFERROR(__xludf.DUMMYFUNCTION("IF(F109&lt;=0,0,IFERROR(ROUNDUP(F109/INDEX(FILTER('warehouse config'!$D:$D,('warehouse config'!$B:$B=C109)*('warehouse config'!$C:$C=D109)*('warehouse config'!$G:$G&lt;=B109)*(('warehouse config'!$H:$H&gt;=B109)+ISBLANK('warehouse config'!$H:$H))),1)),0))"),1.0)</f>
        <v>1</v>
      </c>
      <c r="H109" s="3">
        <f>IFERROR(__xludf.DUMMYFUNCTION("IFERROR(INDEX(FILTER('cost master'!$E:$E,('cost master'!$B:$B=C109)*('cost master'!$D:$D=""Storage cost per pallet / week"")*('cost master'!$G:$G&lt;=B109)*(('cost master'!$H:$H&gt;=B109)+ISBLANK('cost master'!$H:$H))),1),0)"),3.9)</f>
        <v>3.9</v>
      </c>
      <c r="I109" s="3">
        <f t="shared" si="4"/>
        <v>3.9</v>
      </c>
      <c r="J109" s="27">
        <f t="shared" si="5"/>
        <v>45673</v>
      </c>
      <c r="K109" s="27">
        <f t="shared" si="6"/>
        <v>45703</v>
      </c>
    </row>
    <row r="110" hidden="1">
      <c r="A110" s="3" t="str">
        <f t="shared" si="3"/>
        <v>SL-20250127-FMC-CS 009-9</v>
      </c>
      <c r="B110" s="2">
        <f t="array" ref="B110">INDEX(helper!$A$3:$A3996,ROUNDUP((ROW()-1)/COUNTA(helper!$D$3:$D3996),0))</f>
        <v>45684</v>
      </c>
      <c r="C110" s="5" t="str">
        <f t="array" ref="C110">IF(B110="","",INDEX(helper!$D$3:$D3996,MOD(ROW()-2,COUNTA(helper!$D$3:$D3996))+1))</f>
        <v>FMC</v>
      </c>
      <c r="D110" s="3" t="str">
        <f t="array" ref="D110">IF(B110="","",INDEX(helper!$E$3:$E3996,MOD(ROW()-2,COUNTA(helper!$D$3:$D3996))+1))</f>
        <v>CS 009</v>
      </c>
      <c r="E110" s="3">
        <f t="array" ref="E110">IF(B110="","",INDEX(helper!$F$3:$F3996,MOD(ROW()-2,COUNTA(helper!$D$3:$D3996))+1))</f>
        <v>9</v>
      </c>
      <c r="F110" s="3">
        <f>IF(B110="","",SUMIFS('inventory ledger'!$H:$H,'inventory ledger'!$C:$C,C110,'inventory ledger'!$D:$D,D110,'inventory ledger'!$E:$E,E110,'inventory ledger'!$A:$A,"&lt;="&amp;B110+TIME(23,59,59))-SUMIFS('inventory ledger'!$I:$I,'inventory ledger'!$C:$C,C110,'inventory ledger'!$D:$D,D110,'inventory ledger'!$E:$E,E110,'inventory ledger'!$A:$A,"&lt;="&amp;B110+TIME(23,59,59)))</f>
        <v>0</v>
      </c>
      <c r="G110" s="3">
        <f>IFERROR(__xludf.DUMMYFUNCTION("IF(F110&lt;=0,0,IFERROR(ROUNDUP(F110/INDEX(FILTER('warehouse config'!$D:$D,('warehouse config'!$B:$B=C110)*('warehouse config'!$C:$C=D110)*('warehouse config'!$G:$G&lt;=B110)*(('warehouse config'!$H:$H&gt;=B110)+ISBLANK('warehouse config'!$H:$H))),1)),0))"),0.0)</f>
        <v>0</v>
      </c>
      <c r="H110" s="3">
        <f>IFERROR(__xludf.DUMMYFUNCTION("IFERROR(INDEX(FILTER('cost master'!$E:$E,('cost master'!$B:$B=C110)*('cost master'!$D:$D=""Storage cost per pallet / week"")*('cost master'!$G:$G&lt;=B110)*(('cost master'!$H:$H&gt;=B110)+ISBLANK('cost master'!$H:$H))),1),0)"),3.9)</f>
        <v>3.9</v>
      </c>
      <c r="I110" s="3">
        <f t="shared" si="4"/>
        <v>0</v>
      </c>
      <c r="J110" s="27">
        <f t="shared" si="5"/>
        <v>45673</v>
      </c>
      <c r="K110" s="27">
        <f t="shared" si="6"/>
        <v>45703</v>
      </c>
    </row>
    <row r="111" hidden="1">
      <c r="A111" s="3" t="str">
        <f t="shared" si="3"/>
        <v>SL-20250127-FMC-CS 010-9</v>
      </c>
      <c r="B111" s="2">
        <f t="array" ref="B111">INDEX(helper!$A$3:$A3996,ROUNDUP((ROW()-1)/COUNTA(helper!$D$3:$D3996),0))</f>
        <v>45684</v>
      </c>
      <c r="C111" s="5" t="str">
        <f t="array" ref="C111">IF(B111="","",INDEX(helper!$D$3:$D3996,MOD(ROW()-2,COUNTA(helper!$D$3:$D3996))+1))</f>
        <v>FMC</v>
      </c>
      <c r="D111" s="3" t="str">
        <f t="array" ref="D111">IF(B111="","",INDEX(helper!$E$3:$E3996,MOD(ROW()-2,COUNTA(helper!$D$3:$D3996))+1))</f>
        <v>CS 010</v>
      </c>
      <c r="E111" s="3">
        <f t="array" ref="E111">IF(B111="","",INDEX(helper!$F$3:$F3996,MOD(ROW()-2,COUNTA(helper!$D$3:$D3996))+1))</f>
        <v>9</v>
      </c>
      <c r="F111" s="3">
        <f>IF(B111="","",SUMIFS('inventory ledger'!$H:$H,'inventory ledger'!$C:$C,C111,'inventory ledger'!$D:$D,D111,'inventory ledger'!$E:$E,E111,'inventory ledger'!$A:$A,"&lt;="&amp;B111+TIME(23,59,59))-SUMIFS('inventory ledger'!$I:$I,'inventory ledger'!$C:$C,C111,'inventory ledger'!$D:$D,D111,'inventory ledger'!$E:$E,E111,'inventory ledger'!$A:$A,"&lt;="&amp;B111+TIME(23,59,59)))</f>
        <v>0</v>
      </c>
      <c r="G111" s="3">
        <f>IFERROR(__xludf.DUMMYFUNCTION("IF(F111&lt;=0,0,IFERROR(ROUNDUP(F111/INDEX(FILTER('warehouse config'!$D:$D,('warehouse config'!$B:$B=C111)*('warehouse config'!$C:$C=D111)*('warehouse config'!$G:$G&lt;=B111)*(('warehouse config'!$H:$H&gt;=B111)+ISBLANK('warehouse config'!$H:$H))),1)),0))"),0.0)</f>
        <v>0</v>
      </c>
      <c r="H111" s="3">
        <f>IFERROR(__xludf.DUMMYFUNCTION("IFERROR(INDEX(FILTER('cost master'!$E:$E,('cost master'!$B:$B=C111)*('cost master'!$D:$D=""Storage cost per pallet / week"")*('cost master'!$G:$G&lt;=B111)*(('cost master'!$H:$H&gt;=B111)+ISBLANK('cost master'!$H:$H))),1),0)"),3.9)</f>
        <v>3.9</v>
      </c>
      <c r="I111" s="3">
        <f t="shared" si="4"/>
        <v>0</v>
      </c>
      <c r="J111" s="27">
        <f t="shared" si="5"/>
        <v>45673</v>
      </c>
      <c r="K111" s="27">
        <f t="shared" si="6"/>
        <v>45703</v>
      </c>
    </row>
    <row r="112" hidden="1">
      <c r="A112" s="3" t="str">
        <f t="shared" si="3"/>
        <v>SL-20250127-FMC-CS-CDS-001-9</v>
      </c>
      <c r="B112" s="2">
        <f t="array" ref="B112">INDEX(helper!$A$3:$A3996,ROUNDUP((ROW()-1)/COUNTA(helper!$D$3:$D3996),0))</f>
        <v>45684</v>
      </c>
      <c r="C112" s="5" t="str">
        <f t="array" ref="C112">IF(B112="","",INDEX(helper!$D$3:$D3996,MOD(ROW()-2,COUNTA(helper!$D$3:$D3996))+1))</f>
        <v>FMC</v>
      </c>
      <c r="D112" s="3" t="str">
        <f t="array" ref="D112">IF(B112="","",INDEX(helper!$E$3:$E3996,MOD(ROW()-2,COUNTA(helper!$D$3:$D3996))+1))</f>
        <v>CS-CDS-001</v>
      </c>
      <c r="E112" s="3">
        <f t="array" ref="E112">IF(B112="","",INDEX(helper!$F$3:$F3996,MOD(ROW()-2,COUNTA(helper!$D$3:$D3996))+1))</f>
        <v>9</v>
      </c>
      <c r="F112" s="3">
        <f>IF(B112="","",SUMIFS('inventory ledger'!$H:$H,'inventory ledger'!$C:$C,C112,'inventory ledger'!$D:$D,D112,'inventory ledger'!$E:$E,E112,'inventory ledger'!$A:$A,"&lt;="&amp;B112+TIME(23,59,59))-SUMIFS('inventory ledger'!$I:$I,'inventory ledger'!$C:$C,C112,'inventory ledger'!$D:$D,D112,'inventory ledger'!$E:$E,E112,'inventory ledger'!$A:$A,"&lt;="&amp;B112+TIME(23,59,59)))</f>
        <v>0</v>
      </c>
      <c r="G112" s="3">
        <f>IFERROR(__xludf.DUMMYFUNCTION("IF(F112&lt;=0,0,IFERROR(ROUNDUP(F112/INDEX(FILTER('warehouse config'!$D:$D,('warehouse config'!$B:$B=C112)*('warehouse config'!$C:$C=D112)*('warehouse config'!$G:$G&lt;=B112)*(('warehouse config'!$H:$H&gt;=B112)+ISBLANK('warehouse config'!$H:$H))),1)),0))"),0.0)</f>
        <v>0</v>
      </c>
      <c r="H112" s="3">
        <f>IFERROR(__xludf.DUMMYFUNCTION("IFERROR(INDEX(FILTER('cost master'!$E:$E,('cost master'!$B:$B=C112)*('cost master'!$D:$D=""Storage cost per pallet / week"")*('cost master'!$G:$G&lt;=B112)*(('cost master'!$H:$H&gt;=B112)+ISBLANK('cost master'!$H:$H))),1),0)"),3.9)</f>
        <v>3.9</v>
      </c>
      <c r="I112" s="3">
        <f t="shared" si="4"/>
        <v>0</v>
      </c>
      <c r="J112" s="27">
        <f t="shared" si="5"/>
        <v>45673</v>
      </c>
      <c r="K112" s="27">
        <f t="shared" si="6"/>
        <v>45703</v>
      </c>
    </row>
    <row r="113" hidden="1">
      <c r="A113" s="3" t="str">
        <f t="shared" si="3"/>
        <v>SL-20250127-FMC-CS-CDS-002-9</v>
      </c>
      <c r="B113" s="2">
        <f t="array" ref="B113">INDEX(helper!$A$3:$A3996,ROUNDUP((ROW()-1)/COUNTA(helper!$D$3:$D3996),0))</f>
        <v>45684</v>
      </c>
      <c r="C113" s="5" t="str">
        <f t="array" ref="C113">IF(B113="","",INDEX(helper!$D$3:$D3996,MOD(ROW()-2,COUNTA(helper!$D$3:$D3996))+1))</f>
        <v>FMC</v>
      </c>
      <c r="D113" s="3" t="str">
        <f t="array" ref="D113">IF(B113="","",INDEX(helper!$E$3:$E3996,MOD(ROW()-2,COUNTA(helper!$D$3:$D3996))+1))</f>
        <v>CS-CDS-002</v>
      </c>
      <c r="E113" s="3">
        <f t="array" ref="E113">IF(B113="","",INDEX(helper!$F$3:$F3996,MOD(ROW()-2,COUNTA(helper!$D$3:$D3996))+1))</f>
        <v>9</v>
      </c>
      <c r="F113" s="3">
        <f>IF(B113="","",SUMIFS('inventory ledger'!$H:$H,'inventory ledger'!$C:$C,C113,'inventory ledger'!$D:$D,D113,'inventory ledger'!$E:$E,E113,'inventory ledger'!$A:$A,"&lt;="&amp;B113+TIME(23,59,59))-SUMIFS('inventory ledger'!$I:$I,'inventory ledger'!$C:$C,C113,'inventory ledger'!$D:$D,D113,'inventory ledger'!$E:$E,E113,'inventory ledger'!$A:$A,"&lt;="&amp;B113+TIME(23,59,59)))</f>
        <v>0</v>
      </c>
      <c r="G113" s="3">
        <f>IFERROR(__xludf.DUMMYFUNCTION("IF(F113&lt;=0,0,IFERROR(ROUNDUP(F113/INDEX(FILTER('warehouse config'!$D:$D,('warehouse config'!$B:$B=C113)*('warehouse config'!$C:$C=D113)*('warehouse config'!$G:$G&lt;=B113)*(('warehouse config'!$H:$H&gt;=B113)+ISBLANK('warehouse config'!$H:$H))),1)),0))"),0.0)</f>
        <v>0</v>
      </c>
      <c r="H113" s="3">
        <f>IFERROR(__xludf.DUMMYFUNCTION("IFERROR(INDEX(FILTER('cost master'!$E:$E,('cost master'!$B:$B=C113)*('cost master'!$D:$D=""Storage cost per pallet / week"")*('cost master'!$G:$G&lt;=B113)*(('cost master'!$H:$H&gt;=B113)+ISBLANK('cost master'!$H:$H))),1),0)"),3.9)</f>
        <v>3.9</v>
      </c>
      <c r="I113" s="3">
        <f t="shared" si="4"/>
        <v>0</v>
      </c>
      <c r="J113" s="27">
        <f t="shared" si="5"/>
        <v>45673</v>
      </c>
      <c r="K113" s="27">
        <f t="shared" si="6"/>
        <v>45703</v>
      </c>
    </row>
    <row r="114" hidden="1">
      <c r="A114" s="3" t="str">
        <f t="shared" si="3"/>
        <v>SL-20250127-FMC-CS 007-10</v>
      </c>
      <c r="B114" s="2">
        <f t="array" ref="B114">INDEX(helper!$A$3:$A3996,ROUNDUP((ROW()-1)/COUNTA(helper!$D$3:$D3996),0))</f>
        <v>45684</v>
      </c>
      <c r="C114" s="5" t="str">
        <f t="array" ref="C114">IF(B114="","",INDEX(helper!$D$3:$D3996,MOD(ROW()-2,COUNTA(helper!$D$3:$D3996))+1))</f>
        <v>FMC</v>
      </c>
      <c r="D114" s="3" t="str">
        <f t="array" ref="D114">IF(B114="","",INDEX(helper!$E$3:$E3996,MOD(ROW()-2,COUNTA(helper!$D$3:$D3996))+1))</f>
        <v>CS 007</v>
      </c>
      <c r="E114" s="3">
        <f t="array" ref="E114">IF(B114="","",INDEX(helper!$F$3:$F3996,MOD(ROW()-2,COUNTA(helper!$D$3:$D3996))+1))</f>
        <v>10</v>
      </c>
      <c r="F114" s="3">
        <f>IF(B114="","",SUMIFS('inventory ledger'!$H:$H,'inventory ledger'!$C:$C,C114,'inventory ledger'!$D:$D,D114,'inventory ledger'!$E:$E,E114,'inventory ledger'!$A:$A,"&lt;="&amp;B114+TIME(23,59,59))-SUMIFS('inventory ledger'!$I:$I,'inventory ledger'!$C:$C,C114,'inventory ledger'!$D:$D,D114,'inventory ledger'!$E:$E,E114,'inventory ledger'!$A:$A,"&lt;="&amp;B114+TIME(23,59,59)))</f>
        <v>0</v>
      </c>
      <c r="G114" s="3">
        <f>IFERROR(__xludf.DUMMYFUNCTION("IF(F114&lt;=0,0,IFERROR(ROUNDUP(F114/INDEX(FILTER('warehouse config'!$D:$D,('warehouse config'!$B:$B=C114)*('warehouse config'!$C:$C=D114)*('warehouse config'!$G:$G&lt;=B114)*(('warehouse config'!$H:$H&gt;=B114)+ISBLANK('warehouse config'!$H:$H))),1)),0))"),0.0)</f>
        <v>0</v>
      </c>
      <c r="H114" s="3">
        <f>IFERROR(__xludf.DUMMYFUNCTION("IFERROR(INDEX(FILTER('cost master'!$E:$E,('cost master'!$B:$B=C114)*('cost master'!$D:$D=""Storage cost per pallet / week"")*('cost master'!$G:$G&lt;=B114)*(('cost master'!$H:$H&gt;=B114)+ISBLANK('cost master'!$H:$H))),1),0)"),3.9)</f>
        <v>3.9</v>
      </c>
      <c r="I114" s="3">
        <f t="shared" si="4"/>
        <v>0</v>
      </c>
      <c r="J114" s="27">
        <f t="shared" si="5"/>
        <v>45673</v>
      </c>
      <c r="K114" s="27">
        <f t="shared" si="6"/>
        <v>45703</v>
      </c>
    </row>
    <row r="115" hidden="1">
      <c r="A115" s="3" t="str">
        <f t="shared" si="3"/>
        <v>SL-20250127-FMC-CS 009-10</v>
      </c>
      <c r="B115" s="2">
        <f t="array" ref="B115">INDEX(helper!$A$3:$A3996,ROUNDUP((ROW()-1)/COUNTA(helper!$D$3:$D3996),0))</f>
        <v>45684</v>
      </c>
      <c r="C115" s="5" t="str">
        <f t="array" ref="C115">IF(B115="","",INDEX(helper!$D$3:$D3996,MOD(ROW()-2,COUNTA(helper!$D$3:$D3996))+1))</f>
        <v>FMC</v>
      </c>
      <c r="D115" s="3" t="str">
        <f t="array" ref="D115">IF(B115="","",INDEX(helper!$E$3:$E3996,MOD(ROW()-2,COUNTA(helper!$D$3:$D3996))+1))</f>
        <v>CS 009</v>
      </c>
      <c r="E115" s="3">
        <f t="array" ref="E115">IF(B115="","",INDEX(helper!$F$3:$F3996,MOD(ROW()-2,COUNTA(helper!$D$3:$D3996))+1))</f>
        <v>10</v>
      </c>
      <c r="F115" s="3">
        <f>IF(B115="","",SUMIFS('inventory ledger'!$H:$H,'inventory ledger'!$C:$C,C115,'inventory ledger'!$D:$D,D115,'inventory ledger'!$E:$E,E115,'inventory ledger'!$A:$A,"&lt;="&amp;B115+TIME(23,59,59))-SUMIFS('inventory ledger'!$I:$I,'inventory ledger'!$C:$C,C115,'inventory ledger'!$D:$D,D115,'inventory ledger'!$E:$E,E115,'inventory ledger'!$A:$A,"&lt;="&amp;B115+TIME(23,59,59)))</f>
        <v>0</v>
      </c>
      <c r="G115" s="3">
        <f>IFERROR(__xludf.DUMMYFUNCTION("IF(F115&lt;=0,0,IFERROR(ROUNDUP(F115/INDEX(FILTER('warehouse config'!$D:$D,('warehouse config'!$B:$B=C115)*('warehouse config'!$C:$C=D115)*('warehouse config'!$G:$G&lt;=B115)*(('warehouse config'!$H:$H&gt;=B115)+ISBLANK('warehouse config'!$H:$H))),1)),0))"),0.0)</f>
        <v>0</v>
      </c>
      <c r="H115" s="3">
        <f>IFERROR(__xludf.DUMMYFUNCTION("IFERROR(INDEX(FILTER('cost master'!$E:$E,('cost master'!$B:$B=C115)*('cost master'!$D:$D=""Storage cost per pallet / week"")*('cost master'!$G:$G&lt;=B115)*(('cost master'!$H:$H&gt;=B115)+ISBLANK('cost master'!$H:$H))),1),0)"),3.9)</f>
        <v>3.9</v>
      </c>
      <c r="I115" s="3">
        <f t="shared" si="4"/>
        <v>0</v>
      </c>
      <c r="J115" s="27">
        <f t="shared" si="5"/>
        <v>45673</v>
      </c>
      <c r="K115" s="27">
        <f t="shared" si="6"/>
        <v>45703</v>
      </c>
    </row>
    <row r="116" hidden="1">
      <c r="A116" s="3" t="str">
        <f t="shared" si="3"/>
        <v>SL-20250127-FMC-CS 010-10</v>
      </c>
      <c r="B116" s="2">
        <f t="array" ref="B116">INDEX(helper!$A$3:$A3996,ROUNDUP((ROW()-1)/COUNTA(helper!$D$3:$D3996),0))</f>
        <v>45684</v>
      </c>
      <c r="C116" s="5" t="str">
        <f t="array" ref="C116">IF(B116="","",INDEX(helper!$D$3:$D3996,MOD(ROW()-2,COUNTA(helper!$D$3:$D3996))+1))</f>
        <v>FMC</v>
      </c>
      <c r="D116" s="3" t="str">
        <f t="array" ref="D116">IF(B116="","",INDEX(helper!$E$3:$E3996,MOD(ROW()-2,COUNTA(helper!$D$3:$D3996))+1))</f>
        <v>CS 010</v>
      </c>
      <c r="E116" s="3">
        <f t="array" ref="E116">IF(B116="","",INDEX(helper!$F$3:$F3996,MOD(ROW()-2,COUNTA(helper!$D$3:$D3996))+1))</f>
        <v>10</v>
      </c>
      <c r="F116" s="3">
        <f>IF(B116="","",SUMIFS('inventory ledger'!$H:$H,'inventory ledger'!$C:$C,C116,'inventory ledger'!$D:$D,D116,'inventory ledger'!$E:$E,E116,'inventory ledger'!$A:$A,"&lt;="&amp;B116+TIME(23,59,59))-SUMIFS('inventory ledger'!$I:$I,'inventory ledger'!$C:$C,C116,'inventory ledger'!$D:$D,D116,'inventory ledger'!$E:$E,E116,'inventory ledger'!$A:$A,"&lt;="&amp;B116+TIME(23,59,59)))</f>
        <v>26</v>
      </c>
      <c r="G116" s="3">
        <f>IFERROR(__xludf.DUMMYFUNCTION("IF(F116&lt;=0,0,IFERROR(ROUNDUP(F116/INDEX(FILTER('warehouse config'!$D:$D,('warehouse config'!$B:$B=C116)*('warehouse config'!$C:$C=D116)*('warehouse config'!$G:$G&lt;=B116)*(('warehouse config'!$H:$H&gt;=B116)+ISBLANK('warehouse config'!$H:$H))),1)),0))"),1.0)</f>
        <v>1</v>
      </c>
      <c r="H116" s="3">
        <f>IFERROR(__xludf.DUMMYFUNCTION("IFERROR(INDEX(FILTER('cost master'!$E:$E,('cost master'!$B:$B=C116)*('cost master'!$D:$D=""Storage cost per pallet / week"")*('cost master'!$G:$G&lt;=B116)*(('cost master'!$H:$H&gt;=B116)+ISBLANK('cost master'!$H:$H))),1),0)"),3.9)</f>
        <v>3.9</v>
      </c>
      <c r="I116" s="3">
        <f t="shared" si="4"/>
        <v>3.9</v>
      </c>
      <c r="J116" s="27">
        <f t="shared" si="5"/>
        <v>45673</v>
      </c>
      <c r="K116" s="27">
        <f t="shared" si="6"/>
        <v>45703</v>
      </c>
    </row>
    <row r="117" hidden="1">
      <c r="A117" s="3" t="str">
        <f t="shared" si="3"/>
        <v>SL-20250127-FMC-CS-CDS-001-10</v>
      </c>
      <c r="B117" s="2">
        <f t="array" ref="B117">INDEX(helper!$A$3:$A3996,ROUNDUP((ROW()-1)/COUNTA(helper!$D$3:$D3996),0))</f>
        <v>45684</v>
      </c>
      <c r="C117" s="5" t="str">
        <f t="array" ref="C117">IF(B117="","",INDEX(helper!$D$3:$D3996,MOD(ROW()-2,COUNTA(helper!$D$3:$D3996))+1))</f>
        <v>FMC</v>
      </c>
      <c r="D117" s="3" t="str">
        <f t="array" ref="D117">IF(B117="","",INDEX(helper!$E$3:$E3996,MOD(ROW()-2,COUNTA(helper!$D$3:$D3996))+1))</f>
        <v>CS-CDS-001</v>
      </c>
      <c r="E117" s="3">
        <f t="array" ref="E117">IF(B117="","",INDEX(helper!$F$3:$F3996,MOD(ROW()-2,COUNTA(helper!$D$3:$D3996))+1))</f>
        <v>10</v>
      </c>
      <c r="F117" s="3">
        <f>IF(B117="","",SUMIFS('inventory ledger'!$H:$H,'inventory ledger'!$C:$C,C117,'inventory ledger'!$D:$D,D117,'inventory ledger'!$E:$E,E117,'inventory ledger'!$A:$A,"&lt;="&amp;B117+TIME(23,59,59))-SUMIFS('inventory ledger'!$I:$I,'inventory ledger'!$C:$C,C117,'inventory ledger'!$D:$D,D117,'inventory ledger'!$E:$E,E117,'inventory ledger'!$A:$A,"&lt;="&amp;B117+TIME(23,59,59)))</f>
        <v>0</v>
      </c>
      <c r="G117" s="3">
        <f>IFERROR(__xludf.DUMMYFUNCTION("IF(F117&lt;=0,0,IFERROR(ROUNDUP(F117/INDEX(FILTER('warehouse config'!$D:$D,('warehouse config'!$B:$B=C117)*('warehouse config'!$C:$C=D117)*('warehouse config'!$G:$G&lt;=B117)*(('warehouse config'!$H:$H&gt;=B117)+ISBLANK('warehouse config'!$H:$H))),1)),0))"),0.0)</f>
        <v>0</v>
      </c>
      <c r="H117" s="3">
        <f>IFERROR(__xludf.DUMMYFUNCTION("IFERROR(INDEX(FILTER('cost master'!$E:$E,('cost master'!$B:$B=C117)*('cost master'!$D:$D=""Storage cost per pallet / week"")*('cost master'!$G:$G&lt;=B117)*(('cost master'!$H:$H&gt;=B117)+ISBLANK('cost master'!$H:$H))),1),0)"),3.9)</f>
        <v>3.9</v>
      </c>
      <c r="I117" s="3">
        <f t="shared" si="4"/>
        <v>0</v>
      </c>
      <c r="J117" s="27">
        <f t="shared" si="5"/>
        <v>45673</v>
      </c>
      <c r="K117" s="27">
        <f t="shared" si="6"/>
        <v>45703</v>
      </c>
    </row>
    <row r="118" hidden="1">
      <c r="A118" s="3" t="str">
        <f t="shared" si="3"/>
        <v>SL-20250127-FMC-CS 007-11</v>
      </c>
      <c r="B118" s="2">
        <f t="array" ref="B118">INDEX(helper!$A$3:$A3996,ROUNDUP((ROW()-1)/COUNTA(helper!$D$3:$D3996),0))</f>
        <v>45684</v>
      </c>
      <c r="C118" s="5" t="str">
        <f t="array" ref="C118">IF(B118="","",INDEX(helper!$D$3:$D3996,MOD(ROW()-2,COUNTA(helper!$D$3:$D3996))+1))</f>
        <v>FMC</v>
      </c>
      <c r="D118" s="3" t="str">
        <f t="array" ref="D118">IF(B118="","",INDEX(helper!$E$3:$E3996,MOD(ROW()-2,COUNTA(helper!$D$3:$D3996))+1))</f>
        <v>CS 007</v>
      </c>
      <c r="E118" s="3">
        <f t="array" ref="E118">IF(B118="","",INDEX(helper!$F$3:$F3996,MOD(ROW()-2,COUNTA(helper!$D$3:$D3996))+1))</f>
        <v>11</v>
      </c>
      <c r="F118" s="3">
        <f>IF(B118="","",SUMIFS('inventory ledger'!$H:$H,'inventory ledger'!$C:$C,C118,'inventory ledger'!$D:$D,D118,'inventory ledger'!$E:$E,E118,'inventory ledger'!$A:$A,"&lt;="&amp;B118+TIME(23,59,59))-SUMIFS('inventory ledger'!$I:$I,'inventory ledger'!$C:$C,C118,'inventory ledger'!$D:$D,D118,'inventory ledger'!$E:$E,E118,'inventory ledger'!$A:$A,"&lt;="&amp;B118+TIME(23,59,59)))</f>
        <v>54</v>
      </c>
      <c r="G118" s="3">
        <f>IFERROR(__xludf.DUMMYFUNCTION("IF(F118&lt;=0,0,IFERROR(ROUNDUP(F118/INDEX(FILTER('warehouse config'!$D:$D,('warehouse config'!$B:$B=C118)*('warehouse config'!$C:$C=D118)*('warehouse config'!$G:$G&lt;=B118)*(('warehouse config'!$H:$H&gt;=B118)+ISBLANK('warehouse config'!$H:$H))),1)),0))"),4.0)</f>
        <v>4</v>
      </c>
      <c r="H118" s="3">
        <f>IFERROR(__xludf.DUMMYFUNCTION("IFERROR(INDEX(FILTER('cost master'!$E:$E,('cost master'!$B:$B=C118)*('cost master'!$D:$D=""Storage cost per pallet / week"")*('cost master'!$G:$G&lt;=B118)*(('cost master'!$H:$H&gt;=B118)+ISBLANK('cost master'!$H:$H))),1),0)"),3.9)</f>
        <v>3.9</v>
      </c>
      <c r="I118" s="3">
        <f t="shared" si="4"/>
        <v>15.6</v>
      </c>
      <c r="J118" s="27">
        <f t="shared" si="5"/>
        <v>45673</v>
      </c>
      <c r="K118" s="27">
        <f t="shared" si="6"/>
        <v>45703</v>
      </c>
    </row>
    <row r="119" hidden="1">
      <c r="A119" s="3" t="str">
        <f t="shared" si="3"/>
        <v>SL-20250127-FMC-CS 009-11</v>
      </c>
      <c r="B119" s="2">
        <f t="array" ref="B119">INDEX(helper!$A$3:$A3996,ROUNDUP((ROW()-1)/COUNTA(helper!$D$3:$D3996),0))</f>
        <v>45684</v>
      </c>
      <c r="C119" s="5" t="str">
        <f t="array" ref="C119">IF(B119="","",INDEX(helper!$D$3:$D3996,MOD(ROW()-2,COUNTA(helper!$D$3:$D3996))+1))</f>
        <v>FMC</v>
      </c>
      <c r="D119" s="3" t="str">
        <f t="array" ref="D119">IF(B119="","",INDEX(helper!$E$3:$E3996,MOD(ROW()-2,COUNTA(helper!$D$3:$D3996))+1))</f>
        <v>CS 009</v>
      </c>
      <c r="E119" s="3">
        <f t="array" ref="E119">IF(B119="","",INDEX(helper!$F$3:$F3996,MOD(ROW()-2,COUNTA(helper!$D$3:$D3996))+1))</f>
        <v>11</v>
      </c>
      <c r="F119" s="3">
        <f>IF(B119="","",SUMIFS('inventory ledger'!$H:$H,'inventory ledger'!$C:$C,C119,'inventory ledger'!$D:$D,D119,'inventory ledger'!$E:$E,E119,'inventory ledger'!$A:$A,"&lt;="&amp;B119+TIME(23,59,59))-SUMIFS('inventory ledger'!$I:$I,'inventory ledger'!$C:$C,C119,'inventory ledger'!$D:$D,D119,'inventory ledger'!$E:$E,E119,'inventory ledger'!$A:$A,"&lt;="&amp;B119+TIME(23,59,59)))</f>
        <v>0</v>
      </c>
      <c r="G119" s="3">
        <f>IFERROR(__xludf.DUMMYFUNCTION("IF(F119&lt;=0,0,IFERROR(ROUNDUP(F119/INDEX(FILTER('warehouse config'!$D:$D,('warehouse config'!$B:$B=C119)*('warehouse config'!$C:$C=D119)*('warehouse config'!$G:$G&lt;=B119)*(('warehouse config'!$H:$H&gt;=B119)+ISBLANK('warehouse config'!$H:$H))),1)),0))"),0.0)</f>
        <v>0</v>
      </c>
      <c r="H119" s="3">
        <f>IFERROR(__xludf.DUMMYFUNCTION("IFERROR(INDEX(FILTER('cost master'!$E:$E,('cost master'!$B:$B=C119)*('cost master'!$D:$D=""Storage cost per pallet / week"")*('cost master'!$G:$G&lt;=B119)*(('cost master'!$H:$H&gt;=B119)+ISBLANK('cost master'!$H:$H))),1),0)"),3.9)</f>
        <v>3.9</v>
      </c>
      <c r="I119" s="3">
        <f t="shared" si="4"/>
        <v>0</v>
      </c>
      <c r="J119" s="27">
        <f t="shared" si="5"/>
        <v>45673</v>
      </c>
      <c r="K119" s="27">
        <f t="shared" si="6"/>
        <v>45703</v>
      </c>
    </row>
    <row r="120" hidden="1">
      <c r="A120" s="3" t="str">
        <f t="shared" si="3"/>
        <v>SL-20250127-FMC-CS 010-11</v>
      </c>
      <c r="B120" s="2">
        <f t="array" ref="B120">INDEX(helper!$A$3:$A3996,ROUNDUP((ROW()-1)/COUNTA(helper!$D$3:$D3996),0))</f>
        <v>45684</v>
      </c>
      <c r="C120" s="5" t="str">
        <f t="array" ref="C120">IF(B120="","",INDEX(helper!$D$3:$D3996,MOD(ROW()-2,COUNTA(helper!$D$3:$D3996))+1))</f>
        <v>FMC</v>
      </c>
      <c r="D120" s="3" t="str">
        <f t="array" ref="D120">IF(B120="","",INDEX(helper!$E$3:$E3996,MOD(ROW()-2,COUNTA(helper!$D$3:$D3996))+1))</f>
        <v>CS 010</v>
      </c>
      <c r="E120" s="3">
        <f t="array" ref="E120">IF(B120="","",INDEX(helper!$F$3:$F3996,MOD(ROW()-2,COUNTA(helper!$D$3:$D3996))+1))</f>
        <v>11</v>
      </c>
      <c r="F120" s="3">
        <f>IF(B120="","",SUMIFS('inventory ledger'!$H:$H,'inventory ledger'!$C:$C,C120,'inventory ledger'!$D:$D,D120,'inventory ledger'!$E:$E,E120,'inventory ledger'!$A:$A,"&lt;="&amp;B120+TIME(23,59,59))-SUMIFS('inventory ledger'!$I:$I,'inventory ledger'!$C:$C,C120,'inventory ledger'!$D:$D,D120,'inventory ledger'!$E:$E,E120,'inventory ledger'!$A:$A,"&lt;="&amp;B120+TIME(23,59,59)))</f>
        <v>46</v>
      </c>
      <c r="G120" s="3">
        <f>IFERROR(__xludf.DUMMYFUNCTION("IF(F120&lt;=0,0,IFERROR(ROUNDUP(F120/INDEX(FILTER('warehouse config'!$D:$D,('warehouse config'!$B:$B=C120)*('warehouse config'!$C:$C=D120)*('warehouse config'!$G:$G&lt;=B120)*(('warehouse config'!$H:$H&gt;=B120)+ISBLANK('warehouse config'!$H:$H))),1)),0))"),2.0)</f>
        <v>2</v>
      </c>
      <c r="H120" s="3">
        <f>IFERROR(__xludf.DUMMYFUNCTION("IFERROR(INDEX(FILTER('cost master'!$E:$E,('cost master'!$B:$B=C120)*('cost master'!$D:$D=""Storage cost per pallet / week"")*('cost master'!$G:$G&lt;=B120)*(('cost master'!$H:$H&gt;=B120)+ISBLANK('cost master'!$H:$H))),1),0)"),3.9)</f>
        <v>3.9</v>
      </c>
      <c r="I120" s="3">
        <f t="shared" si="4"/>
        <v>7.8</v>
      </c>
      <c r="J120" s="27">
        <f t="shared" si="5"/>
        <v>45673</v>
      </c>
      <c r="K120" s="27">
        <f t="shared" si="6"/>
        <v>45703</v>
      </c>
    </row>
    <row r="121" hidden="1">
      <c r="A121" s="3" t="str">
        <f t="shared" si="3"/>
        <v>SL-20250127-Vglobal-CS 007-12</v>
      </c>
      <c r="B121" s="2">
        <f t="array" ref="B121">INDEX(helper!$A$3:$A3996,ROUNDUP((ROW()-1)/COUNTA(helper!$D$3:$D3996),0))</f>
        <v>45684</v>
      </c>
      <c r="C121" s="5" t="str">
        <f t="array" ref="C121">IF(B121="","",INDEX(helper!$D$3:$D3996,MOD(ROW()-2,COUNTA(helper!$D$3:$D3996))+1))</f>
        <v>Vglobal</v>
      </c>
      <c r="D121" s="3" t="str">
        <f t="array" ref="D121">IF(B121="","",INDEX(helper!$E$3:$E3996,MOD(ROW()-2,COUNTA(helper!$D$3:$D3996))+1))</f>
        <v>CS 007</v>
      </c>
      <c r="E121" s="3">
        <f t="array" ref="E121">IF(B121="","",INDEX(helper!$F$3:$F3996,MOD(ROW()-2,COUNTA(helper!$D$3:$D3996))+1))</f>
        <v>12</v>
      </c>
      <c r="F121" s="3">
        <f>IF(B121="","",SUMIFS('inventory ledger'!$H:$H,'inventory ledger'!$C:$C,C121,'inventory ledger'!$D:$D,D121,'inventory ledger'!$E:$E,E121,'inventory ledger'!$A:$A,"&lt;="&amp;B121+TIME(23,59,59))-SUMIFS('inventory ledger'!$I:$I,'inventory ledger'!$C:$C,C121,'inventory ledger'!$D:$D,D121,'inventory ledger'!$E:$E,E121,'inventory ledger'!$A:$A,"&lt;="&amp;B121+TIME(23,59,59)))</f>
        <v>228</v>
      </c>
      <c r="G121" s="3">
        <f>IFERROR(__xludf.DUMMYFUNCTION("IF(F121&lt;=0,0,IFERROR(ROUNDUP(F121/INDEX(FILTER('warehouse config'!$D:$D,('warehouse config'!$B:$B=C121)*('warehouse config'!$C:$C=D121)*('warehouse config'!$G:$G&lt;=B121)*(('warehouse config'!$H:$H&gt;=B121)+ISBLANK('warehouse config'!$H:$H))),1)),0))"),15.0)</f>
        <v>15</v>
      </c>
      <c r="H121" s="3">
        <f>IFERROR(__xludf.DUMMYFUNCTION("IFERROR(INDEX(FILTER('cost master'!$E:$E,('cost master'!$B:$B=C121)*('cost master'!$D:$D=""Storage cost per pallet / week"")*('cost master'!$G:$G&lt;=B121)*(('cost master'!$H:$H&gt;=B121)+ISBLANK('cost master'!$H:$H))),1),0)"),2.6)</f>
        <v>2.6</v>
      </c>
      <c r="I121" s="3">
        <f t="shared" si="4"/>
        <v>39</v>
      </c>
      <c r="J121" s="27">
        <f t="shared" si="5"/>
        <v>45673</v>
      </c>
      <c r="K121" s="27">
        <f t="shared" si="6"/>
        <v>45703</v>
      </c>
    </row>
    <row r="122" hidden="1">
      <c r="A122" s="3" t="str">
        <f t="shared" si="3"/>
        <v>SL-20250127-Vglobal-CS 011-12</v>
      </c>
      <c r="B122" s="2">
        <f t="array" ref="B122">INDEX(helper!$A$3:$A3996,ROUNDUP((ROW()-1)/COUNTA(helper!$D$3:$D3996),0))</f>
        <v>45684</v>
      </c>
      <c r="C122" s="5" t="str">
        <f t="array" ref="C122">IF(B122="","",INDEX(helper!$D$3:$D3996,MOD(ROW()-2,COUNTA(helper!$D$3:$D3996))+1))</f>
        <v>Vglobal</v>
      </c>
      <c r="D122" s="3" t="str">
        <f t="array" ref="D122">IF(B122="","",INDEX(helper!$E$3:$E3996,MOD(ROW()-2,COUNTA(helper!$D$3:$D3996))+1))</f>
        <v>CS 011</v>
      </c>
      <c r="E122" s="3">
        <f t="array" ref="E122">IF(B122="","",INDEX(helper!$F$3:$F3996,MOD(ROW()-2,COUNTA(helper!$D$3:$D3996))+1))</f>
        <v>12</v>
      </c>
      <c r="F122" s="3">
        <f>IF(B122="","",SUMIFS('inventory ledger'!$H:$H,'inventory ledger'!$C:$C,C122,'inventory ledger'!$D:$D,D122,'inventory ledger'!$E:$E,E122,'inventory ledger'!$A:$A,"&lt;="&amp;B122+TIME(23,59,59))-SUMIFS('inventory ledger'!$I:$I,'inventory ledger'!$C:$C,C122,'inventory ledger'!$D:$D,D122,'inventory ledger'!$E:$E,E122,'inventory ledger'!$A:$A,"&lt;="&amp;B122+TIME(23,59,59)))</f>
        <v>81</v>
      </c>
      <c r="G122" s="3">
        <f>IFERROR(__xludf.DUMMYFUNCTION("IF(F122&lt;=0,0,IFERROR(ROUNDUP(F122/INDEX(FILTER('warehouse config'!$D:$D,('warehouse config'!$B:$B=C122)*('warehouse config'!$C:$C=D122)*('warehouse config'!$G:$G&lt;=B122)*(('warehouse config'!$H:$H&gt;=B122)+ISBLANK('warehouse config'!$H:$H))),1)),0))"),5.0)</f>
        <v>5</v>
      </c>
      <c r="H122" s="3">
        <f>IFERROR(__xludf.DUMMYFUNCTION("IFERROR(INDEX(FILTER('cost master'!$E:$E,('cost master'!$B:$B=C122)*('cost master'!$D:$D=""Storage cost per pallet / week"")*('cost master'!$G:$G&lt;=B122)*(('cost master'!$H:$H&gt;=B122)+ISBLANK('cost master'!$H:$H))),1),0)"),2.6)</f>
        <v>2.6</v>
      </c>
      <c r="I122" s="3">
        <f t="shared" si="4"/>
        <v>13</v>
      </c>
      <c r="J122" s="27">
        <f t="shared" si="5"/>
        <v>45673</v>
      </c>
      <c r="K122" s="27">
        <f t="shared" si="6"/>
        <v>45703</v>
      </c>
    </row>
    <row r="123" hidden="1">
      <c r="A123" s="3" t="str">
        <f t="shared" si="3"/>
        <v>SL-20250127-Vglobal-CS 008-12</v>
      </c>
      <c r="B123" s="2">
        <f t="array" ref="B123">INDEX(helper!$A$3:$A3996,ROUNDUP((ROW()-1)/COUNTA(helper!$D$3:$D3996),0))</f>
        <v>45684</v>
      </c>
      <c r="C123" s="5" t="str">
        <f t="array" ref="C123">IF(B123="","",INDEX(helper!$D$3:$D3996,MOD(ROW()-2,COUNTA(helper!$D$3:$D3996))+1))</f>
        <v>Vglobal</v>
      </c>
      <c r="D123" s="3" t="str">
        <f t="array" ref="D123">IF(B123="","",INDEX(helper!$E$3:$E3996,MOD(ROW()-2,COUNTA(helper!$D$3:$D3996))+1))</f>
        <v>CS 008</v>
      </c>
      <c r="E123" s="3">
        <f t="array" ref="E123">IF(B123="","",INDEX(helper!$F$3:$F3996,MOD(ROW()-2,COUNTA(helper!$D$3:$D3996))+1))</f>
        <v>12</v>
      </c>
      <c r="F123" s="3">
        <f>IF(B123="","",SUMIFS('inventory ledger'!$H:$H,'inventory ledger'!$C:$C,C123,'inventory ledger'!$D:$D,D123,'inventory ledger'!$E:$E,E123,'inventory ledger'!$A:$A,"&lt;="&amp;B123+TIME(23,59,59))-SUMIFS('inventory ledger'!$I:$I,'inventory ledger'!$C:$C,C123,'inventory ledger'!$D:$D,D123,'inventory ledger'!$E:$E,E123,'inventory ledger'!$A:$A,"&lt;="&amp;B123+TIME(23,59,59)))</f>
        <v>20</v>
      </c>
      <c r="G123" s="3">
        <f>IFERROR(__xludf.DUMMYFUNCTION("IF(F123&lt;=0,0,IFERROR(ROUNDUP(F123/INDEX(FILTER('warehouse config'!$D:$D,('warehouse config'!$B:$B=C123)*('warehouse config'!$C:$C=D123)*('warehouse config'!$G:$G&lt;=B123)*(('warehouse config'!$H:$H&gt;=B123)+ISBLANK('warehouse config'!$H:$H))),1)),0))"),1.0)</f>
        <v>1</v>
      </c>
      <c r="H123" s="3">
        <f>IFERROR(__xludf.DUMMYFUNCTION("IFERROR(INDEX(FILTER('cost master'!$E:$E,('cost master'!$B:$B=C123)*('cost master'!$D:$D=""Storage cost per pallet / week"")*('cost master'!$G:$G&lt;=B123)*(('cost master'!$H:$H&gt;=B123)+ISBLANK('cost master'!$H:$H))),1),0)"),2.6)</f>
        <v>2.6</v>
      </c>
      <c r="I123" s="3">
        <f t="shared" si="4"/>
        <v>2.6</v>
      </c>
      <c r="J123" s="27">
        <f t="shared" si="5"/>
        <v>45673</v>
      </c>
      <c r="K123" s="27">
        <f t="shared" si="6"/>
        <v>45703</v>
      </c>
    </row>
    <row r="124" hidden="1">
      <c r="A124" s="3" t="str">
        <f t="shared" si="3"/>
        <v>SL-20250127-Vglobal-CS 010-12</v>
      </c>
      <c r="B124" s="2">
        <f t="array" ref="B124">INDEX(helper!$A$3:$A3996,ROUNDUP((ROW()-1)/COUNTA(helper!$D$3:$D3996),0))</f>
        <v>45684</v>
      </c>
      <c r="C124" s="5" t="str">
        <f t="array" ref="C124">IF(B124="","",INDEX(helper!$D$3:$D3996,MOD(ROW()-2,COUNTA(helper!$D$3:$D3996))+1))</f>
        <v>Vglobal</v>
      </c>
      <c r="D124" s="3" t="str">
        <f t="array" ref="D124">IF(B124="","",INDEX(helper!$E$3:$E3996,MOD(ROW()-2,COUNTA(helper!$D$3:$D3996))+1))</f>
        <v>CS 010</v>
      </c>
      <c r="E124" s="3">
        <f t="array" ref="E124">IF(B124="","",INDEX(helper!$F$3:$F3996,MOD(ROW()-2,COUNTA(helper!$D$3:$D3996))+1))</f>
        <v>12</v>
      </c>
      <c r="F124" s="3">
        <f>IF(B124="","",SUMIFS('inventory ledger'!$H:$H,'inventory ledger'!$C:$C,C124,'inventory ledger'!$D:$D,D124,'inventory ledger'!$E:$E,E124,'inventory ledger'!$A:$A,"&lt;="&amp;B124+TIME(23,59,59))-SUMIFS('inventory ledger'!$I:$I,'inventory ledger'!$C:$C,C124,'inventory ledger'!$D:$D,D124,'inventory ledger'!$E:$E,E124,'inventory ledger'!$A:$A,"&lt;="&amp;B124+TIME(23,59,59)))</f>
        <v>80</v>
      </c>
      <c r="G124" s="3">
        <f>IFERROR(__xludf.DUMMYFUNCTION("IF(F124&lt;=0,0,IFERROR(ROUNDUP(F124/INDEX(FILTER('warehouse config'!$D:$D,('warehouse config'!$B:$B=C124)*('warehouse config'!$C:$C=D124)*('warehouse config'!$G:$G&lt;=B124)*(('warehouse config'!$H:$H&gt;=B124)+ISBLANK('warehouse config'!$H:$H))),1)),0))"),4.0)</f>
        <v>4</v>
      </c>
      <c r="H124" s="3">
        <f>IFERROR(__xludf.DUMMYFUNCTION("IFERROR(INDEX(FILTER('cost master'!$E:$E,('cost master'!$B:$B=C124)*('cost master'!$D:$D=""Storage cost per pallet / week"")*('cost master'!$G:$G&lt;=B124)*(('cost master'!$H:$H&gt;=B124)+ISBLANK('cost master'!$H:$H))),1),0)"),2.6)</f>
        <v>2.6</v>
      </c>
      <c r="I124" s="3">
        <f t="shared" si="4"/>
        <v>10.4</v>
      </c>
      <c r="J124" s="27">
        <f t="shared" si="5"/>
        <v>45673</v>
      </c>
      <c r="K124" s="27">
        <f t="shared" si="6"/>
        <v>45703</v>
      </c>
    </row>
    <row r="125" hidden="1">
      <c r="A125" s="3" t="str">
        <f t="shared" si="3"/>
        <v>SL-20250127-Vglobal-CS 009-12</v>
      </c>
      <c r="B125" s="2">
        <f t="array" ref="B125">INDEX(helper!$A$3:$A3996,ROUNDUP((ROW()-1)/COUNTA(helper!$D$3:$D3996),0))</f>
        <v>45684</v>
      </c>
      <c r="C125" s="5" t="str">
        <f t="array" ref="C125">IF(B125="","",INDEX(helper!$D$3:$D3996,MOD(ROW()-2,COUNTA(helper!$D$3:$D3996))+1))</f>
        <v>Vglobal</v>
      </c>
      <c r="D125" s="3" t="str">
        <f t="array" ref="D125">IF(B125="","",INDEX(helper!$E$3:$E3996,MOD(ROW()-2,COUNTA(helper!$D$3:$D3996))+1))</f>
        <v>CS 009</v>
      </c>
      <c r="E125" s="3">
        <f t="array" ref="E125">IF(B125="","",INDEX(helper!$F$3:$F3996,MOD(ROW()-2,COUNTA(helper!$D$3:$D3996))+1))</f>
        <v>12</v>
      </c>
      <c r="F125" s="3">
        <f>IF(B125="","",SUMIFS('inventory ledger'!$H:$H,'inventory ledger'!$C:$C,C125,'inventory ledger'!$D:$D,D125,'inventory ledger'!$E:$E,E125,'inventory ledger'!$A:$A,"&lt;="&amp;B125+TIME(23,59,59))-SUMIFS('inventory ledger'!$I:$I,'inventory ledger'!$C:$C,C125,'inventory ledger'!$D:$D,D125,'inventory ledger'!$E:$E,E125,'inventory ledger'!$A:$A,"&lt;="&amp;B125+TIME(23,59,59)))</f>
        <v>50</v>
      </c>
      <c r="G125" s="3">
        <f>IFERROR(__xludf.DUMMYFUNCTION("IF(F125&lt;=0,0,IFERROR(ROUNDUP(F125/INDEX(FILTER('warehouse config'!$D:$D,('warehouse config'!$B:$B=C125)*('warehouse config'!$C:$C=D125)*('warehouse config'!$G:$G&lt;=B125)*(('warehouse config'!$H:$H&gt;=B125)+ISBLANK('warehouse config'!$H:$H))),1)),0))"),4.0)</f>
        <v>4</v>
      </c>
      <c r="H125" s="3">
        <f>IFERROR(__xludf.DUMMYFUNCTION("IFERROR(INDEX(FILTER('cost master'!$E:$E,('cost master'!$B:$B=C125)*('cost master'!$D:$D=""Storage cost per pallet / week"")*('cost master'!$G:$G&lt;=B125)*(('cost master'!$H:$H&gt;=B125)+ISBLANK('cost master'!$H:$H))),1),0)"),2.6)</f>
        <v>2.6</v>
      </c>
      <c r="I125" s="3">
        <f t="shared" si="4"/>
        <v>10.4</v>
      </c>
      <c r="J125" s="27">
        <f t="shared" si="5"/>
        <v>45673</v>
      </c>
      <c r="K125" s="27">
        <f t="shared" si="6"/>
        <v>45703</v>
      </c>
    </row>
    <row r="126" hidden="1">
      <c r="A126" s="3" t="str">
        <f t="shared" si="3"/>
        <v>SL-20250127-Vglobal-CS 012-12</v>
      </c>
      <c r="B126" s="2">
        <f t="array" ref="B126">INDEX(helper!$A$3:$A3996,ROUNDUP((ROW()-1)/COUNTA(helper!$D$3:$D3996),0))</f>
        <v>45684</v>
      </c>
      <c r="C126" s="5" t="str">
        <f t="array" ref="C126">IF(B126="","",INDEX(helper!$D$3:$D3996,MOD(ROW()-2,COUNTA(helper!$D$3:$D3996))+1))</f>
        <v>Vglobal</v>
      </c>
      <c r="D126" s="3" t="str">
        <f t="array" ref="D126">IF(B126="","",INDEX(helper!$E$3:$E3996,MOD(ROW()-2,COUNTA(helper!$D$3:$D3996))+1))</f>
        <v>CS 012</v>
      </c>
      <c r="E126" s="3">
        <f t="array" ref="E126">IF(B126="","",INDEX(helper!$F$3:$F3996,MOD(ROW()-2,COUNTA(helper!$D$3:$D3996))+1))</f>
        <v>12</v>
      </c>
      <c r="F126" s="3">
        <f>IF(B126="","",SUMIFS('inventory ledger'!$H:$H,'inventory ledger'!$C:$C,C126,'inventory ledger'!$D:$D,D126,'inventory ledger'!$E:$E,E126,'inventory ledger'!$A:$A,"&lt;="&amp;B126+TIME(23,59,59))-SUMIFS('inventory ledger'!$I:$I,'inventory ledger'!$C:$C,C126,'inventory ledger'!$D:$D,D126,'inventory ledger'!$E:$E,E126,'inventory ledger'!$A:$A,"&lt;="&amp;B126+TIME(23,59,59)))</f>
        <v>0</v>
      </c>
      <c r="G126" s="3">
        <f>IFERROR(__xludf.DUMMYFUNCTION("IF(F126&lt;=0,0,IFERROR(ROUNDUP(F126/INDEX(FILTER('warehouse config'!$D:$D,('warehouse config'!$B:$B=C126)*('warehouse config'!$C:$C=D126)*('warehouse config'!$G:$G&lt;=B126)*(('warehouse config'!$H:$H&gt;=B126)+ISBLANK('warehouse config'!$H:$H))),1)),0))"),0.0)</f>
        <v>0</v>
      </c>
      <c r="H126" s="3">
        <f>IFERROR(__xludf.DUMMYFUNCTION("IFERROR(INDEX(FILTER('cost master'!$E:$E,('cost master'!$B:$B=C126)*('cost master'!$D:$D=""Storage cost per pallet / week"")*('cost master'!$G:$G&lt;=B126)*(('cost master'!$H:$H&gt;=B126)+ISBLANK('cost master'!$H:$H))),1),0)"),2.6)</f>
        <v>2.6</v>
      </c>
      <c r="I126" s="3">
        <f t="shared" si="4"/>
        <v>0</v>
      </c>
      <c r="J126" s="27">
        <f t="shared" si="5"/>
        <v>45673</v>
      </c>
      <c r="K126" s="27">
        <f t="shared" si="6"/>
        <v>45703</v>
      </c>
    </row>
    <row r="127" hidden="1">
      <c r="A127" s="3" t="str">
        <f t="shared" si="3"/>
        <v>SL-20250127-Vglobal-CS-CDS-001-3</v>
      </c>
      <c r="B127" s="2">
        <f t="array" ref="B127">INDEX(helper!$A$3:$A3996,ROUNDUP((ROW()-1)/COUNTA(helper!$D$3:$D3996),0))</f>
        <v>45684</v>
      </c>
      <c r="C127" s="5" t="str">
        <f t="array" ref="C127">IF(B127="","",INDEX(helper!$D$3:$D3996,MOD(ROW()-2,COUNTA(helper!$D$3:$D3996))+1))</f>
        <v>Vglobal</v>
      </c>
      <c r="D127" s="3" t="str">
        <f t="array" ref="D127">IF(B127="","",INDEX(helper!$E$3:$E3996,MOD(ROW()-2,COUNTA(helper!$D$3:$D3996))+1))</f>
        <v>CS-CDS-001</v>
      </c>
      <c r="E127" s="3">
        <f t="array" ref="E127">IF(B127="","",INDEX(helper!$F$3:$F3996,MOD(ROW()-2,COUNTA(helper!$D$3:$D3996))+1))</f>
        <v>3</v>
      </c>
      <c r="F127" s="3">
        <f>IF(B127="","",SUMIFS('inventory ledger'!$H:$H,'inventory ledger'!$C:$C,C127,'inventory ledger'!$D:$D,D127,'inventory ledger'!$E:$E,E127,'inventory ledger'!$A:$A,"&lt;="&amp;B127+TIME(23,59,59))-SUMIFS('inventory ledger'!$I:$I,'inventory ledger'!$C:$C,C127,'inventory ledger'!$D:$D,D127,'inventory ledger'!$E:$E,E127,'inventory ledger'!$A:$A,"&lt;="&amp;B127+TIME(23,59,59)))</f>
        <v>37</v>
      </c>
      <c r="G127" s="3">
        <f>IFERROR(__xludf.DUMMYFUNCTION("IF(F127&lt;=0,0,IFERROR(ROUNDUP(F127/INDEX(FILTER('warehouse config'!$D:$D,('warehouse config'!$B:$B=C127)*('warehouse config'!$C:$C=D127)*('warehouse config'!$G:$G&lt;=B127)*(('warehouse config'!$H:$H&gt;=B127)+ISBLANK('warehouse config'!$H:$H))),1)),0))"),3.0)</f>
        <v>3</v>
      </c>
      <c r="H127" s="3">
        <f>IFERROR(__xludf.DUMMYFUNCTION("IFERROR(INDEX(FILTER('cost master'!$E:$E,('cost master'!$B:$B=C127)*('cost master'!$D:$D=""Storage cost per pallet / week"")*('cost master'!$G:$G&lt;=B127)*(('cost master'!$H:$H&gt;=B127)+ISBLANK('cost master'!$H:$H))),1),0)"),2.6)</f>
        <v>2.6</v>
      </c>
      <c r="I127" s="3">
        <f t="shared" si="4"/>
        <v>7.8</v>
      </c>
      <c r="J127" s="27">
        <f t="shared" si="5"/>
        <v>45673</v>
      </c>
      <c r="K127" s="27">
        <f t="shared" si="6"/>
        <v>45703</v>
      </c>
    </row>
    <row r="128" hidden="1">
      <c r="A128" s="3" t="str">
        <f t="shared" si="3"/>
        <v>SL-20250127-Vglobal-CS-CDS-002-3</v>
      </c>
      <c r="B128" s="2">
        <f t="array" ref="B128">INDEX(helper!$A$3:$A3996,ROUNDUP((ROW()-1)/COUNTA(helper!$D$3:$D3996),0))</f>
        <v>45684</v>
      </c>
      <c r="C128" s="5" t="str">
        <f t="array" ref="C128">IF(B128="","",INDEX(helper!$D$3:$D3996,MOD(ROW()-2,COUNTA(helper!$D$3:$D3996))+1))</f>
        <v>Vglobal</v>
      </c>
      <c r="D128" s="3" t="str">
        <f t="array" ref="D128">IF(B128="","",INDEX(helper!$E$3:$E3996,MOD(ROW()-2,COUNTA(helper!$D$3:$D3996))+1))</f>
        <v>CS-CDS-002</v>
      </c>
      <c r="E128" s="3">
        <f t="array" ref="E128">IF(B128="","",INDEX(helper!$F$3:$F3996,MOD(ROW()-2,COUNTA(helper!$D$3:$D3996))+1))</f>
        <v>3</v>
      </c>
      <c r="F128" s="3">
        <f>IF(B128="","",SUMIFS('inventory ledger'!$H:$H,'inventory ledger'!$C:$C,C128,'inventory ledger'!$D:$D,D128,'inventory ledger'!$E:$E,E128,'inventory ledger'!$A:$A,"&lt;="&amp;B128+TIME(23,59,59))-SUMIFS('inventory ledger'!$I:$I,'inventory ledger'!$C:$C,C128,'inventory ledger'!$D:$D,D128,'inventory ledger'!$E:$E,E128,'inventory ledger'!$A:$A,"&lt;="&amp;B128+TIME(23,59,59)))</f>
        <v>24</v>
      </c>
      <c r="G128" s="3">
        <f>IFERROR(__xludf.DUMMYFUNCTION("IF(F128&lt;=0,0,IFERROR(ROUNDUP(F128/INDEX(FILTER('warehouse config'!$D:$D,('warehouse config'!$B:$B=C128)*('warehouse config'!$C:$C=D128)*('warehouse config'!$G:$G&lt;=B128)*(('warehouse config'!$H:$H&gt;=B128)+ISBLANK('warehouse config'!$H:$H))),1)),0))"),2.0)</f>
        <v>2</v>
      </c>
      <c r="H128" s="3">
        <f>IFERROR(__xludf.DUMMYFUNCTION("IFERROR(INDEX(FILTER('cost master'!$E:$E,('cost master'!$B:$B=C128)*('cost master'!$D:$D=""Storage cost per pallet / week"")*('cost master'!$G:$G&lt;=B128)*(('cost master'!$H:$H&gt;=B128)+ISBLANK('cost master'!$H:$H))),1),0)"),2.6)</f>
        <v>2.6</v>
      </c>
      <c r="I128" s="3">
        <f t="shared" si="4"/>
        <v>5.2</v>
      </c>
      <c r="J128" s="27">
        <f t="shared" si="5"/>
        <v>45673</v>
      </c>
      <c r="K128" s="27">
        <f t="shared" si="6"/>
        <v>45703</v>
      </c>
    </row>
    <row r="129" hidden="1">
      <c r="A129" s="3" t="str">
        <f t="shared" si="3"/>
        <v>SL-20250127-4as-CS-CDS-001-4</v>
      </c>
      <c r="B129" s="2">
        <f t="array" ref="B129">INDEX(helper!$A$3:$A3996,ROUNDUP((ROW()-1)/COUNTA(helper!$D$3:$D3996),0))</f>
        <v>45684</v>
      </c>
      <c r="C129" s="5" t="str">
        <f t="array" ref="C129">IF(B129="","",INDEX(helper!$D$3:$D3996,MOD(ROW()-2,COUNTA(helper!$D$3:$D3996))+1))</f>
        <v>4as</v>
      </c>
      <c r="D129" s="3" t="str">
        <f t="array" ref="D129">IF(B129="","",INDEX(helper!$E$3:$E3996,MOD(ROW()-2,COUNTA(helper!$D$3:$D3996))+1))</f>
        <v>CS-CDS-001</v>
      </c>
      <c r="E129" s="3">
        <f t="array" ref="E129">IF(B129="","",INDEX(helper!$F$3:$F3996,MOD(ROW()-2,COUNTA(helper!$D$3:$D3996))+1))</f>
        <v>4</v>
      </c>
      <c r="F129" s="3">
        <f>IF(B129="","",SUMIFS('inventory ledger'!$H:$H,'inventory ledger'!$C:$C,C129,'inventory ledger'!$D:$D,D129,'inventory ledger'!$E:$E,E129,'inventory ledger'!$A:$A,"&lt;="&amp;B129+TIME(23,59,59))-SUMIFS('inventory ledger'!$I:$I,'inventory ledger'!$C:$C,C129,'inventory ledger'!$D:$D,D129,'inventory ledger'!$E:$E,E129,'inventory ledger'!$A:$A,"&lt;="&amp;B129+TIME(23,59,59)))</f>
        <v>91</v>
      </c>
      <c r="G129" s="3">
        <f>IFERROR(__xludf.DUMMYFUNCTION("IF(F129&lt;=0,0,IFERROR(ROUNDUP(F129/INDEX(FILTER('warehouse config'!$D:$D,('warehouse config'!$B:$B=C129)*('warehouse config'!$C:$C=D129)*('warehouse config'!$G:$G&lt;=B129)*(('warehouse config'!$H:$H&gt;=B129)+ISBLANK('warehouse config'!$H:$H))),1)),0))"),5.0)</f>
        <v>5</v>
      </c>
      <c r="H129" s="3">
        <f>IFERROR(__xludf.DUMMYFUNCTION("IFERROR(INDEX(FILTER('cost master'!$E:$E,('cost master'!$B:$B=C129)*('cost master'!$D:$D=""Storage cost per pallet / week"")*('cost master'!$G:$G&lt;=B129)*(('cost master'!$H:$H&gt;=B129)+ISBLANK('cost master'!$H:$H))),1),0)"),9.0)</f>
        <v>9</v>
      </c>
      <c r="I129" s="3">
        <f t="shared" si="4"/>
        <v>45</v>
      </c>
      <c r="J129" s="27">
        <f t="shared" si="5"/>
        <v>45673</v>
      </c>
      <c r="K129" s="27">
        <f t="shared" si="6"/>
        <v>45703</v>
      </c>
    </row>
    <row r="130" hidden="1">
      <c r="A130" s="3" t="str">
        <f t="shared" si="3"/>
        <v>SL-20250127-4as-CS-CDS-002-4</v>
      </c>
      <c r="B130" s="2">
        <f t="array" ref="B130">INDEX(helper!$A$3:$A3996,ROUNDUP((ROW()-1)/COUNTA(helper!$D$3:$D3996),0))</f>
        <v>45684</v>
      </c>
      <c r="C130" s="5" t="str">
        <f t="array" ref="C130">IF(B130="","",INDEX(helper!$D$3:$D3996,MOD(ROW()-2,COUNTA(helper!$D$3:$D3996))+1))</f>
        <v>4as</v>
      </c>
      <c r="D130" s="3" t="str">
        <f t="array" ref="D130">IF(B130="","",INDEX(helper!$E$3:$E3996,MOD(ROW()-2,COUNTA(helper!$D$3:$D3996))+1))</f>
        <v>CS-CDS-002</v>
      </c>
      <c r="E130" s="3">
        <f t="array" ref="E130">IF(B130="","",INDEX(helper!$F$3:$F3996,MOD(ROW()-2,COUNTA(helper!$D$3:$D3996))+1))</f>
        <v>4</v>
      </c>
      <c r="F130" s="3">
        <f>IF(B130="","",SUMIFS('inventory ledger'!$H:$H,'inventory ledger'!$C:$C,C130,'inventory ledger'!$D:$D,D130,'inventory ledger'!$E:$E,E130,'inventory ledger'!$A:$A,"&lt;="&amp;B130+TIME(23,59,59))-SUMIFS('inventory ledger'!$I:$I,'inventory ledger'!$C:$C,C130,'inventory ledger'!$D:$D,D130,'inventory ledger'!$E:$E,E130,'inventory ledger'!$A:$A,"&lt;="&amp;B130+TIME(23,59,59)))</f>
        <v>179</v>
      </c>
      <c r="G130" s="3">
        <f>IFERROR(__xludf.DUMMYFUNCTION("IF(F130&lt;=0,0,IFERROR(ROUNDUP(F130/INDEX(FILTER('warehouse config'!$D:$D,('warehouse config'!$B:$B=C130)*('warehouse config'!$C:$C=D130)*('warehouse config'!$G:$G&lt;=B130)*(('warehouse config'!$H:$H&gt;=B130)+ISBLANK('warehouse config'!$H:$H))),1)),0))"),9.0)</f>
        <v>9</v>
      </c>
      <c r="H130" s="3">
        <f>IFERROR(__xludf.DUMMYFUNCTION("IFERROR(INDEX(FILTER('cost master'!$E:$E,('cost master'!$B:$B=C130)*('cost master'!$D:$D=""Storage cost per pallet / week"")*('cost master'!$G:$G&lt;=B130)*(('cost master'!$H:$H&gt;=B130)+ISBLANK('cost master'!$H:$H))),1),0)"),9.0)</f>
        <v>9</v>
      </c>
      <c r="I130" s="3">
        <f t="shared" si="4"/>
        <v>81</v>
      </c>
      <c r="J130" s="27">
        <f t="shared" si="5"/>
        <v>45673</v>
      </c>
      <c r="K130" s="27">
        <f t="shared" si="6"/>
        <v>45703</v>
      </c>
    </row>
    <row r="131" hidden="1">
      <c r="A131" s="3" t="str">
        <f t="shared" si="3"/>
        <v>SL-20250127-Vglobal-CS 007-13</v>
      </c>
      <c r="B131" s="2">
        <f t="array" ref="B131">INDEX(helper!$A$3:$A3996,ROUNDUP((ROW()-1)/COUNTA(helper!$D$3:$D3996),0))</f>
        <v>45684</v>
      </c>
      <c r="C131" s="5" t="str">
        <f t="array" ref="C131">IF(B131="","",INDEX(helper!$D$3:$D3996,MOD(ROW()-2,COUNTA(helper!$D$3:$D3996))+1))</f>
        <v>Vglobal</v>
      </c>
      <c r="D131" s="3" t="str">
        <f t="array" ref="D131">IF(B131="","",INDEX(helper!$E$3:$E3996,MOD(ROW()-2,COUNTA(helper!$D$3:$D3996))+1))</f>
        <v>CS 007</v>
      </c>
      <c r="E131" s="3">
        <f t="array" ref="E131">IF(B131="","",INDEX(helper!$F$3:$F3996,MOD(ROW()-2,COUNTA(helper!$D$3:$D3996))+1))</f>
        <v>13</v>
      </c>
      <c r="F131" s="3">
        <f>IF(B131="","",SUMIFS('inventory ledger'!$H:$H,'inventory ledger'!$C:$C,C131,'inventory ledger'!$D:$D,D131,'inventory ledger'!$E:$E,E131,'inventory ledger'!$A:$A,"&lt;="&amp;B131+TIME(23,59,59))-SUMIFS('inventory ledger'!$I:$I,'inventory ledger'!$C:$C,C131,'inventory ledger'!$D:$D,D131,'inventory ledger'!$E:$E,E131,'inventory ledger'!$A:$A,"&lt;="&amp;B131+TIME(23,59,59)))</f>
        <v>285</v>
      </c>
      <c r="G131" s="3">
        <f>IFERROR(__xludf.DUMMYFUNCTION("IF(F131&lt;=0,0,IFERROR(ROUNDUP(F131/INDEX(FILTER('warehouse config'!$D:$D,('warehouse config'!$B:$B=C131)*('warehouse config'!$C:$C=D131)*('warehouse config'!$G:$G&lt;=B131)*(('warehouse config'!$H:$H&gt;=B131)+ISBLANK('warehouse config'!$H:$H))),1)),0))"),18.0)</f>
        <v>18</v>
      </c>
      <c r="H131" s="3">
        <f>IFERROR(__xludf.DUMMYFUNCTION("IFERROR(INDEX(FILTER('cost master'!$E:$E,('cost master'!$B:$B=C131)*('cost master'!$D:$D=""Storage cost per pallet / week"")*('cost master'!$G:$G&lt;=B131)*(('cost master'!$H:$H&gt;=B131)+ISBLANK('cost master'!$H:$H))),1),0)"),2.6)</f>
        <v>2.6</v>
      </c>
      <c r="I131" s="3">
        <f t="shared" si="4"/>
        <v>46.8</v>
      </c>
      <c r="J131" s="27">
        <f t="shared" si="5"/>
        <v>45673</v>
      </c>
      <c r="K131" s="27">
        <f t="shared" si="6"/>
        <v>45703</v>
      </c>
    </row>
    <row r="132" hidden="1">
      <c r="A132" s="3" t="str">
        <f t="shared" si="3"/>
        <v>SL-20250127-Vglobal-CS 011-13</v>
      </c>
      <c r="B132" s="2">
        <f t="array" ref="B132">INDEX(helper!$A$3:$A3996,ROUNDUP((ROW()-1)/COUNTA(helper!$D$3:$D3996),0))</f>
        <v>45684</v>
      </c>
      <c r="C132" s="5" t="str">
        <f t="array" ref="C132">IF(B132="","",INDEX(helper!$D$3:$D3996,MOD(ROW()-2,COUNTA(helper!$D$3:$D3996))+1))</f>
        <v>Vglobal</v>
      </c>
      <c r="D132" s="3" t="str">
        <f t="array" ref="D132">IF(B132="","",INDEX(helper!$E$3:$E3996,MOD(ROW()-2,COUNTA(helper!$D$3:$D3996))+1))</f>
        <v>CS 011</v>
      </c>
      <c r="E132" s="3">
        <f t="array" ref="E132">IF(B132="","",INDEX(helper!$F$3:$F3996,MOD(ROW()-2,COUNTA(helper!$D$3:$D3996))+1))</f>
        <v>13</v>
      </c>
      <c r="F132" s="3">
        <f>IF(B132="","",SUMIFS('inventory ledger'!$H:$H,'inventory ledger'!$C:$C,C132,'inventory ledger'!$D:$D,D132,'inventory ledger'!$E:$E,E132,'inventory ledger'!$A:$A,"&lt;="&amp;B132+TIME(23,59,59))-SUMIFS('inventory ledger'!$I:$I,'inventory ledger'!$C:$C,C132,'inventory ledger'!$D:$D,D132,'inventory ledger'!$E:$E,E132,'inventory ledger'!$A:$A,"&lt;="&amp;B132+TIME(23,59,59)))</f>
        <v>175</v>
      </c>
      <c r="G132" s="3">
        <f>IFERROR(__xludf.DUMMYFUNCTION("IF(F132&lt;=0,0,IFERROR(ROUNDUP(F132/INDEX(FILTER('warehouse config'!$D:$D,('warehouse config'!$B:$B=C132)*('warehouse config'!$C:$C=D132)*('warehouse config'!$G:$G&lt;=B132)*(('warehouse config'!$H:$H&gt;=B132)+ISBLANK('warehouse config'!$H:$H))),1)),0))"),9.0)</f>
        <v>9</v>
      </c>
      <c r="H132" s="3">
        <f>IFERROR(__xludf.DUMMYFUNCTION("IFERROR(INDEX(FILTER('cost master'!$E:$E,('cost master'!$B:$B=C132)*('cost master'!$D:$D=""Storage cost per pallet / week"")*('cost master'!$G:$G&lt;=B132)*(('cost master'!$H:$H&gt;=B132)+ISBLANK('cost master'!$H:$H))),1),0)"),2.6)</f>
        <v>2.6</v>
      </c>
      <c r="I132" s="3">
        <f t="shared" si="4"/>
        <v>23.4</v>
      </c>
      <c r="J132" s="27">
        <f t="shared" si="5"/>
        <v>45673</v>
      </c>
      <c r="K132" s="27">
        <f t="shared" si="6"/>
        <v>45703</v>
      </c>
    </row>
    <row r="133" hidden="1">
      <c r="A133" s="3" t="str">
        <f t="shared" si="3"/>
        <v>SL-20250127-Vglobal-CS 008-13</v>
      </c>
      <c r="B133" s="2">
        <f t="array" ref="B133">INDEX(helper!$A$3:$A3996,ROUNDUP((ROW()-1)/COUNTA(helper!$D$3:$D3996),0))</f>
        <v>45684</v>
      </c>
      <c r="C133" s="5" t="str">
        <f t="array" ref="C133">IF(B133="","",INDEX(helper!$D$3:$D3996,MOD(ROW()-2,COUNTA(helper!$D$3:$D3996))+1))</f>
        <v>Vglobal</v>
      </c>
      <c r="D133" s="3" t="str">
        <f t="array" ref="D133">IF(B133="","",INDEX(helper!$E$3:$E3996,MOD(ROW()-2,COUNTA(helper!$D$3:$D3996))+1))</f>
        <v>CS 008</v>
      </c>
      <c r="E133" s="3">
        <f t="array" ref="E133">IF(B133="","",INDEX(helper!$F$3:$F3996,MOD(ROW()-2,COUNTA(helper!$D$3:$D3996))+1))</f>
        <v>13</v>
      </c>
      <c r="F133" s="3">
        <f>IF(B133="","",SUMIFS('inventory ledger'!$H:$H,'inventory ledger'!$C:$C,C133,'inventory ledger'!$D:$D,D133,'inventory ledger'!$E:$E,E133,'inventory ledger'!$A:$A,"&lt;="&amp;B133+TIME(23,59,59))-SUMIFS('inventory ledger'!$I:$I,'inventory ledger'!$C:$C,C133,'inventory ledger'!$D:$D,D133,'inventory ledger'!$E:$E,E133,'inventory ledger'!$A:$A,"&lt;="&amp;B133+TIME(23,59,59)))</f>
        <v>20</v>
      </c>
      <c r="G133" s="3">
        <f>IFERROR(__xludf.DUMMYFUNCTION("IF(F133&lt;=0,0,IFERROR(ROUNDUP(F133/INDEX(FILTER('warehouse config'!$D:$D,('warehouse config'!$B:$B=C133)*('warehouse config'!$C:$C=D133)*('warehouse config'!$G:$G&lt;=B133)*(('warehouse config'!$H:$H&gt;=B133)+ISBLANK('warehouse config'!$H:$H))),1)),0))"),1.0)</f>
        <v>1</v>
      </c>
      <c r="H133" s="3">
        <f>IFERROR(__xludf.DUMMYFUNCTION("IFERROR(INDEX(FILTER('cost master'!$E:$E,('cost master'!$B:$B=C133)*('cost master'!$D:$D=""Storage cost per pallet / week"")*('cost master'!$G:$G&lt;=B133)*(('cost master'!$H:$H&gt;=B133)+ISBLANK('cost master'!$H:$H))),1),0)"),2.6)</f>
        <v>2.6</v>
      </c>
      <c r="I133" s="3">
        <f t="shared" si="4"/>
        <v>2.6</v>
      </c>
      <c r="J133" s="27">
        <f t="shared" si="5"/>
        <v>45673</v>
      </c>
      <c r="K133" s="27">
        <f t="shared" si="6"/>
        <v>45703</v>
      </c>
    </row>
    <row r="134" hidden="1">
      <c r="A134" s="3" t="str">
        <f t="shared" si="3"/>
        <v>SL-20250127-Vglobal-CS 010-13</v>
      </c>
      <c r="B134" s="2">
        <f t="array" ref="B134">INDEX(helper!$A$3:$A3996,ROUNDUP((ROW()-1)/COUNTA(helper!$D$3:$D3996),0))</f>
        <v>45684</v>
      </c>
      <c r="C134" s="5" t="str">
        <f t="array" ref="C134">IF(B134="","",INDEX(helper!$D$3:$D3996,MOD(ROW()-2,COUNTA(helper!$D$3:$D3996))+1))</f>
        <v>Vglobal</v>
      </c>
      <c r="D134" s="3" t="str">
        <f t="array" ref="D134">IF(B134="","",INDEX(helper!$E$3:$E3996,MOD(ROW()-2,COUNTA(helper!$D$3:$D3996))+1))</f>
        <v>CS 010</v>
      </c>
      <c r="E134" s="3">
        <f t="array" ref="E134">IF(B134="","",INDEX(helper!$F$3:$F3996,MOD(ROW()-2,COUNTA(helper!$D$3:$D3996))+1))</f>
        <v>13</v>
      </c>
      <c r="F134" s="3">
        <f>IF(B134="","",SUMIFS('inventory ledger'!$H:$H,'inventory ledger'!$C:$C,C134,'inventory ledger'!$D:$D,D134,'inventory ledger'!$E:$E,E134,'inventory ledger'!$A:$A,"&lt;="&amp;B134+TIME(23,59,59))-SUMIFS('inventory ledger'!$I:$I,'inventory ledger'!$C:$C,C134,'inventory ledger'!$D:$D,D134,'inventory ledger'!$E:$E,E134,'inventory ledger'!$A:$A,"&lt;="&amp;B134+TIME(23,59,59)))</f>
        <v>80</v>
      </c>
      <c r="G134" s="3">
        <f>IFERROR(__xludf.DUMMYFUNCTION("IF(F134&lt;=0,0,IFERROR(ROUNDUP(F134/INDEX(FILTER('warehouse config'!$D:$D,('warehouse config'!$B:$B=C134)*('warehouse config'!$C:$C=D134)*('warehouse config'!$G:$G&lt;=B134)*(('warehouse config'!$H:$H&gt;=B134)+ISBLANK('warehouse config'!$H:$H))),1)),0))"),4.0)</f>
        <v>4</v>
      </c>
      <c r="H134" s="3">
        <f>IFERROR(__xludf.DUMMYFUNCTION("IFERROR(INDEX(FILTER('cost master'!$E:$E,('cost master'!$B:$B=C134)*('cost master'!$D:$D=""Storage cost per pallet / week"")*('cost master'!$G:$G&lt;=B134)*(('cost master'!$H:$H&gt;=B134)+ISBLANK('cost master'!$H:$H))),1),0)"),2.6)</f>
        <v>2.6</v>
      </c>
      <c r="I134" s="3">
        <f t="shared" si="4"/>
        <v>10.4</v>
      </c>
      <c r="J134" s="27">
        <f t="shared" si="5"/>
        <v>45673</v>
      </c>
      <c r="K134" s="27">
        <f t="shared" si="6"/>
        <v>45703</v>
      </c>
    </row>
    <row r="135" hidden="1">
      <c r="A135" s="3" t="str">
        <f t="shared" si="3"/>
        <v>SL-20250127-Vglobal-CS 009-13</v>
      </c>
      <c r="B135" s="2">
        <f t="array" ref="B135">INDEX(helper!$A$3:$A3996,ROUNDUP((ROW()-1)/COUNTA(helper!$D$3:$D3996),0))</f>
        <v>45684</v>
      </c>
      <c r="C135" s="5" t="str">
        <f t="array" ref="C135">IF(B135="","",INDEX(helper!$D$3:$D3996,MOD(ROW()-2,COUNTA(helper!$D$3:$D3996))+1))</f>
        <v>Vglobal</v>
      </c>
      <c r="D135" s="3" t="str">
        <f t="array" ref="D135">IF(B135="","",INDEX(helper!$E$3:$E3996,MOD(ROW()-2,COUNTA(helper!$D$3:$D3996))+1))</f>
        <v>CS 009</v>
      </c>
      <c r="E135" s="3">
        <f t="array" ref="E135">IF(B135="","",INDEX(helper!$F$3:$F3996,MOD(ROW()-2,COUNTA(helper!$D$3:$D3996))+1))</f>
        <v>13</v>
      </c>
      <c r="F135" s="3">
        <f>IF(B135="","",SUMIFS('inventory ledger'!$H:$H,'inventory ledger'!$C:$C,C135,'inventory ledger'!$D:$D,D135,'inventory ledger'!$E:$E,E135,'inventory ledger'!$A:$A,"&lt;="&amp;B135+TIME(23,59,59))-SUMIFS('inventory ledger'!$I:$I,'inventory ledger'!$C:$C,C135,'inventory ledger'!$D:$D,D135,'inventory ledger'!$E:$E,E135,'inventory ledger'!$A:$A,"&lt;="&amp;B135+TIME(23,59,59)))</f>
        <v>88</v>
      </c>
      <c r="G135" s="3">
        <f>IFERROR(__xludf.DUMMYFUNCTION("IF(F135&lt;=0,0,IFERROR(ROUNDUP(F135/INDEX(FILTER('warehouse config'!$D:$D,('warehouse config'!$B:$B=C135)*('warehouse config'!$C:$C=D135)*('warehouse config'!$G:$G&lt;=B135)*(('warehouse config'!$H:$H&gt;=B135)+ISBLANK('warehouse config'!$H:$H))),1)),0))"),6.0)</f>
        <v>6</v>
      </c>
      <c r="H135" s="3">
        <f>IFERROR(__xludf.DUMMYFUNCTION("IFERROR(INDEX(FILTER('cost master'!$E:$E,('cost master'!$B:$B=C135)*('cost master'!$D:$D=""Storage cost per pallet / week"")*('cost master'!$G:$G&lt;=B135)*(('cost master'!$H:$H&gt;=B135)+ISBLANK('cost master'!$H:$H))),1),0)"),2.6)</f>
        <v>2.6</v>
      </c>
      <c r="I135" s="3">
        <f t="shared" si="4"/>
        <v>15.6</v>
      </c>
      <c r="J135" s="27">
        <f t="shared" si="5"/>
        <v>45673</v>
      </c>
      <c r="K135" s="27">
        <f t="shared" si="6"/>
        <v>45703</v>
      </c>
    </row>
    <row r="136" hidden="1">
      <c r="A136" s="3" t="str">
        <f t="shared" si="3"/>
        <v>SL-20250127-Vglobal-CS 012-13</v>
      </c>
      <c r="B136" s="2">
        <f t="array" ref="B136">INDEX(helper!$A$3:$A3996,ROUNDUP((ROW()-1)/COUNTA(helper!$D$3:$D3996),0))</f>
        <v>45684</v>
      </c>
      <c r="C136" s="5" t="str">
        <f t="array" ref="C136">IF(B136="","",INDEX(helper!$D$3:$D3996,MOD(ROW()-2,COUNTA(helper!$D$3:$D3996))+1))</f>
        <v>Vglobal</v>
      </c>
      <c r="D136" s="3" t="str">
        <f t="array" ref="D136">IF(B136="","",INDEX(helper!$E$3:$E3996,MOD(ROW()-2,COUNTA(helper!$D$3:$D3996))+1))</f>
        <v>CS 012</v>
      </c>
      <c r="E136" s="3">
        <f t="array" ref="E136">IF(B136="","",INDEX(helper!$F$3:$F3996,MOD(ROW()-2,COUNTA(helper!$D$3:$D3996))+1))</f>
        <v>13</v>
      </c>
      <c r="F136" s="3">
        <f>IF(B136="","",SUMIFS('inventory ledger'!$H:$H,'inventory ledger'!$C:$C,C136,'inventory ledger'!$D:$D,D136,'inventory ledger'!$E:$E,E136,'inventory ledger'!$A:$A,"&lt;="&amp;B136+TIME(23,59,59))-SUMIFS('inventory ledger'!$I:$I,'inventory ledger'!$C:$C,C136,'inventory ledger'!$D:$D,D136,'inventory ledger'!$E:$E,E136,'inventory ledger'!$A:$A,"&lt;="&amp;B136+TIME(23,59,59)))</f>
        <v>113</v>
      </c>
      <c r="G136" s="3">
        <f>IFERROR(__xludf.DUMMYFUNCTION("IF(F136&lt;=0,0,IFERROR(ROUNDUP(F136/INDEX(FILTER('warehouse config'!$D:$D,('warehouse config'!$B:$B=C136)*('warehouse config'!$C:$C=D136)*('warehouse config'!$G:$G&lt;=B136)*(('warehouse config'!$H:$H&gt;=B136)+ISBLANK('warehouse config'!$H:$H))),1)),0))"),6.0)</f>
        <v>6</v>
      </c>
      <c r="H136" s="3">
        <f>IFERROR(__xludf.DUMMYFUNCTION("IFERROR(INDEX(FILTER('cost master'!$E:$E,('cost master'!$B:$B=C136)*('cost master'!$D:$D=""Storage cost per pallet / week"")*('cost master'!$G:$G&lt;=B136)*(('cost master'!$H:$H&gt;=B136)+ISBLANK('cost master'!$H:$H))),1),0)"),2.6)</f>
        <v>2.6</v>
      </c>
      <c r="I136" s="3">
        <f t="shared" si="4"/>
        <v>15.6</v>
      </c>
      <c r="J136" s="27">
        <f t="shared" si="5"/>
        <v>45673</v>
      </c>
      <c r="K136" s="27">
        <f t="shared" si="6"/>
        <v>45703</v>
      </c>
    </row>
    <row r="137" hidden="1">
      <c r="A137" s="3" t="str">
        <f t="shared" si="3"/>
        <v>SL-20250127-FMC-CS 008-11</v>
      </c>
      <c r="B137" s="2">
        <f t="array" ref="B137">INDEX(helper!$A$3:$A3996,ROUNDUP((ROW()-1)/COUNTA(helper!$D$3:$D3996),0))</f>
        <v>45684</v>
      </c>
      <c r="C137" s="5" t="str">
        <f t="array" ref="C137">IF(B137="","",INDEX(helper!$D$3:$D3996,MOD(ROW()-2,COUNTA(helper!$D$3:$D3996))+1))</f>
        <v>FMC</v>
      </c>
      <c r="D137" s="3" t="str">
        <f t="array" ref="D137">IF(B137="","",INDEX(helper!$E$3:$E3996,MOD(ROW()-2,COUNTA(helper!$D$3:$D3996))+1))</f>
        <v>CS 008</v>
      </c>
      <c r="E137" s="3">
        <f t="array" ref="E137">IF(B137="","",INDEX(helper!$F$3:$F3996,MOD(ROW()-2,COUNTA(helper!$D$3:$D3996))+1))</f>
        <v>11</v>
      </c>
      <c r="F137" s="3">
        <f>IF(B137="","",SUMIFS('inventory ledger'!$H:$H,'inventory ledger'!$C:$C,C137,'inventory ledger'!$D:$D,D137,'inventory ledger'!$E:$E,E137,'inventory ledger'!$A:$A,"&lt;="&amp;B137+TIME(23,59,59))-SUMIFS('inventory ledger'!$I:$I,'inventory ledger'!$C:$C,C137,'inventory ledger'!$D:$D,D137,'inventory ledger'!$E:$E,E137,'inventory ledger'!$A:$A,"&lt;="&amp;B137+TIME(23,59,59)))</f>
        <v>0</v>
      </c>
      <c r="G137" s="3">
        <f>IFERROR(__xludf.DUMMYFUNCTION("IF(F137&lt;=0,0,IFERROR(ROUNDUP(F137/INDEX(FILTER('warehouse config'!$D:$D,('warehouse config'!$B:$B=C137)*('warehouse config'!$C:$C=D137)*('warehouse config'!$G:$G&lt;=B137)*(('warehouse config'!$H:$H&gt;=B137)+ISBLANK('warehouse config'!$H:$H))),1)),0))"),0.0)</f>
        <v>0</v>
      </c>
      <c r="H137" s="3">
        <f>IFERROR(__xludf.DUMMYFUNCTION("IFERROR(INDEX(FILTER('cost master'!$E:$E,('cost master'!$B:$B=C137)*('cost master'!$D:$D=""Storage cost per pallet / week"")*('cost master'!$G:$G&lt;=B137)*(('cost master'!$H:$H&gt;=B137)+ISBLANK('cost master'!$H:$H))),1),0)"),3.9)</f>
        <v>3.9</v>
      </c>
      <c r="I137" s="3">
        <f t="shared" si="4"/>
        <v>0</v>
      </c>
      <c r="J137" s="27">
        <f t="shared" si="5"/>
        <v>45673</v>
      </c>
      <c r="K137" s="27">
        <f t="shared" si="6"/>
        <v>45703</v>
      </c>
    </row>
    <row r="138" hidden="1">
      <c r="A138" s="3" t="str">
        <f t="shared" si="3"/>
        <v>SL-20250203-FMC-CS 007-8</v>
      </c>
      <c r="B138" s="2">
        <f t="array" ref="B138">INDEX(helper!$A$3:$A3996,ROUNDUP((ROW()-1)/COUNTA(helper!$D$3:$D3996),0))</f>
        <v>45691</v>
      </c>
      <c r="C138" s="5" t="str">
        <f t="array" ref="C138">IF(B138="","",INDEX(helper!$D$3:$D3996,MOD(ROW()-2,COUNTA(helper!$D$3:$D3996))+1))</f>
        <v>FMC</v>
      </c>
      <c r="D138" s="3" t="str">
        <f t="array" ref="D138">IF(B138="","",INDEX(helper!$E$3:$E3996,MOD(ROW()-2,COUNTA(helper!$D$3:$D3996))+1))</f>
        <v>CS 007</v>
      </c>
      <c r="E138" s="3">
        <f t="array" ref="E138">IF(B138="","",INDEX(helper!$F$3:$F3996,MOD(ROW()-2,COUNTA(helper!$D$3:$D3996))+1))</f>
        <v>8</v>
      </c>
      <c r="F138" s="3">
        <f>IF(B138="","",SUMIFS('inventory ledger'!$H:$H,'inventory ledger'!$C:$C,C138,'inventory ledger'!$D:$D,D138,'inventory ledger'!$E:$E,E138,'inventory ledger'!$A:$A,"&lt;="&amp;B138+TIME(23,59,59))-SUMIFS('inventory ledger'!$I:$I,'inventory ledger'!$C:$C,C138,'inventory ledger'!$D:$D,D138,'inventory ledger'!$E:$E,E138,'inventory ledger'!$A:$A,"&lt;="&amp;B138+TIME(23,59,59)))</f>
        <v>0</v>
      </c>
      <c r="G138" s="3">
        <f>IFERROR(__xludf.DUMMYFUNCTION("IF(F138&lt;=0,0,IFERROR(ROUNDUP(F138/INDEX(FILTER('warehouse config'!$D:$D,('warehouse config'!$B:$B=C138)*('warehouse config'!$C:$C=D138)*('warehouse config'!$G:$G&lt;=B138)*(('warehouse config'!$H:$H&gt;=B138)+ISBLANK('warehouse config'!$H:$H))),1)),0))"),0.0)</f>
        <v>0</v>
      </c>
      <c r="H138" s="3">
        <f>IFERROR(__xludf.DUMMYFUNCTION("IFERROR(INDEX(FILTER('cost master'!$E:$E,('cost master'!$B:$B=C138)*('cost master'!$D:$D=""Storage cost per pallet / week"")*('cost master'!$G:$G&lt;=B138)*(('cost master'!$H:$H&gt;=B138)+ISBLANK('cost master'!$H:$H))),1),0)"),3.9)</f>
        <v>3.9</v>
      </c>
      <c r="I138" s="3">
        <f t="shared" si="4"/>
        <v>0</v>
      </c>
      <c r="J138" s="27">
        <f t="shared" si="5"/>
        <v>45673</v>
      </c>
      <c r="K138" s="27">
        <f t="shared" si="6"/>
        <v>45703</v>
      </c>
    </row>
    <row r="139" hidden="1">
      <c r="A139" s="3" t="str">
        <f t="shared" si="3"/>
        <v>SL-20250203-FMC-CS 008-8</v>
      </c>
      <c r="B139" s="2">
        <f t="array" ref="B139">INDEX(helper!$A$3:$A3996,ROUNDUP((ROW()-1)/COUNTA(helper!$D$3:$D3996),0))</f>
        <v>45691</v>
      </c>
      <c r="C139" s="5" t="str">
        <f t="array" ref="C139">IF(B139="","",INDEX(helper!$D$3:$D3996,MOD(ROW()-2,COUNTA(helper!$D$3:$D3996))+1))</f>
        <v>FMC</v>
      </c>
      <c r="D139" s="3" t="str">
        <f t="array" ref="D139">IF(B139="","",INDEX(helper!$E$3:$E3996,MOD(ROW()-2,COUNTA(helper!$D$3:$D3996))+1))</f>
        <v>CS 008</v>
      </c>
      <c r="E139" s="3">
        <f t="array" ref="E139">IF(B139="","",INDEX(helper!$F$3:$F3996,MOD(ROW()-2,COUNTA(helper!$D$3:$D3996))+1))</f>
        <v>8</v>
      </c>
      <c r="F139" s="3">
        <f>IF(B139="","",SUMIFS('inventory ledger'!$H:$H,'inventory ledger'!$C:$C,C139,'inventory ledger'!$D:$D,D139,'inventory ledger'!$E:$E,E139,'inventory ledger'!$A:$A,"&lt;="&amp;B139+TIME(23,59,59))-SUMIFS('inventory ledger'!$I:$I,'inventory ledger'!$C:$C,C139,'inventory ledger'!$D:$D,D139,'inventory ledger'!$E:$E,E139,'inventory ledger'!$A:$A,"&lt;="&amp;B139+TIME(23,59,59)))</f>
        <v>0</v>
      </c>
      <c r="G139" s="3">
        <f>IFERROR(__xludf.DUMMYFUNCTION("IF(F139&lt;=0,0,IFERROR(ROUNDUP(F139/INDEX(FILTER('warehouse config'!$D:$D,('warehouse config'!$B:$B=C139)*('warehouse config'!$C:$C=D139)*('warehouse config'!$G:$G&lt;=B139)*(('warehouse config'!$H:$H&gt;=B139)+ISBLANK('warehouse config'!$H:$H))),1)),0))"),0.0)</f>
        <v>0</v>
      </c>
      <c r="H139" s="3">
        <f>IFERROR(__xludf.DUMMYFUNCTION("IFERROR(INDEX(FILTER('cost master'!$E:$E,('cost master'!$B:$B=C139)*('cost master'!$D:$D=""Storage cost per pallet / week"")*('cost master'!$G:$G&lt;=B139)*(('cost master'!$H:$H&gt;=B139)+ISBLANK('cost master'!$H:$H))),1),0)"),3.9)</f>
        <v>3.9</v>
      </c>
      <c r="I139" s="3">
        <f t="shared" si="4"/>
        <v>0</v>
      </c>
      <c r="J139" s="27">
        <f t="shared" si="5"/>
        <v>45673</v>
      </c>
      <c r="K139" s="27">
        <f t="shared" si="6"/>
        <v>45703</v>
      </c>
    </row>
    <row r="140" hidden="1">
      <c r="A140" s="3" t="str">
        <f t="shared" si="3"/>
        <v>SL-20250203-FMC-CS 009-8</v>
      </c>
      <c r="B140" s="2">
        <f t="array" ref="B140">INDEX(helper!$A$3:$A3996,ROUNDUP((ROW()-1)/COUNTA(helper!$D$3:$D3996),0))</f>
        <v>45691</v>
      </c>
      <c r="C140" s="5" t="str">
        <f t="array" ref="C140">IF(B140="","",INDEX(helper!$D$3:$D3996,MOD(ROW()-2,COUNTA(helper!$D$3:$D3996))+1))</f>
        <v>FMC</v>
      </c>
      <c r="D140" s="3" t="str">
        <f t="array" ref="D140">IF(B140="","",INDEX(helper!$E$3:$E3996,MOD(ROW()-2,COUNTA(helper!$D$3:$D3996))+1))</f>
        <v>CS 009</v>
      </c>
      <c r="E140" s="3">
        <f t="array" ref="E140">IF(B140="","",INDEX(helper!$F$3:$F3996,MOD(ROW()-2,COUNTA(helper!$D$3:$D3996))+1))</f>
        <v>8</v>
      </c>
      <c r="F140" s="3">
        <f>IF(B140="","",SUMIFS('inventory ledger'!$H:$H,'inventory ledger'!$C:$C,C140,'inventory ledger'!$D:$D,D140,'inventory ledger'!$E:$E,E140,'inventory ledger'!$A:$A,"&lt;="&amp;B140+TIME(23,59,59))-SUMIFS('inventory ledger'!$I:$I,'inventory ledger'!$C:$C,C140,'inventory ledger'!$D:$D,D140,'inventory ledger'!$E:$E,E140,'inventory ledger'!$A:$A,"&lt;="&amp;B140+TIME(23,59,59)))</f>
        <v>0</v>
      </c>
      <c r="G140" s="3">
        <f>IFERROR(__xludf.DUMMYFUNCTION("IF(F140&lt;=0,0,IFERROR(ROUNDUP(F140/INDEX(FILTER('warehouse config'!$D:$D,('warehouse config'!$B:$B=C140)*('warehouse config'!$C:$C=D140)*('warehouse config'!$G:$G&lt;=B140)*(('warehouse config'!$H:$H&gt;=B140)+ISBLANK('warehouse config'!$H:$H))),1)),0))"),0.0)</f>
        <v>0</v>
      </c>
      <c r="H140" s="3">
        <f>IFERROR(__xludf.DUMMYFUNCTION("IFERROR(INDEX(FILTER('cost master'!$E:$E,('cost master'!$B:$B=C140)*('cost master'!$D:$D=""Storage cost per pallet / week"")*('cost master'!$G:$G&lt;=B140)*(('cost master'!$H:$H&gt;=B140)+ISBLANK('cost master'!$H:$H))),1),0)"),3.9)</f>
        <v>3.9</v>
      </c>
      <c r="I140" s="3">
        <f t="shared" si="4"/>
        <v>0</v>
      </c>
      <c r="J140" s="27">
        <f t="shared" si="5"/>
        <v>45673</v>
      </c>
      <c r="K140" s="27">
        <f t="shared" si="6"/>
        <v>45703</v>
      </c>
    </row>
    <row r="141" hidden="1">
      <c r="A141" s="3" t="str">
        <f t="shared" si="3"/>
        <v>SL-20250203-FMC-CS 010-8</v>
      </c>
      <c r="B141" s="2">
        <f t="array" ref="B141">INDEX(helper!$A$3:$A3996,ROUNDUP((ROW()-1)/COUNTA(helper!$D$3:$D3996),0))</f>
        <v>45691</v>
      </c>
      <c r="C141" s="5" t="str">
        <f t="array" ref="C141">IF(B141="","",INDEX(helper!$D$3:$D3996,MOD(ROW()-2,COUNTA(helper!$D$3:$D3996))+1))</f>
        <v>FMC</v>
      </c>
      <c r="D141" s="3" t="str">
        <f t="array" ref="D141">IF(B141="","",INDEX(helper!$E$3:$E3996,MOD(ROW()-2,COUNTA(helper!$D$3:$D3996))+1))</f>
        <v>CS 010</v>
      </c>
      <c r="E141" s="3">
        <f t="array" ref="E141">IF(B141="","",INDEX(helper!$F$3:$F3996,MOD(ROW()-2,COUNTA(helper!$D$3:$D3996))+1))</f>
        <v>8</v>
      </c>
      <c r="F141" s="3">
        <f>IF(B141="","",SUMIFS('inventory ledger'!$H:$H,'inventory ledger'!$C:$C,C141,'inventory ledger'!$D:$D,D141,'inventory ledger'!$E:$E,E141,'inventory ledger'!$A:$A,"&lt;="&amp;B141+TIME(23,59,59))-SUMIFS('inventory ledger'!$I:$I,'inventory ledger'!$C:$C,C141,'inventory ledger'!$D:$D,D141,'inventory ledger'!$E:$E,E141,'inventory ledger'!$A:$A,"&lt;="&amp;B141+TIME(23,59,59)))</f>
        <v>0</v>
      </c>
      <c r="G141" s="3">
        <f>IFERROR(__xludf.DUMMYFUNCTION("IF(F141&lt;=0,0,IFERROR(ROUNDUP(F141/INDEX(FILTER('warehouse config'!$D:$D,('warehouse config'!$B:$B=C141)*('warehouse config'!$C:$C=D141)*('warehouse config'!$G:$G&lt;=B141)*(('warehouse config'!$H:$H&gt;=B141)+ISBLANK('warehouse config'!$H:$H))),1)),0))"),0.0)</f>
        <v>0</v>
      </c>
      <c r="H141" s="3">
        <f>IFERROR(__xludf.DUMMYFUNCTION("IFERROR(INDEX(FILTER('cost master'!$E:$E,('cost master'!$B:$B=C141)*('cost master'!$D:$D=""Storage cost per pallet / week"")*('cost master'!$G:$G&lt;=B141)*(('cost master'!$H:$H&gt;=B141)+ISBLANK('cost master'!$H:$H))),1),0)"),3.9)</f>
        <v>3.9</v>
      </c>
      <c r="I141" s="3">
        <f t="shared" si="4"/>
        <v>0</v>
      </c>
      <c r="J141" s="27">
        <f t="shared" si="5"/>
        <v>45673</v>
      </c>
      <c r="K141" s="27">
        <f t="shared" si="6"/>
        <v>45703</v>
      </c>
    </row>
    <row r="142" hidden="1">
      <c r="A142" s="3" t="str">
        <f t="shared" si="3"/>
        <v>SL-20250203-FMC-CS 007-9</v>
      </c>
      <c r="B142" s="2">
        <f t="array" ref="B142">INDEX(helper!$A$3:$A3996,ROUNDUP((ROW()-1)/COUNTA(helper!$D$3:$D3996),0))</f>
        <v>45691</v>
      </c>
      <c r="C142" s="5" t="str">
        <f t="array" ref="C142">IF(B142="","",INDEX(helper!$D$3:$D3996,MOD(ROW()-2,COUNTA(helper!$D$3:$D3996))+1))</f>
        <v>FMC</v>
      </c>
      <c r="D142" s="3" t="str">
        <f t="array" ref="D142">IF(B142="","",INDEX(helper!$E$3:$E3996,MOD(ROW()-2,COUNTA(helper!$D$3:$D3996))+1))</f>
        <v>CS 007</v>
      </c>
      <c r="E142" s="3">
        <f t="array" ref="E142">IF(B142="","",INDEX(helper!$F$3:$F3996,MOD(ROW()-2,COUNTA(helper!$D$3:$D3996))+1))</f>
        <v>9</v>
      </c>
      <c r="F142" s="3">
        <f>IF(B142="","",SUMIFS('inventory ledger'!$H:$H,'inventory ledger'!$C:$C,C142,'inventory ledger'!$D:$D,D142,'inventory ledger'!$E:$E,E142,'inventory ledger'!$A:$A,"&lt;="&amp;B142+TIME(23,59,59))-SUMIFS('inventory ledger'!$I:$I,'inventory ledger'!$C:$C,C142,'inventory ledger'!$D:$D,D142,'inventory ledger'!$E:$E,E142,'inventory ledger'!$A:$A,"&lt;="&amp;B142+TIME(23,59,59)))</f>
        <v>0</v>
      </c>
      <c r="G142" s="3">
        <f>IFERROR(__xludf.DUMMYFUNCTION("IF(F142&lt;=0,0,IFERROR(ROUNDUP(F142/INDEX(FILTER('warehouse config'!$D:$D,('warehouse config'!$B:$B=C142)*('warehouse config'!$C:$C=D142)*('warehouse config'!$G:$G&lt;=B142)*(('warehouse config'!$H:$H&gt;=B142)+ISBLANK('warehouse config'!$H:$H))),1)),0))"),0.0)</f>
        <v>0</v>
      </c>
      <c r="H142" s="3">
        <f>IFERROR(__xludf.DUMMYFUNCTION("IFERROR(INDEX(FILTER('cost master'!$E:$E,('cost master'!$B:$B=C142)*('cost master'!$D:$D=""Storage cost per pallet / week"")*('cost master'!$G:$G&lt;=B142)*(('cost master'!$H:$H&gt;=B142)+ISBLANK('cost master'!$H:$H))),1),0)"),3.9)</f>
        <v>3.9</v>
      </c>
      <c r="I142" s="3">
        <f t="shared" si="4"/>
        <v>0</v>
      </c>
      <c r="J142" s="27">
        <f t="shared" si="5"/>
        <v>45673</v>
      </c>
      <c r="K142" s="27">
        <f t="shared" si="6"/>
        <v>45703</v>
      </c>
    </row>
    <row r="143" hidden="1">
      <c r="A143" s="3" t="str">
        <f t="shared" si="3"/>
        <v>SL-20250203-FMC-CS 008-9</v>
      </c>
      <c r="B143" s="2">
        <f t="array" ref="B143">INDEX(helper!$A$3:$A3996,ROUNDUP((ROW()-1)/COUNTA(helper!$D$3:$D3996),0))</f>
        <v>45691</v>
      </c>
      <c r="C143" s="5" t="str">
        <f t="array" ref="C143">IF(B143="","",INDEX(helper!$D$3:$D3996,MOD(ROW()-2,COUNTA(helper!$D$3:$D3996))+1))</f>
        <v>FMC</v>
      </c>
      <c r="D143" s="3" t="str">
        <f t="array" ref="D143">IF(B143="","",INDEX(helper!$E$3:$E3996,MOD(ROW()-2,COUNTA(helper!$D$3:$D3996))+1))</f>
        <v>CS 008</v>
      </c>
      <c r="E143" s="3">
        <f t="array" ref="E143">IF(B143="","",INDEX(helper!$F$3:$F3996,MOD(ROW()-2,COUNTA(helper!$D$3:$D3996))+1))</f>
        <v>9</v>
      </c>
      <c r="F143" s="3">
        <f>IF(B143="","",SUMIFS('inventory ledger'!$H:$H,'inventory ledger'!$C:$C,C143,'inventory ledger'!$D:$D,D143,'inventory ledger'!$E:$E,E143,'inventory ledger'!$A:$A,"&lt;="&amp;B143+TIME(23,59,59))-SUMIFS('inventory ledger'!$I:$I,'inventory ledger'!$C:$C,C143,'inventory ledger'!$D:$D,D143,'inventory ledger'!$E:$E,E143,'inventory ledger'!$A:$A,"&lt;="&amp;B143+TIME(23,59,59)))</f>
        <v>14</v>
      </c>
      <c r="G143" s="3">
        <f>IFERROR(__xludf.DUMMYFUNCTION("IF(F143&lt;=0,0,IFERROR(ROUNDUP(F143/INDEX(FILTER('warehouse config'!$D:$D,('warehouse config'!$B:$B=C143)*('warehouse config'!$C:$C=D143)*('warehouse config'!$G:$G&lt;=B143)*(('warehouse config'!$H:$H&gt;=B143)+ISBLANK('warehouse config'!$H:$H))),1)),0))"),1.0)</f>
        <v>1</v>
      </c>
      <c r="H143" s="3">
        <f>IFERROR(__xludf.DUMMYFUNCTION("IFERROR(INDEX(FILTER('cost master'!$E:$E,('cost master'!$B:$B=C143)*('cost master'!$D:$D=""Storage cost per pallet / week"")*('cost master'!$G:$G&lt;=B143)*(('cost master'!$H:$H&gt;=B143)+ISBLANK('cost master'!$H:$H))),1),0)"),3.9)</f>
        <v>3.9</v>
      </c>
      <c r="I143" s="3">
        <f t="shared" si="4"/>
        <v>3.9</v>
      </c>
      <c r="J143" s="27">
        <f t="shared" si="5"/>
        <v>45673</v>
      </c>
      <c r="K143" s="27">
        <f t="shared" si="6"/>
        <v>45703</v>
      </c>
    </row>
    <row r="144" hidden="1">
      <c r="A144" s="3" t="str">
        <f t="shared" si="3"/>
        <v>SL-20250203-FMC-CS 009-9</v>
      </c>
      <c r="B144" s="2">
        <f t="array" ref="B144">INDEX(helper!$A$3:$A3996,ROUNDUP((ROW()-1)/COUNTA(helper!$D$3:$D3996),0))</f>
        <v>45691</v>
      </c>
      <c r="C144" s="5" t="str">
        <f t="array" ref="C144">IF(B144="","",INDEX(helper!$D$3:$D3996,MOD(ROW()-2,COUNTA(helper!$D$3:$D3996))+1))</f>
        <v>FMC</v>
      </c>
      <c r="D144" s="3" t="str">
        <f t="array" ref="D144">IF(B144="","",INDEX(helper!$E$3:$E3996,MOD(ROW()-2,COUNTA(helper!$D$3:$D3996))+1))</f>
        <v>CS 009</v>
      </c>
      <c r="E144" s="3">
        <f t="array" ref="E144">IF(B144="","",INDEX(helper!$F$3:$F3996,MOD(ROW()-2,COUNTA(helper!$D$3:$D3996))+1))</f>
        <v>9</v>
      </c>
      <c r="F144" s="3">
        <f>IF(B144="","",SUMIFS('inventory ledger'!$H:$H,'inventory ledger'!$C:$C,C144,'inventory ledger'!$D:$D,D144,'inventory ledger'!$E:$E,E144,'inventory ledger'!$A:$A,"&lt;="&amp;B144+TIME(23,59,59))-SUMIFS('inventory ledger'!$I:$I,'inventory ledger'!$C:$C,C144,'inventory ledger'!$D:$D,D144,'inventory ledger'!$E:$E,E144,'inventory ledger'!$A:$A,"&lt;="&amp;B144+TIME(23,59,59)))</f>
        <v>0</v>
      </c>
      <c r="G144" s="3">
        <f>IFERROR(__xludf.DUMMYFUNCTION("IF(F144&lt;=0,0,IFERROR(ROUNDUP(F144/INDEX(FILTER('warehouse config'!$D:$D,('warehouse config'!$B:$B=C144)*('warehouse config'!$C:$C=D144)*('warehouse config'!$G:$G&lt;=B144)*(('warehouse config'!$H:$H&gt;=B144)+ISBLANK('warehouse config'!$H:$H))),1)),0))"),0.0)</f>
        <v>0</v>
      </c>
      <c r="H144" s="3">
        <f>IFERROR(__xludf.DUMMYFUNCTION("IFERROR(INDEX(FILTER('cost master'!$E:$E,('cost master'!$B:$B=C144)*('cost master'!$D:$D=""Storage cost per pallet / week"")*('cost master'!$G:$G&lt;=B144)*(('cost master'!$H:$H&gt;=B144)+ISBLANK('cost master'!$H:$H))),1),0)"),3.9)</f>
        <v>3.9</v>
      </c>
      <c r="I144" s="3">
        <f t="shared" si="4"/>
        <v>0</v>
      </c>
      <c r="J144" s="27">
        <f t="shared" si="5"/>
        <v>45673</v>
      </c>
      <c r="K144" s="27">
        <f t="shared" si="6"/>
        <v>45703</v>
      </c>
    </row>
    <row r="145" hidden="1">
      <c r="A145" s="3" t="str">
        <f t="shared" si="3"/>
        <v>SL-20250203-FMC-CS 010-9</v>
      </c>
      <c r="B145" s="2">
        <f t="array" ref="B145">INDEX(helper!$A$3:$A3996,ROUNDUP((ROW()-1)/COUNTA(helper!$D$3:$D3996),0))</f>
        <v>45691</v>
      </c>
      <c r="C145" s="5" t="str">
        <f t="array" ref="C145">IF(B145="","",INDEX(helper!$D$3:$D3996,MOD(ROW()-2,COUNTA(helper!$D$3:$D3996))+1))</f>
        <v>FMC</v>
      </c>
      <c r="D145" s="3" t="str">
        <f t="array" ref="D145">IF(B145="","",INDEX(helper!$E$3:$E3996,MOD(ROW()-2,COUNTA(helper!$D$3:$D3996))+1))</f>
        <v>CS 010</v>
      </c>
      <c r="E145" s="3">
        <f t="array" ref="E145">IF(B145="","",INDEX(helper!$F$3:$F3996,MOD(ROW()-2,COUNTA(helper!$D$3:$D3996))+1))</f>
        <v>9</v>
      </c>
      <c r="F145" s="3">
        <f>IF(B145="","",SUMIFS('inventory ledger'!$H:$H,'inventory ledger'!$C:$C,C145,'inventory ledger'!$D:$D,D145,'inventory ledger'!$E:$E,E145,'inventory ledger'!$A:$A,"&lt;="&amp;B145+TIME(23,59,59))-SUMIFS('inventory ledger'!$I:$I,'inventory ledger'!$C:$C,C145,'inventory ledger'!$D:$D,D145,'inventory ledger'!$E:$E,E145,'inventory ledger'!$A:$A,"&lt;="&amp;B145+TIME(23,59,59)))</f>
        <v>0</v>
      </c>
      <c r="G145" s="3">
        <f>IFERROR(__xludf.DUMMYFUNCTION("IF(F145&lt;=0,0,IFERROR(ROUNDUP(F145/INDEX(FILTER('warehouse config'!$D:$D,('warehouse config'!$B:$B=C145)*('warehouse config'!$C:$C=D145)*('warehouse config'!$G:$G&lt;=B145)*(('warehouse config'!$H:$H&gt;=B145)+ISBLANK('warehouse config'!$H:$H))),1)),0))"),0.0)</f>
        <v>0</v>
      </c>
      <c r="H145" s="3">
        <f>IFERROR(__xludf.DUMMYFUNCTION("IFERROR(INDEX(FILTER('cost master'!$E:$E,('cost master'!$B:$B=C145)*('cost master'!$D:$D=""Storage cost per pallet / week"")*('cost master'!$G:$G&lt;=B145)*(('cost master'!$H:$H&gt;=B145)+ISBLANK('cost master'!$H:$H))),1),0)"),3.9)</f>
        <v>3.9</v>
      </c>
      <c r="I145" s="3">
        <f t="shared" si="4"/>
        <v>0</v>
      </c>
      <c r="J145" s="27">
        <f t="shared" si="5"/>
        <v>45673</v>
      </c>
      <c r="K145" s="27">
        <f t="shared" si="6"/>
        <v>45703</v>
      </c>
    </row>
    <row r="146" hidden="1">
      <c r="A146" s="3" t="str">
        <f t="shared" si="3"/>
        <v>SL-20250203-FMC-CS-CDS-001-9</v>
      </c>
      <c r="B146" s="2">
        <f t="array" ref="B146">INDEX(helper!$A$3:$A3996,ROUNDUP((ROW()-1)/COUNTA(helper!$D$3:$D3996),0))</f>
        <v>45691</v>
      </c>
      <c r="C146" s="5" t="str">
        <f t="array" ref="C146">IF(B146="","",INDEX(helper!$D$3:$D3996,MOD(ROW()-2,COUNTA(helper!$D$3:$D3996))+1))</f>
        <v>FMC</v>
      </c>
      <c r="D146" s="3" t="str">
        <f t="array" ref="D146">IF(B146="","",INDEX(helper!$E$3:$E3996,MOD(ROW()-2,COUNTA(helper!$D$3:$D3996))+1))</f>
        <v>CS-CDS-001</v>
      </c>
      <c r="E146" s="3">
        <f t="array" ref="E146">IF(B146="","",INDEX(helper!$F$3:$F3996,MOD(ROW()-2,COUNTA(helper!$D$3:$D3996))+1))</f>
        <v>9</v>
      </c>
      <c r="F146" s="3">
        <f>IF(B146="","",SUMIFS('inventory ledger'!$H:$H,'inventory ledger'!$C:$C,C146,'inventory ledger'!$D:$D,D146,'inventory ledger'!$E:$E,E146,'inventory ledger'!$A:$A,"&lt;="&amp;B146+TIME(23,59,59))-SUMIFS('inventory ledger'!$I:$I,'inventory ledger'!$C:$C,C146,'inventory ledger'!$D:$D,D146,'inventory ledger'!$E:$E,E146,'inventory ledger'!$A:$A,"&lt;="&amp;B146+TIME(23,59,59)))</f>
        <v>0</v>
      </c>
      <c r="G146" s="3">
        <f>IFERROR(__xludf.DUMMYFUNCTION("IF(F146&lt;=0,0,IFERROR(ROUNDUP(F146/INDEX(FILTER('warehouse config'!$D:$D,('warehouse config'!$B:$B=C146)*('warehouse config'!$C:$C=D146)*('warehouse config'!$G:$G&lt;=B146)*(('warehouse config'!$H:$H&gt;=B146)+ISBLANK('warehouse config'!$H:$H))),1)),0))"),0.0)</f>
        <v>0</v>
      </c>
      <c r="H146" s="3">
        <f>IFERROR(__xludf.DUMMYFUNCTION("IFERROR(INDEX(FILTER('cost master'!$E:$E,('cost master'!$B:$B=C146)*('cost master'!$D:$D=""Storage cost per pallet / week"")*('cost master'!$G:$G&lt;=B146)*(('cost master'!$H:$H&gt;=B146)+ISBLANK('cost master'!$H:$H))),1),0)"),3.9)</f>
        <v>3.9</v>
      </c>
      <c r="I146" s="3">
        <f t="shared" si="4"/>
        <v>0</v>
      </c>
      <c r="J146" s="27">
        <f t="shared" si="5"/>
        <v>45673</v>
      </c>
      <c r="K146" s="27">
        <f t="shared" si="6"/>
        <v>45703</v>
      </c>
    </row>
    <row r="147" hidden="1">
      <c r="A147" s="3" t="str">
        <f t="shared" si="3"/>
        <v>SL-20250203-FMC-CS-CDS-002-9</v>
      </c>
      <c r="B147" s="2">
        <f t="array" ref="B147">INDEX(helper!$A$3:$A3996,ROUNDUP((ROW()-1)/COUNTA(helper!$D$3:$D3996),0))</f>
        <v>45691</v>
      </c>
      <c r="C147" s="5" t="str">
        <f t="array" ref="C147">IF(B147="","",INDEX(helper!$D$3:$D3996,MOD(ROW()-2,COUNTA(helper!$D$3:$D3996))+1))</f>
        <v>FMC</v>
      </c>
      <c r="D147" s="3" t="str">
        <f t="array" ref="D147">IF(B147="","",INDEX(helper!$E$3:$E3996,MOD(ROW()-2,COUNTA(helper!$D$3:$D3996))+1))</f>
        <v>CS-CDS-002</v>
      </c>
      <c r="E147" s="3">
        <f t="array" ref="E147">IF(B147="","",INDEX(helper!$F$3:$F3996,MOD(ROW()-2,COUNTA(helper!$D$3:$D3996))+1))</f>
        <v>9</v>
      </c>
      <c r="F147" s="3">
        <f>IF(B147="","",SUMIFS('inventory ledger'!$H:$H,'inventory ledger'!$C:$C,C147,'inventory ledger'!$D:$D,D147,'inventory ledger'!$E:$E,E147,'inventory ledger'!$A:$A,"&lt;="&amp;B147+TIME(23,59,59))-SUMIFS('inventory ledger'!$I:$I,'inventory ledger'!$C:$C,C147,'inventory ledger'!$D:$D,D147,'inventory ledger'!$E:$E,E147,'inventory ledger'!$A:$A,"&lt;="&amp;B147+TIME(23,59,59)))</f>
        <v>0</v>
      </c>
      <c r="G147" s="3">
        <f>IFERROR(__xludf.DUMMYFUNCTION("IF(F147&lt;=0,0,IFERROR(ROUNDUP(F147/INDEX(FILTER('warehouse config'!$D:$D,('warehouse config'!$B:$B=C147)*('warehouse config'!$C:$C=D147)*('warehouse config'!$G:$G&lt;=B147)*(('warehouse config'!$H:$H&gt;=B147)+ISBLANK('warehouse config'!$H:$H))),1)),0))"),0.0)</f>
        <v>0</v>
      </c>
      <c r="H147" s="3">
        <f>IFERROR(__xludf.DUMMYFUNCTION("IFERROR(INDEX(FILTER('cost master'!$E:$E,('cost master'!$B:$B=C147)*('cost master'!$D:$D=""Storage cost per pallet / week"")*('cost master'!$G:$G&lt;=B147)*(('cost master'!$H:$H&gt;=B147)+ISBLANK('cost master'!$H:$H))),1),0)"),3.9)</f>
        <v>3.9</v>
      </c>
      <c r="I147" s="3">
        <f t="shared" si="4"/>
        <v>0</v>
      </c>
      <c r="J147" s="27">
        <f t="shared" si="5"/>
        <v>45673</v>
      </c>
      <c r="K147" s="27">
        <f t="shared" si="6"/>
        <v>45703</v>
      </c>
    </row>
    <row r="148" hidden="1">
      <c r="A148" s="3" t="str">
        <f t="shared" si="3"/>
        <v>SL-20250203-FMC-CS 007-10</v>
      </c>
      <c r="B148" s="2">
        <f t="array" ref="B148">INDEX(helper!$A$3:$A3996,ROUNDUP((ROW()-1)/COUNTA(helper!$D$3:$D3996),0))</f>
        <v>45691</v>
      </c>
      <c r="C148" s="5" t="str">
        <f t="array" ref="C148">IF(B148="","",INDEX(helper!$D$3:$D3996,MOD(ROW()-2,COUNTA(helper!$D$3:$D3996))+1))</f>
        <v>FMC</v>
      </c>
      <c r="D148" s="3" t="str">
        <f t="array" ref="D148">IF(B148="","",INDEX(helper!$E$3:$E3996,MOD(ROW()-2,COUNTA(helper!$D$3:$D3996))+1))</f>
        <v>CS 007</v>
      </c>
      <c r="E148" s="3">
        <f t="array" ref="E148">IF(B148="","",INDEX(helper!$F$3:$F3996,MOD(ROW()-2,COUNTA(helper!$D$3:$D3996))+1))</f>
        <v>10</v>
      </c>
      <c r="F148" s="3">
        <f>IF(B148="","",SUMIFS('inventory ledger'!$H:$H,'inventory ledger'!$C:$C,C148,'inventory ledger'!$D:$D,D148,'inventory ledger'!$E:$E,E148,'inventory ledger'!$A:$A,"&lt;="&amp;B148+TIME(23,59,59))-SUMIFS('inventory ledger'!$I:$I,'inventory ledger'!$C:$C,C148,'inventory ledger'!$D:$D,D148,'inventory ledger'!$E:$E,E148,'inventory ledger'!$A:$A,"&lt;="&amp;B148+TIME(23,59,59)))</f>
        <v>0</v>
      </c>
      <c r="G148" s="3">
        <f>IFERROR(__xludf.DUMMYFUNCTION("IF(F148&lt;=0,0,IFERROR(ROUNDUP(F148/INDEX(FILTER('warehouse config'!$D:$D,('warehouse config'!$B:$B=C148)*('warehouse config'!$C:$C=D148)*('warehouse config'!$G:$G&lt;=B148)*(('warehouse config'!$H:$H&gt;=B148)+ISBLANK('warehouse config'!$H:$H))),1)),0))"),0.0)</f>
        <v>0</v>
      </c>
      <c r="H148" s="3">
        <f>IFERROR(__xludf.DUMMYFUNCTION("IFERROR(INDEX(FILTER('cost master'!$E:$E,('cost master'!$B:$B=C148)*('cost master'!$D:$D=""Storage cost per pallet / week"")*('cost master'!$G:$G&lt;=B148)*(('cost master'!$H:$H&gt;=B148)+ISBLANK('cost master'!$H:$H))),1),0)"),3.9)</f>
        <v>3.9</v>
      </c>
      <c r="I148" s="3">
        <f t="shared" si="4"/>
        <v>0</v>
      </c>
      <c r="J148" s="27">
        <f t="shared" si="5"/>
        <v>45673</v>
      </c>
      <c r="K148" s="27">
        <f t="shared" si="6"/>
        <v>45703</v>
      </c>
    </row>
    <row r="149" hidden="1">
      <c r="A149" s="3" t="str">
        <f t="shared" si="3"/>
        <v>SL-20250203-FMC-CS 009-10</v>
      </c>
      <c r="B149" s="2">
        <f t="array" ref="B149">INDEX(helper!$A$3:$A3996,ROUNDUP((ROW()-1)/COUNTA(helper!$D$3:$D3996),0))</f>
        <v>45691</v>
      </c>
      <c r="C149" s="5" t="str">
        <f t="array" ref="C149">IF(B149="","",INDEX(helper!$D$3:$D3996,MOD(ROW()-2,COUNTA(helper!$D$3:$D3996))+1))</f>
        <v>FMC</v>
      </c>
      <c r="D149" s="3" t="str">
        <f t="array" ref="D149">IF(B149="","",INDEX(helper!$E$3:$E3996,MOD(ROW()-2,COUNTA(helper!$D$3:$D3996))+1))</f>
        <v>CS 009</v>
      </c>
      <c r="E149" s="3">
        <f t="array" ref="E149">IF(B149="","",INDEX(helper!$F$3:$F3996,MOD(ROW()-2,COUNTA(helper!$D$3:$D3996))+1))</f>
        <v>10</v>
      </c>
      <c r="F149" s="3">
        <f>IF(B149="","",SUMIFS('inventory ledger'!$H:$H,'inventory ledger'!$C:$C,C149,'inventory ledger'!$D:$D,D149,'inventory ledger'!$E:$E,E149,'inventory ledger'!$A:$A,"&lt;="&amp;B149+TIME(23,59,59))-SUMIFS('inventory ledger'!$I:$I,'inventory ledger'!$C:$C,C149,'inventory ledger'!$D:$D,D149,'inventory ledger'!$E:$E,E149,'inventory ledger'!$A:$A,"&lt;="&amp;B149+TIME(23,59,59)))</f>
        <v>0</v>
      </c>
      <c r="G149" s="3">
        <f>IFERROR(__xludf.DUMMYFUNCTION("IF(F149&lt;=0,0,IFERROR(ROUNDUP(F149/INDEX(FILTER('warehouse config'!$D:$D,('warehouse config'!$B:$B=C149)*('warehouse config'!$C:$C=D149)*('warehouse config'!$G:$G&lt;=B149)*(('warehouse config'!$H:$H&gt;=B149)+ISBLANK('warehouse config'!$H:$H))),1)),0))"),0.0)</f>
        <v>0</v>
      </c>
      <c r="H149" s="3">
        <f>IFERROR(__xludf.DUMMYFUNCTION("IFERROR(INDEX(FILTER('cost master'!$E:$E,('cost master'!$B:$B=C149)*('cost master'!$D:$D=""Storage cost per pallet / week"")*('cost master'!$G:$G&lt;=B149)*(('cost master'!$H:$H&gt;=B149)+ISBLANK('cost master'!$H:$H))),1),0)"),3.9)</f>
        <v>3.9</v>
      </c>
      <c r="I149" s="3">
        <f t="shared" si="4"/>
        <v>0</v>
      </c>
      <c r="J149" s="27">
        <f t="shared" si="5"/>
        <v>45673</v>
      </c>
      <c r="K149" s="27">
        <f t="shared" si="6"/>
        <v>45703</v>
      </c>
    </row>
    <row r="150" hidden="1">
      <c r="A150" s="3" t="str">
        <f t="shared" si="3"/>
        <v>SL-20250203-FMC-CS 010-10</v>
      </c>
      <c r="B150" s="2">
        <f t="array" ref="B150">INDEX(helper!$A$3:$A3996,ROUNDUP((ROW()-1)/COUNTA(helper!$D$3:$D3996),0))</f>
        <v>45691</v>
      </c>
      <c r="C150" s="5" t="str">
        <f t="array" ref="C150">IF(B150="","",INDEX(helper!$D$3:$D3996,MOD(ROW()-2,COUNTA(helper!$D$3:$D3996))+1))</f>
        <v>FMC</v>
      </c>
      <c r="D150" s="3" t="str">
        <f t="array" ref="D150">IF(B150="","",INDEX(helper!$E$3:$E3996,MOD(ROW()-2,COUNTA(helper!$D$3:$D3996))+1))</f>
        <v>CS 010</v>
      </c>
      <c r="E150" s="3">
        <f t="array" ref="E150">IF(B150="","",INDEX(helper!$F$3:$F3996,MOD(ROW()-2,COUNTA(helper!$D$3:$D3996))+1))</f>
        <v>10</v>
      </c>
      <c r="F150" s="3">
        <f>IF(B150="","",SUMIFS('inventory ledger'!$H:$H,'inventory ledger'!$C:$C,C150,'inventory ledger'!$D:$D,D150,'inventory ledger'!$E:$E,E150,'inventory ledger'!$A:$A,"&lt;="&amp;B150+TIME(23,59,59))-SUMIFS('inventory ledger'!$I:$I,'inventory ledger'!$C:$C,C150,'inventory ledger'!$D:$D,D150,'inventory ledger'!$E:$E,E150,'inventory ledger'!$A:$A,"&lt;="&amp;B150+TIME(23,59,59)))</f>
        <v>26</v>
      </c>
      <c r="G150" s="3">
        <f>IFERROR(__xludf.DUMMYFUNCTION("IF(F150&lt;=0,0,IFERROR(ROUNDUP(F150/INDEX(FILTER('warehouse config'!$D:$D,('warehouse config'!$B:$B=C150)*('warehouse config'!$C:$C=D150)*('warehouse config'!$G:$G&lt;=B150)*(('warehouse config'!$H:$H&gt;=B150)+ISBLANK('warehouse config'!$H:$H))),1)),0))"),1.0)</f>
        <v>1</v>
      </c>
      <c r="H150" s="3">
        <f>IFERROR(__xludf.DUMMYFUNCTION("IFERROR(INDEX(FILTER('cost master'!$E:$E,('cost master'!$B:$B=C150)*('cost master'!$D:$D=""Storage cost per pallet / week"")*('cost master'!$G:$G&lt;=B150)*(('cost master'!$H:$H&gt;=B150)+ISBLANK('cost master'!$H:$H))),1),0)"),3.9)</f>
        <v>3.9</v>
      </c>
      <c r="I150" s="3">
        <f t="shared" si="4"/>
        <v>3.9</v>
      </c>
      <c r="J150" s="27">
        <f t="shared" si="5"/>
        <v>45673</v>
      </c>
      <c r="K150" s="27">
        <f t="shared" si="6"/>
        <v>45703</v>
      </c>
    </row>
    <row r="151" hidden="1">
      <c r="A151" s="3" t="str">
        <f t="shared" si="3"/>
        <v>SL-20250203-FMC-CS-CDS-001-10</v>
      </c>
      <c r="B151" s="2">
        <f t="array" ref="B151">INDEX(helper!$A$3:$A3996,ROUNDUP((ROW()-1)/COUNTA(helper!$D$3:$D3996),0))</f>
        <v>45691</v>
      </c>
      <c r="C151" s="5" t="str">
        <f t="array" ref="C151">IF(B151="","",INDEX(helper!$D$3:$D3996,MOD(ROW()-2,COUNTA(helper!$D$3:$D3996))+1))</f>
        <v>FMC</v>
      </c>
      <c r="D151" s="3" t="str">
        <f t="array" ref="D151">IF(B151="","",INDEX(helper!$E$3:$E3996,MOD(ROW()-2,COUNTA(helper!$D$3:$D3996))+1))</f>
        <v>CS-CDS-001</v>
      </c>
      <c r="E151" s="3">
        <f t="array" ref="E151">IF(B151="","",INDEX(helper!$F$3:$F3996,MOD(ROW()-2,COUNTA(helper!$D$3:$D3996))+1))</f>
        <v>10</v>
      </c>
      <c r="F151" s="3">
        <f>IF(B151="","",SUMIFS('inventory ledger'!$H:$H,'inventory ledger'!$C:$C,C151,'inventory ledger'!$D:$D,D151,'inventory ledger'!$E:$E,E151,'inventory ledger'!$A:$A,"&lt;="&amp;B151+TIME(23,59,59))-SUMIFS('inventory ledger'!$I:$I,'inventory ledger'!$C:$C,C151,'inventory ledger'!$D:$D,D151,'inventory ledger'!$E:$E,E151,'inventory ledger'!$A:$A,"&lt;="&amp;B151+TIME(23,59,59)))</f>
        <v>0</v>
      </c>
      <c r="G151" s="3">
        <f>IFERROR(__xludf.DUMMYFUNCTION("IF(F151&lt;=0,0,IFERROR(ROUNDUP(F151/INDEX(FILTER('warehouse config'!$D:$D,('warehouse config'!$B:$B=C151)*('warehouse config'!$C:$C=D151)*('warehouse config'!$G:$G&lt;=B151)*(('warehouse config'!$H:$H&gt;=B151)+ISBLANK('warehouse config'!$H:$H))),1)),0))"),0.0)</f>
        <v>0</v>
      </c>
      <c r="H151" s="3">
        <f>IFERROR(__xludf.DUMMYFUNCTION("IFERROR(INDEX(FILTER('cost master'!$E:$E,('cost master'!$B:$B=C151)*('cost master'!$D:$D=""Storage cost per pallet / week"")*('cost master'!$G:$G&lt;=B151)*(('cost master'!$H:$H&gt;=B151)+ISBLANK('cost master'!$H:$H))),1),0)"),3.9)</f>
        <v>3.9</v>
      </c>
      <c r="I151" s="3">
        <f t="shared" si="4"/>
        <v>0</v>
      </c>
      <c r="J151" s="27">
        <f t="shared" si="5"/>
        <v>45673</v>
      </c>
      <c r="K151" s="27">
        <f t="shared" si="6"/>
        <v>45703</v>
      </c>
    </row>
    <row r="152" hidden="1">
      <c r="A152" s="3" t="str">
        <f t="shared" si="3"/>
        <v>SL-20250203-FMC-CS 007-11</v>
      </c>
      <c r="B152" s="2">
        <f t="array" ref="B152">INDEX(helper!$A$3:$A3996,ROUNDUP((ROW()-1)/COUNTA(helper!$D$3:$D3996),0))</f>
        <v>45691</v>
      </c>
      <c r="C152" s="5" t="str">
        <f t="array" ref="C152">IF(B152="","",INDEX(helper!$D$3:$D3996,MOD(ROW()-2,COUNTA(helper!$D$3:$D3996))+1))</f>
        <v>FMC</v>
      </c>
      <c r="D152" s="3" t="str">
        <f t="array" ref="D152">IF(B152="","",INDEX(helper!$E$3:$E3996,MOD(ROW()-2,COUNTA(helper!$D$3:$D3996))+1))</f>
        <v>CS 007</v>
      </c>
      <c r="E152" s="3">
        <f t="array" ref="E152">IF(B152="","",INDEX(helper!$F$3:$F3996,MOD(ROW()-2,COUNTA(helper!$D$3:$D3996))+1))</f>
        <v>11</v>
      </c>
      <c r="F152" s="3">
        <f>IF(B152="","",SUMIFS('inventory ledger'!$H:$H,'inventory ledger'!$C:$C,C152,'inventory ledger'!$D:$D,D152,'inventory ledger'!$E:$E,E152,'inventory ledger'!$A:$A,"&lt;="&amp;B152+TIME(23,59,59))-SUMIFS('inventory ledger'!$I:$I,'inventory ledger'!$C:$C,C152,'inventory ledger'!$D:$D,D152,'inventory ledger'!$E:$E,E152,'inventory ledger'!$A:$A,"&lt;="&amp;B152+TIME(23,59,59)))</f>
        <v>0</v>
      </c>
      <c r="G152" s="3">
        <f>IFERROR(__xludf.DUMMYFUNCTION("IF(F152&lt;=0,0,IFERROR(ROUNDUP(F152/INDEX(FILTER('warehouse config'!$D:$D,('warehouse config'!$B:$B=C152)*('warehouse config'!$C:$C=D152)*('warehouse config'!$G:$G&lt;=B152)*(('warehouse config'!$H:$H&gt;=B152)+ISBLANK('warehouse config'!$H:$H))),1)),0))"),0.0)</f>
        <v>0</v>
      </c>
      <c r="H152" s="3">
        <f>IFERROR(__xludf.DUMMYFUNCTION("IFERROR(INDEX(FILTER('cost master'!$E:$E,('cost master'!$B:$B=C152)*('cost master'!$D:$D=""Storage cost per pallet / week"")*('cost master'!$G:$G&lt;=B152)*(('cost master'!$H:$H&gt;=B152)+ISBLANK('cost master'!$H:$H))),1),0)"),3.9)</f>
        <v>3.9</v>
      </c>
      <c r="I152" s="3">
        <f t="shared" si="4"/>
        <v>0</v>
      </c>
      <c r="J152" s="27">
        <f t="shared" si="5"/>
        <v>45673</v>
      </c>
      <c r="K152" s="27">
        <f t="shared" si="6"/>
        <v>45703</v>
      </c>
    </row>
    <row r="153" hidden="1">
      <c r="A153" s="3" t="str">
        <f t="shared" si="3"/>
        <v>SL-20250203-FMC-CS 009-11</v>
      </c>
      <c r="B153" s="2">
        <f t="array" ref="B153">INDEX(helper!$A$3:$A3996,ROUNDUP((ROW()-1)/COUNTA(helper!$D$3:$D3996),0))</f>
        <v>45691</v>
      </c>
      <c r="C153" s="5" t="str">
        <f t="array" ref="C153">IF(B153="","",INDEX(helper!$D$3:$D3996,MOD(ROW()-2,COUNTA(helper!$D$3:$D3996))+1))</f>
        <v>FMC</v>
      </c>
      <c r="D153" s="3" t="str">
        <f t="array" ref="D153">IF(B153="","",INDEX(helper!$E$3:$E3996,MOD(ROW()-2,COUNTA(helper!$D$3:$D3996))+1))</f>
        <v>CS 009</v>
      </c>
      <c r="E153" s="3">
        <f t="array" ref="E153">IF(B153="","",INDEX(helper!$F$3:$F3996,MOD(ROW()-2,COUNTA(helper!$D$3:$D3996))+1))</f>
        <v>11</v>
      </c>
      <c r="F153" s="3">
        <f>IF(B153="","",SUMIFS('inventory ledger'!$H:$H,'inventory ledger'!$C:$C,C153,'inventory ledger'!$D:$D,D153,'inventory ledger'!$E:$E,E153,'inventory ledger'!$A:$A,"&lt;="&amp;B153+TIME(23,59,59))-SUMIFS('inventory ledger'!$I:$I,'inventory ledger'!$C:$C,C153,'inventory ledger'!$D:$D,D153,'inventory ledger'!$E:$E,E153,'inventory ledger'!$A:$A,"&lt;="&amp;B153+TIME(23,59,59)))</f>
        <v>0</v>
      </c>
      <c r="G153" s="3">
        <f>IFERROR(__xludf.DUMMYFUNCTION("IF(F153&lt;=0,0,IFERROR(ROUNDUP(F153/INDEX(FILTER('warehouse config'!$D:$D,('warehouse config'!$B:$B=C153)*('warehouse config'!$C:$C=D153)*('warehouse config'!$G:$G&lt;=B153)*(('warehouse config'!$H:$H&gt;=B153)+ISBLANK('warehouse config'!$H:$H))),1)),0))"),0.0)</f>
        <v>0</v>
      </c>
      <c r="H153" s="3">
        <f>IFERROR(__xludf.DUMMYFUNCTION("IFERROR(INDEX(FILTER('cost master'!$E:$E,('cost master'!$B:$B=C153)*('cost master'!$D:$D=""Storage cost per pallet / week"")*('cost master'!$G:$G&lt;=B153)*(('cost master'!$H:$H&gt;=B153)+ISBLANK('cost master'!$H:$H))),1),0)"),3.9)</f>
        <v>3.9</v>
      </c>
      <c r="I153" s="3">
        <f t="shared" si="4"/>
        <v>0</v>
      </c>
      <c r="J153" s="27">
        <f t="shared" si="5"/>
        <v>45673</v>
      </c>
      <c r="K153" s="27">
        <f t="shared" si="6"/>
        <v>45703</v>
      </c>
    </row>
    <row r="154" hidden="1">
      <c r="A154" s="3" t="str">
        <f t="shared" si="3"/>
        <v>SL-20250203-FMC-CS 010-11</v>
      </c>
      <c r="B154" s="2">
        <f t="array" ref="B154">INDEX(helper!$A$3:$A3996,ROUNDUP((ROW()-1)/COUNTA(helper!$D$3:$D3996),0))</f>
        <v>45691</v>
      </c>
      <c r="C154" s="5" t="str">
        <f t="array" ref="C154">IF(B154="","",INDEX(helper!$D$3:$D3996,MOD(ROW()-2,COUNTA(helper!$D$3:$D3996))+1))</f>
        <v>FMC</v>
      </c>
      <c r="D154" s="3" t="str">
        <f t="array" ref="D154">IF(B154="","",INDEX(helper!$E$3:$E3996,MOD(ROW()-2,COUNTA(helper!$D$3:$D3996))+1))</f>
        <v>CS 010</v>
      </c>
      <c r="E154" s="3">
        <f t="array" ref="E154">IF(B154="","",INDEX(helper!$F$3:$F3996,MOD(ROW()-2,COUNTA(helper!$D$3:$D3996))+1))</f>
        <v>11</v>
      </c>
      <c r="F154" s="3">
        <f>IF(B154="","",SUMIFS('inventory ledger'!$H:$H,'inventory ledger'!$C:$C,C154,'inventory ledger'!$D:$D,D154,'inventory ledger'!$E:$E,E154,'inventory ledger'!$A:$A,"&lt;="&amp;B154+TIME(23,59,59))-SUMIFS('inventory ledger'!$I:$I,'inventory ledger'!$C:$C,C154,'inventory ledger'!$D:$D,D154,'inventory ledger'!$E:$E,E154,'inventory ledger'!$A:$A,"&lt;="&amp;B154+TIME(23,59,59)))</f>
        <v>46</v>
      </c>
      <c r="G154" s="3">
        <f>IFERROR(__xludf.DUMMYFUNCTION("IF(F154&lt;=0,0,IFERROR(ROUNDUP(F154/INDEX(FILTER('warehouse config'!$D:$D,('warehouse config'!$B:$B=C154)*('warehouse config'!$C:$C=D154)*('warehouse config'!$G:$G&lt;=B154)*(('warehouse config'!$H:$H&gt;=B154)+ISBLANK('warehouse config'!$H:$H))),1)),0))"),2.0)</f>
        <v>2</v>
      </c>
      <c r="H154" s="3">
        <f>IFERROR(__xludf.DUMMYFUNCTION("IFERROR(INDEX(FILTER('cost master'!$E:$E,('cost master'!$B:$B=C154)*('cost master'!$D:$D=""Storage cost per pallet / week"")*('cost master'!$G:$G&lt;=B154)*(('cost master'!$H:$H&gt;=B154)+ISBLANK('cost master'!$H:$H))),1),0)"),3.9)</f>
        <v>3.9</v>
      </c>
      <c r="I154" s="3">
        <f t="shared" si="4"/>
        <v>7.8</v>
      </c>
      <c r="J154" s="27">
        <f t="shared" si="5"/>
        <v>45673</v>
      </c>
      <c r="K154" s="27">
        <f t="shared" si="6"/>
        <v>45703</v>
      </c>
    </row>
    <row r="155" hidden="1">
      <c r="A155" s="3" t="str">
        <f t="shared" si="3"/>
        <v>SL-20250203-Vglobal-CS 007-12</v>
      </c>
      <c r="B155" s="2">
        <f t="array" ref="B155">INDEX(helper!$A$3:$A3996,ROUNDUP((ROW()-1)/COUNTA(helper!$D$3:$D3996),0))</f>
        <v>45691</v>
      </c>
      <c r="C155" s="5" t="str">
        <f t="array" ref="C155">IF(B155="","",INDEX(helper!$D$3:$D3996,MOD(ROW()-2,COUNTA(helper!$D$3:$D3996))+1))</f>
        <v>Vglobal</v>
      </c>
      <c r="D155" s="3" t="str">
        <f t="array" ref="D155">IF(B155="","",INDEX(helper!$E$3:$E3996,MOD(ROW()-2,COUNTA(helper!$D$3:$D3996))+1))</f>
        <v>CS 007</v>
      </c>
      <c r="E155" s="3">
        <f t="array" ref="E155">IF(B155="","",INDEX(helper!$F$3:$F3996,MOD(ROW()-2,COUNTA(helper!$D$3:$D3996))+1))</f>
        <v>12</v>
      </c>
      <c r="F155" s="3">
        <f>IF(B155="","",SUMIFS('inventory ledger'!$H:$H,'inventory ledger'!$C:$C,C155,'inventory ledger'!$D:$D,D155,'inventory ledger'!$E:$E,E155,'inventory ledger'!$A:$A,"&lt;="&amp;B155+TIME(23,59,59))-SUMIFS('inventory ledger'!$I:$I,'inventory ledger'!$C:$C,C155,'inventory ledger'!$D:$D,D155,'inventory ledger'!$E:$E,E155,'inventory ledger'!$A:$A,"&lt;="&amp;B155+TIME(23,59,59)))</f>
        <v>228</v>
      </c>
      <c r="G155" s="3">
        <f>IFERROR(__xludf.DUMMYFUNCTION("IF(F155&lt;=0,0,IFERROR(ROUNDUP(F155/INDEX(FILTER('warehouse config'!$D:$D,('warehouse config'!$B:$B=C155)*('warehouse config'!$C:$C=D155)*('warehouse config'!$G:$G&lt;=B155)*(('warehouse config'!$H:$H&gt;=B155)+ISBLANK('warehouse config'!$H:$H))),1)),0))"),15.0)</f>
        <v>15</v>
      </c>
      <c r="H155" s="3">
        <f>IFERROR(__xludf.DUMMYFUNCTION("IFERROR(INDEX(FILTER('cost master'!$E:$E,('cost master'!$B:$B=C155)*('cost master'!$D:$D=""Storage cost per pallet / week"")*('cost master'!$G:$G&lt;=B155)*(('cost master'!$H:$H&gt;=B155)+ISBLANK('cost master'!$H:$H))),1),0)"),2.6)</f>
        <v>2.6</v>
      </c>
      <c r="I155" s="3">
        <f t="shared" si="4"/>
        <v>39</v>
      </c>
      <c r="J155" s="27">
        <f t="shared" si="5"/>
        <v>45673</v>
      </c>
      <c r="K155" s="27">
        <f t="shared" si="6"/>
        <v>45703</v>
      </c>
    </row>
    <row r="156" hidden="1">
      <c r="A156" s="3" t="str">
        <f t="shared" si="3"/>
        <v>SL-20250203-Vglobal-CS 011-12</v>
      </c>
      <c r="B156" s="2">
        <f t="array" ref="B156">INDEX(helper!$A$3:$A3996,ROUNDUP((ROW()-1)/COUNTA(helper!$D$3:$D3996),0))</f>
        <v>45691</v>
      </c>
      <c r="C156" s="5" t="str">
        <f t="array" ref="C156">IF(B156="","",INDEX(helper!$D$3:$D3996,MOD(ROW()-2,COUNTA(helper!$D$3:$D3996))+1))</f>
        <v>Vglobal</v>
      </c>
      <c r="D156" s="3" t="str">
        <f t="array" ref="D156">IF(B156="","",INDEX(helper!$E$3:$E3996,MOD(ROW()-2,COUNTA(helper!$D$3:$D3996))+1))</f>
        <v>CS 011</v>
      </c>
      <c r="E156" s="3">
        <f t="array" ref="E156">IF(B156="","",INDEX(helper!$F$3:$F3996,MOD(ROW()-2,COUNTA(helper!$D$3:$D3996))+1))</f>
        <v>12</v>
      </c>
      <c r="F156" s="3">
        <f>IF(B156="","",SUMIFS('inventory ledger'!$H:$H,'inventory ledger'!$C:$C,C156,'inventory ledger'!$D:$D,D156,'inventory ledger'!$E:$E,E156,'inventory ledger'!$A:$A,"&lt;="&amp;B156+TIME(23,59,59))-SUMIFS('inventory ledger'!$I:$I,'inventory ledger'!$C:$C,C156,'inventory ledger'!$D:$D,D156,'inventory ledger'!$E:$E,E156,'inventory ledger'!$A:$A,"&lt;="&amp;B156+TIME(23,59,59)))</f>
        <v>57</v>
      </c>
      <c r="G156" s="3">
        <f>IFERROR(__xludf.DUMMYFUNCTION("IF(F156&lt;=0,0,IFERROR(ROUNDUP(F156/INDEX(FILTER('warehouse config'!$D:$D,('warehouse config'!$B:$B=C156)*('warehouse config'!$C:$C=D156)*('warehouse config'!$G:$G&lt;=B156)*(('warehouse config'!$H:$H&gt;=B156)+ISBLANK('warehouse config'!$H:$H))),1)),0))"),3.0)</f>
        <v>3</v>
      </c>
      <c r="H156" s="3">
        <f>IFERROR(__xludf.DUMMYFUNCTION("IFERROR(INDEX(FILTER('cost master'!$E:$E,('cost master'!$B:$B=C156)*('cost master'!$D:$D=""Storage cost per pallet / week"")*('cost master'!$G:$G&lt;=B156)*(('cost master'!$H:$H&gt;=B156)+ISBLANK('cost master'!$H:$H))),1),0)"),2.6)</f>
        <v>2.6</v>
      </c>
      <c r="I156" s="3">
        <f t="shared" si="4"/>
        <v>7.8</v>
      </c>
      <c r="J156" s="27">
        <f t="shared" si="5"/>
        <v>45673</v>
      </c>
      <c r="K156" s="27">
        <f t="shared" si="6"/>
        <v>45703</v>
      </c>
    </row>
    <row r="157" hidden="1">
      <c r="A157" s="3" t="str">
        <f t="shared" si="3"/>
        <v>SL-20250203-Vglobal-CS 008-12</v>
      </c>
      <c r="B157" s="2">
        <f t="array" ref="B157">INDEX(helper!$A$3:$A3996,ROUNDUP((ROW()-1)/COUNTA(helper!$D$3:$D3996),0))</f>
        <v>45691</v>
      </c>
      <c r="C157" s="5" t="str">
        <f t="array" ref="C157">IF(B157="","",INDEX(helper!$D$3:$D3996,MOD(ROW()-2,COUNTA(helper!$D$3:$D3996))+1))</f>
        <v>Vglobal</v>
      </c>
      <c r="D157" s="3" t="str">
        <f t="array" ref="D157">IF(B157="","",INDEX(helper!$E$3:$E3996,MOD(ROW()-2,COUNTA(helper!$D$3:$D3996))+1))</f>
        <v>CS 008</v>
      </c>
      <c r="E157" s="3">
        <f t="array" ref="E157">IF(B157="","",INDEX(helper!$F$3:$F3996,MOD(ROW()-2,COUNTA(helper!$D$3:$D3996))+1))</f>
        <v>12</v>
      </c>
      <c r="F157" s="3">
        <f>IF(B157="","",SUMIFS('inventory ledger'!$H:$H,'inventory ledger'!$C:$C,C157,'inventory ledger'!$D:$D,D157,'inventory ledger'!$E:$E,E157,'inventory ledger'!$A:$A,"&lt;="&amp;B157+TIME(23,59,59))-SUMIFS('inventory ledger'!$I:$I,'inventory ledger'!$C:$C,C157,'inventory ledger'!$D:$D,D157,'inventory ledger'!$E:$E,E157,'inventory ledger'!$A:$A,"&lt;="&amp;B157+TIME(23,59,59)))</f>
        <v>15</v>
      </c>
      <c r="G157" s="3">
        <f>IFERROR(__xludf.DUMMYFUNCTION("IF(F157&lt;=0,0,IFERROR(ROUNDUP(F157/INDEX(FILTER('warehouse config'!$D:$D,('warehouse config'!$B:$B=C157)*('warehouse config'!$C:$C=D157)*('warehouse config'!$G:$G&lt;=B157)*(('warehouse config'!$H:$H&gt;=B157)+ISBLANK('warehouse config'!$H:$H))),1)),0))"),1.0)</f>
        <v>1</v>
      </c>
      <c r="H157" s="3">
        <f>IFERROR(__xludf.DUMMYFUNCTION("IFERROR(INDEX(FILTER('cost master'!$E:$E,('cost master'!$B:$B=C157)*('cost master'!$D:$D=""Storage cost per pallet / week"")*('cost master'!$G:$G&lt;=B157)*(('cost master'!$H:$H&gt;=B157)+ISBLANK('cost master'!$H:$H))),1),0)"),2.6)</f>
        <v>2.6</v>
      </c>
      <c r="I157" s="3">
        <f t="shared" si="4"/>
        <v>2.6</v>
      </c>
      <c r="J157" s="27">
        <f t="shared" si="5"/>
        <v>45673</v>
      </c>
      <c r="K157" s="27">
        <f t="shared" si="6"/>
        <v>45703</v>
      </c>
    </row>
    <row r="158" hidden="1">
      <c r="A158" s="3" t="str">
        <f t="shared" si="3"/>
        <v>SL-20250203-Vglobal-CS 010-12</v>
      </c>
      <c r="B158" s="2">
        <f t="array" ref="B158">INDEX(helper!$A$3:$A3996,ROUNDUP((ROW()-1)/COUNTA(helper!$D$3:$D3996),0))</f>
        <v>45691</v>
      </c>
      <c r="C158" s="5" t="str">
        <f t="array" ref="C158">IF(B158="","",INDEX(helper!$D$3:$D3996,MOD(ROW()-2,COUNTA(helper!$D$3:$D3996))+1))</f>
        <v>Vglobal</v>
      </c>
      <c r="D158" s="3" t="str">
        <f t="array" ref="D158">IF(B158="","",INDEX(helper!$E$3:$E3996,MOD(ROW()-2,COUNTA(helper!$D$3:$D3996))+1))</f>
        <v>CS 010</v>
      </c>
      <c r="E158" s="3">
        <f t="array" ref="E158">IF(B158="","",INDEX(helper!$F$3:$F3996,MOD(ROW()-2,COUNTA(helper!$D$3:$D3996))+1))</f>
        <v>12</v>
      </c>
      <c r="F158" s="3">
        <f>IF(B158="","",SUMIFS('inventory ledger'!$H:$H,'inventory ledger'!$C:$C,C158,'inventory ledger'!$D:$D,D158,'inventory ledger'!$E:$E,E158,'inventory ledger'!$A:$A,"&lt;="&amp;B158+TIME(23,59,59))-SUMIFS('inventory ledger'!$I:$I,'inventory ledger'!$C:$C,C158,'inventory ledger'!$D:$D,D158,'inventory ledger'!$E:$E,E158,'inventory ledger'!$A:$A,"&lt;="&amp;B158+TIME(23,59,59)))</f>
        <v>80</v>
      </c>
      <c r="G158" s="3">
        <f>IFERROR(__xludf.DUMMYFUNCTION("IF(F158&lt;=0,0,IFERROR(ROUNDUP(F158/INDEX(FILTER('warehouse config'!$D:$D,('warehouse config'!$B:$B=C158)*('warehouse config'!$C:$C=D158)*('warehouse config'!$G:$G&lt;=B158)*(('warehouse config'!$H:$H&gt;=B158)+ISBLANK('warehouse config'!$H:$H))),1)),0))"),4.0)</f>
        <v>4</v>
      </c>
      <c r="H158" s="3">
        <f>IFERROR(__xludf.DUMMYFUNCTION("IFERROR(INDEX(FILTER('cost master'!$E:$E,('cost master'!$B:$B=C158)*('cost master'!$D:$D=""Storage cost per pallet / week"")*('cost master'!$G:$G&lt;=B158)*(('cost master'!$H:$H&gt;=B158)+ISBLANK('cost master'!$H:$H))),1),0)"),2.6)</f>
        <v>2.6</v>
      </c>
      <c r="I158" s="3">
        <f t="shared" si="4"/>
        <v>10.4</v>
      </c>
      <c r="J158" s="27">
        <f t="shared" si="5"/>
        <v>45673</v>
      </c>
      <c r="K158" s="27">
        <f t="shared" si="6"/>
        <v>45703</v>
      </c>
    </row>
    <row r="159" hidden="1">
      <c r="A159" s="3" t="str">
        <f t="shared" si="3"/>
        <v>SL-20250203-Vglobal-CS 009-12</v>
      </c>
      <c r="B159" s="2">
        <f t="array" ref="B159">INDEX(helper!$A$3:$A3996,ROUNDUP((ROW()-1)/COUNTA(helper!$D$3:$D3996),0))</f>
        <v>45691</v>
      </c>
      <c r="C159" s="5" t="str">
        <f t="array" ref="C159">IF(B159="","",INDEX(helper!$D$3:$D3996,MOD(ROW()-2,COUNTA(helper!$D$3:$D3996))+1))</f>
        <v>Vglobal</v>
      </c>
      <c r="D159" s="3" t="str">
        <f t="array" ref="D159">IF(B159="","",INDEX(helper!$E$3:$E3996,MOD(ROW()-2,COUNTA(helper!$D$3:$D3996))+1))</f>
        <v>CS 009</v>
      </c>
      <c r="E159" s="3">
        <f t="array" ref="E159">IF(B159="","",INDEX(helper!$F$3:$F3996,MOD(ROW()-2,COUNTA(helper!$D$3:$D3996))+1))</f>
        <v>12</v>
      </c>
      <c r="F159" s="3">
        <f>IF(B159="","",SUMIFS('inventory ledger'!$H:$H,'inventory ledger'!$C:$C,C159,'inventory ledger'!$D:$D,D159,'inventory ledger'!$E:$E,E159,'inventory ledger'!$A:$A,"&lt;="&amp;B159+TIME(23,59,59))-SUMIFS('inventory ledger'!$I:$I,'inventory ledger'!$C:$C,C159,'inventory ledger'!$D:$D,D159,'inventory ledger'!$E:$E,E159,'inventory ledger'!$A:$A,"&lt;="&amp;B159+TIME(23,59,59)))</f>
        <v>50</v>
      </c>
      <c r="G159" s="3">
        <f>IFERROR(__xludf.DUMMYFUNCTION("IF(F159&lt;=0,0,IFERROR(ROUNDUP(F159/INDEX(FILTER('warehouse config'!$D:$D,('warehouse config'!$B:$B=C159)*('warehouse config'!$C:$C=D159)*('warehouse config'!$G:$G&lt;=B159)*(('warehouse config'!$H:$H&gt;=B159)+ISBLANK('warehouse config'!$H:$H))),1)),0))"),4.0)</f>
        <v>4</v>
      </c>
      <c r="H159" s="3">
        <f>IFERROR(__xludf.DUMMYFUNCTION("IFERROR(INDEX(FILTER('cost master'!$E:$E,('cost master'!$B:$B=C159)*('cost master'!$D:$D=""Storage cost per pallet / week"")*('cost master'!$G:$G&lt;=B159)*(('cost master'!$H:$H&gt;=B159)+ISBLANK('cost master'!$H:$H))),1),0)"),2.6)</f>
        <v>2.6</v>
      </c>
      <c r="I159" s="3">
        <f t="shared" si="4"/>
        <v>10.4</v>
      </c>
      <c r="J159" s="27">
        <f t="shared" si="5"/>
        <v>45673</v>
      </c>
      <c r="K159" s="27">
        <f t="shared" si="6"/>
        <v>45703</v>
      </c>
    </row>
    <row r="160" hidden="1">
      <c r="A160" s="3" t="str">
        <f t="shared" si="3"/>
        <v>SL-20250203-Vglobal-CS 012-12</v>
      </c>
      <c r="B160" s="2">
        <f t="array" ref="B160">INDEX(helper!$A$3:$A3996,ROUNDUP((ROW()-1)/COUNTA(helper!$D$3:$D3996),0))</f>
        <v>45691</v>
      </c>
      <c r="C160" s="5" t="str">
        <f t="array" ref="C160">IF(B160="","",INDEX(helper!$D$3:$D3996,MOD(ROW()-2,COUNTA(helper!$D$3:$D3996))+1))</f>
        <v>Vglobal</v>
      </c>
      <c r="D160" s="3" t="str">
        <f t="array" ref="D160">IF(B160="","",INDEX(helper!$E$3:$E3996,MOD(ROW()-2,COUNTA(helper!$D$3:$D3996))+1))</f>
        <v>CS 012</v>
      </c>
      <c r="E160" s="3">
        <f t="array" ref="E160">IF(B160="","",INDEX(helper!$F$3:$F3996,MOD(ROW()-2,COUNTA(helper!$D$3:$D3996))+1))</f>
        <v>12</v>
      </c>
      <c r="F160" s="3">
        <f>IF(B160="","",SUMIFS('inventory ledger'!$H:$H,'inventory ledger'!$C:$C,C160,'inventory ledger'!$D:$D,D160,'inventory ledger'!$E:$E,E160,'inventory ledger'!$A:$A,"&lt;="&amp;B160+TIME(23,59,59))-SUMIFS('inventory ledger'!$I:$I,'inventory ledger'!$C:$C,C160,'inventory ledger'!$D:$D,D160,'inventory ledger'!$E:$E,E160,'inventory ledger'!$A:$A,"&lt;="&amp;B160+TIME(23,59,59)))</f>
        <v>0</v>
      </c>
      <c r="G160" s="3">
        <f>IFERROR(__xludf.DUMMYFUNCTION("IF(F160&lt;=0,0,IFERROR(ROUNDUP(F160/INDEX(FILTER('warehouse config'!$D:$D,('warehouse config'!$B:$B=C160)*('warehouse config'!$C:$C=D160)*('warehouse config'!$G:$G&lt;=B160)*(('warehouse config'!$H:$H&gt;=B160)+ISBLANK('warehouse config'!$H:$H))),1)),0))"),0.0)</f>
        <v>0</v>
      </c>
      <c r="H160" s="3">
        <f>IFERROR(__xludf.DUMMYFUNCTION("IFERROR(INDEX(FILTER('cost master'!$E:$E,('cost master'!$B:$B=C160)*('cost master'!$D:$D=""Storage cost per pallet / week"")*('cost master'!$G:$G&lt;=B160)*(('cost master'!$H:$H&gt;=B160)+ISBLANK('cost master'!$H:$H))),1),0)"),2.6)</f>
        <v>2.6</v>
      </c>
      <c r="I160" s="3">
        <f t="shared" si="4"/>
        <v>0</v>
      </c>
      <c r="J160" s="27">
        <f t="shared" si="5"/>
        <v>45673</v>
      </c>
      <c r="K160" s="27">
        <f t="shared" si="6"/>
        <v>45703</v>
      </c>
    </row>
    <row r="161" hidden="1">
      <c r="A161" s="3" t="str">
        <f t="shared" si="3"/>
        <v>SL-20250203-Vglobal-CS-CDS-001-3</v>
      </c>
      <c r="B161" s="2">
        <f t="array" ref="B161">INDEX(helper!$A$3:$A3996,ROUNDUP((ROW()-1)/COUNTA(helper!$D$3:$D3996),0))</f>
        <v>45691</v>
      </c>
      <c r="C161" s="5" t="str">
        <f t="array" ref="C161">IF(B161="","",INDEX(helper!$D$3:$D3996,MOD(ROW()-2,COUNTA(helper!$D$3:$D3996))+1))</f>
        <v>Vglobal</v>
      </c>
      <c r="D161" s="3" t="str">
        <f t="array" ref="D161">IF(B161="","",INDEX(helper!$E$3:$E3996,MOD(ROW()-2,COUNTA(helper!$D$3:$D3996))+1))</f>
        <v>CS-CDS-001</v>
      </c>
      <c r="E161" s="3">
        <f t="array" ref="E161">IF(B161="","",INDEX(helper!$F$3:$F3996,MOD(ROW()-2,COUNTA(helper!$D$3:$D3996))+1))</f>
        <v>3</v>
      </c>
      <c r="F161" s="3">
        <f>IF(B161="","",SUMIFS('inventory ledger'!$H:$H,'inventory ledger'!$C:$C,C161,'inventory ledger'!$D:$D,D161,'inventory ledger'!$E:$E,E161,'inventory ledger'!$A:$A,"&lt;="&amp;B161+TIME(23,59,59))-SUMIFS('inventory ledger'!$I:$I,'inventory ledger'!$C:$C,C161,'inventory ledger'!$D:$D,D161,'inventory ledger'!$E:$E,E161,'inventory ledger'!$A:$A,"&lt;="&amp;B161+TIME(23,59,59)))</f>
        <v>37</v>
      </c>
      <c r="G161" s="3">
        <f>IFERROR(__xludf.DUMMYFUNCTION("IF(F161&lt;=0,0,IFERROR(ROUNDUP(F161/INDEX(FILTER('warehouse config'!$D:$D,('warehouse config'!$B:$B=C161)*('warehouse config'!$C:$C=D161)*('warehouse config'!$G:$G&lt;=B161)*(('warehouse config'!$H:$H&gt;=B161)+ISBLANK('warehouse config'!$H:$H))),1)),0))"),3.0)</f>
        <v>3</v>
      </c>
      <c r="H161" s="3">
        <f>IFERROR(__xludf.DUMMYFUNCTION("IFERROR(INDEX(FILTER('cost master'!$E:$E,('cost master'!$B:$B=C161)*('cost master'!$D:$D=""Storage cost per pallet / week"")*('cost master'!$G:$G&lt;=B161)*(('cost master'!$H:$H&gt;=B161)+ISBLANK('cost master'!$H:$H))),1),0)"),2.6)</f>
        <v>2.6</v>
      </c>
      <c r="I161" s="3">
        <f t="shared" si="4"/>
        <v>7.8</v>
      </c>
      <c r="J161" s="27">
        <f t="shared" si="5"/>
        <v>45673</v>
      </c>
      <c r="K161" s="27">
        <f t="shared" si="6"/>
        <v>45703</v>
      </c>
    </row>
    <row r="162" hidden="1">
      <c r="A162" s="3" t="str">
        <f t="shared" si="3"/>
        <v>SL-20250203-Vglobal-CS-CDS-002-3</v>
      </c>
      <c r="B162" s="2">
        <f t="array" ref="B162">INDEX(helper!$A$3:$A3996,ROUNDUP((ROW()-1)/COUNTA(helper!$D$3:$D3996),0))</f>
        <v>45691</v>
      </c>
      <c r="C162" s="5" t="str">
        <f t="array" ref="C162">IF(B162="","",INDEX(helper!$D$3:$D3996,MOD(ROW()-2,COUNTA(helper!$D$3:$D3996))+1))</f>
        <v>Vglobal</v>
      </c>
      <c r="D162" s="3" t="str">
        <f t="array" ref="D162">IF(B162="","",INDEX(helper!$E$3:$E3996,MOD(ROW()-2,COUNTA(helper!$D$3:$D3996))+1))</f>
        <v>CS-CDS-002</v>
      </c>
      <c r="E162" s="3">
        <f t="array" ref="E162">IF(B162="","",INDEX(helper!$F$3:$F3996,MOD(ROW()-2,COUNTA(helper!$D$3:$D3996))+1))</f>
        <v>3</v>
      </c>
      <c r="F162" s="3">
        <f>IF(B162="","",SUMIFS('inventory ledger'!$H:$H,'inventory ledger'!$C:$C,C162,'inventory ledger'!$D:$D,D162,'inventory ledger'!$E:$E,E162,'inventory ledger'!$A:$A,"&lt;="&amp;B162+TIME(23,59,59))-SUMIFS('inventory ledger'!$I:$I,'inventory ledger'!$C:$C,C162,'inventory ledger'!$D:$D,D162,'inventory ledger'!$E:$E,E162,'inventory ledger'!$A:$A,"&lt;="&amp;B162+TIME(23,59,59)))</f>
        <v>0</v>
      </c>
      <c r="G162" s="3">
        <f>IFERROR(__xludf.DUMMYFUNCTION("IF(F162&lt;=0,0,IFERROR(ROUNDUP(F162/INDEX(FILTER('warehouse config'!$D:$D,('warehouse config'!$B:$B=C162)*('warehouse config'!$C:$C=D162)*('warehouse config'!$G:$G&lt;=B162)*(('warehouse config'!$H:$H&gt;=B162)+ISBLANK('warehouse config'!$H:$H))),1)),0))"),0.0)</f>
        <v>0</v>
      </c>
      <c r="H162" s="3">
        <f>IFERROR(__xludf.DUMMYFUNCTION("IFERROR(INDEX(FILTER('cost master'!$E:$E,('cost master'!$B:$B=C162)*('cost master'!$D:$D=""Storage cost per pallet / week"")*('cost master'!$G:$G&lt;=B162)*(('cost master'!$H:$H&gt;=B162)+ISBLANK('cost master'!$H:$H))),1),0)"),2.6)</f>
        <v>2.6</v>
      </c>
      <c r="I162" s="3">
        <f t="shared" si="4"/>
        <v>0</v>
      </c>
      <c r="J162" s="27">
        <f t="shared" si="5"/>
        <v>45673</v>
      </c>
      <c r="K162" s="27">
        <f t="shared" si="6"/>
        <v>45703</v>
      </c>
    </row>
    <row r="163" hidden="1">
      <c r="A163" s="3" t="str">
        <f t="shared" si="3"/>
        <v>SL-20250203-4as-CS-CDS-001-4</v>
      </c>
      <c r="B163" s="2">
        <f t="array" ref="B163">INDEX(helper!$A$3:$A3996,ROUNDUP((ROW()-1)/COUNTA(helper!$D$3:$D3996),0))</f>
        <v>45691</v>
      </c>
      <c r="C163" s="5" t="str">
        <f t="array" ref="C163">IF(B163="","",INDEX(helper!$D$3:$D3996,MOD(ROW()-2,COUNTA(helper!$D$3:$D3996))+1))</f>
        <v>4as</v>
      </c>
      <c r="D163" s="3" t="str">
        <f t="array" ref="D163">IF(B163="","",INDEX(helper!$E$3:$E3996,MOD(ROW()-2,COUNTA(helper!$D$3:$D3996))+1))</f>
        <v>CS-CDS-001</v>
      </c>
      <c r="E163" s="3">
        <f t="array" ref="E163">IF(B163="","",INDEX(helper!$F$3:$F3996,MOD(ROW()-2,COUNTA(helper!$D$3:$D3996))+1))</f>
        <v>4</v>
      </c>
      <c r="F163" s="3">
        <f>IF(B163="","",SUMIFS('inventory ledger'!$H:$H,'inventory ledger'!$C:$C,C163,'inventory ledger'!$D:$D,D163,'inventory ledger'!$E:$E,E163,'inventory ledger'!$A:$A,"&lt;="&amp;B163+TIME(23,59,59))-SUMIFS('inventory ledger'!$I:$I,'inventory ledger'!$C:$C,C163,'inventory ledger'!$D:$D,D163,'inventory ledger'!$E:$E,E163,'inventory ledger'!$A:$A,"&lt;="&amp;B163+TIME(23,59,59)))</f>
        <v>91</v>
      </c>
      <c r="G163" s="3">
        <f>IFERROR(__xludf.DUMMYFUNCTION("IF(F163&lt;=0,0,IFERROR(ROUNDUP(F163/INDEX(FILTER('warehouse config'!$D:$D,('warehouse config'!$B:$B=C163)*('warehouse config'!$C:$C=D163)*('warehouse config'!$G:$G&lt;=B163)*(('warehouse config'!$H:$H&gt;=B163)+ISBLANK('warehouse config'!$H:$H))),1)),0))"),5.0)</f>
        <v>5</v>
      </c>
      <c r="H163" s="3">
        <f>IFERROR(__xludf.DUMMYFUNCTION("IFERROR(INDEX(FILTER('cost master'!$E:$E,('cost master'!$B:$B=C163)*('cost master'!$D:$D=""Storage cost per pallet / week"")*('cost master'!$G:$G&lt;=B163)*(('cost master'!$H:$H&gt;=B163)+ISBLANK('cost master'!$H:$H))),1),0)"),9.0)</f>
        <v>9</v>
      </c>
      <c r="I163" s="3">
        <f t="shared" si="4"/>
        <v>45</v>
      </c>
      <c r="J163" s="27">
        <f t="shared" si="5"/>
        <v>45673</v>
      </c>
      <c r="K163" s="27">
        <f t="shared" si="6"/>
        <v>45703</v>
      </c>
    </row>
    <row r="164" hidden="1">
      <c r="A164" s="3" t="str">
        <f t="shared" si="3"/>
        <v>SL-20250203-4as-CS-CDS-002-4</v>
      </c>
      <c r="B164" s="2">
        <f t="array" ref="B164">INDEX(helper!$A$3:$A3996,ROUNDUP((ROW()-1)/COUNTA(helper!$D$3:$D3996),0))</f>
        <v>45691</v>
      </c>
      <c r="C164" s="5" t="str">
        <f t="array" ref="C164">IF(B164="","",INDEX(helper!$D$3:$D3996,MOD(ROW()-2,COUNTA(helper!$D$3:$D3996))+1))</f>
        <v>4as</v>
      </c>
      <c r="D164" s="3" t="str">
        <f t="array" ref="D164">IF(B164="","",INDEX(helper!$E$3:$E3996,MOD(ROW()-2,COUNTA(helper!$D$3:$D3996))+1))</f>
        <v>CS-CDS-002</v>
      </c>
      <c r="E164" s="3">
        <f t="array" ref="E164">IF(B164="","",INDEX(helper!$F$3:$F3996,MOD(ROW()-2,COUNTA(helper!$D$3:$D3996))+1))</f>
        <v>4</v>
      </c>
      <c r="F164" s="3">
        <f>IF(B164="","",SUMIFS('inventory ledger'!$H:$H,'inventory ledger'!$C:$C,C164,'inventory ledger'!$D:$D,D164,'inventory ledger'!$E:$E,E164,'inventory ledger'!$A:$A,"&lt;="&amp;B164+TIME(23,59,59))-SUMIFS('inventory ledger'!$I:$I,'inventory ledger'!$C:$C,C164,'inventory ledger'!$D:$D,D164,'inventory ledger'!$E:$E,E164,'inventory ledger'!$A:$A,"&lt;="&amp;B164+TIME(23,59,59)))</f>
        <v>179</v>
      </c>
      <c r="G164" s="3">
        <f>IFERROR(__xludf.DUMMYFUNCTION("IF(F164&lt;=0,0,IFERROR(ROUNDUP(F164/INDEX(FILTER('warehouse config'!$D:$D,('warehouse config'!$B:$B=C164)*('warehouse config'!$C:$C=D164)*('warehouse config'!$G:$G&lt;=B164)*(('warehouse config'!$H:$H&gt;=B164)+ISBLANK('warehouse config'!$H:$H))),1)),0))"),9.0)</f>
        <v>9</v>
      </c>
      <c r="H164" s="3">
        <f>IFERROR(__xludf.DUMMYFUNCTION("IFERROR(INDEX(FILTER('cost master'!$E:$E,('cost master'!$B:$B=C164)*('cost master'!$D:$D=""Storage cost per pallet / week"")*('cost master'!$G:$G&lt;=B164)*(('cost master'!$H:$H&gt;=B164)+ISBLANK('cost master'!$H:$H))),1),0)"),9.0)</f>
        <v>9</v>
      </c>
      <c r="I164" s="3">
        <f t="shared" si="4"/>
        <v>81</v>
      </c>
      <c r="J164" s="27">
        <f t="shared" si="5"/>
        <v>45673</v>
      </c>
      <c r="K164" s="27">
        <f t="shared" si="6"/>
        <v>45703</v>
      </c>
    </row>
    <row r="165" hidden="1">
      <c r="A165" s="3" t="str">
        <f t="shared" si="3"/>
        <v>SL-20250203-Vglobal-CS 007-13</v>
      </c>
      <c r="B165" s="2">
        <f t="array" ref="B165">INDEX(helper!$A$3:$A3996,ROUNDUP((ROW()-1)/COUNTA(helper!$D$3:$D3996),0))</f>
        <v>45691</v>
      </c>
      <c r="C165" s="5" t="str">
        <f t="array" ref="C165">IF(B165="","",INDEX(helper!$D$3:$D3996,MOD(ROW()-2,COUNTA(helper!$D$3:$D3996))+1))</f>
        <v>Vglobal</v>
      </c>
      <c r="D165" s="3" t="str">
        <f t="array" ref="D165">IF(B165="","",INDEX(helper!$E$3:$E3996,MOD(ROW()-2,COUNTA(helper!$D$3:$D3996))+1))</f>
        <v>CS 007</v>
      </c>
      <c r="E165" s="3">
        <f t="array" ref="E165">IF(B165="","",INDEX(helper!$F$3:$F3996,MOD(ROW()-2,COUNTA(helper!$D$3:$D3996))+1))</f>
        <v>13</v>
      </c>
      <c r="F165" s="3">
        <f>IF(B165="","",SUMIFS('inventory ledger'!$H:$H,'inventory ledger'!$C:$C,C165,'inventory ledger'!$D:$D,D165,'inventory ledger'!$E:$E,E165,'inventory ledger'!$A:$A,"&lt;="&amp;B165+TIME(23,59,59))-SUMIFS('inventory ledger'!$I:$I,'inventory ledger'!$C:$C,C165,'inventory ledger'!$D:$D,D165,'inventory ledger'!$E:$E,E165,'inventory ledger'!$A:$A,"&lt;="&amp;B165+TIME(23,59,59)))</f>
        <v>285</v>
      </c>
      <c r="G165" s="3">
        <f>IFERROR(__xludf.DUMMYFUNCTION("IF(F165&lt;=0,0,IFERROR(ROUNDUP(F165/INDEX(FILTER('warehouse config'!$D:$D,('warehouse config'!$B:$B=C165)*('warehouse config'!$C:$C=D165)*('warehouse config'!$G:$G&lt;=B165)*(('warehouse config'!$H:$H&gt;=B165)+ISBLANK('warehouse config'!$H:$H))),1)),0))"),18.0)</f>
        <v>18</v>
      </c>
      <c r="H165" s="3">
        <f>IFERROR(__xludf.DUMMYFUNCTION("IFERROR(INDEX(FILTER('cost master'!$E:$E,('cost master'!$B:$B=C165)*('cost master'!$D:$D=""Storage cost per pallet / week"")*('cost master'!$G:$G&lt;=B165)*(('cost master'!$H:$H&gt;=B165)+ISBLANK('cost master'!$H:$H))),1),0)"),2.6)</f>
        <v>2.6</v>
      </c>
      <c r="I165" s="3">
        <f t="shared" si="4"/>
        <v>46.8</v>
      </c>
      <c r="J165" s="27">
        <f t="shared" si="5"/>
        <v>45673</v>
      </c>
      <c r="K165" s="27">
        <f t="shared" si="6"/>
        <v>45703</v>
      </c>
    </row>
    <row r="166" hidden="1">
      <c r="A166" s="3" t="str">
        <f t="shared" si="3"/>
        <v>SL-20250203-Vglobal-CS 011-13</v>
      </c>
      <c r="B166" s="2">
        <f t="array" ref="B166">INDEX(helper!$A$3:$A3996,ROUNDUP((ROW()-1)/COUNTA(helper!$D$3:$D3996),0))</f>
        <v>45691</v>
      </c>
      <c r="C166" s="5" t="str">
        <f t="array" ref="C166">IF(B166="","",INDEX(helper!$D$3:$D3996,MOD(ROW()-2,COUNTA(helper!$D$3:$D3996))+1))</f>
        <v>Vglobal</v>
      </c>
      <c r="D166" s="3" t="str">
        <f t="array" ref="D166">IF(B166="","",INDEX(helper!$E$3:$E3996,MOD(ROW()-2,COUNTA(helper!$D$3:$D3996))+1))</f>
        <v>CS 011</v>
      </c>
      <c r="E166" s="3">
        <f t="array" ref="E166">IF(B166="","",INDEX(helper!$F$3:$F3996,MOD(ROW()-2,COUNTA(helper!$D$3:$D3996))+1))</f>
        <v>13</v>
      </c>
      <c r="F166" s="3">
        <f>IF(B166="","",SUMIFS('inventory ledger'!$H:$H,'inventory ledger'!$C:$C,C166,'inventory ledger'!$D:$D,D166,'inventory ledger'!$E:$E,E166,'inventory ledger'!$A:$A,"&lt;="&amp;B166+TIME(23,59,59))-SUMIFS('inventory ledger'!$I:$I,'inventory ledger'!$C:$C,C166,'inventory ledger'!$D:$D,D166,'inventory ledger'!$E:$E,E166,'inventory ledger'!$A:$A,"&lt;="&amp;B166+TIME(23,59,59)))</f>
        <v>175</v>
      </c>
      <c r="G166" s="3">
        <f>IFERROR(__xludf.DUMMYFUNCTION("IF(F166&lt;=0,0,IFERROR(ROUNDUP(F166/INDEX(FILTER('warehouse config'!$D:$D,('warehouse config'!$B:$B=C166)*('warehouse config'!$C:$C=D166)*('warehouse config'!$G:$G&lt;=B166)*(('warehouse config'!$H:$H&gt;=B166)+ISBLANK('warehouse config'!$H:$H))),1)),0))"),9.0)</f>
        <v>9</v>
      </c>
      <c r="H166" s="3">
        <f>IFERROR(__xludf.DUMMYFUNCTION("IFERROR(INDEX(FILTER('cost master'!$E:$E,('cost master'!$B:$B=C166)*('cost master'!$D:$D=""Storage cost per pallet / week"")*('cost master'!$G:$G&lt;=B166)*(('cost master'!$H:$H&gt;=B166)+ISBLANK('cost master'!$H:$H))),1),0)"),2.6)</f>
        <v>2.6</v>
      </c>
      <c r="I166" s="3">
        <f t="shared" si="4"/>
        <v>23.4</v>
      </c>
      <c r="J166" s="27">
        <f t="shared" si="5"/>
        <v>45673</v>
      </c>
      <c r="K166" s="27">
        <f t="shared" si="6"/>
        <v>45703</v>
      </c>
    </row>
    <row r="167" hidden="1">
      <c r="A167" s="3" t="str">
        <f t="shared" si="3"/>
        <v>SL-20250203-Vglobal-CS 008-13</v>
      </c>
      <c r="B167" s="2">
        <f t="array" ref="B167">INDEX(helper!$A$3:$A3996,ROUNDUP((ROW()-1)/COUNTA(helper!$D$3:$D3996),0))</f>
        <v>45691</v>
      </c>
      <c r="C167" s="5" t="str">
        <f t="array" ref="C167">IF(B167="","",INDEX(helper!$D$3:$D3996,MOD(ROW()-2,COUNTA(helper!$D$3:$D3996))+1))</f>
        <v>Vglobal</v>
      </c>
      <c r="D167" s="3" t="str">
        <f t="array" ref="D167">IF(B167="","",INDEX(helper!$E$3:$E3996,MOD(ROW()-2,COUNTA(helper!$D$3:$D3996))+1))</f>
        <v>CS 008</v>
      </c>
      <c r="E167" s="3">
        <f t="array" ref="E167">IF(B167="","",INDEX(helper!$F$3:$F3996,MOD(ROW()-2,COUNTA(helper!$D$3:$D3996))+1))</f>
        <v>13</v>
      </c>
      <c r="F167" s="3">
        <f>IF(B167="","",SUMIFS('inventory ledger'!$H:$H,'inventory ledger'!$C:$C,C167,'inventory ledger'!$D:$D,D167,'inventory ledger'!$E:$E,E167,'inventory ledger'!$A:$A,"&lt;="&amp;B167+TIME(23,59,59))-SUMIFS('inventory ledger'!$I:$I,'inventory ledger'!$C:$C,C167,'inventory ledger'!$D:$D,D167,'inventory ledger'!$E:$E,E167,'inventory ledger'!$A:$A,"&lt;="&amp;B167+TIME(23,59,59)))</f>
        <v>20</v>
      </c>
      <c r="G167" s="3">
        <f>IFERROR(__xludf.DUMMYFUNCTION("IF(F167&lt;=0,0,IFERROR(ROUNDUP(F167/INDEX(FILTER('warehouse config'!$D:$D,('warehouse config'!$B:$B=C167)*('warehouse config'!$C:$C=D167)*('warehouse config'!$G:$G&lt;=B167)*(('warehouse config'!$H:$H&gt;=B167)+ISBLANK('warehouse config'!$H:$H))),1)),0))"),1.0)</f>
        <v>1</v>
      </c>
      <c r="H167" s="3">
        <f>IFERROR(__xludf.DUMMYFUNCTION("IFERROR(INDEX(FILTER('cost master'!$E:$E,('cost master'!$B:$B=C167)*('cost master'!$D:$D=""Storage cost per pallet / week"")*('cost master'!$G:$G&lt;=B167)*(('cost master'!$H:$H&gt;=B167)+ISBLANK('cost master'!$H:$H))),1),0)"),2.6)</f>
        <v>2.6</v>
      </c>
      <c r="I167" s="3">
        <f t="shared" si="4"/>
        <v>2.6</v>
      </c>
      <c r="J167" s="27">
        <f t="shared" si="5"/>
        <v>45673</v>
      </c>
      <c r="K167" s="27">
        <f t="shared" si="6"/>
        <v>45703</v>
      </c>
    </row>
    <row r="168" hidden="1">
      <c r="A168" s="3" t="str">
        <f t="shared" si="3"/>
        <v>SL-20250203-Vglobal-CS 010-13</v>
      </c>
      <c r="B168" s="2">
        <f t="array" ref="B168">INDEX(helper!$A$3:$A3996,ROUNDUP((ROW()-1)/COUNTA(helper!$D$3:$D3996),0))</f>
        <v>45691</v>
      </c>
      <c r="C168" s="5" t="str">
        <f t="array" ref="C168">IF(B168="","",INDEX(helper!$D$3:$D3996,MOD(ROW()-2,COUNTA(helper!$D$3:$D3996))+1))</f>
        <v>Vglobal</v>
      </c>
      <c r="D168" s="3" t="str">
        <f t="array" ref="D168">IF(B168="","",INDEX(helper!$E$3:$E3996,MOD(ROW()-2,COUNTA(helper!$D$3:$D3996))+1))</f>
        <v>CS 010</v>
      </c>
      <c r="E168" s="3">
        <f t="array" ref="E168">IF(B168="","",INDEX(helper!$F$3:$F3996,MOD(ROW()-2,COUNTA(helper!$D$3:$D3996))+1))</f>
        <v>13</v>
      </c>
      <c r="F168" s="3">
        <f>IF(B168="","",SUMIFS('inventory ledger'!$H:$H,'inventory ledger'!$C:$C,C168,'inventory ledger'!$D:$D,D168,'inventory ledger'!$E:$E,E168,'inventory ledger'!$A:$A,"&lt;="&amp;B168+TIME(23,59,59))-SUMIFS('inventory ledger'!$I:$I,'inventory ledger'!$C:$C,C168,'inventory ledger'!$D:$D,D168,'inventory ledger'!$E:$E,E168,'inventory ledger'!$A:$A,"&lt;="&amp;B168+TIME(23,59,59)))</f>
        <v>80</v>
      </c>
      <c r="G168" s="3">
        <f>IFERROR(__xludf.DUMMYFUNCTION("IF(F168&lt;=0,0,IFERROR(ROUNDUP(F168/INDEX(FILTER('warehouse config'!$D:$D,('warehouse config'!$B:$B=C168)*('warehouse config'!$C:$C=D168)*('warehouse config'!$G:$G&lt;=B168)*(('warehouse config'!$H:$H&gt;=B168)+ISBLANK('warehouse config'!$H:$H))),1)),0))"),4.0)</f>
        <v>4</v>
      </c>
      <c r="H168" s="3">
        <f>IFERROR(__xludf.DUMMYFUNCTION("IFERROR(INDEX(FILTER('cost master'!$E:$E,('cost master'!$B:$B=C168)*('cost master'!$D:$D=""Storage cost per pallet / week"")*('cost master'!$G:$G&lt;=B168)*(('cost master'!$H:$H&gt;=B168)+ISBLANK('cost master'!$H:$H))),1),0)"),2.6)</f>
        <v>2.6</v>
      </c>
      <c r="I168" s="3">
        <f t="shared" si="4"/>
        <v>10.4</v>
      </c>
      <c r="J168" s="27">
        <f t="shared" si="5"/>
        <v>45673</v>
      </c>
      <c r="K168" s="27">
        <f t="shared" si="6"/>
        <v>45703</v>
      </c>
    </row>
    <row r="169" hidden="1">
      <c r="A169" s="3" t="str">
        <f t="shared" si="3"/>
        <v>SL-20250203-Vglobal-CS 009-13</v>
      </c>
      <c r="B169" s="2">
        <f t="array" ref="B169">INDEX(helper!$A$3:$A3996,ROUNDUP((ROW()-1)/COUNTA(helper!$D$3:$D3996),0))</f>
        <v>45691</v>
      </c>
      <c r="C169" s="5" t="str">
        <f t="array" ref="C169">IF(B169="","",INDEX(helper!$D$3:$D3996,MOD(ROW()-2,COUNTA(helper!$D$3:$D3996))+1))</f>
        <v>Vglobal</v>
      </c>
      <c r="D169" s="3" t="str">
        <f t="array" ref="D169">IF(B169="","",INDEX(helper!$E$3:$E3996,MOD(ROW()-2,COUNTA(helper!$D$3:$D3996))+1))</f>
        <v>CS 009</v>
      </c>
      <c r="E169" s="3">
        <f t="array" ref="E169">IF(B169="","",INDEX(helper!$F$3:$F3996,MOD(ROW()-2,COUNTA(helper!$D$3:$D3996))+1))</f>
        <v>13</v>
      </c>
      <c r="F169" s="3">
        <f>IF(B169="","",SUMIFS('inventory ledger'!$H:$H,'inventory ledger'!$C:$C,C169,'inventory ledger'!$D:$D,D169,'inventory ledger'!$E:$E,E169,'inventory ledger'!$A:$A,"&lt;="&amp;B169+TIME(23,59,59))-SUMIFS('inventory ledger'!$I:$I,'inventory ledger'!$C:$C,C169,'inventory ledger'!$D:$D,D169,'inventory ledger'!$E:$E,E169,'inventory ledger'!$A:$A,"&lt;="&amp;B169+TIME(23,59,59)))</f>
        <v>88</v>
      </c>
      <c r="G169" s="3">
        <f>IFERROR(__xludf.DUMMYFUNCTION("IF(F169&lt;=0,0,IFERROR(ROUNDUP(F169/INDEX(FILTER('warehouse config'!$D:$D,('warehouse config'!$B:$B=C169)*('warehouse config'!$C:$C=D169)*('warehouse config'!$G:$G&lt;=B169)*(('warehouse config'!$H:$H&gt;=B169)+ISBLANK('warehouse config'!$H:$H))),1)),0))"),6.0)</f>
        <v>6</v>
      </c>
      <c r="H169" s="3">
        <f>IFERROR(__xludf.DUMMYFUNCTION("IFERROR(INDEX(FILTER('cost master'!$E:$E,('cost master'!$B:$B=C169)*('cost master'!$D:$D=""Storage cost per pallet / week"")*('cost master'!$G:$G&lt;=B169)*(('cost master'!$H:$H&gt;=B169)+ISBLANK('cost master'!$H:$H))),1),0)"),2.6)</f>
        <v>2.6</v>
      </c>
      <c r="I169" s="3">
        <f t="shared" si="4"/>
        <v>15.6</v>
      </c>
      <c r="J169" s="27">
        <f t="shared" si="5"/>
        <v>45673</v>
      </c>
      <c r="K169" s="27">
        <f t="shared" si="6"/>
        <v>45703</v>
      </c>
    </row>
    <row r="170" hidden="1">
      <c r="A170" s="3" t="str">
        <f t="shared" si="3"/>
        <v>SL-20250203-Vglobal-CS 012-13</v>
      </c>
      <c r="B170" s="2">
        <f t="array" ref="B170">INDEX(helper!$A$3:$A3996,ROUNDUP((ROW()-1)/COUNTA(helper!$D$3:$D3996),0))</f>
        <v>45691</v>
      </c>
      <c r="C170" s="5" t="str">
        <f t="array" ref="C170">IF(B170="","",INDEX(helper!$D$3:$D3996,MOD(ROW()-2,COUNTA(helper!$D$3:$D3996))+1))</f>
        <v>Vglobal</v>
      </c>
      <c r="D170" s="3" t="str">
        <f t="array" ref="D170">IF(B170="","",INDEX(helper!$E$3:$E3996,MOD(ROW()-2,COUNTA(helper!$D$3:$D3996))+1))</f>
        <v>CS 012</v>
      </c>
      <c r="E170" s="3">
        <f t="array" ref="E170">IF(B170="","",INDEX(helper!$F$3:$F3996,MOD(ROW()-2,COUNTA(helper!$D$3:$D3996))+1))</f>
        <v>13</v>
      </c>
      <c r="F170" s="3">
        <f>IF(B170="","",SUMIFS('inventory ledger'!$H:$H,'inventory ledger'!$C:$C,C170,'inventory ledger'!$D:$D,D170,'inventory ledger'!$E:$E,E170,'inventory ledger'!$A:$A,"&lt;="&amp;B170+TIME(23,59,59))-SUMIFS('inventory ledger'!$I:$I,'inventory ledger'!$C:$C,C170,'inventory ledger'!$D:$D,D170,'inventory ledger'!$E:$E,E170,'inventory ledger'!$A:$A,"&lt;="&amp;B170+TIME(23,59,59)))</f>
        <v>65</v>
      </c>
      <c r="G170" s="3">
        <f>IFERROR(__xludf.DUMMYFUNCTION("IF(F170&lt;=0,0,IFERROR(ROUNDUP(F170/INDEX(FILTER('warehouse config'!$D:$D,('warehouse config'!$B:$B=C170)*('warehouse config'!$C:$C=D170)*('warehouse config'!$G:$G&lt;=B170)*(('warehouse config'!$H:$H&gt;=B170)+ISBLANK('warehouse config'!$H:$H))),1)),0))"),4.0)</f>
        <v>4</v>
      </c>
      <c r="H170" s="3">
        <f>IFERROR(__xludf.DUMMYFUNCTION("IFERROR(INDEX(FILTER('cost master'!$E:$E,('cost master'!$B:$B=C170)*('cost master'!$D:$D=""Storage cost per pallet / week"")*('cost master'!$G:$G&lt;=B170)*(('cost master'!$H:$H&gt;=B170)+ISBLANK('cost master'!$H:$H))),1),0)"),2.6)</f>
        <v>2.6</v>
      </c>
      <c r="I170" s="3">
        <f t="shared" si="4"/>
        <v>10.4</v>
      </c>
      <c r="J170" s="27">
        <f t="shared" si="5"/>
        <v>45673</v>
      </c>
      <c r="K170" s="27">
        <f t="shared" si="6"/>
        <v>45703</v>
      </c>
    </row>
    <row r="171" hidden="1">
      <c r="A171" s="3" t="str">
        <f t="shared" si="3"/>
        <v>SL-20250203-FMC-CS 008-11</v>
      </c>
      <c r="B171" s="2">
        <f t="array" ref="B171">INDEX(helper!$A$3:$A3996,ROUNDUP((ROW()-1)/COUNTA(helper!$D$3:$D3996),0))</f>
        <v>45691</v>
      </c>
      <c r="C171" s="5" t="str">
        <f t="array" ref="C171">IF(B171="","",INDEX(helper!$D$3:$D3996,MOD(ROW()-2,COUNTA(helper!$D$3:$D3996))+1))</f>
        <v>FMC</v>
      </c>
      <c r="D171" s="3" t="str">
        <f t="array" ref="D171">IF(B171="","",INDEX(helper!$E$3:$E3996,MOD(ROW()-2,COUNTA(helper!$D$3:$D3996))+1))</f>
        <v>CS 008</v>
      </c>
      <c r="E171" s="3">
        <f t="array" ref="E171">IF(B171="","",INDEX(helper!$F$3:$F3996,MOD(ROW()-2,COUNTA(helper!$D$3:$D3996))+1))</f>
        <v>11</v>
      </c>
      <c r="F171" s="3">
        <f>IF(B171="","",SUMIFS('inventory ledger'!$H:$H,'inventory ledger'!$C:$C,C171,'inventory ledger'!$D:$D,D171,'inventory ledger'!$E:$E,E171,'inventory ledger'!$A:$A,"&lt;="&amp;B171+TIME(23,59,59))-SUMIFS('inventory ledger'!$I:$I,'inventory ledger'!$C:$C,C171,'inventory ledger'!$D:$D,D171,'inventory ledger'!$E:$E,E171,'inventory ledger'!$A:$A,"&lt;="&amp;B171+TIME(23,59,59)))</f>
        <v>0</v>
      </c>
      <c r="G171" s="3">
        <f>IFERROR(__xludf.DUMMYFUNCTION("IF(F171&lt;=0,0,IFERROR(ROUNDUP(F171/INDEX(FILTER('warehouse config'!$D:$D,('warehouse config'!$B:$B=C171)*('warehouse config'!$C:$C=D171)*('warehouse config'!$G:$G&lt;=B171)*(('warehouse config'!$H:$H&gt;=B171)+ISBLANK('warehouse config'!$H:$H))),1)),0))"),0.0)</f>
        <v>0</v>
      </c>
      <c r="H171" s="3">
        <f>IFERROR(__xludf.DUMMYFUNCTION("IFERROR(INDEX(FILTER('cost master'!$E:$E,('cost master'!$B:$B=C171)*('cost master'!$D:$D=""Storage cost per pallet / week"")*('cost master'!$G:$G&lt;=B171)*(('cost master'!$H:$H&gt;=B171)+ISBLANK('cost master'!$H:$H))),1),0)"),3.9)</f>
        <v>3.9</v>
      </c>
      <c r="I171" s="3">
        <f t="shared" si="4"/>
        <v>0</v>
      </c>
      <c r="J171" s="27">
        <f t="shared" si="5"/>
        <v>45673</v>
      </c>
      <c r="K171" s="27">
        <f t="shared" si="6"/>
        <v>45703</v>
      </c>
    </row>
    <row r="172" hidden="1">
      <c r="A172" s="3" t="str">
        <f t="shared" si="3"/>
        <v>SL-20250210-FMC-CS 007-8</v>
      </c>
      <c r="B172" s="2">
        <f t="array" ref="B172">INDEX(helper!$A$3:$A3996,ROUNDUP((ROW()-1)/COUNTA(helper!$D$3:$D3996),0))</f>
        <v>45698</v>
      </c>
      <c r="C172" s="5" t="str">
        <f t="array" ref="C172">IF(B172="","",INDEX(helper!$D$3:$D3996,MOD(ROW()-2,COUNTA(helper!$D$3:$D3996))+1))</f>
        <v>FMC</v>
      </c>
      <c r="D172" s="3" t="str">
        <f t="array" ref="D172">IF(B172="","",INDEX(helper!$E$3:$E3996,MOD(ROW()-2,COUNTA(helper!$D$3:$D3996))+1))</f>
        <v>CS 007</v>
      </c>
      <c r="E172" s="3">
        <f t="array" ref="E172">IF(B172="","",INDEX(helper!$F$3:$F3996,MOD(ROW()-2,COUNTA(helper!$D$3:$D3996))+1))</f>
        <v>8</v>
      </c>
      <c r="F172" s="3">
        <f>IF(B172="","",SUMIFS('inventory ledger'!$H:$H,'inventory ledger'!$C:$C,C172,'inventory ledger'!$D:$D,D172,'inventory ledger'!$E:$E,E172,'inventory ledger'!$A:$A,"&lt;="&amp;B172+TIME(23,59,59))-SUMIFS('inventory ledger'!$I:$I,'inventory ledger'!$C:$C,C172,'inventory ledger'!$D:$D,D172,'inventory ledger'!$E:$E,E172,'inventory ledger'!$A:$A,"&lt;="&amp;B172+TIME(23,59,59)))</f>
        <v>0</v>
      </c>
      <c r="G172" s="3">
        <f>IFERROR(__xludf.DUMMYFUNCTION("IF(F172&lt;=0,0,IFERROR(ROUNDUP(F172/INDEX(FILTER('warehouse config'!$D:$D,('warehouse config'!$B:$B=C172)*('warehouse config'!$C:$C=D172)*('warehouse config'!$G:$G&lt;=B172)*(('warehouse config'!$H:$H&gt;=B172)+ISBLANK('warehouse config'!$H:$H))),1)),0))"),0.0)</f>
        <v>0</v>
      </c>
      <c r="H172" s="3">
        <f>IFERROR(__xludf.DUMMYFUNCTION("IFERROR(INDEX(FILTER('cost master'!$E:$E,('cost master'!$B:$B=C172)*('cost master'!$D:$D=""Storage cost per pallet / week"")*('cost master'!$G:$G&lt;=B172)*(('cost master'!$H:$H&gt;=B172)+ISBLANK('cost master'!$H:$H))),1),0)"),3.9)</f>
        <v>3.9</v>
      </c>
      <c r="I172" s="3">
        <f t="shared" si="4"/>
        <v>0</v>
      </c>
      <c r="J172" s="27">
        <f t="shared" si="5"/>
        <v>45673</v>
      </c>
      <c r="K172" s="27">
        <f t="shared" si="6"/>
        <v>45703</v>
      </c>
    </row>
    <row r="173" hidden="1">
      <c r="A173" s="3" t="str">
        <f t="shared" si="3"/>
        <v>SL-20250210-FMC-CS 008-8</v>
      </c>
      <c r="B173" s="2">
        <f t="array" ref="B173">INDEX(helper!$A$3:$A3996,ROUNDUP((ROW()-1)/COUNTA(helper!$D$3:$D3996),0))</f>
        <v>45698</v>
      </c>
      <c r="C173" s="5" t="str">
        <f t="array" ref="C173">IF(B173="","",INDEX(helper!$D$3:$D3996,MOD(ROW()-2,COUNTA(helper!$D$3:$D3996))+1))</f>
        <v>FMC</v>
      </c>
      <c r="D173" s="3" t="str">
        <f t="array" ref="D173">IF(B173="","",INDEX(helper!$E$3:$E3996,MOD(ROW()-2,COUNTA(helper!$D$3:$D3996))+1))</f>
        <v>CS 008</v>
      </c>
      <c r="E173" s="3">
        <f t="array" ref="E173">IF(B173="","",INDEX(helper!$F$3:$F3996,MOD(ROW()-2,COUNTA(helper!$D$3:$D3996))+1))</f>
        <v>8</v>
      </c>
      <c r="F173" s="3">
        <f>IF(B173="","",SUMIFS('inventory ledger'!$H:$H,'inventory ledger'!$C:$C,C173,'inventory ledger'!$D:$D,D173,'inventory ledger'!$E:$E,E173,'inventory ledger'!$A:$A,"&lt;="&amp;B173+TIME(23,59,59))-SUMIFS('inventory ledger'!$I:$I,'inventory ledger'!$C:$C,C173,'inventory ledger'!$D:$D,D173,'inventory ledger'!$E:$E,E173,'inventory ledger'!$A:$A,"&lt;="&amp;B173+TIME(23,59,59)))</f>
        <v>0</v>
      </c>
      <c r="G173" s="3">
        <f>IFERROR(__xludf.DUMMYFUNCTION("IF(F173&lt;=0,0,IFERROR(ROUNDUP(F173/INDEX(FILTER('warehouse config'!$D:$D,('warehouse config'!$B:$B=C173)*('warehouse config'!$C:$C=D173)*('warehouse config'!$G:$G&lt;=B173)*(('warehouse config'!$H:$H&gt;=B173)+ISBLANK('warehouse config'!$H:$H))),1)),0))"),0.0)</f>
        <v>0</v>
      </c>
      <c r="H173" s="3">
        <f>IFERROR(__xludf.DUMMYFUNCTION("IFERROR(INDEX(FILTER('cost master'!$E:$E,('cost master'!$B:$B=C173)*('cost master'!$D:$D=""Storage cost per pallet / week"")*('cost master'!$G:$G&lt;=B173)*(('cost master'!$H:$H&gt;=B173)+ISBLANK('cost master'!$H:$H))),1),0)"),3.9)</f>
        <v>3.9</v>
      </c>
      <c r="I173" s="3">
        <f t="shared" si="4"/>
        <v>0</v>
      </c>
      <c r="J173" s="27">
        <f t="shared" si="5"/>
        <v>45673</v>
      </c>
      <c r="K173" s="27">
        <f t="shared" si="6"/>
        <v>45703</v>
      </c>
    </row>
    <row r="174" hidden="1">
      <c r="A174" s="3" t="str">
        <f t="shared" si="3"/>
        <v>SL-20250210-FMC-CS 009-8</v>
      </c>
      <c r="B174" s="2">
        <f t="array" ref="B174">INDEX(helper!$A$3:$A3996,ROUNDUP((ROW()-1)/COUNTA(helper!$D$3:$D3996),0))</f>
        <v>45698</v>
      </c>
      <c r="C174" s="5" t="str">
        <f t="array" ref="C174">IF(B174="","",INDEX(helper!$D$3:$D3996,MOD(ROW()-2,COUNTA(helper!$D$3:$D3996))+1))</f>
        <v>FMC</v>
      </c>
      <c r="D174" s="3" t="str">
        <f t="array" ref="D174">IF(B174="","",INDEX(helper!$E$3:$E3996,MOD(ROW()-2,COUNTA(helper!$D$3:$D3996))+1))</f>
        <v>CS 009</v>
      </c>
      <c r="E174" s="3">
        <f t="array" ref="E174">IF(B174="","",INDEX(helper!$F$3:$F3996,MOD(ROW()-2,COUNTA(helper!$D$3:$D3996))+1))</f>
        <v>8</v>
      </c>
      <c r="F174" s="3">
        <f>IF(B174="","",SUMIFS('inventory ledger'!$H:$H,'inventory ledger'!$C:$C,C174,'inventory ledger'!$D:$D,D174,'inventory ledger'!$E:$E,E174,'inventory ledger'!$A:$A,"&lt;="&amp;B174+TIME(23,59,59))-SUMIFS('inventory ledger'!$I:$I,'inventory ledger'!$C:$C,C174,'inventory ledger'!$D:$D,D174,'inventory ledger'!$E:$E,E174,'inventory ledger'!$A:$A,"&lt;="&amp;B174+TIME(23,59,59)))</f>
        <v>0</v>
      </c>
      <c r="G174" s="3">
        <f>IFERROR(__xludf.DUMMYFUNCTION("IF(F174&lt;=0,0,IFERROR(ROUNDUP(F174/INDEX(FILTER('warehouse config'!$D:$D,('warehouse config'!$B:$B=C174)*('warehouse config'!$C:$C=D174)*('warehouse config'!$G:$G&lt;=B174)*(('warehouse config'!$H:$H&gt;=B174)+ISBLANK('warehouse config'!$H:$H))),1)),0))"),0.0)</f>
        <v>0</v>
      </c>
      <c r="H174" s="3">
        <f>IFERROR(__xludf.DUMMYFUNCTION("IFERROR(INDEX(FILTER('cost master'!$E:$E,('cost master'!$B:$B=C174)*('cost master'!$D:$D=""Storage cost per pallet / week"")*('cost master'!$G:$G&lt;=B174)*(('cost master'!$H:$H&gt;=B174)+ISBLANK('cost master'!$H:$H))),1),0)"),3.9)</f>
        <v>3.9</v>
      </c>
      <c r="I174" s="3">
        <f t="shared" si="4"/>
        <v>0</v>
      </c>
      <c r="J174" s="27">
        <f t="shared" si="5"/>
        <v>45673</v>
      </c>
      <c r="K174" s="27">
        <f t="shared" si="6"/>
        <v>45703</v>
      </c>
    </row>
    <row r="175" hidden="1">
      <c r="A175" s="3" t="str">
        <f t="shared" si="3"/>
        <v>SL-20250210-FMC-CS 010-8</v>
      </c>
      <c r="B175" s="2">
        <f t="array" ref="B175">INDEX(helper!$A$3:$A3996,ROUNDUP((ROW()-1)/COUNTA(helper!$D$3:$D3996),0))</f>
        <v>45698</v>
      </c>
      <c r="C175" s="5" t="str">
        <f t="array" ref="C175">IF(B175="","",INDEX(helper!$D$3:$D3996,MOD(ROW()-2,COUNTA(helper!$D$3:$D3996))+1))</f>
        <v>FMC</v>
      </c>
      <c r="D175" s="3" t="str">
        <f t="array" ref="D175">IF(B175="","",INDEX(helper!$E$3:$E3996,MOD(ROW()-2,COUNTA(helper!$D$3:$D3996))+1))</f>
        <v>CS 010</v>
      </c>
      <c r="E175" s="3">
        <f t="array" ref="E175">IF(B175="","",INDEX(helper!$F$3:$F3996,MOD(ROW()-2,COUNTA(helper!$D$3:$D3996))+1))</f>
        <v>8</v>
      </c>
      <c r="F175" s="3">
        <f>IF(B175="","",SUMIFS('inventory ledger'!$H:$H,'inventory ledger'!$C:$C,C175,'inventory ledger'!$D:$D,D175,'inventory ledger'!$E:$E,E175,'inventory ledger'!$A:$A,"&lt;="&amp;B175+TIME(23,59,59))-SUMIFS('inventory ledger'!$I:$I,'inventory ledger'!$C:$C,C175,'inventory ledger'!$D:$D,D175,'inventory ledger'!$E:$E,E175,'inventory ledger'!$A:$A,"&lt;="&amp;B175+TIME(23,59,59)))</f>
        <v>0</v>
      </c>
      <c r="G175" s="3">
        <f>IFERROR(__xludf.DUMMYFUNCTION("IF(F175&lt;=0,0,IFERROR(ROUNDUP(F175/INDEX(FILTER('warehouse config'!$D:$D,('warehouse config'!$B:$B=C175)*('warehouse config'!$C:$C=D175)*('warehouse config'!$G:$G&lt;=B175)*(('warehouse config'!$H:$H&gt;=B175)+ISBLANK('warehouse config'!$H:$H))),1)),0))"),0.0)</f>
        <v>0</v>
      </c>
      <c r="H175" s="3">
        <f>IFERROR(__xludf.DUMMYFUNCTION("IFERROR(INDEX(FILTER('cost master'!$E:$E,('cost master'!$B:$B=C175)*('cost master'!$D:$D=""Storage cost per pallet / week"")*('cost master'!$G:$G&lt;=B175)*(('cost master'!$H:$H&gt;=B175)+ISBLANK('cost master'!$H:$H))),1),0)"),3.9)</f>
        <v>3.9</v>
      </c>
      <c r="I175" s="3">
        <f t="shared" si="4"/>
        <v>0</v>
      </c>
      <c r="J175" s="27">
        <f t="shared" si="5"/>
        <v>45673</v>
      </c>
      <c r="K175" s="27">
        <f t="shared" si="6"/>
        <v>45703</v>
      </c>
    </row>
    <row r="176" hidden="1">
      <c r="A176" s="3" t="str">
        <f t="shared" si="3"/>
        <v>SL-20250210-FMC-CS 007-9</v>
      </c>
      <c r="B176" s="2">
        <f t="array" ref="B176">INDEX(helper!$A$3:$A3996,ROUNDUP((ROW()-1)/COUNTA(helper!$D$3:$D3996),0))</f>
        <v>45698</v>
      </c>
      <c r="C176" s="5" t="str">
        <f t="array" ref="C176">IF(B176="","",INDEX(helper!$D$3:$D3996,MOD(ROW()-2,COUNTA(helper!$D$3:$D3996))+1))</f>
        <v>FMC</v>
      </c>
      <c r="D176" s="3" t="str">
        <f t="array" ref="D176">IF(B176="","",INDEX(helper!$E$3:$E3996,MOD(ROW()-2,COUNTA(helper!$D$3:$D3996))+1))</f>
        <v>CS 007</v>
      </c>
      <c r="E176" s="3">
        <f t="array" ref="E176">IF(B176="","",INDEX(helper!$F$3:$F3996,MOD(ROW()-2,COUNTA(helper!$D$3:$D3996))+1))</f>
        <v>9</v>
      </c>
      <c r="F176" s="3">
        <f>IF(B176="","",SUMIFS('inventory ledger'!$H:$H,'inventory ledger'!$C:$C,C176,'inventory ledger'!$D:$D,D176,'inventory ledger'!$E:$E,E176,'inventory ledger'!$A:$A,"&lt;="&amp;B176+TIME(23,59,59))-SUMIFS('inventory ledger'!$I:$I,'inventory ledger'!$C:$C,C176,'inventory ledger'!$D:$D,D176,'inventory ledger'!$E:$E,E176,'inventory ledger'!$A:$A,"&lt;="&amp;B176+TIME(23,59,59)))</f>
        <v>0</v>
      </c>
      <c r="G176" s="3">
        <f>IFERROR(__xludf.DUMMYFUNCTION("IF(F176&lt;=0,0,IFERROR(ROUNDUP(F176/INDEX(FILTER('warehouse config'!$D:$D,('warehouse config'!$B:$B=C176)*('warehouse config'!$C:$C=D176)*('warehouse config'!$G:$G&lt;=B176)*(('warehouse config'!$H:$H&gt;=B176)+ISBLANK('warehouse config'!$H:$H))),1)),0))"),0.0)</f>
        <v>0</v>
      </c>
      <c r="H176" s="3">
        <f>IFERROR(__xludf.DUMMYFUNCTION("IFERROR(INDEX(FILTER('cost master'!$E:$E,('cost master'!$B:$B=C176)*('cost master'!$D:$D=""Storage cost per pallet / week"")*('cost master'!$G:$G&lt;=B176)*(('cost master'!$H:$H&gt;=B176)+ISBLANK('cost master'!$H:$H))),1),0)"),3.9)</f>
        <v>3.9</v>
      </c>
      <c r="I176" s="3">
        <f t="shared" si="4"/>
        <v>0</v>
      </c>
      <c r="J176" s="27">
        <f t="shared" si="5"/>
        <v>45673</v>
      </c>
      <c r="K176" s="27">
        <f t="shared" si="6"/>
        <v>45703</v>
      </c>
    </row>
    <row r="177" hidden="1">
      <c r="A177" s="3" t="str">
        <f t="shared" si="3"/>
        <v>SL-20250210-FMC-CS 008-9</v>
      </c>
      <c r="B177" s="2">
        <f t="array" ref="B177">INDEX(helper!$A$3:$A3996,ROUNDUP((ROW()-1)/COUNTA(helper!$D$3:$D3996),0))</f>
        <v>45698</v>
      </c>
      <c r="C177" s="5" t="str">
        <f t="array" ref="C177">IF(B177="","",INDEX(helper!$D$3:$D3996,MOD(ROW()-2,COUNTA(helper!$D$3:$D3996))+1))</f>
        <v>FMC</v>
      </c>
      <c r="D177" s="3" t="str">
        <f t="array" ref="D177">IF(B177="","",INDEX(helper!$E$3:$E3996,MOD(ROW()-2,COUNTA(helper!$D$3:$D3996))+1))</f>
        <v>CS 008</v>
      </c>
      <c r="E177" s="3">
        <f t="array" ref="E177">IF(B177="","",INDEX(helper!$F$3:$F3996,MOD(ROW()-2,COUNTA(helper!$D$3:$D3996))+1))</f>
        <v>9</v>
      </c>
      <c r="F177" s="3">
        <f>IF(B177="","",SUMIFS('inventory ledger'!$H:$H,'inventory ledger'!$C:$C,C177,'inventory ledger'!$D:$D,D177,'inventory ledger'!$E:$E,E177,'inventory ledger'!$A:$A,"&lt;="&amp;B177+TIME(23,59,59))-SUMIFS('inventory ledger'!$I:$I,'inventory ledger'!$C:$C,C177,'inventory ledger'!$D:$D,D177,'inventory ledger'!$E:$E,E177,'inventory ledger'!$A:$A,"&lt;="&amp;B177+TIME(23,59,59)))</f>
        <v>14</v>
      </c>
      <c r="G177" s="3">
        <f>IFERROR(__xludf.DUMMYFUNCTION("IF(F177&lt;=0,0,IFERROR(ROUNDUP(F177/INDEX(FILTER('warehouse config'!$D:$D,('warehouse config'!$B:$B=C177)*('warehouse config'!$C:$C=D177)*('warehouse config'!$G:$G&lt;=B177)*(('warehouse config'!$H:$H&gt;=B177)+ISBLANK('warehouse config'!$H:$H))),1)),0))"),1.0)</f>
        <v>1</v>
      </c>
      <c r="H177" s="3">
        <f>IFERROR(__xludf.DUMMYFUNCTION("IFERROR(INDEX(FILTER('cost master'!$E:$E,('cost master'!$B:$B=C177)*('cost master'!$D:$D=""Storage cost per pallet / week"")*('cost master'!$G:$G&lt;=B177)*(('cost master'!$H:$H&gt;=B177)+ISBLANK('cost master'!$H:$H))),1),0)"),3.9)</f>
        <v>3.9</v>
      </c>
      <c r="I177" s="3">
        <f t="shared" si="4"/>
        <v>3.9</v>
      </c>
      <c r="J177" s="27">
        <f t="shared" si="5"/>
        <v>45673</v>
      </c>
      <c r="K177" s="27">
        <f t="shared" si="6"/>
        <v>45703</v>
      </c>
    </row>
    <row r="178" hidden="1">
      <c r="A178" s="3" t="str">
        <f t="shared" si="3"/>
        <v>SL-20250210-FMC-CS 009-9</v>
      </c>
      <c r="B178" s="2">
        <f t="array" ref="B178">INDEX(helper!$A$3:$A3996,ROUNDUP((ROW()-1)/COUNTA(helper!$D$3:$D3996),0))</f>
        <v>45698</v>
      </c>
      <c r="C178" s="5" t="str">
        <f t="array" ref="C178">IF(B178="","",INDEX(helper!$D$3:$D3996,MOD(ROW()-2,COUNTA(helper!$D$3:$D3996))+1))</f>
        <v>FMC</v>
      </c>
      <c r="D178" s="3" t="str">
        <f t="array" ref="D178">IF(B178="","",INDEX(helper!$E$3:$E3996,MOD(ROW()-2,COUNTA(helper!$D$3:$D3996))+1))</f>
        <v>CS 009</v>
      </c>
      <c r="E178" s="3">
        <f t="array" ref="E178">IF(B178="","",INDEX(helper!$F$3:$F3996,MOD(ROW()-2,COUNTA(helper!$D$3:$D3996))+1))</f>
        <v>9</v>
      </c>
      <c r="F178" s="3">
        <f>IF(B178="","",SUMIFS('inventory ledger'!$H:$H,'inventory ledger'!$C:$C,C178,'inventory ledger'!$D:$D,D178,'inventory ledger'!$E:$E,E178,'inventory ledger'!$A:$A,"&lt;="&amp;B178+TIME(23,59,59))-SUMIFS('inventory ledger'!$I:$I,'inventory ledger'!$C:$C,C178,'inventory ledger'!$D:$D,D178,'inventory ledger'!$E:$E,E178,'inventory ledger'!$A:$A,"&lt;="&amp;B178+TIME(23,59,59)))</f>
        <v>0</v>
      </c>
      <c r="G178" s="3">
        <f>IFERROR(__xludf.DUMMYFUNCTION("IF(F178&lt;=0,0,IFERROR(ROUNDUP(F178/INDEX(FILTER('warehouse config'!$D:$D,('warehouse config'!$B:$B=C178)*('warehouse config'!$C:$C=D178)*('warehouse config'!$G:$G&lt;=B178)*(('warehouse config'!$H:$H&gt;=B178)+ISBLANK('warehouse config'!$H:$H))),1)),0))"),0.0)</f>
        <v>0</v>
      </c>
      <c r="H178" s="3">
        <f>IFERROR(__xludf.DUMMYFUNCTION("IFERROR(INDEX(FILTER('cost master'!$E:$E,('cost master'!$B:$B=C178)*('cost master'!$D:$D=""Storage cost per pallet / week"")*('cost master'!$G:$G&lt;=B178)*(('cost master'!$H:$H&gt;=B178)+ISBLANK('cost master'!$H:$H))),1),0)"),3.9)</f>
        <v>3.9</v>
      </c>
      <c r="I178" s="3">
        <f t="shared" si="4"/>
        <v>0</v>
      </c>
      <c r="J178" s="27">
        <f t="shared" si="5"/>
        <v>45673</v>
      </c>
      <c r="K178" s="27">
        <f t="shared" si="6"/>
        <v>45703</v>
      </c>
    </row>
    <row r="179" hidden="1">
      <c r="A179" s="3" t="str">
        <f t="shared" si="3"/>
        <v>SL-20250210-FMC-CS 010-9</v>
      </c>
      <c r="B179" s="2">
        <f t="array" ref="B179">INDEX(helper!$A$3:$A3996,ROUNDUP((ROW()-1)/COUNTA(helper!$D$3:$D3996),0))</f>
        <v>45698</v>
      </c>
      <c r="C179" s="5" t="str">
        <f t="array" ref="C179">IF(B179="","",INDEX(helper!$D$3:$D3996,MOD(ROW()-2,COUNTA(helper!$D$3:$D3996))+1))</f>
        <v>FMC</v>
      </c>
      <c r="D179" s="3" t="str">
        <f t="array" ref="D179">IF(B179="","",INDEX(helper!$E$3:$E3996,MOD(ROW()-2,COUNTA(helper!$D$3:$D3996))+1))</f>
        <v>CS 010</v>
      </c>
      <c r="E179" s="3">
        <f t="array" ref="E179">IF(B179="","",INDEX(helper!$F$3:$F3996,MOD(ROW()-2,COUNTA(helper!$D$3:$D3996))+1))</f>
        <v>9</v>
      </c>
      <c r="F179" s="3">
        <f>IF(B179="","",SUMIFS('inventory ledger'!$H:$H,'inventory ledger'!$C:$C,C179,'inventory ledger'!$D:$D,D179,'inventory ledger'!$E:$E,E179,'inventory ledger'!$A:$A,"&lt;="&amp;B179+TIME(23,59,59))-SUMIFS('inventory ledger'!$I:$I,'inventory ledger'!$C:$C,C179,'inventory ledger'!$D:$D,D179,'inventory ledger'!$E:$E,E179,'inventory ledger'!$A:$A,"&lt;="&amp;B179+TIME(23,59,59)))</f>
        <v>0</v>
      </c>
      <c r="G179" s="3">
        <f>IFERROR(__xludf.DUMMYFUNCTION("IF(F179&lt;=0,0,IFERROR(ROUNDUP(F179/INDEX(FILTER('warehouse config'!$D:$D,('warehouse config'!$B:$B=C179)*('warehouse config'!$C:$C=D179)*('warehouse config'!$G:$G&lt;=B179)*(('warehouse config'!$H:$H&gt;=B179)+ISBLANK('warehouse config'!$H:$H))),1)),0))"),0.0)</f>
        <v>0</v>
      </c>
      <c r="H179" s="3">
        <f>IFERROR(__xludf.DUMMYFUNCTION("IFERROR(INDEX(FILTER('cost master'!$E:$E,('cost master'!$B:$B=C179)*('cost master'!$D:$D=""Storage cost per pallet / week"")*('cost master'!$G:$G&lt;=B179)*(('cost master'!$H:$H&gt;=B179)+ISBLANK('cost master'!$H:$H))),1),0)"),3.9)</f>
        <v>3.9</v>
      </c>
      <c r="I179" s="3">
        <f t="shared" si="4"/>
        <v>0</v>
      </c>
      <c r="J179" s="27">
        <f t="shared" si="5"/>
        <v>45673</v>
      </c>
      <c r="K179" s="27">
        <f t="shared" si="6"/>
        <v>45703</v>
      </c>
    </row>
    <row r="180" hidden="1">
      <c r="A180" s="3" t="str">
        <f t="shared" si="3"/>
        <v>SL-20250210-FMC-CS-CDS-001-9</v>
      </c>
      <c r="B180" s="2">
        <f t="array" ref="B180">INDEX(helper!$A$3:$A3996,ROUNDUP((ROW()-1)/COUNTA(helper!$D$3:$D3996),0))</f>
        <v>45698</v>
      </c>
      <c r="C180" s="5" t="str">
        <f t="array" ref="C180">IF(B180="","",INDEX(helper!$D$3:$D3996,MOD(ROW()-2,COUNTA(helper!$D$3:$D3996))+1))</f>
        <v>FMC</v>
      </c>
      <c r="D180" s="3" t="str">
        <f t="array" ref="D180">IF(B180="","",INDEX(helper!$E$3:$E3996,MOD(ROW()-2,COUNTA(helper!$D$3:$D3996))+1))</f>
        <v>CS-CDS-001</v>
      </c>
      <c r="E180" s="3">
        <f t="array" ref="E180">IF(B180="","",INDEX(helper!$F$3:$F3996,MOD(ROW()-2,COUNTA(helper!$D$3:$D3996))+1))</f>
        <v>9</v>
      </c>
      <c r="F180" s="3">
        <f>IF(B180="","",SUMIFS('inventory ledger'!$H:$H,'inventory ledger'!$C:$C,C180,'inventory ledger'!$D:$D,D180,'inventory ledger'!$E:$E,E180,'inventory ledger'!$A:$A,"&lt;="&amp;B180+TIME(23,59,59))-SUMIFS('inventory ledger'!$I:$I,'inventory ledger'!$C:$C,C180,'inventory ledger'!$D:$D,D180,'inventory ledger'!$E:$E,E180,'inventory ledger'!$A:$A,"&lt;="&amp;B180+TIME(23,59,59)))</f>
        <v>0</v>
      </c>
      <c r="G180" s="3">
        <f>IFERROR(__xludf.DUMMYFUNCTION("IF(F180&lt;=0,0,IFERROR(ROUNDUP(F180/INDEX(FILTER('warehouse config'!$D:$D,('warehouse config'!$B:$B=C180)*('warehouse config'!$C:$C=D180)*('warehouse config'!$G:$G&lt;=B180)*(('warehouse config'!$H:$H&gt;=B180)+ISBLANK('warehouse config'!$H:$H))),1)),0))"),0.0)</f>
        <v>0</v>
      </c>
      <c r="H180" s="3">
        <f>IFERROR(__xludf.DUMMYFUNCTION("IFERROR(INDEX(FILTER('cost master'!$E:$E,('cost master'!$B:$B=C180)*('cost master'!$D:$D=""Storage cost per pallet / week"")*('cost master'!$G:$G&lt;=B180)*(('cost master'!$H:$H&gt;=B180)+ISBLANK('cost master'!$H:$H))),1),0)"),3.9)</f>
        <v>3.9</v>
      </c>
      <c r="I180" s="3">
        <f t="shared" si="4"/>
        <v>0</v>
      </c>
      <c r="J180" s="27">
        <f t="shared" si="5"/>
        <v>45673</v>
      </c>
      <c r="K180" s="27">
        <f t="shared" si="6"/>
        <v>45703</v>
      </c>
    </row>
    <row r="181" hidden="1">
      <c r="A181" s="3" t="str">
        <f t="shared" si="3"/>
        <v>SL-20250210-FMC-CS-CDS-002-9</v>
      </c>
      <c r="B181" s="2">
        <f t="array" ref="B181">INDEX(helper!$A$3:$A3996,ROUNDUP((ROW()-1)/COUNTA(helper!$D$3:$D3996),0))</f>
        <v>45698</v>
      </c>
      <c r="C181" s="5" t="str">
        <f t="array" ref="C181">IF(B181="","",INDEX(helper!$D$3:$D3996,MOD(ROW()-2,COUNTA(helper!$D$3:$D3996))+1))</f>
        <v>FMC</v>
      </c>
      <c r="D181" s="3" t="str">
        <f t="array" ref="D181">IF(B181="","",INDEX(helper!$E$3:$E3996,MOD(ROW()-2,COUNTA(helper!$D$3:$D3996))+1))</f>
        <v>CS-CDS-002</v>
      </c>
      <c r="E181" s="3">
        <f t="array" ref="E181">IF(B181="","",INDEX(helper!$F$3:$F3996,MOD(ROW()-2,COUNTA(helper!$D$3:$D3996))+1))</f>
        <v>9</v>
      </c>
      <c r="F181" s="3">
        <f>IF(B181="","",SUMIFS('inventory ledger'!$H:$H,'inventory ledger'!$C:$C,C181,'inventory ledger'!$D:$D,D181,'inventory ledger'!$E:$E,E181,'inventory ledger'!$A:$A,"&lt;="&amp;B181+TIME(23,59,59))-SUMIFS('inventory ledger'!$I:$I,'inventory ledger'!$C:$C,C181,'inventory ledger'!$D:$D,D181,'inventory ledger'!$E:$E,E181,'inventory ledger'!$A:$A,"&lt;="&amp;B181+TIME(23,59,59)))</f>
        <v>0</v>
      </c>
      <c r="G181" s="3">
        <f>IFERROR(__xludf.DUMMYFUNCTION("IF(F181&lt;=0,0,IFERROR(ROUNDUP(F181/INDEX(FILTER('warehouse config'!$D:$D,('warehouse config'!$B:$B=C181)*('warehouse config'!$C:$C=D181)*('warehouse config'!$G:$G&lt;=B181)*(('warehouse config'!$H:$H&gt;=B181)+ISBLANK('warehouse config'!$H:$H))),1)),0))"),0.0)</f>
        <v>0</v>
      </c>
      <c r="H181" s="3">
        <f>IFERROR(__xludf.DUMMYFUNCTION("IFERROR(INDEX(FILTER('cost master'!$E:$E,('cost master'!$B:$B=C181)*('cost master'!$D:$D=""Storage cost per pallet / week"")*('cost master'!$G:$G&lt;=B181)*(('cost master'!$H:$H&gt;=B181)+ISBLANK('cost master'!$H:$H))),1),0)"),3.9)</f>
        <v>3.9</v>
      </c>
      <c r="I181" s="3">
        <f t="shared" si="4"/>
        <v>0</v>
      </c>
      <c r="J181" s="27">
        <f t="shared" si="5"/>
        <v>45673</v>
      </c>
      <c r="K181" s="27">
        <f t="shared" si="6"/>
        <v>45703</v>
      </c>
    </row>
    <row r="182" hidden="1">
      <c r="A182" s="3" t="str">
        <f t="shared" si="3"/>
        <v>SL-20250210-FMC-CS 007-10</v>
      </c>
      <c r="B182" s="2">
        <f t="array" ref="B182">INDEX(helper!$A$3:$A3996,ROUNDUP((ROW()-1)/COUNTA(helper!$D$3:$D3996),0))</f>
        <v>45698</v>
      </c>
      <c r="C182" s="5" t="str">
        <f t="array" ref="C182">IF(B182="","",INDEX(helper!$D$3:$D3996,MOD(ROW()-2,COUNTA(helper!$D$3:$D3996))+1))</f>
        <v>FMC</v>
      </c>
      <c r="D182" s="3" t="str">
        <f t="array" ref="D182">IF(B182="","",INDEX(helper!$E$3:$E3996,MOD(ROW()-2,COUNTA(helper!$D$3:$D3996))+1))</f>
        <v>CS 007</v>
      </c>
      <c r="E182" s="3">
        <f t="array" ref="E182">IF(B182="","",INDEX(helper!$F$3:$F3996,MOD(ROW()-2,COUNTA(helper!$D$3:$D3996))+1))</f>
        <v>10</v>
      </c>
      <c r="F182" s="3">
        <f>IF(B182="","",SUMIFS('inventory ledger'!$H:$H,'inventory ledger'!$C:$C,C182,'inventory ledger'!$D:$D,D182,'inventory ledger'!$E:$E,E182,'inventory ledger'!$A:$A,"&lt;="&amp;B182+TIME(23,59,59))-SUMIFS('inventory ledger'!$I:$I,'inventory ledger'!$C:$C,C182,'inventory ledger'!$D:$D,D182,'inventory ledger'!$E:$E,E182,'inventory ledger'!$A:$A,"&lt;="&amp;B182+TIME(23,59,59)))</f>
        <v>0</v>
      </c>
      <c r="G182" s="3">
        <f>IFERROR(__xludf.DUMMYFUNCTION("IF(F182&lt;=0,0,IFERROR(ROUNDUP(F182/INDEX(FILTER('warehouse config'!$D:$D,('warehouse config'!$B:$B=C182)*('warehouse config'!$C:$C=D182)*('warehouse config'!$G:$G&lt;=B182)*(('warehouse config'!$H:$H&gt;=B182)+ISBLANK('warehouse config'!$H:$H))),1)),0))"),0.0)</f>
        <v>0</v>
      </c>
      <c r="H182" s="3">
        <f>IFERROR(__xludf.DUMMYFUNCTION("IFERROR(INDEX(FILTER('cost master'!$E:$E,('cost master'!$B:$B=C182)*('cost master'!$D:$D=""Storage cost per pallet / week"")*('cost master'!$G:$G&lt;=B182)*(('cost master'!$H:$H&gt;=B182)+ISBLANK('cost master'!$H:$H))),1),0)"),3.9)</f>
        <v>3.9</v>
      </c>
      <c r="I182" s="3">
        <f t="shared" si="4"/>
        <v>0</v>
      </c>
      <c r="J182" s="27">
        <f t="shared" si="5"/>
        <v>45673</v>
      </c>
      <c r="K182" s="27">
        <f t="shared" si="6"/>
        <v>45703</v>
      </c>
    </row>
    <row r="183" hidden="1">
      <c r="A183" s="3" t="str">
        <f t="shared" si="3"/>
        <v>SL-20250210-FMC-CS 009-10</v>
      </c>
      <c r="B183" s="2">
        <f t="array" ref="B183">INDEX(helper!$A$3:$A3996,ROUNDUP((ROW()-1)/COUNTA(helper!$D$3:$D3996),0))</f>
        <v>45698</v>
      </c>
      <c r="C183" s="5" t="str">
        <f t="array" ref="C183">IF(B183="","",INDEX(helper!$D$3:$D3996,MOD(ROW()-2,COUNTA(helper!$D$3:$D3996))+1))</f>
        <v>FMC</v>
      </c>
      <c r="D183" s="3" t="str">
        <f t="array" ref="D183">IF(B183="","",INDEX(helper!$E$3:$E3996,MOD(ROW()-2,COUNTA(helper!$D$3:$D3996))+1))</f>
        <v>CS 009</v>
      </c>
      <c r="E183" s="3">
        <f t="array" ref="E183">IF(B183="","",INDEX(helper!$F$3:$F3996,MOD(ROW()-2,COUNTA(helper!$D$3:$D3996))+1))</f>
        <v>10</v>
      </c>
      <c r="F183" s="3">
        <f>IF(B183="","",SUMIFS('inventory ledger'!$H:$H,'inventory ledger'!$C:$C,C183,'inventory ledger'!$D:$D,D183,'inventory ledger'!$E:$E,E183,'inventory ledger'!$A:$A,"&lt;="&amp;B183+TIME(23,59,59))-SUMIFS('inventory ledger'!$I:$I,'inventory ledger'!$C:$C,C183,'inventory ledger'!$D:$D,D183,'inventory ledger'!$E:$E,E183,'inventory ledger'!$A:$A,"&lt;="&amp;B183+TIME(23,59,59)))</f>
        <v>0</v>
      </c>
      <c r="G183" s="3">
        <f>IFERROR(__xludf.DUMMYFUNCTION("IF(F183&lt;=0,0,IFERROR(ROUNDUP(F183/INDEX(FILTER('warehouse config'!$D:$D,('warehouse config'!$B:$B=C183)*('warehouse config'!$C:$C=D183)*('warehouse config'!$G:$G&lt;=B183)*(('warehouse config'!$H:$H&gt;=B183)+ISBLANK('warehouse config'!$H:$H))),1)),0))"),0.0)</f>
        <v>0</v>
      </c>
      <c r="H183" s="3">
        <f>IFERROR(__xludf.DUMMYFUNCTION("IFERROR(INDEX(FILTER('cost master'!$E:$E,('cost master'!$B:$B=C183)*('cost master'!$D:$D=""Storage cost per pallet / week"")*('cost master'!$G:$G&lt;=B183)*(('cost master'!$H:$H&gt;=B183)+ISBLANK('cost master'!$H:$H))),1),0)"),3.9)</f>
        <v>3.9</v>
      </c>
      <c r="I183" s="3">
        <f t="shared" si="4"/>
        <v>0</v>
      </c>
      <c r="J183" s="27">
        <f t="shared" si="5"/>
        <v>45673</v>
      </c>
      <c r="K183" s="27">
        <f t="shared" si="6"/>
        <v>45703</v>
      </c>
    </row>
    <row r="184" hidden="1">
      <c r="A184" s="3" t="str">
        <f t="shared" si="3"/>
        <v>SL-20250210-FMC-CS 010-10</v>
      </c>
      <c r="B184" s="2">
        <f t="array" ref="B184">INDEX(helper!$A$3:$A3996,ROUNDUP((ROW()-1)/COUNTA(helper!$D$3:$D3996),0))</f>
        <v>45698</v>
      </c>
      <c r="C184" s="5" t="str">
        <f t="array" ref="C184">IF(B184="","",INDEX(helper!$D$3:$D3996,MOD(ROW()-2,COUNTA(helper!$D$3:$D3996))+1))</f>
        <v>FMC</v>
      </c>
      <c r="D184" s="3" t="str">
        <f t="array" ref="D184">IF(B184="","",INDEX(helper!$E$3:$E3996,MOD(ROW()-2,COUNTA(helper!$D$3:$D3996))+1))</f>
        <v>CS 010</v>
      </c>
      <c r="E184" s="3">
        <f t="array" ref="E184">IF(B184="","",INDEX(helper!$F$3:$F3996,MOD(ROW()-2,COUNTA(helper!$D$3:$D3996))+1))</f>
        <v>10</v>
      </c>
      <c r="F184" s="3">
        <f>IF(B184="","",SUMIFS('inventory ledger'!$H:$H,'inventory ledger'!$C:$C,C184,'inventory ledger'!$D:$D,D184,'inventory ledger'!$E:$E,E184,'inventory ledger'!$A:$A,"&lt;="&amp;B184+TIME(23,59,59))-SUMIFS('inventory ledger'!$I:$I,'inventory ledger'!$C:$C,C184,'inventory ledger'!$D:$D,D184,'inventory ledger'!$E:$E,E184,'inventory ledger'!$A:$A,"&lt;="&amp;B184+TIME(23,59,59)))</f>
        <v>26</v>
      </c>
      <c r="G184" s="3">
        <f>IFERROR(__xludf.DUMMYFUNCTION("IF(F184&lt;=0,0,IFERROR(ROUNDUP(F184/INDEX(FILTER('warehouse config'!$D:$D,('warehouse config'!$B:$B=C184)*('warehouse config'!$C:$C=D184)*('warehouse config'!$G:$G&lt;=B184)*(('warehouse config'!$H:$H&gt;=B184)+ISBLANK('warehouse config'!$H:$H))),1)),0))"),1.0)</f>
        <v>1</v>
      </c>
      <c r="H184" s="3">
        <f>IFERROR(__xludf.DUMMYFUNCTION("IFERROR(INDEX(FILTER('cost master'!$E:$E,('cost master'!$B:$B=C184)*('cost master'!$D:$D=""Storage cost per pallet / week"")*('cost master'!$G:$G&lt;=B184)*(('cost master'!$H:$H&gt;=B184)+ISBLANK('cost master'!$H:$H))),1),0)"),3.9)</f>
        <v>3.9</v>
      </c>
      <c r="I184" s="3">
        <f t="shared" si="4"/>
        <v>3.9</v>
      </c>
      <c r="J184" s="27">
        <f t="shared" si="5"/>
        <v>45673</v>
      </c>
      <c r="K184" s="27">
        <f t="shared" si="6"/>
        <v>45703</v>
      </c>
    </row>
    <row r="185" hidden="1">
      <c r="A185" s="3" t="str">
        <f t="shared" si="3"/>
        <v>SL-20250210-FMC-CS-CDS-001-10</v>
      </c>
      <c r="B185" s="2">
        <f t="array" ref="B185">INDEX(helper!$A$3:$A3996,ROUNDUP((ROW()-1)/COUNTA(helper!$D$3:$D3996),0))</f>
        <v>45698</v>
      </c>
      <c r="C185" s="5" t="str">
        <f t="array" ref="C185">IF(B185="","",INDEX(helper!$D$3:$D3996,MOD(ROW()-2,COUNTA(helper!$D$3:$D3996))+1))</f>
        <v>FMC</v>
      </c>
      <c r="D185" s="3" t="str">
        <f t="array" ref="D185">IF(B185="","",INDEX(helper!$E$3:$E3996,MOD(ROW()-2,COUNTA(helper!$D$3:$D3996))+1))</f>
        <v>CS-CDS-001</v>
      </c>
      <c r="E185" s="3">
        <f t="array" ref="E185">IF(B185="","",INDEX(helper!$F$3:$F3996,MOD(ROW()-2,COUNTA(helper!$D$3:$D3996))+1))</f>
        <v>10</v>
      </c>
      <c r="F185" s="3">
        <f>IF(B185="","",SUMIFS('inventory ledger'!$H:$H,'inventory ledger'!$C:$C,C185,'inventory ledger'!$D:$D,D185,'inventory ledger'!$E:$E,E185,'inventory ledger'!$A:$A,"&lt;="&amp;B185+TIME(23,59,59))-SUMIFS('inventory ledger'!$I:$I,'inventory ledger'!$C:$C,C185,'inventory ledger'!$D:$D,D185,'inventory ledger'!$E:$E,E185,'inventory ledger'!$A:$A,"&lt;="&amp;B185+TIME(23,59,59)))</f>
        <v>0</v>
      </c>
      <c r="G185" s="3">
        <f>IFERROR(__xludf.DUMMYFUNCTION("IF(F185&lt;=0,0,IFERROR(ROUNDUP(F185/INDEX(FILTER('warehouse config'!$D:$D,('warehouse config'!$B:$B=C185)*('warehouse config'!$C:$C=D185)*('warehouse config'!$G:$G&lt;=B185)*(('warehouse config'!$H:$H&gt;=B185)+ISBLANK('warehouse config'!$H:$H))),1)),0))"),0.0)</f>
        <v>0</v>
      </c>
      <c r="H185" s="3">
        <f>IFERROR(__xludf.DUMMYFUNCTION("IFERROR(INDEX(FILTER('cost master'!$E:$E,('cost master'!$B:$B=C185)*('cost master'!$D:$D=""Storage cost per pallet / week"")*('cost master'!$G:$G&lt;=B185)*(('cost master'!$H:$H&gt;=B185)+ISBLANK('cost master'!$H:$H))),1),0)"),3.9)</f>
        <v>3.9</v>
      </c>
      <c r="I185" s="3">
        <f t="shared" si="4"/>
        <v>0</v>
      </c>
      <c r="J185" s="27">
        <f t="shared" si="5"/>
        <v>45673</v>
      </c>
      <c r="K185" s="27">
        <f t="shared" si="6"/>
        <v>45703</v>
      </c>
    </row>
    <row r="186" hidden="1">
      <c r="A186" s="3" t="str">
        <f t="shared" si="3"/>
        <v>SL-20250210-FMC-CS 007-11</v>
      </c>
      <c r="B186" s="2">
        <f t="array" ref="B186">INDEX(helper!$A$3:$A3996,ROUNDUP((ROW()-1)/COUNTA(helper!$D$3:$D3996),0))</f>
        <v>45698</v>
      </c>
      <c r="C186" s="5" t="str">
        <f t="array" ref="C186">IF(B186="","",INDEX(helper!$D$3:$D3996,MOD(ROW()-2,COUNTA(helper!$D$3:$D3996))+1))</f>
        <v>FMC</v>
      </c>
      <c r="D186" s="3" t="str">
        <f t="array" ref="D186">IF(B186="","",INDEX(helper!$E$3:$E3996,MOD(ROW()-2,COUNTA(helper!$D$3:$D3996))+1))</f>
        <v>CS 007</v>
      </c>
      <c r="E186" s="3">
        <f t="array" ref="E186">IF(B186="","",INDEX(helper!$F$3:$F3996,MOD(ROW()-2,COUNTA(helper!$D$3:$D3996))+1))</f>
        <v>11</v>
      </c>
      <c r="F186" s="3">
        <f>IF(B186="","",SUMIFS('inventory ledger'!$H:$H,'inventory ledger'!$C:$C,C186,'inventory ledger'!$D:$D,D186,'inventory ledger'!$E:$E,E186,'inventory ledger'!$A:$A,"&lt;="&amp;B186+TIME(23,59,59))-SUMIFS('inventory ledger'!$I:$I,'inventory ledger'!$C:$C,C186,'inventory ledger'!$D:$D,D186,'inventory ledger'!$E:$E,E186,'inventory ledger'!$A:$A,"&lt;="&amp;B186+TIME(23,59,59)))</f>
        <v>0</v>
      </c>
      <c r="G186" s="3">
        <f>IFERROR(__xludf.DUMMYFUNCTION("IF(F186&lt;=0,0,IFERROR(ROUNDUP(F186/INDEX(FILTER('warehouse config'!$D:$D,('warehouse config'!$B:$B=C186)*('warehouse config'!$C:$C=D186)*('warehouse config'!$G:$G&lt;=B186)*(('warehouse config'!$H:$H&gt;=B186)+ISBLANK('warehouse config'!$H:$H))),1)),0))"),0.0)</f>
        <v>0</v>
      </c>
      <c r="H186" s="3">
        <f>IFERROR(__xludf.DUMMYFUNCTION("IFERROR(INDEX(FILTER('cost master'!$E:$E,('cost master'!$B:$B=C186)*('cost master'!$D:$D=""Storage cost per pallet / week"")*('cost master'!$G:$G&lt;=B186)*(('cost master'!$H:$H&gt;=B186)+ISBLANK('cost master'!$H:$H))),1),0)"),3.9)</f>
        <v>3.9</v>
      </c>
      <c r="I186" s="3">
        <f t="shared" si="4"/>
        <v>0</v>
      </c>
      <c r="J186" s="27">
        <f t="shared" si="5"/>
        <v>45673</v>
      </c>
      <c r="K186" s="27">
        <f t="shared" si="6"/>
        <v>45703</v>
      </c>
    </row>
    <row r="187" hidden="1">
      <c r="A187" s="3" t="str">
        <f t="shared" si="3"/>
        <v>SL-20250210-FMC-CS 009-11</v>
      </c>
      <c r="B187" s="2">
        <f t="array" ref="B187">INDEX(helper!$A$3:$A3996,ROUNDUP((ROW()-1)/COUNTA(helper!$D$3:$D3996),0))</f>
        <v>45698</v>
      </c>
      <c r="C187" s="5" t="str">
        <f t="array" ref="C187">IF(B187="","",INDEX(helper!$D$3:$D3996,MOD(ROW()-2,COUNTA(helper!$D$3:$D3996))+1))</f>
        <v>FMC</v>
      </c>
      <c r="D187" s="3" t="str">
        <f t="array" ref="D187">IF(B187="","",INDEX(helper!$E$3:$E3996,MOD(ROW()-2,COUNTA(helper!$D$3:$D3996))+1))</f>
        <v>CS 009</v>
      </c>
      <c r="E187" s="3">
        <f t="array" ref="E187">IF(B187="","",INDEX(helper!$F$3:$F3996,MOD(ROW()-2,COUNTA(helper!$D$3:$D3996))+1))</f>
        <v>11</v>
      </c>
      <c r="F187" s="3">
        <f>IF(B187="","",SUMIFS('inventory ledger'!$H:$H,'inventory ledger'!$C:$C,C187,'inventory ledger'!$D:$D,D187,'inventory ledger'!$E:$E,E187,'inventory ledger'!$A:$A,"&lt;="&amp;B187+TIME(23,59,59))-SUMIFS('inventory ledger'!$I:$I,'inventory ledger'!$C:$C,C187,'inventory ledger'!$D:$D,D187,'inventory ledger'!$E:$E,E187,'inventory ledger'!$A:$A,"&lt;="&amp;B187+TIME(23,59,59)))</f>
        <v>0</v>
      </c>
      <c r="G187" s="3">
        <f>IFERROR(__xludf.DUMMYFUNCTION("IF(F187&lt;=0,0,IFERROR(ROUNDUP(F187/INDEX(FILTER('warehouse config'!$D:$D,('warehouse config'!$B:$B=C187)*('warehouse config'!$C:$C=D187)*('warehouse config'!$G:$G&lt;=B187)*(('warehouse config'!$H:$H&gt;=B187)+ISBLANK('warehouse config'!$H:$H))),1)),0))"),0.0)</f>
        <v>0</v>
      </c>
      <c r="H187" s="3">
        <f>IFERROR(__xludf.DUMMYFUNCTION("IFERROR(INDEX(FILTER('cost master'!$E:$E,('cost master'!$B:$B=C187)*('cost master'!$D:$D=""Storage cost per pallet / week"")*('cost master'!$G:$G&lt;=B187)*(('cost master'!$H:$H&gt;=B187)+ISBLANK('cost master'!$H:$H))),1),0)"),3.9)</f>
        <v>3.9</v>
      </c>
      <c r="I187" s="3">
        <f t="shared" si="4"/>
        <v>0</v>
      </c>
      <c r="J187" s="27">
        <f t="shared" si="5"/>
        <v>45673</v>
      </c>
      <c r="K187" s="27">
        <f t="shared" si="6"/>
        <v>45703</v>
      </c>
    </row>
    <row r="188" hidden="1">
      <c r="A188" s="3" t="str">
        <f t="shared" si="3"/>
        <v>SL-20250210-FMC-CS 010-11</v>
      </c>
      <c r="B188" s="2">
        <f t="array" ref="B188">INDEX(helper!$A$3:$A3996,ROUNDUP((ROW()-1)/COUNTA(helper!$D$3:$D3996),0))</f>
        <v>45698</v>
      </c>
      <c r="C188" s="5" t="str">
        <f t="array" ref="C188">IF(B188="","",INDEX(helper!$D$3:$D3996,MOD(ROW()-2,COUNTA(helper!$D$3:$D3996))+1))</f>
        <v>FMC</v>
      </c>
      <c r="D188" s="3" t="str">
        <f t="array" ref="D188">IF(B188="","",INDEX(helper!$E$3:$E3996,MOD(ROW()-2,COUNTA(helper!$D$3:$D3996))+1))</f>
        <v>CS 010</v>
      </c>
      <c r="E188" s="3">
        <f t="array" ref="E188">IF(B188="","",INDEX(helper!$F$3:$F3996,MOD(ROW()-2,COUNTA(helper!$D$3:$D3996))+1))</f>
        <v>11</v>
      </c>
      <c r="F188" s="3">
        <f>IF(B188="","",SUMIFS('inventory ledger'!$H:$H,'inventory ledger'!$C:$C,C188,'inventory ledger'!$D:$D,D188,'inventory ledger'!$E:$E,E188,'inventory ledger'!$A:$A,"&lt;="&amp;B188+TIME(23,59,59))-SUMIFS('inventory ledger'!$I:$I,'inventory ledger'!$C:$C,C188,'inventory ledger'!$D:$D,D188,'inventory ledger'!$E:$E,E188,'inventory ledger'!$A:$A,"&lt;="&amp;B188+TIME(23,59,59)))</f>
        <v>46</v>
      </c>
      <c r="G188" s="3">
        <f>IFERROR(__xludf.DUMMYFUNCTION("IF(F188&lt;=0,0,IFERROR(ROUNDUP(F188/INDEX(FILTER('warehouse config'!$D:$D,('warehouse config'!$B:$B=C188)*('warehouse config'!$C:$C=D188)*('warehouse config'!$G:$G&lt;=B188)*(('warehouse config'!$H:$H&gt;=B188)+ISBLANK('warehouse config'!$H:$H))),1)),0))"),2.0)</f>
        <v>2</v>
      </c>
      <c r="H188" s="3">
        <f>IFERROR(__xludf.DUMMYFUNCTION("IFERROR(INDEX(FILTER('cost master'!$E:$E,('cost master'!$B:$B=C188)*('cost master'!$D:$D=""Storage cost per pallet / week"")*('cost master'!$G:$G&lt;=B188)*(('cost master'!$H:$H&gt;=B188)+ISBLANK('cost master'!$H:$H))),1),0)"),3.9)</f>
        <v>3.9</v>
      </c>
      <c r="I188" s="3">
        <f t="shared" si="4"/>
        <v>7.8</v>
      </c>
      <c r="J188" s="27">
        <f t="shared" si="5"/>
        <v>45673</v>
      </c>
      <c r="K188" s="27">
        <f t="shared" si="6"/>
        <v>45703</v>
      </c>
    </row>
    <row r="189" hidden="1">
      <c r="A189" s="3" t="str">
        <f t="shared" si="3"/>
        <v>SL-20250210-Vglobal-CS 007-12</v>
      </c>
      <c r="B189" s="2">
        <f t="array" ref="B189">INDEX(helper!$A$3:$A3996,ROUNDUP((ROW()-1)/COUNTA(helper!$D$3:$D3996),0))</f>
        <v>45698</v>
      </c>
      <c r="C189" s="5" t="str">
        <f t="array" ref="C189">IF(B189="","",INDEX(helper!$D$3:$D3996,MOD(ROW()-2,COUNTA(helper!$D$3:$D3996))+1))</f>
        <v>Vglobal</v>
      </c>
      <c r="D189" s="3" t="str">
        <f t="array" ref="D189">IF(B189="","",INDEX(helper!$E$3:$E3996,MOD(ROW()-2,COUNTA(helper!$D$3:$D3996))+1))</f>
        <v>CS 007</v>
      </c>
      <c r="E189" s="3">
        <f t="array" ref="E189">IF(B189="","",INDEX(helper!$F$3:$F3996,MOD(ROW()-2,COUNTA(helper!$D$3:$D3996))+1))</f>
        <v>12</v>
      </c>
      <c r="F189" s="3">
        <f>IF(B189="","",SUMIFS('inventory ledger'!$H:$H,'inventory ledger'!$C:$C,C189,'inventory ledger'!$D:$D,D189,'inventory ledger'!$E:$E,E189,'inventory ledger'!$A:$A,"&lt;="&amp;B189+TIME(23,59,59))-SUMIFS('inventory ledger'!$I:$I,'inventory ledger'!$C:$C,C189,'inventory ledger'!$D:$D,D189,'inventory ledger'!$E:$E,E189,'inventory ledger'!$A:$A,"&lt;="&amp;B189+TIME(23,59,59)))</f>
        <v>174</v>
      </c>
      <c r="G189" s="3">
        <f>IFERROR(__xludf.DUMMYFUNCTION("IF(F189&lt;=0,0,IFERROR(ROUNDUP(F189/INDEX(FILTER('warehouse config'!$D:$D,('warehouse config'!$B:$B=C189)*('warehouse config'!$C:$C=D189)*('warehouse config'!$G:$G&lt;=B189)*(('warehouse config'!$H:$H&gt;=B189)+ISBLANK('warehouse config'!$H:$H))),1)),0))"),11.0)</f>
        <v>11</v>
      </c>
      <c r="H189" s="3">
        <f>IFERROR(__xludf.DUMMYFUNCTION("IFERROR(INDEX(FILTER('cost master'!$E:$E,('cost master'!$B:$B=C189)*('cost master'!$D:$D=""Storage cost per pallet / week"")*('cost master'!$G:$G&lt;=B189)*(('cost master'!$H:$H&gt;=B189)+ISBLANK('cost master'!$H:$H))),1),0)"),2.6)</f>
        <v>2.6</v>
      </c>
      <c r="I189" s="3">
        <f t="shared" si="4"/>
        <v>28.6</v>
      </c>
      <c r="J189" s="27">
        <f t="shared" si="5"/>
        <v>45673</v>
      </c>
      <c r="K189" s="27">
        <f t="shared" si="6"/>
        <v>45703</v>
      </c>
    </row>
    <row r="190" hidden="1">
      <c r="A190" s="3" t="str">
        <f t="shared" si="3"/>
        <v>SL-20250210-Vglobal-CS 011-12</v>
      </c>
      <c r="B190" s="2">
        <f t="array" ref="B190">INDEX(helper!$A$3:$A3996,ROUNDUP((ROW()-1)/COUNTA(helper!$D$3:$D3996),0))</f>
        <v>45698</v>
      </c>
      <c r="C190" s="5" t="str">
        <f t="array" ref="C190">IF(B190="","",INDEX(helper!$D$3:$D3996,MOD(ROW()-2,COUNTA(helper!$D$3:$D3996))+1))</f>
        <v>Vglobal</v>
      </c>
      <c r="D190" s="3" t="str">
        <f t="array" ref="D190">IF(B190="","",INDEX(helper!$E$3:$E3996,MOD(ROW()-2,COUNTA(helper!$D$3:$D3996))+1))</f>
        <v>CS 011</v>
      </c>
      <c r="E190" s="3">
        <f t="array" ref="E190">IF(B190="","",INDEX(helper!$F$3:$F3996,MOD(ROW()-2,COUNTA(helper!$D$3:$D3996))+1))</f>
        <v>12</v>
      </c>
      <c r="F190" s="3">
        <f>IF(B190="","",SUMIFS('inventory ledger'!$H:$H,'inventory ledger'!$C:$C,C190,'inventory ledger'!$D:$D,D190,'inventory ledger'!$E:$E,E190,'inventory ledger'!$A:$A,"&lt;="&amp;B190+TIME(23,59,59))-SUMIFS('inventory ledger'!$I:$I,'inventory ledger'!$C:$C,C190,'inventory ledger'!$D:$D,D190,'inventory ledger'!$E:$E,E190,'inventory ledger'!$A:$A,"&lt;="&amp;B190+TIME(23,59,59)))</f>
        <v>9</v>
      </c>
      <c r="G190" s="3">
        <f>IFERROR(__xludf.DUMMYFUNCTION("IF(F190&lt;=0,0,IFERROR(ROUNDUP(F190/INDEX(FILTER('warehouse config'!$D:$D,('warehouse config'!$B:$B=C190)*('warehouse config'!$C:$C=D190)*('warehouse config'!$G:$G&lt;=B190)*(('warehouse config'!$H:$H&gt;=B190)+ISBLANK('warehouse config'!$H:$H))),1)),0))"),1.0)</f>
        <v>1</v>
      </c>
      <c r="H190" s="3">
        <f>IFERROR(__xludf.DUMMYFUNCTION("IFERROR(INDEX(FILTER('cost master'!$E:$E,('cost master'!$B:$B=C190)*('cost master'!$D:$D=""Storage cost per pallet / week"")*('cost master'!$G:$G&lt;=B190)*(('cost master'!$H:$H&gt;=B190)+ISBLANK('cost master'!$H:$H))),1),0)"),2.6)</f>
        <v>2.6</v>
      </c>
      <c r="I190" s="3">
        <f t="shared" si="4"/>
        <v>2.6</v>
      </c>
      <c r="J190" s="27">
        <f t="shared" si="5"/>
        <v>45673</v>
      </c>
      <c r="K190" s="27">
        <f t="shared" si="6"/>
        <v>45703</v>
      </c>
    </row>
    <row r="191" hidden="1">
      <c r="A191" s="3" t="str">
        <f t="shared" si="3"/>
        <v>SL-20250210-Vglobal-CS 008-12</v>
      </c>
      <c r="B191" s="2">
        <f t="array" ref="B191">INDEX(helper!$A$3:$A3996,ROUNDUP((ROW()-1)/COUNTA(helper!$D$3:$D3996),0))</f>
        <v>45698</v>
      </c>
      <c r="C191" s="5" t="str">
        <f t="array" ref="C191">IF(B191="","",INDEX(helper!$D$3:$D3996,MOD(ROW()-2,COUNTA(helper!$D$3:$D3996))+1))</f>
        <v>Vglobal</v>
      </c>
      <c r="D191" s="3" t="str">
        <f t="array" ref="D191">IF(B191="","",INDEX(helper!$E$3:$E3996,MOD(ROW()-2,COUNTA(helper!$D$3:$D3996))+1))</f>
        <v>CS 008</v>
      </c>
      <c r="E191" s="3">
        <f t="array" ref="E191">IF(B191="","",INDEX(helper!$F$3:$F3996,MOD(ROW()-2,COUNTA(helper!$D$3:$D3996))+1))</f>
        <v>12</v>
      </c>
      <c r="F191" s="3">
        <f>IF(B191="","",SUMIFS('inventory ledger'!$H:$H,'inventory ledger'!$C:$C,C191,'inventory ledger'!$D:$D,D191,'inventory ledger'!$E:$E,E191,'inventory ledger'!$A:$A,"&lt;="&amp;B191+TIME(23,59,59))-SUMIFS('inventory ledger'!$I:$I,'inventory ledger'!$C:$C,C191,'inventory ledger'!$D:$D,D191,'inventory ledger'!$E:$E,E191,'inventory ledger'!$A:$A,"&lt;="&amp;B191+TIME(23,59,59)))</f>
        <v>15</v>
      </c>
      <c r="G191" s="3">
        <f>IFERROR(__xludf.DUMMYFUNCTION("IF(F191&lt;=0,0,IFERROR(ROUNDUP(F191/INDEX(FILTER('warehouse config'!$D:$D,('warehouse config'!$B:$B=C191)*('warehouse config'!$C:$C=D191)*('warehouse config'!$G:$G&lt;=B191)*(('warehouse config'!$H:$H&gt;=B191)+ISBLANK('warehouse config'!$H:$H))),1)),0))"),1.0)</f>
        <v>1</v>
      </c>
      <c r="H191" s="3">
        <f>IFERROR(__xludf.DUMMYFUNCTION("IFERROR(INDEX(FILTER('cost master'!$E:$E,('cost master'!$B:$B=C191)*('cost master'!$D:$D=""Storage cost per pallet / week"")*('cost master'!$G:$G&lt;=B191)*(('cost master'!$H:$H&gt;=B191)+ISBLANK('cost master'!$H:$H))),1),0)"),2.6)</f>
        <v>2.6</v>
      </c>
      <c r="I191" s="3">
        <f t="shared" si="4"/>
        <v>2.6</v>
      </c>
      <c r="J191" s="27">
        <f t="shared" si="5"/>
        <v>45673</v>
      </c>
      <c r="K191" s="27">
        <f t="shared" si="6"/>
        <v>45703</v>
      </c>
    </row>
    <row r="192" hidden="1">
      <c r="A192" s="3" t="str">
        <f t="shared" si="3"/>
        <v>SL-20250210-Vglobal-CS 010-12</v>
      </c>
      <c r="B192" s="2">
        <f t="array" ref="B192">INDEX(helper!$A$3:$A3996,ROUNDUP((ROW()-1)/COUNTA(helper!$D$3:$D3996),0))</f>
        <v>45698</v>
      </c>
      <c r="C192" s="5" t="str">
        <f t="array" ref="C192">IF(B192="","",INDEX(helper!$D$3:$D3996,MOD(ROW()-2,COUNTA(helper!$D$3:$D3996))+1))</f>
        <v>Vglobal</v>
      </c>
      <c r="D192" s="3" t="str">
        <f t="array" ref="D192">IF(B192="","",INDEX(helper!$E$3:$E3996,MOD(ROW()-2,COUNTA(helper!$D$3:$D3996))+1))</f>
        <v>CS 010</v>
      </c>
      <c r="E192" s="3">
        <f t="array" ref="E192">IF(B192="","",INDEX(helper!$F$3:$F3996,MOD(ROW()-2,COUNTA(helper!$D$3:$D3996))+1))</f>
        <v>12</v>
      </c>
      <c r="F192" s="3">
        <f>IF(B192="","",SUMIFS('inventory ledger'!$H:$H,'inventory ledger'!$C:$C,C192,'inventory ledger'!$D:$D,D192,'inventory ledger'!$E:$E,E192,'inventory ledger'!$A:$A,"&lt;="&amp;B192+TIME(23,59,59))-SUMIFS('inventory ledger'!$I:$I,'inventory ledger'!$C:$C,C192,'inventory ledger'!$D:$D,D192,'inventory ledger'!$E:$E,E192,'inventory ledger'!$A:$A,"&lt;="&amp;B192+TIME(23,59,59)))</f>
        <v>80</v>
      </c>
      <c r="G192" s="3">
        <f>IFERROR(__xludf.DUMMYFUNCTION("IF(F192&lt;=0,0,IFERROR(ROUNDUP(F192/INDEX(FILTER('warehouse config'!$D:$D,('warehouse config'!$B:$B=C192)*('warehouse config'!$C:$C=D192)*('warehouse config'!$G:$G&lt;=B192)*(('warehouse config'!$H:$H&gt;=B192)+ISBLANK('warehouse config'!$H:$H))),1)),0))"),4.0)</f>
        <v>4</v>
      </c>
      <c r="H192" s="3">
        <f>IFERROR(__xludf.DUMMYFUNCTION("IFERROR(INDEX(FILTER('cost master'!$E:$E,('cost master'!$B:$B=C192)*('cost master'!$D:$D=""Storage cost per pallet / week"")*('cost master'!$G:$G&lt;=B192)*(('cost master'!$H:$H&gt;=B192)+ISBLANK('cost master'!$H:$H))),1),0)"),2.6)</f>
        <v>2.6</v>
      </c>
      <c r="I192" s="3">
        <f t="shared" si="4"/>
        <v>10.4</v>
      </c>
      <c r="J192" s="27">
        <f t="shared" si="5"/>
        <v>45673</v>
      </c>
      <c r="K192" s="27">
        <f t="shared" si="6"/>
        <v>45703</v>
      </c>
    </row>
    <row r="193" hidden="1">
      <c r="A193" s="3" t="str">
        <f t="shared" si="3"/>
        <v>SL-20250210-Vglobal-CS 009-12</v>
      </c>
      <c r="B193" s="2">
        <f t="array" ref="B193">INDEX(helper!$A$3:$A3996,ROUNDUP((ROW()-1)/COUNTA(helper!$D$3:$D3996),0))</f>
        <v>45698</v>
      </c>
      <c r="C193" s="5" t="str">
        <f t="array" ref="C193">IF(B193="","",INDEX(helper!$D$3:$D3996,MOD(ROW()-2,COUNTA(helper!$D$3:$D3996))+1))</f>
        <v>Vglobal</v>
      </c>
      <c r="D193" s="3" t="str">
        <f t="array" ref="D193">IF(B193="","",INDEX(helper!$E$3:$E3996,MOD(ROW()-2,COUNTA(helper!$D$3:$D3996))+1))</f>
        <v>CS 009</v>
      </c>
      <c r="E193" s="3">
        <f t="array" ref="E193">IF(B193="","",INDEX(helper!$F$3:$F3996,MOD(ROW()-2,COUNTA(helper!$D$3:$D3996))+1))</f>
        <v>12</v>
      </c>
      <c r="F193" s="3">
        <f>IF(B193="","",SUMIFS('inventory ledger'!$H:$H,'inventory ledger'!$C:$C,C193,'inventory ledger'!$D:$D,D193,'inventory ledger'!$E:$E,E193,'inventory ledger'!$A:$A,"&lt;="&amp;B193+TIME(23,59,59))-SUMIFS('inventory ledger'!$I:$I,'inventory ledger'!$C:$C,C193,'inventory ledger'!$D:$D,D193,'inventory ledger'!$E:$E,E193,'inventory ledger'!$A:$A,"&lt;="&amp;B193+TIME(23,59,59)))</f>
        <v>0</v>
      </c>
      <c r="G193" s="3">
        <f>IFERROR(__xludf.DUMMYFUNCTION("IF(F193&lt;=0,0,IFERROR(ROUNDUP(F193/INDEX(FILTER('warehouse config'!$D:$D,('warehouse config'!$B:$B=C193)*('warehouse config'!$C:$C=D193)*('warehouse config'!$G:$G&lt;=B193)*(('warehouse config'!$H:$H&gt;=B193)+ISBLANK('warehouse config'!$H:$H))),1)),0))"),0.0)</f>
        <v>0</v>
      </c>
      <c r="H193" s="3">
        <f>IFERROR(__xludf.DUMMYFUNCTION("IFERROR(INDEX(FILTER('cost master'!$E:$E,('cost master'!$B:$B=C193)*('cost master'!$D:$D=""Storage cost per pallet / week"")*('cost master'!$G:$G&lt;=B193)*(('cost master'!$H:$H&gt;=B193)+ISBLANK('cost master'!$H:$H))),1),0)"),2.6)</f>
        <v>2.6</v>
      </c>
      <c r="I193" s="3">
        <f t="shared" si="4"/>
        <v>0</v>
      </c>
      <c r="J193" s="27">
        <f t="shared" si="5"/>
        <v>45673</v>
      </c>
      <c r="K193" s="27">
        <f t="shared" si="6"/>
        <v>45703</v>
      </c>
    </row>
    <row r="194" hidden="1">
      <c r="A194" s="3" t="str">
        <f t="shared" si="3"/>
        <v>SL-20250210-Vglobal-CS 012-12</v>
      </c>
      <c r="B194" s="2">
        <f t="array" ref="B194">INDEX(helper!$A$3:$A3996,ROUNDUP((ROW()-1)/COUNTA(helper!$D$3:$D3996),0))</f>
        <v>45698</v>
      </c>
      <c r="C194" s="5" t="str">
        <f t="array" ref="C194">IF(B194="","",INDEX(helper!$D$3:$D3996,MOD(ROW()-2,COUNTA(helper!$D$3:$D3996))+1))</f>
        <v>Vglobal</v>
      </c>
      <c r="D194" s="3" t="str">
        <f t="array" ref="D194">IF(B194="","",INDEX(helper!$E$3:$E3996,MOD(ROW()-2,COUNTA(helper!$D$3:$D3996))+1))</f>
        <v>CS 012</v>
      </c>
      <c r="E194" s="3">
        <f t="array" ref="E194">IF(B194="","",INDEX(helper!$F$3:$F3996,MOD(ROW()-2,COUNTA(helper!$D$3:$D3996))+1))</f>
        <v>12</v>
      </c>
      <c r="F194" s="3">
        <f>IF(B194="","",SUMIFS('inventory ledger'!$H:$H,'inventory ledger'!$C:$C,C194,'inventory ledger'!$D:$D,D194,'inventory ledger'!$E:$E,E194,'inventory ledger'!$A:$A,"&lt;="&amp;B194+TIME(23,59,59))-SUMIFS('inventory ledger'!$I:$I,'inventory ledger'!$C:$C,C194,'inventory ledger'!$D:$D,D194,'inventory ledger'!$E:$E,E194,'inventory ledger'!$A:$A,"&lt;="&amp;B194+TIME(23,59,59)))</f>
        <v>0</v>
      </c>
      <c r="G194" s="3">
        <f>IFERROR(__xludf.DUMMYFUNCTION("IF(F194&lt;=0,0,IFERROR(ROUNDUP(F194/INDEX(FILTER('warehouse config'!$D:$D,('warehouse config'!$B:$B=C194)*('warehouse config'!$C:$C=D194)*('warehouse config'!$G:$G&lt;=B194)*(('warehouse config'!$H:$H&gt;=B194)+ISBLANK('warehouse config'!$H:$H))),1)),0))"),0.0)</f>
        <v>0</v>
      </c>
      <c r="H194" s="3">
        <f>IFERROR(__xludf.DUMMYFUNCTION("IFERROR(INDEX(FILTER('cost master'!$E:$E,('cost master'!$B:$B=C194)*('cost master'!$D:$D=""Storage cost per pallet / week"")*('cost master'!$G:$G&lt;=B194)*(('cost master'!$H:$H&gt;=B194)+ISBLANK('cost master'!$H:$H))),1),0)"),2.6)</f>
        <v>2.6</v>
      </c>
      <c r="I194" s="3">
        <f t="shared" si="4"/>
        <v>0</v>
      </c>
      <c r="J194" s="27">
        <f t="shared" si="5"/>
        <v>45673</v>
      </c>
      <c r="K194" s="27">
        <f t="shared" si="6"/>
        <v>45703</v>
      </c>
    </row>
    <row r="195" hidden="1">
      <c r="A195" s="3" t="str">
        <f t="shared" si="3"/>
        <v>SL-20250210-Vglobal-CS-CDS-001-3</v>
      </c>
      <c r="B195" s="2">
        <f t="array" ref="B195">INDEX(helper!$A$3:$A3996,ROUNDUP((ROW()-1)/COUNTA(helper!$D$3:$D3996),0))</f>
        <v>45698</v>
      </c>
      <c r="C195" s="5" t="str">
        <f t="array" ref="C195">IF(B195="","",INDEX(helper!$D$3:$D3996,MOD(ROW()-2,COUNTA(helper!$D$3:$D3996))+1))</f>
        <v>Vglobal</v>
      </c>
      <c r="D195" s="3" t="str">
        <f t="array" ref="D195">IF(B195="","",INDEX(helper!$E$3:$E3996,MOD(ROW()-2,COUNTA(helper!$D$3:$D3996))+1))</f>
        <v>CS-CDS-001</v>
      </c>
      <c r="E195" s="3">
        <f t="array" ref="E195">IF(B195="","",INDEX(helper!$F$3:$F3996,MOD(ROW()-2,COUNTA(helper!$D$3:$D3996))+1))</f>
        <v>3</v>
      </c>
      <c r="F195" s="3">
        <f>IF(B195="","",SUMIFS('inventory ledger'!$H:$H,'inventory ledger'!$C:$C,C195,'inventory ledger'!$D:$D,D195,'inventory ledger'!$E:$E,E195,'inventory ledger'!$A:$A,"&lt;="&amp;B195+TIME(23,59,59))-SUMIFS('inventory ledger'!$I:$I,'inventory ledger'!$C:$C,C195,'inventory ledger'!$D:$D,D195,'inventory ledger'!$E:$E,E195,'inventory ledger'!$A:$A,"&lt;="&amp;B195+TIME(23,59,59)))</f>
        <v>19</v>
      </c>
      <c r="G195" s="3">
        <f>IFERROR(__xludf.DUMMYFUNCTION("IF(F195&lt;=0,0,IFERROR(ROUNDUP(F195/INDEX(FILTER('warehouse config'!$D:$D,('warehouse config'!$B:$B=C195)*('warehouse config'!$C:$C=D195)*('warehouse config'!$G:$G&lt;=B195)*(('warehouse config'!$H:$H&gt;=B195)+ISBLANK('warehouse config'!$H:$H))),1)),0))"),2.0)</f>
        <v>2</v>
      </c>
      <c r="H195" s="3">
        <f>IFERROR(__xludf.DUMMYFUNCTION("IFERROR(INDEX(FILTER('cost master'!$E:$E,('cost master'!$B:$B=C195)*('cost master'!$D:$D=""Storage cost per pallet / week"")*('cost master'!$G:$G&lt;=B195)*(('cost master'!$H:$H&gt;=B195)+ISBLANK('cost master'!$H:$H))),1),0)"),2.6)</f>
        <v>2.6</v>
      </c>
      <c r="I195" s="3">
        <f t="shared" si="4"/>
        <v>5.2</v>
      </c>
      <c r="J195" s="27">
        <f t="shared" si="5"/>
        <v>45673</v>
      </c>
      <c r="K195" s="27">
        <f t="shared" si="6"/>
        <v>45703</v>
      </c>
    </row>
    <row r="196" hidden="1">
      <c r="A196" s="3" t="str">
        <f t="shared" si="3"/>
        <v>SL-20250210-Vglobal-CS-CDS-002-3</v>
      </c>
      <c r="B196" s="2">
        <f t="array" ref="B196">INDEX(helper!$A$3:$A3996,ROUNDUP((ROW()-1)/COUNTA(helper!$D$3:$D3996),0))</f>
        <v>45698</v>
      </c>
      <c r="C196" s="5" t="str">
        <f t="array" ref="C196">IF(B196="","",INDEX(helper!$D$3:$D3996,MOD(ROW()-2,COUNTA(helper!$D$3:$D3996))+1))</f>
        <v>Vglobal</v>
      </c>
      <c r="D196" s="3" t="str">
        <f t="array" ref="D196">IF(B196="","",INDEX(helper!$E$3:$E3996,MOD(ROW()-2,COUNTA(helper!$D$3:$D3996))+1))</f>
        <v>CS-CDS-002</v>
      </c>
      <c r="E196" s="3">
        <f t="array" ref="E196">IF(B196="","",INDEX(helper!$F$3:$F3996,MOD(ROW()-2,COUNTA(helper!$D$3:$D3996))+1))</f>
        <v>3</v>
      </c>
      <c r="F196" s="3">
        <f>IF(B196="","",SUMIFS('inventory ledger'!$H:$H,'inventory ledger'!$C:$C,C196,'inventory ledger'!$D:$D,D196,'inventory ledger'!$E:$E,E196,'inventory ledger'!$A:$A,"&lt;="&amp;B196+TIME(23,59,59))-SUMIFS('inventory ledger'!$I:$I,'inventory ledger'!$C:$C,C196,'inventory ledger'!$D:$D,D196,'inventory ledger'!$E:$E,E196,'inventory ledger'!$A:$A,"&lt;="&amp;B196+TIME(23,59,59)))</f>
        <v>0</v>
      </c>
      <c r="G196" s="3">
        <f>IFERROR(__xludf.DUMMYFUNCTION("IF(F196&lt;=0,0,IFERROR(ROUNDUP(F196/INDEX(FILTER('warehouse config'!$D:$D,('warehouse config'!$B:$B=C196)*('warehouse config'!$C:$C=D196)*('warehouse config'!$G:$G&lt;=B196)*(('warehouse config'!$H:$H&gt;=B196)+ISBLANK('warehouse config'!$H:$H))),1)),0))"),0.0)</f>
        <v>0</v>
      </c>
      <c r="H196" s="3">
        <f>IFERROR(__xludf.DUMMYFUNCTION("IFERROR(INDEX(FILTER('cost master'!$E:$E,('cost master'!$B:$B=C196)*('cost master'!$D:$D=""Storage cost per pallet / week"")*('cost master'!$G:$G&lt;=B196)*(('cost master'!$H:$H&gt;=B196)+ISBLANK('cost master'!$H:$H))),1),0)"),2.6)</f>
        <v>2.6</v>
      </c>
      <c r="I196" s="3">
        <f t="shared" si="4"/>
        <v>0</v>
      </c>
      <c r="J196" s="27">
        <f t="shared" si="5"/>
        <v>45673</v>
      </c>
      <c r="K196" s="27">
        <f t="shared" si="6"/>
        <v>45703</v>
      </c>
    </row>
    <row r="197" hidden="1">
      <c r="A197" s="3" t="str">
        <f t="shared" si="3"/>
        <v>SL-20250210-4as-CS-CDS-001-4</v>
      </c>
      <c r="B197" s="2">
        <f t="array" ref="B197">INDEX(helper!$A$3:$A3996,ROUNDUP((ROW()-1)/COUNTA(helper!$D$3:$D3996),0))</f>
        <v>45698</v>
      </c>
      <c r="C197" s="5" t="str">
        <f t="array" ref="C197">IF(B197="","",INDEX(helper!$D$3:$D3996,MOD(ROW()-2,COUNTA(helper!$D$3:$D3996))+1))</f>
        <v>4as</v>
      </c>
      <c r="D197" s="3" t="str">
        <f t="array" ref="D197">IF(B197="","",INDEX(helper!$E$3:$E3996,MOD(ROW()-2,COUNTA(helper!$D$3:$D3996))+1))</f>
        <v>CS-CDS-001</v>
      </c>
      <c r="E197" s="3">
        <f t="array" ref="E197">IF(B197="","",INDEX(helper!$F$3:$F3996,MOD(ROW()-2,COUNTA(helper!$D$3:$D3996))+1))</f>
        <v>4</v>
      </c>
      <c r="F197" s="3">
        <f>IF(B197="","",SUMIFS('inventory ledger'!$H:$H,'inventory ledger'!$C:$C,C197,'inventory ledger'!$D:$D,D197,'inventory ledger'!$E:$E,E197,'inventory ledger'!$A:$A,"&lt;="&amp;B197+TIME(23,59,59))-SUMIFS('inventory ledger'!$I:$I,'inventory ledger'!$C:$C,C197,'inventory ledger'!$D:$D,D197,'inventory ledger'!$E:$E,E197,'inventory ledger'!$A:$A,"&lt;="&amp;B197+TIME(23,59,59)))</f>
        <v>91</v>
      </c>
      <c r="G197" s="3">
        <f>IFERROR(__xludf.DUMMYFUNCTION("IF(F197&lt;=0,0,IFERROR(ROUNDUP(F197/INDEX(FILTER('warehouse config'!$D:$D,('warehouse config'!$B:$B=C197)*('warehouse config'!$C:$C=D197)*('warehouse config'!$G:$G&lt;=B197)*(('warehouse config'!$H:$H&gt;=B197)+ISBLANK('warehouse config'!$H:$H))),1)),0))"),5.0)</f>
        <v>5</v>
      </c>
      <c r="H197" s="3">
        <f>IFERROR(__xludf.DUMMYFUNCTION("IFERROR(INDEX(FILTER('cost master'!$E:$E,('cost master'!$B:$B=C197)*('cost master'!$D:$D=""Storage cost per pallet / week"")*('cost master'!$G:$G&lt;=B197)*(('cost master'!$H:$H&gt;=B197)+ISBLANK('cost master'!$H:$H))),1),0)"),9.0)</f>
        <v>9</v>
      </c>
      <c r="I197" s="3">
        <f t="shared" si="4"/>
        <v>45</v>
      </c>
      <c r="J197" s="27">
        <f t="shared" si="5"/>
        <v>45673</v>
      </c>
      <c r="K197" s="27">
        <f t="shared" si="6"/>
        <v>45703</v>
      </c>
    </row>
    <row r="198" hidden="1">
      <c r="A198" s="3" t="str">
        <f t="shared" si="3"/>
        <v>SL-20250210-4as-CS-CDS-002-4</v>
      </c>
      <c r="B198" s="2">
        <f t="array" ref="B198">INDEX(helper!$A$3:$A3996,ROUNDUP((ROW()-1)/COUNTA(helper!$D$3:$D3996),0))</f>
        <v>45698</v>
      </c>
      <c r="C198" s="5" t="str">
        <f t="array" ref="C198">IF(B198="","",INDEX(helper!$D$3:$D3996,MOD(ROW()-2,COUNTA(helper!$D$3:$D3996))+1))</f>
        <v>4as</v>
      </c>
      <c r="D198" s="3" t="str">
        <f t="array" ref="D198">IF(B198="","",INDEX(helper!$E$3:$E3996,MOD(ROW()-2,COUNTA(helper!$D$3:$D3996))+1))</f>
        <v>CS-CDS-002</v>
      </c>
      <c r="E198" s="3">
        <f t="array" ref="E198">IF(B198="","",INDEX(helper!$F$3:$F3996,MOD(ROW()-2,COUNTA(helper!$D$3:$D3996))+1))</f>
        <v>4</v>
      </c>
      <c r="F198" s="3">
        <f>IF(B198="","",SUMIFS('inventory ledger'!$H:$H,'inventory ledger'!$C:$C,C198,'inventory ledger'!$D:$D,D198,'inventory ledger'!$E:$E,E198,'inventory ledger'!$A:$A,"&lt;="&amp;B198+TIME(23,59,59))-SUMIFS('inventory ledger'!$I:$I,'inventory ledger'!$C:$C,C198,'inventory ledger'!$D:$D,D198,'inventory ledger'!$E:$E,E198,'inventory ledger'!$A:$A,"&lt;="&amp;B198+TIME(23,59,59)))</f>
        <v>179</v>
      </c>
      <c r="G198" s="3">
        <f>IFERROR(__xludf.DUMMYFUNCTION("IF(F198&lt;=0,0,IFERROR(ROUNDUP(F198/INDEX(FILTER('warehouse config'!$D:$D,('warehouse config'!$B:$B=C198)*('warehouse config'!$C:$C=D198)*('warehouse config'!$G:$G&lt;=B198)*(('warehouse config'!$H:$H&gt;=B198)+ISBLANK('warehouse config'!$H:$H))),1)),0))"),9.0)</f>
        <v>9</v>
      </c>
      <c r="H198" s="3">
        <f>IFERROR(__xludf.DUMMYFUNCTION("IFERROR(INDEX(FILTER('cost master'!$E:$E,('cost master'!$B:$B=C198)*('cost master'!$D:$D=""Storage cost per pallet / week"")*('cost master'!$G:$G&lt;=B198)*(('cost master'!$H:$H&gt;=B198)+ISBLANK('cost master'!$H:$H))),1),0)"),9.0)</f>
        <v>9</v>
      </c>
      <c r="I198" s="3">
        <f t="shared" si="4"/>
        <v>81</v>
      </c>
      <c r="J198" s="27">
        <f t="shared" si="5"/>
        <v>45673</v>
      </c>
      <c r="K198" s="27">
        <f t="shared" si="6"/>
        <v>45703</v>
      </c>
    </row>
    <row r="199" hidden="1">
      <c r="A199" s="3" t="str">
        <f t="shared" si="3"/>
        <v>SL-20250210-Vglobal-CS 007-13</v>
      </c>
      <c r="B199" s="2">
        <f t="array" ref="B199">INDEX(helper!$A$3:$A3996,ROUNDUP((ROW()-1)/COUNTA(helper!$D$3:$D3996),0))</f>
        <v>45698</v>
      </c>
      <c r="C199" s="5" t="str">
        <f t="array" ref="C199">IF(B199="","",INDEX(helper!$D$3:$D3996,MOD(ROW()-2,COUNTA(helper!$D$3:$D3996))+1))</f>
        <v>Vglobal</v>
      </c>
      <c r="D199" s="3" t="str">
        <f t="array" ref="D199">IF(B199="","",INDEX(helper!$E$3:$E3996,MOD(ROW()-2,COUNTA(helper!$D$3:$D3996))+1))</f>
        <v>CS 007</v>
      </c>
      <c r="E199" s="3">
        <f t="array" ref="E199">IF(B199="","",INDEX(helper!$F$3:$F3996,MOD(ROW()-2,COUNTA(helper!$D$3:$D3996))+1))</f>
        <v>13</v>
      </c>
      <c r="F199" s="3">
        <f>IF(B199="","",SUMIFS('inventory ledger'!$H:$H,'inventory ledger'!$C:$C,C199,'inventory ledger'!$D:$D,D199,'inventory ledger'!$E:$E,E199,'inventory ledger'!$A:$A,"&lt;="&amp;B199+TIME(23,59,59))-SUMIFS('inventory ledger'!$I:$I,'inventory ledger'!$C:$C,C199,'inventory ledger'!$D:$D,D199,'inventory ledger'!$E:$E,E199,'inventory ledger'!$A:$A,"&lt;="&amp;B199+TIME(23,59,59)))</f>
        <v>285</v>
      </c>
      <c r="G199" s="3">
        <f>IFERROR(__xludf.DUMMYFUNCTION("IF(F199&lt;=0,0,IFERROR(ROUNDUP(F199/INDEX(FILTER('warehouse config'!$D:$D,('warehouse config'!$B:$B=C199)*('warehouse config'!$C:$C=D199)*('warehouse config'!$G:$G&lt;=B199)*(('warehouse config'!$H:$H&gt;=B199)+ISBLANK('warehouse config'!$H:$H))),1)),0))"),18.0)</f>
        <v>18</v>
      </c>
      <c r="H199" s="3">
        <f>IFERROR(__xludf.DUMMYFUNCTION("IFERROR(INDEX(FILTER('cost master'!$E:$E,('cost master'!$B:$B=C199)*('cost master'!$D:$D=""Storage cost per pallet / week"")*('cost master'!$G:$G&lt;=B199)*(('cost master'!$H:$H&gt;=B199)+ISBLANK('cost master'!$H:$H))),1),0)"),2.6)</f>
        <v>2.6</v>
      </c>
      <c r="I199" s="3">
        <f t="shared" si="4"/>
        <v>46.8</v>
      </c>
      <c r="J199" s="27">
        <f t="shared" si="5"/>
        <v>45673</v>
      </c>
      <c r="K199" s="27">
        <f t="shared" si="6"/>
        <v>45703</v>
      </c>
    </row>
    <row r="200" hidden="1">
      <c r="A200" s="3" t="str">
        <f t="shared" si="3"/>
        <v>SL-20250210-Vglobal-CS 011-13</v>
      </c>
      <c r="B200" s="2">
        <f t="array" ref="B200">INDEX(helper!$A$3:$A3996,ROUNDUP((ROW()-1)/COUNTA(helper!$D$3:$D3996),0))</f>
        <v>45698</v>
      </c>
      <c r="C200" s="5" t="str">
        <f t="array" ref="C200">IF(B200="","",INDEX(helper!$D$3:$D3996,MOD(ROW()-2,COUNTA(helper!$D$3:$D3996))+1))</f>
        <v>Vglobal</v>
      </c>
      <c r="D200" s="3" t="str">
        <f t="array" ref="D200">IF(B200="","",INDEX(helper!$E$3:$E3996,MOD(ROW()-2,COUNTA(helper!$D$3:$D3996))+1))</f>
        <v>CS 011</v>
      </c>
      <c r="E200" s="3">
        <f t="array" ref="E200">IF(B200="","",INDEX(helper!$F$3:$F3996,MOD(ROW()-2,COUNTA(helper!$D$3:$D3996))+1))</f>
        <v>13</v>
      </c>
      <c r="F200" s="3">
        <f>IF(B200="","",SUMIFS('inventory ledger'!$H:$H,'inventory ledger'!$C:$C,C200,'inventory ledger'!$D:$D,D200,'inventory ledger'!$E:$E,E200,'inventory ledger'!$A:$A,"&lt;="&amp;B200+TIME(23,59,59))-SUMIFS('inventory ledger'!$I:$I,'inventory ledger'!$C:$C,C200,'inventory ledger'!$D:$D,D200,'inventory ledger'!$E:$E,E200,'inventory ledger'!$A:$A,"&lt;="&amp;B200+TIME(23,59,59)))</f>
        <v>175</v>
      </c>
      <c r="G200" s="3">
        <f>IFERROR(__xludf.DUMMYFUNCTION("IF(F200&lt;=0,0,IFERROR(ROUNDUP(F200/INDEX(FILTER('warehouse config'!$D:$D,('warehouse config'!$B:$B=C200)*('warehouse config'!$C:$C=D200)*('warehouse config'!$G:$G&lt;=B200)*(('warehouse config'!$H:$H&gt;=B200)+ISBLANK('warehouse config'!$H:$H))),1)),0))"),9.0)</f>
        <v>9</v>
      </c>
      <c r="H200" s="3">
        <f>IFERROR(__xludf.DUMMYFUNCTION("IFERROR(INDEX(FILTER('cost master'!$E:$E,('cost master'!$B:$B=C200)*('cost master'!$D:$D=""Storage cost per pallet / week"")*('cost master'!$G:$G&lt;=B200)*(('cost master'!$H:$H&gt;=B200)+ISBLANK('cost master'!$H:$H))),1),0)"),2.6)</f>
        <v>2.6</v>
      </c>
      <c r="I200" s="3">
        <f t="shared" si="4"/>
        <v>23.4</v>
      </c>
      <c r="J200" s="27">
        <f t="shared" si="5"/>
        <v>45673</v>
      </c>
      <c r="K200" s="27">
        <f t="shared" si="6"/>
        <v>45703</v>
      </c>
    </row>
    <row r="201" hidden="1">
      <c r="A201" s="3" t="str">
        <f t="shared" si="3"/>
        <v>SL-20250210-Vglobal-CS 008-13</v>
      </c>
      <c r="B201" s="2">
        <f t="array" ref="B201">INDEX(helper!$A$3:$A3996,ROUNDUP((ROW()-1)/COUNTA(helper!$D$3:$D3996),0))</f>
        <v>45698</v>
      </c>
      <c r="C201" s="5" t="str">
        <f t="array" ref="C201">IF(B201="","",INDEX(helper!$D$3:$D3996,MOD(ROW()-2,COUNTA(helper!$D$3:$D3996))+1))</f>
        <v>Vglobal</v>
      </c>
      <c r="D201" s="3" t="str">
        <f t="array" ref="D201">IF(B201="","",INDEX(helper!$E$3:$E3996,MOD(ROW()-2,COUNTA(helper!$D$3:$D3996))+1))</f>
        <v>CS 008</v>
      </c>
      <c r="E201" s="3">
        <f t="array" ref="E201">IF(B201="","",INDEX(helper!$F$3:$F3996,MOD(ROW()-2,COUNTA(helper!$D$3:$D3996))+1))</f>
        <v>13</v>
      </c>
      <c r="F201" s="3">
        <f>IF(B201="","",SUMIFS('inventory ledger'!$H:$H,'inventory ledger'!$C:$C,C201,'inventory ledger'!$D:$D,D201,'inventory ledger'!$E:$E,E201,'inventory ledger'!$A:$A,"&lt;="&amp;B201+TIME(23,59,59))-SUMIFS('inventory ledger'!$I:$I,'inventory ledger'!$C:$C,C201,'inventory ledger'!$D:$D,D201,'inventory ledger'!$E:$E,E201,'inventory ledger'!$A:$A,"&lt;="&amp;B201+TIME(23,59,59)))</f>
        <v>20</v>
      </c>
      <c r="G201" s="3">
        <f>IFERROR(__xludf.DUMMYFUNCTION("IF(F201&lt;=0,0,IFERROR(ROUNDUP(F201/INDEX(FILTER('warehouse config'!$D:$D,('warehouse config'!$B:$B=C201)*('warehouse config'!$C:$C=D201)*('warehouse config'!$G:$G&lt;=B201)*(('warehouse config'!$H:$H&gt;=B201)+ISBLANK('warehouse config'!$H:$H))),1)),0))"),1.0)</f>
        <v>1</v>
      </c>
      <c r="H201" s="3">
        <f>IFERROR(__xludf.DUMMYFUNCTION("IFERROR(INDEX(FILTER('cost master'!$E:$E,('cost master'!$B:$B=C201)*('cost master'!$D:$D=""Storage cost per pallet / week"")*('cost master'!$G:$G&lt;=B201)*(('cost master'!$H:$H&gt;=B201)+ISBLANK('cost master'!$H:$H))),1),0)"),2.6)</f>
        <v>2.6</v>
      </c>
      <c r="I201" s="3">
        <f t="shared" si="4"/>
        <v>2.6</v>
      </c>
      <c r="J201" s="27">
        <f t="shared" si="5"/>
        <v>45673</v>
      </c>
      <c r="K201" s="27">
        <f t="shared" si="6"/>
        <v>45703</v>
      </c>
    </row>
    <row r="202" hidden="1">
      <c r="A202" s="3" t="str">
        <f t="shared" si="3"/>
        <v>SL-20250210-Vglobal-CS 010-13</v>
      </c>
      <c r="B202" s="2">
        <f t="array" ref="B202">INDEX(helper!$A$3:$A3996,ROUNDUP((ROW()-1)/COUNTA(helper!$D$3:$D3996),0))</f>
        <v>45698</v>
      </c>
      <c r="C202" s="5" t="str">
        <f t="array" ref="C202">IF(B202="","",INDEX(helper!$D$3:$D3996,MOD(ROW()-2,COUNTA(helper!$D$3:$D3996))+1))</f>
        <v>Vglobal</v>
      </c>
      <c r="D202" s="3" t="str">
        <f t="array" ref="D202">IF(B202="","",INDEX(helper!$E$3:$E3996,MOD(ROW()-2,COUNTA(helper!$D$3:$D3996))+1))</f>
        <v>CS 010</v>
      </c>
      <c r="E202" s="3">
        <f t="array" ref="E202">IF(B202="","",INDEX(helper!$F$3:$F3996,MOD(ROW()-2,COUNTA(helper!$D$3:$D3996))+1))</f>
        <v>13</v>
      </c>
      <c r="F202" s="3">
        <f>IF(B202="","",SUMIFS('inventory ledger'!$H:$H,'inventory ledger'!$C:$C,C202,'inventory ledger'!$D:$D,D202,'inventory ledger'!$E:$E,E202,'inventory ledger'!$A:$A,"&lt;="&amp;B202+TIME(23,59,59))-SUMIFS('inventory ledger'!$I:$I,'inventory ledger'!$C:$C,C202,'inventory ledger'!$D:$D,D202,'inventory ledger'!$E:$E,E202,'inventory ledger'!$A:$A,"&lt;="&amp;B202+TIME(23,59,59)))</f>
        <v>80</v>
      </c>
      <c r="G202" s="3">
        <f>IFERROR(__xludf.DUMMYFUNCTION("IF(F202&lt;=0,0,IFERROR(ROUNDUP(F202/INDEX(FILTER('warehouse config'!$D:$D,('warehouse config'!$B:$B=C202)*('warehouse config'!$C:$C=D202)*('warehouse config'!$G:$G&lt;=B202)*(('warehouse config'!$H:$H&gt;=B202)+ISBLANK('warehouse config'!$H:$H))),1)),0))"),4.0)</f>
        <v>4</v>
      </c>
      <c r="H202" s="3">
        <f>IFERROR(__xludf.DUMMYFUNCTION("IFERROR(INDEX(FILTER('cost master'!$E:$E,('cost master'!$B:$B=C202)*('cost master'!$D:$D=""Storage cost per pallet / week"")*('cost master'!$G:$G&lt;=B202)*(('cost master'!$H:$H&gt;=B202)+ISBLANK('cost master'!$H:$H))),1),0)"),2.6)</f>
        <v>2.6</v>
      </c>
      <c r="I202" s="3">
        <f t="shared" si="4"/>
        <v>10.4</v>
      </c>
      <c r="J202" s="27">
        <f t="shared" si="5"/>
        <v>45673</v>
      </c>
      <c r="K202" s="27">
        <f t="shared" si="6"/>
        <v>45703</v>
      </c>
    </row>
    <row r="203" hidden="1">
      <c r="A203" s="3" t="str">
        <f t="shared" si="3"/>
        <v>SL-20250210-Vglobal-CS 009-13</v>
      </c>
      <c r="B203" s="2">
        <f t="array" ref="B203">INDEX(helper!$A$3:$A3996,ROUNDUP((ROW()-1)/COUNTA(helper!$D$3:$D3996),0))</f>
        <v>45698</v>
      </c>
      <c r="C203" s="5" t="str">
        <f t="array" ref="C203">IF(B203="","",INDEX(helper!$D$3:$D3996,MOD(ROW()-2,COUNTA(helper!$D$3:$D3996))+1))</f>
        <v>Vglobal</v>
      </c>
      <c r="D203" s="3" t="str">
        <f t="array" ref="D203">IF(B203="","",INDEX(helper!$E$3:$E3996,MOD(ROW()-2,COUNTA(helper!$D$3:$D3996))+1))</f>
        <v>CS 009</v>
      </c>
      <c r="E203" s="3">
        <f t="array" ref="E203">IF(B203="","",INDEX(helper!$F$3:$F3996,MOD(ROW()-2,COUNTA(helper!$D$3:$D3996))+1))</f>
        <v>13</v>
      </c>
      <c r="F203" s="3">
        <f>IF(B203="","",SUMIFS('inventory ledger'!$H:$H,'inventory ledger'!$C:$C,C203,'inventory ledger'!$D:$D,D203,'inventory ledger'!$E:$E,E203,'inventory ledger'!$A:$A,"&lt;="&amp;B203+TIME(23,59,59))-SUMIFS('inventory ledger'!$I:$I,'inventory ledger'!$C:$C,C203,'inventory ledger'!$D:$D,D203,'inventory ledger'!$E:$E,E203,'inventory ledger'!$A:$A,"&lt;="&amp;B203+TIME(23,59,59)))</f>
        <v>84</v>
      </c>
      <c r="G203" s="3">
        <f>IFERROR(__xludf.DUMMYFUNCTION("IF(F203&lt;=0,0,IFERROR(ROUNDUP(F203/INDEX(FILTER('warehouse config'!$D:$D,('warehouse config'!$B:$B=C203)*('warehouse config'!$C:$C=D203)*('warehouse config'!$G:$G&lt;=B203)*(('warehouse config'!$H:$H&gt;=B203)+ISBLANK('warehouse config'!$H:$H))),1)),0))"),6.0)</f>
        <v>6</v>
      </c>
      <c r="H203" s="3">
        <f>IFERROR(__xludf.DUMMYFUNCTION("IFERROR(INDEX(FILTER('cost master'!$E:$E,('cost master'!$B:$B=C203)*('cost master'!$D:$D=""Storage cost per pallet / week"")*('cost master'!$G:$G&lt;=B203)*(('cost master'!$H:$H&gt;=B203)+ISBLANK('cost master'!$H:$H))),1),0)"),2.6)</f>
        <v>2.6</v>
      </c>
      <c r="I203" s="3">
        <f t="shared" si="4"/>
        <v>15.6</v>
      </c>
      <c r="J203" s="27">
        <f t="shared" si="5"/>
        <v>45673</v>
      </c>
      <c r="K203" s="27">
        <f t="shared" si="6"/>
        <v>45703</v>
      </c>
    </row>
    <row r="204" hidden="1">
      <c r="A204" s="3" t="str">
        <f t="shared" si="3"/>
        <v>SL-20250210-Vglobal-CS 012-13</v>
      </c>
      <c r="B204" s="2">
        <f t="array" ref="B204">INDEX(helper!$A$3:$A3996,ROUNDUP((ROW()-1)/COUNTA(helper!$D$3:$D3996),0))</f>
        <v>45698</v>
      </c>
      <c r="C204" s="5" t="str">
        <f t="array" ref="C204">IF(B204="","",INDEX(helper!$D$3:$D3996,MOD(ROW()-2,COUNTA(helper!$D$3:$D3996))+1))</f>
        <v>Vglobal</v>
      </c>
      <c r="D204" s="3" t="str">
        <f t="array" ref="D204">IF(B204="","",INDEX(helper!$E$3:$E3996,MOD(ROW()-2,COUNTA(helper!$D$3:$D3996))+1))</f>
        <v>CS 012</v>
      </c>
      <c r="E204" s="3">
        <f t="array" ref="E204">IF(B204="","",INDEX(helper!$F$3:$F3996,MOD(ROW()-2,COUNTA(helper!$D$3:$D3996))+1))</f>
        <v>13</v>
      </c>
      <c r="F204" s="3">
        <f>IF(B204="","",SUMIFS('inventory ledger'!$H:$H,'inventory ledger'!$C:$C,C204,'inventory ledger'!$D:$D,D204,'inventory ledger'!$E:$E,E204,'inventory ledger'!$A:$A,"&lt;="&amp;B204+TIME(23,59,59))-SUMIFS('inventory ledger'!$I:$I,'inventory ledger'!$C:$C,C204,'inventory ledger'!$D:$D,D204,'inventory ledger'!$E:$E,E204,'inventory ledger'!$A:$A,"&lt;="&amp;B204+TIME(23,59,59)))</f>
        <v>41</v>
      </c>
      <c r="G204" s="3">
        <f>IFERROR(__xludf.DUMMYFUNCTION("IF(F204&lt;=0,0,IFERROR(ROUNDUP(F204/INDEX(FILTER('warehouse config'!$D:$D,('warehouse config'!$B:$B=C204)*('warehouse config'!$C:$C=D204)*('warehouse config'!$G:$G&lt;=B204)*(('warehouse config'!$H:$H&gt;=B204)+ISBLANK('warehouse config'!$H:$H))),1)),0))"),3.0)</f>
        <v>3</v>
      </c>
      <c r="H204" s="3">
        <f>IFERROR(__xludf.DUMMYFUNCTION("IFERROR(INDEX(FILTER('cost master'!$E:$E,('cost master'!$B:$B=C204)*('cost master'!$D:$D=""Storage cost per pallet / week"")*('cost master'!$G:$G&lt;=B204)*(('cost master'!$H:$H&gt;=B204)+ISBLANK('cost master'!$H:$H))),1),0)"),2.6)</f>
        <v>2.6</v>
      </c>
      <c r="I204" s="3">
        <f t="shared" si="4"/>
        <v>7.8</v>
      </c>
      <c r="J204" s="27">
        <f t="shared" si="5"/>
        <v>45673</v>
      </c>
      <c r="K204" s="27">
        <f t="shared" si="6"/>
        <v>45703</v>
      </c>
    </row>
    <row r="205" hidden="1">
      <c r="A205" s="3" t="str">
        <f t="shared" si="3"/>
        <v>SL-20250210-FMC-CS 008-11</v>
      </c>
      <c r="B205" s="2">
        <f t="array" ref="B205">INDEX(helper!$A$3:$A3996,ROUNDUP((ROW()-1)/COUNTA(helper!$D$3:$D3996),0))</f>
        <v>45698</v>
      </c>
      <c r="C205" s="5" t="str">
        <f t="array" ref="C205">IF(B205="","",INDEX(helper!$D$3:$D3996,MOD(ROW()-2,COUNTA(helper!$D$3:$D3996))+1))</f>
        <v>FMC</v>
      </c>
      <c r="D205" s="3" t="str">
        <f t="array" ref="D205">IF(B205="","",INDEX(helper!$E$3:$E3996,MOD(ROW()-2,COUNTA(helper!$D$3:$D3996))+1))</f>
        <v>CS 008</v>
      </c>
      <c r="E205" s="3">
        <f t="array" ref="E205">IF(B205="","",INDEX(helper!$F$3:$F3996,MOD(ROW()-2,COUNTA(helper!$D$3:$D3996))+1))</f>
        <v>11</v>
      </c>
      <c r="F205" s="3">
        <f>IF(B205="","",SUMIFS('inventory ledger'!$H:$H,'inventory ledger'!$C:$C,C205,'inventory ledger'!$D:$D,D205,'inventory ledger'!$E:$E,E205,'inventory ledger'!$A:$A,"&lt;="&amp;B205+TIME(23,59,59))-SUMIFS('inventory ledger'!$I:$I,'inventory ledger'!$C:$C,C205,'inventory ledger'!$D:$D,D205,'inventory ledger'!$E:$E,E205,'inventory ledger'!$A:$A,"&lt;="&amp;B205+TIME(23,59,59)))</f>
        <v>0</v>
      </c>
      <c r="G205" s="3">
        <f>IFERROR(__xludf.DUMMYFUNCTION("IF(F205&lt;=0,0,IFERROR(ROUNDUP(F205/INDEX(FILTER('warehouse config'!$D:$D,('warehouse config'!$B:$B=C205)*('warehouse config'!$C:$C=D205)*('warehouse config'!$G:$G&lt;=B205)*(('warehouse config'!$H:$H&gt;=B205)+ISBLANK('warehouse config'!$H:$H))),1)),0))"),0.0)</f>
        <v>0</v>
      </c>
      <c r="H205" s="3">
        <f>IFERROR(__xludf.DUMMYFUNCTION("IFERROR(INDEX(FILTER('cost master'!$E:$E,('cost master'!$B:$B=C205)*('cost master'!$D:$D=""Storage cost per pallet / week"")*('cost master'!$G:$G&lt;=B205)*(('cost master'!$H:$H&gt;=B205)+ISBLANK('cost master'!$H:$H))),1),0)"),3.9)</f>
        <v>3.9</v>
      </c>
      <c r="I205" s="3">
        <f t="shared" si="4"/>
        <v>0</v>
      </c>
      <c r="J205" s="27">
        <f t="shared" si="5"/>
        <v>45673</v>
      </c>
      <c r="K205" s="27">
        <f t="shared" si="6"/>
        <v>45703</v>
      </c>
    </row>
    <row r="206" hidden="1">
      <c r="A206" s="3" t="str">
        <f t="shared" si="3"/>
        <v>SL-20250217-FMC-CS 007-8</v>
      </c>
      <c r="B206" s="2">
        <f t="array" ref="B206">INDEX(helper!$A$3:$A3996,ROUNDUP((ROW()-1)/COUNTA(helper!$D$3:$D3996),0))</f>
        <v>45705</v>
      </c>
      <c r="C206" s="5" t="str">
        <f t="array" ref="C206">IF(B206="","",INDEX(helper!$D$3:$D3996,MOD(ROW()-2,COUNTA(helper!$D$3:$D3996))+1))</f>
        <v>FMC</v>
      </c>
      <c r="D206" s="3" t="str">
        <f t="array" ref="D206">IF(B206="","",INDEX(helper!$E$3:$E3996,MOD(ROW()-2,COUNTA(helper!$D$3:$D3996))+1))</f>
        <v>CS 007</v>
      </c>
      <c r="E206" s="3">
        <f t="array" ref="E206">IF(B206="","",INDEX(helper!$F$3:$F3996,MOD(ROW()-2,COUNTA(helper!$D$3:$D3996))+1))</f>
        <v>8</v>
      </c>
      <c r="F206" s="3">
        <f>IF(B206="","",SUMIFS('inventory ledger'!$H:$H,'inventory ledger'!$C:$C,C206,'inventory ledger'!$D:$D,D206,'inventory ledger'!$E:$E,E206,'inventory ledger'!$A:$A,"&lt;="&amp;B206+TIME(23,59,59))-SUMIFS('inventory ledger'!$I:$I,'inventory ledger'!$C:$C,C206,'inventory ledger'!$D:$D,D206,'inventory ledger'!$E:$E,E206,'inventory ledger'!$A:$A,"&lt;="&amp;B206+TIME(23,59,59)))</f>
        <v>0</v>
      </c>
      <c r="G206" s="3">
        <f>IFERROR(__xludf.DUMMYFUNCTION("IF(F206&lt;=0,0,IFERROR(ROUNDUP(F206/INDEX(FILTER('warehouse config'!$D:$D,('warehouse config'!$B:$B=C206)*('warehouse config'!$C:$C=D206)*('warehouse config'!$G:$G&lt;=B206)*(('warehouse config'!$H:$H&gt;=B206)+ISBLANK('warehouse config'!$H:$H))),1)),0))"),0.0)</f>
        <v>0</v>
      </c>
      <c r="H206" s="3">
        <f>IFERROR(__xludf.DUMMYFUNCTION("IFERROR(INDEX(FILTER('cost master'!$E:$E,('cost master'!$B:$B=C206)*('cost master'!$D:$D=""Storage cost per pallet / week"")*('cost master'!$G:$G&lt;=B206)*(('cost master'!$H:$H&gt;=B206)+ISBLANK('cost master'!$H:$H))),1),0)"),3.9)</f>
        <v>3.9</v>
      </c>
      <c r="I206" s="3">
        <f t="shared" si="4"/>
        <v>0</v>
      </c>
      <c r="J206" s="27">
        <f t="shared" si="5"/>
        <v>45704</v>
      </c>
      <c r="K206" s="27">
        <f t="shared" si="6"/>
        <v>45731</v>
      </c>
    </row>
    <row r="207" hidden="1">
      <c r="A207" s="3" t="str">
        <f t="shared" si="3"/>
        <v>SL-20250217-FMC-CS 008-8</v>
      </c>
      <c r="B207" s="2">
        <f t="array" ref="B207">INDEX(helper!$A$3:$A3996,ROUNDUP((ROW()-1)/COUNTA(helper!$D$3:$D3996),0))</f>
        <v>45705</v>
      </c>
      <c r="C207" s="5" t="str">
        <f t="array" ref="C207">IF(B207="","",INDEX(helper!$D$3:$D3996,MOD(ROW()-2,COUNTA(helper!$D$3:$D3996))+1))</f>
        <v>FMC</v>
      </c>
      <c r="D207" s="3" t="str">
        <f t="array" ref="D207">IF(B207="","",INDEX(helper!$E$3:$E3996,MOD(ROW()-2,COUNTA(helper!$D$3:$D3996))+1))</f>
        <v>CS 008</v>
      </c>
      <c r="E207" s="3">
        <f t="array" ref="E207">IF(B207="","",INDEX(helper!$F$3:$F3996,MOD(ROW()-2,COUNTA(helper!$D$3:$D3996))+1))</f>
        <v>8</v>
      </c>
      <c r="F207" s="3">
        <f>IF(B207="","",SUMIFS('inventory ledger'!$H:$H,'inventory ledger'!$C:$C,C207,'inventory ledger'!$D:$D,D207,'inventory ledger'!$E:$E,E207,'inventory ledger'!$A:$A,"&lt;="&amp;B207+TIME(23,59,59))-SUMIFS('inventory ledger'!$I:$I,'inventory ledger'!$C:$C,C207,'inventory ledger'!$D:$D,D207,'inventory ledger'!$E:$E,E207,'inventory ledger'!$A:$A,"&lt;="&amp;B207+TIME(23,59,59)))</f>
        <v>0</v>
      </c>
      <c r="G207" s="3">
        <f>IFERROR(__xludf.DUMMYFUNCTION("IF(F207&lt;=0,0,IFERROR(ROUNDUP(F207/INDEX(FILTER('warehouse config'!$D:$D,('warehouse config'!$B:$B=C207)*('warehouse config'!$C:$C=D207)*('warehouse config'!$G:$G&lt;=B207)*(('warehouse config'!$H:$H&gt;=B207)+ISBLANK('warehouse config'!$H:$H))),1)),0))"),0.0)</f>
        <v>0</v>
      </c>
      <c r="H207" s="3">
        <f>IFERROR(__xludf.DUMMYFUNCTION("IFERROR(INDEX(FILTER('cost master'!$E:$E,('cost master'!$B:$B=C207)*('cost master'!$D:$D=""Storage cost per pallet / week"")*('cost master'!$G:$G&lt;=B207)*(('cost master'!$H:$H&gt;=B207)+ISBLANK('cost master'!$H:$H))),1),0)"),3.9)</f>
        <v>3.9</v>
      </c>
      <c r="I207" s="3">
        <f t="shared" si="4"/>
        <v>0</v>
      </c>
      <c r="J207" s="27">
        <f t="shared" si="5"/>
        <v>45704</v>
      </c>
      <c r="K207" s="27">
        <f t="shared" si="6"/>
        <v>45731</v>
      </c>
    </row>
    <row r="208" hidden="1">
      <c r="A208" s="3" t="str">
        <f t="shared" si="3"/>
        <v>SL-20250217-FMC-CS 009-8</v>
      </c>
      <c r="B208" s="2">
        <f t="array" ref="B208">INDEX(helper!$A$3:$A3996,ROUNDUP((ROW()-1)/COUNTA(helper!$D$3:$D3996),0))</f>
        <v>45705</v>
      </c>
      <c r="C208" s="5" t="str">
        <f t="array" ref="C208">IF(B208="","",INDEX(helper!$D$3:$D3996,MOD(ROW()-2,COUNTA(helper!$D$3:$D3996))+1))</f>
        <v>FMC</v>
      </c>
      <c r="D208" s="3" t="str">
        <f t="array" ref="D208">IF(B208="","",INDEX(helper!$E$3:$E3996,MOD(ROW()-2,COUNTA(helper!$D$3:$D3996))+1))</f>
        <v>CS 009</v>
      </c>
      <c r="E208" s="3">
        <f t="array" ref="E208">IF(B208="","",INDEX(helper!$F$3:$F3996,MOD(ROW()-2,COUNTA(helper!$D$3:$D3996))+1))</f>
        <v>8</v>
      </c>
      <c r="F208" s="3">
        <f>IF(B208="","",SUMIFS('inventory ledger'!$H:$H,'inventory ledger'!$C:$C,C208,'inventory ledger'!$D:$D,D208,'inventory ledger'!$E:$E,E208,'inventory ledger'!$A:$A,"&lt;="&amp;B208+TIME(23,59,59))-SUMIFS('inventory ledger'!$I:$I,'inventory ledger'!$C:$C,C208,'inventory ledger'!$D:$D,D208,'inventory ledger'!$E:$E,E208,'inventory ledger'!$A:$A,"&lt;="&amp;B208+TIME(23,59,59)))</f>
        <v>0</v>
      </c>
      <c r="G208" s="3">
        <f>IFERROR(__xludf.DUMMYFUNCTION("IF(F208&lt;=0,0,IFERROR(ROUNDUP(F208/INDEX(FILTER('warehouse config'!$D:$D,('warehouse config'!$B:$B=C208)*('warehouse config'!$C:$C=D208)*('warehouse config'!$G:$G&lt;=B208)*(('warehouse config'!$H:$H&gt;=B208)+ISBLANK('warehouse config'!$H:$H))),1)),0))"),0.0)</f>
        <v>0</v>
      </c>
      <c r="H208" s="3">
        <f>IFERROR(__xludf.DUMMYFUNCTION("IFERROR(INDEX(FILTER('cost master'!$E:$E,('cost master'!$B:$B=C208)*('cost master'!$D:$D=""Storage cost per pallet / week"")*('cost master'!$G:$G&lt;=B208)*(('cost master'!$H:$H&gt;=B208)+ISBLANK('cost master'!$H:$H))),1),0)"),3.9)</f>
        <v>3.9</v>
      </c>
      <c r="I208" s="3">
        <f t="shared" si="4"/>
        <v>0</v>
      </c>
      <c r="J208" s="27">
        <f t="shared" si="5"/>
        <v>45704</v>
      </c>
      <c r="K208" s="27">
        <f t="shared" si="6"/>
        <v>45731</v>
      </c>
    </row>
    <row r="209" hidden="1">
      <c r="A209" s="3" t="str">
        <f t="shared" si="3"/>
        <v>SL-20250217-FMC-CS 010-8</v>
      </c>
      <c r="B209" s="2">
        <f t="array" ref="B209">INDEX(helper!$A$3:$A3996,ROUNDUP((ROW()-1)/COUNTA(helper!$D$3:$D3996),0))</f>
        <v>45705</v>
      </c>
      <c r="C209" s="5" t="str">
        <f t="array" ref="C209">IF(B209="","",INDEX(helper!$D$3:$D3996,MOD(ROW()-2,COUNTA(helper!$D$3:$D3996))+1))</f>
        <v>FMC</v>
      </c>
      <c r="D209" s="3" t="str">
        <f t="array" ref="D209">IF(B209="","",INDEX(helper!$E$3:$E3996,MOD(ROW()-2,COUNTA(helper!$D$3:$D3996))+1))</f>
        <v>CS 010</v>
      </c>
      <c r="E209" s="3">
        <f t="array" ref="E209">IF(B209="","",INDEX(helper!$F$3:$F3996,MOD(ROW()-2,COUNTA(helper!$D$3:$D3996))+1))</f>
        <v>8</v>
      </c>
      <c r="F209" s="3">
        <f>IF(B209="","",SUMIFS('inventory ledger'!$H:$H,'inventory ledger'!$C:$C,C209,'inventory ledger'!$D:$D,D209,'inventory ledger'!$E:$E,E209,'inventory ledger'!$A:$A,"&lt;="&amp;B209+TIME(23,59,59))-SUMIFS('inventory ledger'!$I:$I,'inventory ledger'!$C:$C,C209,'inventory ledger'!$D:$D,D209,'inventory ledger'!$E:$E,E209,'inventory ledger'!$A:$A,"&lt;="&amp;B209+TIME(23,59,59)))</f>
        <v>0</v>
      </c>
      <c r="G209" s="3">
        <f>IFERROR(__xludf.DUMMYFUNCTION("IF(F209&lt;=0,0,IFERROR(ROUNDUP(F209/INDEX(FILTER('warehouse config'!$D:$D,('warehouse config'!$B:$B=C209)*('warehouse config'!$C:$C=D209)*('warehouse config'!$G:$G&lt;=B209)*(('warehouse config'!$H:$H&gt;=B209)+ISBLANK('warehouse config'!$H:$H))),1)),0))"),0.0)</f>
        <v>0</v>
      </c>
      <c r="H209" s="3">
        <f>IFERROR(__xludf.DUMMYFUNCTION("IFERROR(INDEX(FILTER('cost master'!$E:$E,('cost master'!$B:$B=C209)*('cost master'!$D:$D=""Storage cost per pallet / week"")*('cost master'!$G:$G&lt;=B209)*(('cost master'!$H:$H&gt;=B209)+ISBLANK('cost master'!$H:$H))),1),0)"),3.9)</f>
        <v>3.9</v>
      </c>
      <c r="I209" s="3">
        <f t="shared" si="4"/>
        <v>0</v>
      </c>
      <c r="J209" s="27">
        <f t="shared" si="5"/>
        <v>45704</v>
      </c>
      <c r="K209" s="27">
        <f t="shared" si="6"/>
        <v>45731</v>
      </c>
    </row>
    <row r="210" hidden="1">
      <c r="A210" s="3" t="str">
        <f t="shared" si="3"/>
        <v>SL-20250217-FMC-CS 007-9</v>
      </c>
      <c r="B210" s="2">
        <f t="array" ref="B210">INDEX(helper!$A$3:$A3996,ROUNDUP((ROW()-1)/COUNTA(helper!$D$3:$D3996),0))</f>
        <v>45705</v>
      </c>
      <c r="C210" s="5" t="str">
        <f t="array" ref="C210">IF(B210="","",INDEX(helper!$D$3:$D3996,MOD(ROW()-2,COUNTA(helper!$D$3:$D3996))+1))</f>
        <v>FMC</v>
      </c>
      <c r="D210" s="3" t="str">
        <f t="array" ref="D210">IF(B210="","",INDEX(helper!$E$3:$E3996,MOD(ROW()-2,COUNTA(helper!$D$3:$D3996))+1))</f>
        <v>CS 007</v>
      </c>
      <c r="E210" s="3">
        <f t="array" ref="E210">IF(B210="","",INDEX(helper!$F$3:$F3996,MOD(ROW()-2,COUNTA(helper!$D$3:$D3996))+1))</f>
        <v>9</v>
      </c>
      <c r="F210" s="3">
        <f>IF(B210="","",SUMIFS('inventory ledger'!$H:$H,'inventory ledger'!$C:$C,C210,'inventory ledger'!$D:$D,D210,'inventory ledger'!$E:$E,E210,'inventory ledger'!$A:$A,"&lt;="&amp;B210+TIME(23,59,59))-SUMIFS('inventory ledger'!$I:$I,'inventory ledger'!$C:$C,C210,'inventory ledger'!$D:$D,D210,'inventory ledger'!$E:$E,E210,'inventory ledger'!$A:$A,"&lt;="&amp;B210+TIME(23,59,59)))</f>
        <v>0</v>
      </c>
      <c r="G210" s="3">
        <f>IFERROR(__xludf.DUMMYFUNCTION("IF(F210&lt;=0,0,IFERROR(ROUNDUP(F210/INDEX(FILTER('warehouse config'!$D:$D,('warehouse config'!$B:$B=C210)*('warehouse config'!$C:$C=D210)*('warehouse config'!$G:$G&lt;=B210)*(('warehouse config'!$H:$H&gt;=B210)+ISBLANK('warehouse config'!$H:$H))),1)),0))"),0.0)</f>
        <v>0</v>
      </c>
      <c r="H210" s="3">
        <f>IFERROR(__xludf.DUMMYFUNCTION("IFERROR(INDEX(FILTER('cost master'!$E:$E,('cost master'!$B:$B=C210)*('cost master'!$D:$D=""Storage cost per pallet / week"")*('cost master'!$G:$G&lt;=B210)*(('cost master'!$H:$H&gt;=B210)+ISBLANK('cost master'!$H:$H))),1),0)"),3.9)</f>
        <v>3.9</v>
      </c>
      <c r="I210" s="3">
        <f t="shared" si="4"/>
        <v>0</v>
      </c>
      <c r="J210" s="27">
        <f t="shared" si="5"/>
        <v>45704</v>
      </c>
      <c r="K210" s="27">
        <f t="shared" si="6"/>
        <v>45731</v>
      </c>
    </row>
    <row r="211" hidden="1">
      <c r="A211" s="3" t="str">
        <f t="shared" si="3"/>
        <v>SL-20250217-FMC-CS 008-9</v>
      </c>
      <c r="B211" s="2">
        <f t="array" ref="B211">INDEX(helper!$A$3:$A3996,ROUNDUP((ROW()-1)/COUNTA(helper!$D$3:$D3996),0))</f>
        <v>45705</v>
      </c>
      <c r="C211" s="5" t="str">
        <f t="array" ref="C211">IF(B211="","",INDEX(helper!$D$3:$D3996,MOD(ROW()-2,COUNTA(helper!$D$3:$D3996))+1))</f>
        <v>FMC</v>
      </c>
      <c r="D211" s="3" t="str">
        <f t="array" ref="D211">IF(B211="","",INDEX(helper!$E$3:$E3996,MOD(ROW()-2,COUNTA(helper!$D$3:$D3996))+1))</f>
        <v>CS 008</v>
      </c>
      <c r="E211" s="3">
        <f t="array" ref="E211">IF(B211="","",INDEX(helper!$F$3:$F3996,MOD(ROW()-2,COUNTA(helper!$D$3:$D3996))+1))</f>
        <v>9</v>
      </c>
      <c r="F211" s="3">
        <f>IF(B211="","",SUMIFS('inventory ledger'!$H:$H,'inventory ledger'!$C:$C,C211,'inventory ledger'!$D:$D,D211,'inventory ledger'!$E:$E,E211,'inventory ledger'!$A:$A,"&lt;="&amp;B211+TIME(23,59,59))-SUMIFS('inventory ledger'!$I:$I,'inventory ledger'!$C:$C,C211,'inventory ledger'!$D:$D,D211,'inventory ledger'!$E:$E,E211,'inventory ledger'!$A:$A,"&lt;="&amp;B211+TIME(23,59,59)))</f>
        <v>14</v>
      </c>
      <c r="G211" s="3">
        <f>IFERROR(__xludf.DUMMYFUNCTION("IF(F211&lt;=0,0,IFERROR(ROUNDUP(F211/INDEX(FILTER('warehouse config'!$D:$D,('warehouse config'!$B:$B=C211)*('warehouse config'!$C:$C=D211)*('warehouse config'!$G:$G&lt;=B211)*(('warehouse config'!$H:$H&gt;=B211)+ISBLANK('warehouse config'!$H:$H))),1)),0))"),1.0)</f>
        <v>1</v>
      </c>
      <c r="H211" s="3">
        <f>IFERROR(__xludf.DUMMYFUNCTION("IFERROR(INDEX(FILTER('cost master'!$E:$E,('cost master'!$B:$B=C211)*('cost master'!$D:$D=""Storage cost per pallet / week"")*('cost master'!$G:$G&lt;=B211)*(('cost master'!$H:$H&gt;=B211)+ISBLANK('cost master'!$H:$H))),1),0)"),3.9)</f>
        <v>3.9</v>
      </c>
      <c r="I211" s="3">
        <f t="shared" si="4"/>
        <v>3.9</v>
      </c>
      <c r="J211" s="27">
        <f t="shared" si="5"/>
        <v>45704</v>
      </c>
      <c r="K211" s="27">
        <f t="shared" si="6"/>
        <v>45731</v>
      </c>
    </row>
    <row r="212" hidden="1">
      <c r="A212" s="3" t="str">
        <f t="shared" si="3"/>
        <v>SL-20250217-FMC-CS 009-9</v>
      </c>
      <c r="B212" s="2">
        <f t="array" ref="B212">INDEX(helper!$A$3:$A3996,ROUNDUP((ROW()-1)/COUNTA(helper!$D$3:$D3996),0))</f>
        <v>45705</v>
      </c>
      <c r="C212" s="5" t="str">
        <f t="array" ref="C212">IF(B212="","",INDEX(helper!$D$3:$D3996,MOD(ROW()-2,COUNTA(helper!$D$3:$D3996))+1))</f>
        <v>FMC</v>
      </c>
      <c r="D212" s="3" t="str">
        <f t="array" ref="D212">IF(B212="","",INDEX(helper!$E$3:$E3996,MOD(ROW()-2,COUNTA(helper!$D$3:$D3996))+1))</f>
        <v>CS 009</v>
      </c>
      <c r="E212" s="3">
        <f t="array" ref="E212">IF(B212="","",INDEX(helper!$F$3:$F3996,MOD(ROW()-2,COUNTA(helper!$D$3:$D3996))+1))</f>
        <v>9</v>
      </c>
      <c r="F212" s="3">
        <f>IF(B212="","",SUMIFS('inventory ledger'!$H:$H,'inventory ledger'!$C:$C,C212,'inventory ledger'!$D:$D,D212,'inventory ledger'!$E:$E,E212,'inventory ledger'!$A:$A,"&lt;="&amp;B212+TIME(23,59,59))-SUMIFS('inventory ledger'!$I:$I,'inventory ledger'!$C:$C,C212,'inventory ledger'!$D:$D,D212,'inventory ledger'!$E:$E,E212,'inventory ledger'!$A:$A,"&lt;="&amp;B212+TIME(23,59,59)))</f>
        <v>0</v>
      </c>
      <c r="G212" s="3">
        <f>IFERROR(__xludf.DUMMYFUNCTION("IF(F212&lt;=0,0,IFERROR(ROUNDUP(F212/INDEX(FILTER('warehouse config'!$D:$D,('warehouse config'!$B:$B=C212)*('warehouse config'!$C:$C=D212)*('warehouse config'!$G:$G&lt;=B212)*(('warehouse config'!$H:$H&gt;=B212)+ISBLANK('warehouse config'!$H:$H))),1)),0))"),0.0)</f>
        <v>0</v>
      </c>
      <c r="H212" s="3">
        <f>IFERROR(__xludf.DUMMYFUNCTION("IFERROR(INDEX(FILTER('cost master'!$E:$E,('cost master'!$B:$B=C212)*('cost master'!$D:$D=""Storage cost per pallet / week"")*('cost master'!$G:$G&lt;=B212)*(('cost master'!$H:$H&gt;=B212)+ISBLANK('cost master'!$H:$H))),1),0)"),3.9)</f>
        <v>3.9</v>
      </c>
      <c r="I212" s="3">
        <f t="shared" si="4"/>
        <v>0</v>
      </c>
      <c r="J212" s="27">
        <f t="shared" si="5"/>
        <v>45704</v>
      </c>
      <c r="K212" s="27">
        <f t="shared" si="6"/>
        <v>45731</v>
      </c>
    </row>
    <row r="213" hidden="1">
      <c r="A213" s="3" t="str">
        <f t="shared" si="3"/>
        <v>SL-20250217-FMC-CS 010-9</v>
      </c>
      <c r="B213" s="2">
        <f t="array" ref="B213">INDEX(helper!$A$3:$A3996,ROUNDUP((ROW()-1)/COUNTA(helper!$D$3:$D3996),0))</f>
        <v>45705</v>
      </c>
      <c r="C213" s="5" t="str">
        <f t="array" ref="C213">IF(B213="","",INDEX(helper!$D$3:$D3996,MOD(ROW()-2,COUNTA(helper!$D$3:$D3996))+1))</f>
        <v>FMC</v>
      </c>
      <c r="D213" s="3" t="str">
        <f t="array" ref="D213">IF(B213="","",INDEX(helper!$E$3:$E3996,MOD(ROW()-2,COUNTA(helper!$D$3:$D3996))+1))</f>
        <v>CS 010</v>
      </c>
      <c r="E213" s="3">
        <f t="array" ref="E213">IF(B213="","",INDEX(helper!$F$3:$F3996,MOD(ROW()-2,COUNTA(helper!$D$3:$D3996))+1))</f>
        <v>9</v>
      </c>
      <c r="F213" s="3">
        <f>IF(B213="","",SUMIFS('inventory ledger'!$H:$H,'inventory ledger'!$C:$C,C213,'inventory ledger'!$D:$D,D213,'inventory ledger'!$E:$E,E213,'inventory ledger'!$A:$A,"&lt;="&amp;B213+TIME(23,59,59))-SUMIFS('inventory ledger'!$I:$I,'inventory ledger'!$C:$C,C213,'inventory ledger'!$D:$D,D213,'inventory ledger'!$E:$E,E213,'inventory ledger'!$A:$A,"&lt;="&amp;B213+TIME(23,59,59)))</f>
        <v>0</v>
      </c>
      <c r="G213" s="3">
        <f>IFERROR(__xludf.DUMMYFUNCTION("IF(F213&lt;=0,0,IFERROR(ROUNDUP(F213/INDEX(FILTER('warehouse config'!$D:$D,('warehouse config'!$B:$B=C213)*('warehouse config'!$C:$C=D213)*('warehouse config'!$G:$G&lt;=B213)*(('warehouse config'!$H:$H&gt;=B213)+ISBLANK('warehouse config'!$H:$H))),1)),0))"),0.0)</f>
        <v>0</v>
      </c>
      <c r="H213" s="3">
        <f>IFERROR(__xludf.DUMMYFUNCTION("IFERROR(INDEX(FILTER('cost master'!$E:$E,('cost master'!$B:$B=C213)*('cost master'!$D:$D=""Storage cost per pallet / week"")*('cost master'!$G:$G&lt;=B213)*(('cost master'!$H:$H&gt;=B213)+ISBLANK('cost master'!$H:$H))),1),0)"),3.9)</f>
        <v>3.9</v>
      </c>
      <c r="I213" s="3">
        <f t="shared" si="4"/>
        <v>0</v>
      </c>
      <c r="J213" s="27">
        <f t="shared" si="5"/>
        <v>45704</v>
      </c>
      <c r="K213" s="27">
        <f t="shared" si="6"/>
        <v>45731</v>
      </c>
    </row>
    <row r="214" hidden="1">
      <c r="A214" s="3" t="str">
        <f t="shared" si="3"/>
        <v>SL-20250217-FMC-CS-CDS-001-9</v>
      </c>
      <c r="B214" s="2">
        <f t="array" ref="B214">INDEX(helper!$A$3:$A3996,ROUNDUP((ROW()-1)/COUNTA(helper!$D$3:$D3996),0))</f>
        <v>45705</v>
      </c>
      <c r="C214" s="5" t="str">
        <f t="array" ref="C214">IF(B214="","",INDEX(helper!$D$3:$D3996,MOD(ROW()-2,COUNTA(helper!$D$3:$D3996))+1))</f>
        <v>FMC</v>
      </c>
      <c r="D214" s="3" t="str">
        <f t="array" ref="D214">IF(B214="","",INDEX(helper!$E$3:$E3996,MOD(ROW()-2,COUNTA(helper!$D$3:$D3996))+1))</f>
        <v>CS-CDS-001</v>
      </c>
      <c r="E214" s="3">
        <f t="array" ref="E214">IF(B214="","",INDEX(helper!$F$3:$F3996,MOD(ROW()-2,COUNTA(helper!$D$3:$D3996))+1))</f>
        <v>9</v>
      </c>
      <c r="F214" s="3">
        <f>IF(B214="","",SUMIFS('inventory ledger'!$H:$H,'inventory ledger'!$C:$C,C214,'inventory ledger'!$D:$D,D214,'inventory ledger'!$E:$E,E214,'inventory ledger'!$A:$A,"&lt;="&amp;B214+TIME(23,59,59))-SUMIFS('inventory ledger'!$I:$I,'inventory ledger'!$C:$C,C214,'inventory ledger'!$D:$D,D214,'inventory ledger'!$E:$E,E214,'inventory ledger'!$A:$A,"&lt;="&amp;B214+TIME(23,59,59)))</f>
        <v>0</v>
      </c>
      <c r="G214" s="3">
        <f>IFERROR(__xludf.DUMMYFUNCTION("IF(F214&lt;=0,0,IFERROR(ROUNDUP(F214/INDEX(FILTER('warehouse config'!$D:$D,('warehouse config'!$B:$B=C214)*('warehouse config'!$C:$C=D214)*('warehouse config'!$G:$G&lt;=B214)*(('warehouse config'!$H:$H&gt;=B214)+ISBLANK('warehouse config'!$H:$H))),1)),0))"),0.0)</f>
        <v>0</v>
      </c>
      <c r="H214" s="3">
        <f>IFERROR(__xludf.DUMMYFUNCTION("IFERROR(INDEX(FILTER('cost master'!$E:$E,('cost master'!$B:$B=C214)*('cost master'!$D:$D=""Storage cost per pallet / week"")*('cost master'!$G:$G&lt;=B214)*(('cost master'!$H:$H&gt;=B214)+ISBLANK('cost master'!$H:$H))),1),0)"),3.9)</f>
        <v>3.9</v>
      </c>
      <c r="I214" s="3">
        <f t="shared" si="4"/>
        <v>0</v>
      </c>
      <c r="J214" s="27">
        <f t="shared" si="5"/>
        <v>45704</v>
      </c>
      <c r="K214" s="27">
        <f t="shared" si="6"/>
        <v>45731</v>
      </c>
    </row>
    <row r="215" hidden="1">
      <c r="A215" s="3" t="str">
        <f t="shared" si="3"/>
        <v>SL-20250217-FMC-CS-CDS-002-9</v>
      </c>
      <c r="B215" s="2">
        <f t="array" ref="B215">INDEX(helper!$A$3:$A3996,ROUNDUP((ROW()-1)/COUNTA(helper!$D$3:$D3996),0))</f>
        <v>45705</v>
      </c>
      <c r="C215" s="5" t="str">
        <f t="array" ref="C215">IF(B215="","",INDEX(helper!$D$3:$D3996,MOD(ROW()-2,COUNTA(helper!$D$3:$D3996))+1))</f>
        <v>FMC</v>
      </c>
      <c r="D215" s="3" t="str">
        <f t="array" ref="D215">IF(B215="","",INDEX(helper!$E$3:$E3996,MOD(ROW()-2,COUNTA(helper!$D$3:$D3996))+1))</f>
        <v>CS-CDS-002</v>
      </c>
      <c r="E215" s="3">
        <f t="array" ref="E215">IF(B215="","",INDEX(helper!$F$3:$F3996,MOD(ROW()-2,COUNTA(helper!$D$3:$D3996))+1))</f>
        <v>9</v>
      </c>
      <c r="F215" s="3">
        <f>IF(B215="","",SUMIFS('inventory ledger'!$H:$H,'inventory ledger'!$C:$C,C215,'inventory ledger'!$D:$D,D215,'inventory ledger'!$E:$E,E215,'inventory ledger'!$A:$A,"&lt;="&amp;B215+TIME(23,59,59))-SUMIFS('inventory ledger'!$I:$I,'inventory ledger'!$C:$C,C215,'inventory ledger'!$D:$D,D215,'inventory ledger'!$E:$E,E215,'inventory ledger'!$A:$A,"&lt;="&amp;B215+TIME(23,59,59)))</f>
        <v>0</v>
      </c>
      <c r="G215" s="3">
        <f>IFERROR(__xludf.DUMMYFUNCTION("IF(F215&lt;=0,0,IFERROR(ROUNDUP(F215/INDEX(FILTER('warehouse config'!$D:$D,('warehouse config'!$B:$B=C215)*('warehouse config'!$C:$C=D215)*('warehouse config'!$G:$G&lt;=B215)*(('warehouse config'!$H:$H&gt;=B215)+ISBLANK('warehouse config'!$H:$H))),1)),0))"),0.0)</f>
        <v>0</v>
      </c>
      <c r="H215" s="3">
        <f>IFERROR(__xludf.DUMMYFUNCTION("IFERROR(INDEX(FILTER('cost master'!$E:$E,('cost master'!$B:$B=C215)*('cost master'!$D:$D=""Storage cost per pallet / week"")*('cost master'!$G:$G&lt;=B215)*(('cost master'!$H:$H&gt;=B215)+ISBLANK('cost master'!$H:$H))),1),0)"),3.9)</f>
        <v>3.9</v>
      </c>
      <c r="I215" s="3">
        <f t="shared" si="4"/>
        <v>0</v>
      </c>
      <c r="J215" s="27">
        <f t="shared" si="5"/>
        <v>45704</v>
      </c>
      <c r="K215" s="27">
        <f t="shared" si="6"/>
        <v>45731</v>
      </c>
    </row>
    <row r="216" hidden="1">
      <c r="A216" s="3" t="str">
        <f t="shared" si="3"/>
        <v>SL-20250217-FMC-CS 007-10</v>
      </c>
      <c r="B216" s="2">
        <f t="array" ref="B216">INDEX(helper!$A$3:$A3996,ROUNDUP((ROW()-1)/COUNTA(helper!$D$3:$D3996),0))</f>
        <v>45705</v>
      </c>
      <c r="C216" s="5" t="str">
        <f t="array" ref="C216">IF(B216="","",INDEX(helper!$D$3:$D3996,MOD(ROW()-2,COUNTA(helper!$D$3:$D3996))+1))</f>
        <v>FMC</v>
      </c>
      <c r="D216" s="3" t="str">
        <f t="array" ref="D216">IF(B216="","",INDEX(helper!$E$3:$E3996,MOD(ROW()-2,COUNTA(helper!$D$3:$D3996))+1))</f>
        <v>CS 007</v>
      </c>
      <c r="E216" s="3">
        <f t="array" ref="E216">IF(B216="","",INDEX(helper!$F$3:$F3996,MOD(ROW()-2,COUNTA(helper!$D$3:$D3996))+1))</f>
        <v>10</v>
      </c>
      <c r="F216" s="3">
        <f>IF(B216="","",SUMIFS('inventory ledger'!$H:$H,'inventory ledger'!$C:$C,C216,'inventory ledger'!$D:$D,D216,'inventory ledger'!$E:$E,E216,'inventory ledger'!$A:$A,"&lt;="&amp;B216+TIME(23,59,59))-SUMIFS('inventory ledger'!$I:$I,'inventory ledger'!$C:$C,C216,'inventory ledger'!$D:$D,D216,'inventory ledger'!$E:$E,E216,'inventory ledger'!$A:$A,"&lt;="&amp;B216+TIME(23,59,59)))</f>
        <v>0</v>
      </c>
      <c r="G216" s="3">
        <f>IFERROR(__xludf.DUMMYFUNCTION("IF(F216&lt;=0,0,IFERROR(ROUNDUP(F216/INDEX(FILTER('warehouse config'!$D:$D,('warehouse config'!$B:$B=C216)*('warehouse config'!$C:$C=D216)*('warehouse config'!$G:$G&lt;=B216)*(('warehouse config'!$H:$H&gt;=B216)+ISBLANK('warehouse config'!$H:$H))),1)),0))"),0.0)</f>
        <v>0</v>
      </c>
      <c r="H216" s="3">
        <f>IFERROR(__xludf.DUMMYFUNCTION("IFERROR(INDEX(FILTER('cost master'!$E:$E,('cost master'!$B:$B=C216)*('cost master'!$D:$D=""Storage cost per pallet / week"")*('cost master'!$G:$G&lt;=B216)*(('cost master'!$H:$H&gt;=B216)+ISBLANK('cost master'!$H:$H))),1),0)"),3.9)</f>
        <v>3.9</v>
      </c>
      <c r="I216" s="3">
        <f t="shared" si="4"/>
        <v>0</v>
      </c>
      <c r="J216" s="27">
        <f t="shared" si="5"/>
        <v>45704</v>
      </c>
      <c r="K216" s="27">
        <f t="shared" si="6"/>
        <v>45731</v>
      </c>
    </row>
    <row r="217" hidden="1">
      <c r="A217" s="3" t="str">
        <f t="shared" si="3"/>
        <v>SL-20250217-FMC-CS 009-10</v>
      </c>
      <c r="B217" s="2">
        <f t="array" ref="B217">INDEX(helper!$A$3:$A3996,ROUNDUP((ROW()-1)/COUNTA(helper!$D$3:$D3996),0))</f>
        <v>45705</v>
      </c>
      <c r="C217" s="5" t="str">
        <f t="array" ref="C217">IF(B217="","",INDEX(helper!$D$3:$D3996,MOD(ROW()-2,COUNTA(helper!$D$3:$D3996))+1))</f>
        <v>FMC</v>
      </c>
      <c r="D217" s="3" t="str">
        <f t="array" ref="D217">IF(B217="","",INDEX(helper!$E$3:$E3996,MOD(ROW()-2,COUNTA(helper!$D$3:$D3996))+1))</f>
        <v>CS 009</v>
      </c>
      <c r="E217" s="3">
        <f t="array" ref="E217">IF(B217="","",INDEX(helper!$F$3:$F3996,MOD(ROW()-2,COUNTA(helper!$D$3:$D3996))+1))</f>
        <v>10</v>
      </c>
      <c r="F217" s="3">
        <f>IF(B217="","",SUMIFS('inventory ledger'!$H:$H,'inventory ledger'!$C:$C,C217,'inventory ledger'!$D:$D,D217,'inventory ledger'!$E:$E,E217,'inventory ledger'!$A:$A,"&lt;="&amp;B217+TIME(23,59,59))-SUMIFS('inventory ledger'!$I:$I,'inventory ledger'!$C:$C,C217,'inventory ledger'!$D:$D,D217,'inventory ledger'!$E:$E,E217,'inventory ledger'!$A:$A,"&lt;="&amp;B217+TIME(23,59,59)))</f>
        <v>0</v>
      </c>
      <c r="G217" s="3">
        <f>IFERROR(__xludf.DUMMYFUNCTION("IF(F217&lt;=0,0,IFERROR(ROUNDUP(F217/INDEX(FILTER('warehouse config'!$D:$D,('warehouse config'!$B:$B=C217)*('warehouse config'!$C:$C=D217)*('warehouse config'!$G:$G&lt;=B217)*(('warehouse config'!$H:$H&gt;=B217)+ISBLANK('warehouse config'!$H:$H))),1)),0))"),0.0)</f>
        <v>0</v>
      </c>
      <c r="H217" s="3">
        <f>IFERROR(__xludf.DUMMYFUNCTION("IFERROR(INDEX(FILTER('cost master'!$E:$E,('cost master'!$B:$B=C217)*('cost master'!$D:$D=""Storage cost per pallet / week"")*('cost master'!$G:$G&lt;=B217)*(('cost master'!$H:$H&gt;=B217)+ISBLANK('cost master'!$H:$H))),1),0)"),3.9)</f>
        <v>3.9</v>
      </c>
      <c r="I217" s="3">
        <f t="shared" si="4"/>
        <v>0</v>
      </c>
      <c r="J217" s="27">
        <f t="shared" si="5"/>
        <v>45704</v>
      </c>
      <c r="K217" s="27">
        <f t="shared" si="6"/>
        <v>45731</v>
      </c>
    </row>
    <row r="218" hidden="1">
      <c r="A218" s="3" t="str">
        <f t="shared" si="3"/>
        <v>SL-20250217-FMC-CS 010-10</v>
      </c>
      <c r="B218" s="2">
        <f t="array" ref="B218">INDEX(helper!$A$3:$A3996,ROUNDUP((ROW()-1)/COUNTA(helper!$D$3:$D3996),0))</f>
        <v>45705</v>
      </c>
      <c r="C218" s="5" t="str">
        <f t="array" ref="C218">IF(B218="","",INDEX(helper!$D$3:$D3996,MOD(ROW()-2,COUNTA(helper!$D$3:$D3996))+1))</f>
        <v>FMC</v>
      </c>
      <c r="D218" s="3" t="str">
        <f t="array" ref="D218">IF(B218="","",INDEX(helper!$E$3:$E3996,MOD(ROW()-2,COUNTA(helper!$D$3:$D3996))+1))</f>
        <v>CS 010</v>
      </c>
      <c r="E218" s="3">
        <f t="array" ref="E218">IF(B218="","",INDEX(helper!$F$3:$F3996,MOD(ROW()-2,COUNTA(helper!$D$3:$D3996))+1))</f>
        <v>10</v>
      </c>
      <c r="F218" s="3">
        <f>IF(B218="","",SUMIFS('inventory ledger'!$H:$H,'inventory ledger'!$C:$C,C218,'inventory ledger'!$D:$D,D218,'inventory ledger'!$E:$E,E218,'inventory ledger'!$A:$A,"&lt;="&amp;B218+TIME(23,59,59))-SUMIFS('inventory ledger'!$I:$I,'inventory ledger'!$C:$C,C218,'inventory ledger'!$D:$D,D218,'inventory ledger'!$E:$E,E218,'inventory ledger'!$A:$A,"&lt;="&amp;B218+TIME(23,59,59)))</f>
        <v>26</v>
      </c>
      <c r="G218" s="3">
        <f>IFERROR(__xludf.DUMMYFUNCTION("IF(F218&lt;=0,0,IFERROR(ROUNDUP(F218/INDEX(FILTER('warehouse config'!$D:$D,('warehouse config'!$B:$B=C218)*('warehouse config'!$C:$C=D218)*('warehouse config'!$G:$G&lt;=B218)*(('warehouse config'!$H:$H&gt;=B218)+ISBLANK('warehouse config'!$H:$H))),1)),0))"),1.0)</f>
        <v>1</v>
      </c>
      <c r="H218" s="3">
        <f>IFERROR(__xludf.DUMMYFUNCTION("IFERROR(INDEX(FILTER('cost master'!$E:$E,('cost master'!$B:$B=C218)*('cost master'!$D:$D=""Storage cost per pallet / week"")*('cost master'!$G:$G&lt;=B218)*(('cost master'!$H:$H&gt;=B218)+ISBLANK('cost master'!$H:$H))),1),0)"),3.9)</f>
        <v>3.9</v>
      </c>
      <c r="I218" s="3">
        <f t="shared" si="4"/>
        <v>3.9</v>
      </c>
      <c r="J218" s="27">
        <f t="shared" si="5"/>
        <v>45704</v>
      </c>
      <c r="K218" s="27">
        <f t="shared" si="6"/>
        <v>45731</v>
      </c>
    </row>
    <row r="219" hidden="1">
      <c r="A219" s="3" t="str">
        <f t="shared" si="3"/>
        <v>SL-20250217-FMC-CS-CDS-001-10</v>
      </c>
      <c r="B219" s="2">
        <f t="array" ref="B219">INDEX(helper!$A$3:$A3996,ROUNDUP((ROW()-1)/COUNTA(helper!$D$3:$D3996),0))</f>
        <v>45705</v>
      </c>
      <c r="C219" s="5" t="str">
        <f t="array" ref="C219">IF(B219="","",INDEX(helper!$D$3:$D3996,MOD(ROW()-2,COUNTA(helper!$D$3:$D3996))+1))</f>
        <v>FMC</v>
      </c>
      <c r="D219" s="3" t="str">
        <f t="array" ref="D219">IF(B219="","",INDEX(helper!$E$3:$E3996,MOD(ROW()-2,COUNTA(helper!$D$3:$D3996))+1))</f>
        <v>CS-CDS-001</v>
      </c>
      <c r="E219" s="3">
        <f t="array" ref="E219">IF(B219="","",INDEX(helper!$F$3:$F3996,MOD(ROW()-2,COUNTA(helper!$D$3:$D3996))+1))</f>
        <v>10</v>
      </c>
      <c r="F219" s="3">
        <f>IF(B219="","",SUMIFS('inventory ledger'!$H:$H,'inventory ledger'!$C:$C,C219,'inventory ledger'!$D:$D,D219,'inventory ledger'!$E:$E,E219,'inventory ledger'!$A:$A,"&lt;="&amp;B219+TIME(23,59,59))-SUMIFS('inventory ledger'!$I:$I,'inventory ledger'!$C:$C,C219,'inventory ledger'!$D:$D,D219,'inventory ledger'!$E:$E,E219,'inventory ledger'!$A:$A,"&lt;="&amp;B219+TIME(23,59,59)))</f>
        <v>0</v>
      </c>
      <c r="G219" s="3">
        <f>IFERROR(__xludf.DUMMYFUNCTION("IF(F219&lt;=0,0,IFERROR(ROUNDUP(F219/INDEX(FILTER('warehouse config'!$D:$D,('warehouse config'!$B:$B=C219)*('warehouse config'!$C:$C=D219)*('warehouse config'!$G:$G&lt;=B219)*(('warehouse config'!$H:$H&gt;=B219)+ISBLANK('warehouse config'!$H:$H))),1)),0))"),0.0)</f>
        <v>0</v>
      </c>
      <c r="H219" s="3">
        <f>IFERROR(__xludf.DUMMYFUNCTION("IFERROR(INDEX(FILTER('cost master'!$E:$E,('cost master'!$B:$B=C219)*('cost master'!$D:$D=""Storage cost per pallet / week"")*('cost master'!$G:$G&lt;=B219)*(('cost master'!$H:$H&gt;=B219)+ISBLANK('cost master'!$H:$H))),1),0)"),3.9)</f>
        <v>3.9</v>
      </c>
      <c r="I219" s="3">
        <f t="shared" si="4"/>
        <v>0</v>
      </c>
      <c r="J219" s="27">
        <f t="shared" si="5"/>
        <v>45704</v>
      </c>
      <c r="K219" s="27">
        <f t="shared" si="6"/>
        <v>45731</v>
      </c>
    </row>
    <row r="220" hidden="1">
      <c r="A220" s="3" t="str">
        <f t="shared" si="3"/>
        <v>SL-20250217-FMC-CS 007-11</v>
      </c>
      <c r="B220" s="2">
        <f t="array" ref="B220">INDEX(helper!$A$3:$A3996,ROUNDUP((ROW()-1)/COUNTA(helper!$D$3:$D3996),0))</f>
        <v>45705</v>
      </c>
      <c r="C220" s="5" t="str">
        <f t="array" ref="C220">IF(B220="","",INDEX(helper!$D$3:$D3996,MOD(ROW()-2,COUNTA(helper!$D$3:$D3996))+1))</f>
        <v>FMC</v>
      </c>
      <c r="D220" s="3" t="str">
        <f t="array" ref="D220">IF(B220="","",INDEX(helper!$E$3:$E3996,MOD(ROW()-2,COUNTA(helper!$D$3:$D3996))+1))</f>
        <v>CS 007</v>
      </c>
      <c r="E220" s="3">
        <f t="array" ref="E220">IF(B220="","",INDEX(helper!$F$3:$F3996,MOD(ROW()-2,COUNTA(helper!$D$3:$D3996))+1))</f>
        <v>11</v>
      </c>
      <c r="F220" s="3">
        <f>IF(B220="","",SUMIFS('inventory ledger'!$H:$H,'inventory ledger'!$C:$C,C220,'inventory ledger'!$D:$D,D220,'inventory ledger'!$E:$E,E220,'inventory ledger'!$A:$A,"&lt;="&amp;B220+TIME(23,59,59))-SUMIFS('inventory ledger'!$I:$I,'inventory ledger'!$C:$C,C220,'inventory ledger'!$D:$D,D220,'inventory ledger'!$E:$E,E220,'inventory ledger'!$A:$A,"&lt;="&amp;B220+TIME(23,59,59)))</f>
        <v>0</v>
      </c>
      <c r="G220" s="3">
        <f>IFERROR(__xludf.DUMMYFUNCTION("IF(F220&lt;=0,0,IFERROR(ROUNDUP(F220/INDEX(FILTER('warehouse config'!$D:$D,('warehouse config'!$B:$B=C220)*('warehouse config'!$C:$C=D220)*('warehouse config'!$G:$G&lt;=B220)*(('warehouse config'!$H:$H&gt;=B220)+ISBLANK('warehouse config'!$H:$H))),1)),0))"),0.0)</f>
        <v>0</v>
      </c>
      <c r="H220" s="3">
        <f>IFERROR(__xludf.DUMMYFUNCTION("IFERROR(INDEX(FILTER('cost master'!$E:$E,('cost master'!$B:$B=C220)*('cost master'!$D:$D=""Storage cost per pallet / week"")*('cost master'!$G:$G&lt;=B220)*(('cost master'!$H:$H&gt;=B220)+ISBLANK('cost master'!$H:$H))),1),0)"),3.9)</f>
        <v>3.9</v>
      </c>
      <c r="I220" s="3">
        <f t="shared" si="4"/>
        <v>0</v>
      </c>
      <c r="J220" s="27">
        <f t="shared" si="5"/>
        <v>45704</v>
      </c>
      <c r="K220" s="27">
        <f t="shared" si="6"/>
        <v>45731</v>
      </c>
    </row>
    <row r="221" hidden="1">
      <c r="A221" s="3" t="str">
        <f t="shared" si="3"/>
        <v>SL-20250217-FMC-CS 009-11</v>
      </c>
      <c r="B221" s="2">
        <f t="array" ref="B221">INDEX(helper!$A$3:$A3996,ROUNDUP((ROW()-1)/COUNTA(helper!$D$3:$D3996),0))</f>
        <v>45705</v>
      </c>
      <c r="C221" s="5" t="str">
        <f t="array" ref="C221">IF(B221="","",INDEX(helper!$D$3:$D3996,MOD(ROW()-2,COUNTA(helper!$D$3:$D3996))+1))</f>
        <v>FMC</v>
      </c>
      <c r="D221" s="3" t="str">
        <f t="array" ref="D221">IF(B221="","",INDEX(helper!$E$3:$E3996,MOD(ROW()-2,COUNTA(helper!$D$3:$D3996))+1))</f>
        <v>CS 009</v>
      </c>
      <c r="E221" s="3">
        <f t="array" ref="E221">IF(B221="","",INDEX(helper!$F$3:$F3996,MOD(ROW()-2,COUNTA(helper!$D$3:$D3996))+1))</f>
        <v>11</v>
      </c>
      <c r="F221" s="3">
        <f>IF(B221="","",SUMIFS('inventory ledger'!$H:$H,'inventory ledger'!$C:$C,C221,'inventory ledger'!$D:$D,D221,'inventory ledger'!$E:$E,E221,'inventory ledger'!$A:$A,"&lt;="&amp;B221+TIME(23,59,59))-SUMIFS('inventory ledger'!$I:$I,'inventory ledger'!$C:$C,C221,'inventory ledger'!$D:$D,D221,'inventory ledger'!$E:$E,E221,'inventory ledger'!$A:$A,"&lt;="&amp;B221+TIME(23,59,59)))</f>
        <v>0</v>
      </c>
      <c r="G221" s="3">
        <f>IFERROR(__xludf.DUMMYFUNCTION("IF(F221&lt;=0,0,IFERROR(ROUNDUP(F221/INDEX(FILTER('warehouse config'!$D:$D,('warehouse config'!$B:$B=C221)*('warehouse config'!$C:$C=D221)*('warehouse config'!$G:$G&lt;=B221)*(('warehouse config'!$H:$H&gt;=B221)+ISBLANK('warehouse config'!$H:$H))),1)),0))"),0.0)</f>
        <v>0</v>
      </c>
      <c r="H221" s="3">
        <f>IFERROR(__xludf.DUMMYFUNCTION("IFERROR(INDEX(FILTER('cost master'!$E:$E,('cost master'!$B:$B=C221)*('cost master'!$D:$D=""Storage cost per pallet / week"")*('cost master'!$G:$G&lt;=B221)*(('cost master'!$H:$H&gt;=B221)+ISBLANK('cost master'!$H:$H))),1),0)"),3.9)</f>
        <v>3.9</v>
      </c>
      <c r="I221" s="3">
        <f t="shared" si="4"/>
        <v>0</v>
      </c>
      <c r="J221" s="27">
        <f t="shared" si="5"/>
        <v>45704</v>
      </c>
      <c r="K221" s="27">
        <f t="shared" si="6"/>
        <v>45731</v>
      </c>
    </row>
    <row r="222" hidden="1">
      <c r="A222" s="3" t="str">
        <f t="shared" si="3"/>
        <v>SL-20250217-FMC-CS 010-11</v>
      </c>
      <c r="B222" s="2">
        <f t="array" ref="B222">INDEX(helper!$A$3:$A3996,ROUNDUP((ROW()-1)/COUNTA(helper!$D$3:$D3996),0))</f>
        <v>45705</v>
      </c>
      <c r="C222" s="5" t="str">
        <f t="array" ref="C222">IF(B222="","",INDEX(helper!$D$3:$D3996,MOD(ROW()-2,COUNTA(helper!$D$3:$D3996))+1))</f>
        <v>FMC</v>
      </c>
      <c r="D222" s="3" t="str">
        <f t="array" ref="D222">IF(B222="","",INDEX(helper!$E$3:$E3996,MOD(ROW()-2,COUNTA(helper!$D$3:$D3996))+1))</f>
        <v>CS 010</v>
      </c>
      <c r="E222" s="3">
        <f t="array" ref="E222">IF(B222="","",INDEX(helper!$F$3:$F3996,MOD(ROW()-2,COUNTA(helper!$D$3:$D3996))+1))</f>
        <v>11</v>
      </c>
      <c r="F222" s="3">
        <f>IF(B222="","",SUMIFS('inventory ledger'!$H:$H,'inventory ledger'!$C:$C,C222,'inventory ledger'!$D:$D,D222,'inventory ledger'!$E:$E,E222,'inventory ledger'!$A:$A,"&lt;="&amp;B222+TIME(23,59,59))-SUMIFS('inventory ledger'!$I:$I,'inventory ledger'!$C:$C,C222,'inventory ledger'!$D:$D,D222,'inventory ledger'!$E:$E,E222,'inventory ledger'!$A:$A,"&lt;="&amp;B222+TIME(23,59,59)))</f>
        <v>46</v>
      </c>
      <c r="G222" s="3">
        <f>IFERROR(__xludf.DUMMYFUNCTION("IF(F222&lt;=0,0,IFERROR(ROUNDUP(F222/INDEX(FILTER('warehouse config'!$D:$D,('warehouse config'!$B:$B=C222)*('warehouse config'!$C:$C=D222)*('warehouse config'!$G:$G&lt;=B222)*(('warehouse config'!$H:$H&gt;=B222)+ISBLANK('warehouse config'!$H:$H))),1)),0))"),2.0)</f>
        <v>2</v>
      </c>
      <c r="H222" s="3">
        <f>IFERROR(__xludf.DUMMYFUNCTION("IFERROR(INDEX(FILTER('cost master'!$E:$E,('cost master'!$B:$B=C222)*('cost master'!$D:$D=""Storage cost per pallet / week"")*('cost master'!$G:$G&lt;=B222)*(('cost master'!$H:$H&gt;=B222)+ISBLANK('cost master'!$H:$H))),1),0)"),3.9)</f>
        <v>3.9</v>
      </c>
      <c r="I222" s="3">
        <f t="shared" si="4"/>
        <v>7.8</v>
      </c>
      <c r="J222" s="27">
        <f t="shared" si="5"/>
        <v>45704</v>
      </c>
      <c r="K222" s="27">
        <f t="shared" si="6"/>
        <v>45731</v>
      </c>
    </row>
    <row r="223" hidden="1">
      <c r="A223" s="3" t="str">
        <f t="shared" si="3"/>
        <v>SL-20250217-Vglobal-CS 007-12</v>
      </c>
      <c r="B223" s="2">
        <f t="array" ref="B223">INDEX(helper!$A$3:$A3996,ROUNDUP((ROW()-1)/COUNTA(helper!$D$3:$D3996),0))</f>
        <v>45705</v>
      </c>
      <c r="C223" s="5" t="str">
        <f t="array" ref="C223">IF(B223="","",INDEX(helper!$D$3:$D3996,MOD(ROW()-2,COUNTA(helper!$D$3:$D3996))+1))</f>
        <v>Vglobal</v>
      </c>
      <c r="D223" s="3" t="str">
        <f t="array" ref="D223">IF(B223="","",INDEX(helper!$E$3:$E3996,MOD(ROW()-2,COUNTA(helper!$D$3:$D3996))+1))</f>
        <v>CS 007</v>
      </c>
      <c r="E223" s="3">
        <f t="array" ref="E223">IF(B223="","",INDEX(helper!$F$3:$F3996,MOD(ROW()-2,COUNTA(helper!$D$3:$D3996))+1))</f>
        <v>12</v>
      </c>
      <c r="F223" s="3">
        <f>IF(B223="","",SUMIFS('inventory ledger'!$H:$H,'inventory ledger'!$C:$C,C223,'inventory ledger'!$D:$D,D223,'inventory ledger'!$E:$E,E223,'inventory ledger'!$A:$A,"&lt;="&amp;B223+TIME(23,59,59))-SUMIFS('inventory ledger'!$I:$I,'inventory ledger'!$C:$C,C223,'inventory ledger'!$D:$D,D223,'inventory ledger'!$E:$E,E223,'inventory ledger'!$A:$A,"&lt;="&amp;B223+TIME(23,59,59)))</f>
        <v>174</v>
      </c>
      <c r="G223" s="3">
        <f>IFERROR(__xludf.DUMMYFUNCTION("IF(F223&lt;=0,0,IFERROR(ROUNDUP(F223/INDEX(FILTER('warehouse config'!$D:$D,('warehouse config'!$B:$B=C223)*('warehouse config'!$C:$C=D223)*('warehouse config'!$G:$G&lt;=B223)*(('warehouse config'!$H:$H&gt;=B223)+ISBLANK('warehouse config'!$H:$H))),1)),0))"),11.0)</f>
        <v>11</v>
      </c>
      <c r="H223" s="3">
        <f>IFERROR(__xludf.DUMMYFUNCTION("IFERROR(INDEX(FILTER('cost master'!$E:$E,('cost master'!$B:$B=C223)*('cost master'!$D:$D=""Storage cost per pallet / week"")*('cost master'!$G:$G&lt;=B223)*(('cost master'!$H:$H&gt;=B223)+ISBLANK('cost master'!$H:$H))),1),0)"),2.6)</f>
        <v>2.6</v>
      </c>
      <c r="I223" s="3">
        <f t="shared" si="4"/>
        <v>28.6</v>
      </c>
      <c r="J223" s="27">
        <f t="shared" si="5"/>
        <v>45704</v>
      </c>
      <c r="K223" s="27">
        <f t="shared" si="6"/>
        <v>45731</v>
      </c>
    </row>
    <row r="224" hidden="1">
      <c r="A224" s="3" t="str">
        <f t="shared" si="3"/>
        <v>SL-20250217-Vglobal-CS 011-12</v>
      </c>
      <c r="B224" s="2">
        <f t="array" ref="B224">INDEX(helper!$A$3:$A3996,ROUNDUP((ROW()-1)/COUNTA(helper!$D$3:$D3996),0))</f>
        <v>45705</v>
      </c>
      <c r="C224" s="5" t="str">
        <f t="array" ref="C224">IF(B224="","",INDEX(helper!$D$3:$D3996,MOD(ROW()-2,COUNTA(helper!$D$3:$D3996))+1))</f>
        <v>Vglobal</v>
      </c>
      <c r="D224" s="3" t="str">
        <f t="array" ref="D224">IF(B224="","",INDEX(helper!$E$3:$E3996,MOD(ROW()-2,COUNTA(helper!$D$3:$D3996))+1))</f>
        <v>CS 011</v>
      </c>
      <c r="E224" s="3">
        <f t="array" ref="E224">IF(B224="","",INDEX(helper!$F$3:$F3996,MOD(ROW()-2,COUNTA(helper!$D$3:$D3996))+1))</f>
        <v>12</v>
      </c>
      <c r="F224" s="3">
        <f>IF(B224="","",SUMIFS('inventory ledger'!$H:$H,'inventory ledger'!$C:$C,C224,'inventory ledger'!$D:$D,D224,'inventory ledger'!$E:$E,E224,'inventory ledger'!$A:$A,"&lt;="&amp;B224+TIME(23,59,59))-SUMIFS('inventory ledger'!$I:$I,'inventory ledger'!$C:$C,C224,'inventory ledger'!$D:$D,D224,'inventory ledger'!$E:$E,E224,'inventory ledger'!$A:$A,"&lt;="&amp;B224+TIME(23,59,59)))</f>
        <v>9</v>
      </c>
      <c r="G224" s="3">
        <f>IFERROR(__xludf.DUMMYFUNCTION("IF(F224&lt;=0,0,IFERROR(ROUNDUP(F224/INDEX(FILTER('warehouse config'!$D:$D,('warehouse config'!$B:$B=C224)*('warehouse config'!$C:$C=D224)*('warehouse config'!$G:$G&lt;=B224)*(('warehouse config'!$H:$H&gt;=B224)+ISBLANK('warehouse config'!$H:$H))),1)),0))"),1.0)</f>
        <v>1</v>
      </c>
      <c r="H224" s="3">
        <f>IFERROR(__xludf.DUMMYFUNCTION("IFERROR(INDEX(FILTER('cost master'!$E:$E,('cost master'!$B:$B=C224)*('cost master'!$D:$D=""Storage cost per pallet / week"")*('cost master'!$G:$G&lt;=B224)*(('cost master'!$H:$H&gt;=B224)+ISBLANK('cost master'!$H:$H))),1),0)"),2.6)</f>
        <v>2.6</v>
      </c>
      <c r="I224" s="3">
        <f t="shared" si="4"/>
        <v>2.6</v>
      </c>
      <c r="J224" s="27">
        <f t="shared" si="5"/>
        <v>45704</v>
      </c>
      <c r="K224" s="27">
        <f t="shared" si="6"/>
        <v>45731</v>
      </c>
    </row>
    <row r="225" hidden="1">
      <c r="A225" s="3" t="str">
        <f t="shared" si="3"/>
        <v>SL-20250217-Vglobal-CS 008-12</v>
      </c>
      <c r="B225" s="2">
        <f t="array" ref="B225">INDEX(helper!$A$3:$A3996,ROUNDUP((ROW()-1)/COUNTA(helper!$D$3:$D3996),0))</f>
        <v>45705</v>
      </c>
      <c r="C225" s="5" t="str">
        <f t="array" ref="C225">IF(B225="","",INDEX(helper!$D$3:$D3996,MOD(ROW()-2,COUNTA(helper!$D$3:$D3996))+1))</f>
        <v>Vglobal</v>
      </c>
      <c r="D225" s="3" t="str">
        <f t="array" ref="D225">IF(B225="","",INDEX(helper!$E$3:$E3996,MOD(ROW()-2,COUNTA(helper!$D$3:$D3996))+1))</f>
        <v>CS 008</v>
      </c>
      <c r="E225" s="3">
        <f t="array" ref="E225">IF(B225="","",INDEX(helper!$F$3:$F3996,MOD(ROW()-2,COUNTA(helper!$D$3:$D3996))+1))</f>
        <v>12</v>
      </c>
      <c r="F225" s="3">
        <f>IF(B225="","",SUMIFS('inventory ledger'!$H:$H,'inventory ledger'!$C:$C,C225,'inventory ledger'!$D:$D,D225,'inventory ledger'!$E:$E,E225,'inventory ledger'!$A:$A,"&lt;="&amp;B225+TIME(23,59,59))-SUMIFS('inventory ledger'!$I:$I,'inventory ledger'!$C:$C,C225,'inventory ledger'!$D:$D,D225,'inventory ledger'!$E:$E,E225,'inventory ledger'!$A:$A,"&lt;="&amp;B225+TIME(23,59,59)))</f>
        <v>15</v>
      </c>
      <c r="G225" s="3">
        <f>IFERROR(__xludf.DUMMYFUNCTION("IF(F225&lt;=0,0,IFERROR(ROUNDUP(F225/INDEX(FILTER('warehouse config'!$D:$D,('warehouse config'!$B:$B=C225)*('warehouse config'!$C:$C=D225)*('warehouse config'!$G:$G&lt;=B225)*(('warehouse config'!$H:$H&gt;=B225)+ISBLANK('warehouse config'!$H:$H))),1)),0))"),1.0)</f>
        <v>1</v>
      </c>
      <c r="H225" s="3">
        <f>IFERROR(__xludf.DUMMYFUNCTION("IFERROR(INDEX(FILTER('cost master'!$E:$E,('cost master'!$B:$B=C225)*('cost master'!$D:$D=""Storage cost per pallet / week"")*('cost master'!$G:$G&lt;=B225)*(('cost master'!$H:$H&gt;=B225)+ISBLANK('cost master'!$H:$H))),1),0)"),2.6)</f>
        <v>2.6</v>
      </c>
      <c r="I225" s="3">
        <f t="shared" si="4"/>
        <v>2.6</v>
      </c>
      <c r="J225" s="27">
        <f t="shared" si="5"/>
        <v>45704</v>
      </c>
      <c r="K225" s="27">
        <f t="shared" si="6"/>
        <v>45731</v>
      </c>
    </row>
    <row r="226" hidden="1">
      <c r="A226" s="3" t="str">
        <f t="shared" si="3"/>
        <v>SL-20250217-Vglobal-CS 010-12</v>
      </c>
      <c r="B226" s="2">
        <f t="array" ref="B226">INDEX(helper!$A$3:$A3996,ROUNDUP((ROW()-1)/COUNTA(helper!$D$3:$D3996),0))</f>
        <v>45705</v>
      </c>
      <c r="C226" s="5" t="str">
        <f t="array" ref="C226">IF(B226="","",INDEX(helper!$D$3:$D3996,MOD(ROW()-2,COUNTA(helper!$D$3:$D3996))+1))</f>
        <v>Vglobal</v>
      </c>
      <c r="D226" s="3" t="str">
        <f t="array" ref="D226">IF(B226="","",INDEX(helper!$E$3:$E3996,MOD(ROW()-2,COUNTA(helper!$D$3:$D3996))+1))</f>
        <v>CS 010</v>
      </c>
      <c r="E226" s="3">
        <f t="array" ref="E226">IF(B226="","",INDEX(helper!$F$3:$F3996,MOD(ROW()-2,COUNTA(helper!$D$3:$D3996))+1))</f>
        <v>12</v>
      </c>
      <c r="F226" s="3">
        <f>IF(B226="","",SUMIFS('inventory ledger'!$H:$H,'inventory ledger'!$C:$C,C226,'inventory ledger'!$D:$D,D226,'inventory ledger'!$E:$E,E226,'inventory ledger'!$A:$A,"&lt;="&amp;B226+TIME(23,59,59))-SUMIFS('inventory ledger'!$I:$I,'inventory ledger'!$C:$C,C226,'inventory ledger'!$D:$D,D226,'inventory ledger'!$E:$E,E226,'inventory ledger'!$A:$A,"&lt;="&amp;B226+TIME(23,59,59)))</f>
        <v>80</v>
      </c>
      <c r="G226" s="3">
        <f>IFERROR(__xludf.DUMMYFUNCTION("IF(F226&lt;=0,0,IFERROR(ROUNDUP(F226/INDEX(FILTER('warehouse config'!$D:$D,('warehouse config'!$B:$B=C226)*('warehouse config'!$C:$C=D226)*('warehouse config'!$G:$G&lt;=B226)*(('warehouse config'!$H:$H&gt;=B226)+ISBLANK('warehouse config'!$H:$H))),1)),0))"),4.0)</f>
        <v>4</v>
      </c>
      <c r="H226" s="3">
        <f>IFERROR(__xludf.DUMMYFUNCTION("IFERROR(INDEX(FILTER('cost master'!$E:$E,('cost master'!$B:$B=C226)*('cost master'!$D:$D=""Storage cost per pallet / week"")*('cost master'!$G:$G&lt;=B226)*(('cost master'!$H:$H&gt;=B226)+ISBLANK('cost master'!$H:$H))),1),0)"),2.6)</f>
        <v>2.6</v>
      </c>
      <c r="I226" s="3">
        <f t="shared" si="4"/>
        <v>10.4</v>
      </c>
      <c r="J226" s="27">
        <f t="shared" si="5"/>
        <v>45704</v>
      </c>
      <c r="K226" s="27">
        <f t="shared" si="6"/>
        <v>45731</v>
      </c>
    </row>
    <row r="227" hidden="1">
      <c r="A227" s="3" t="str">
        <f t="shared" si="3"/>
        <v>SL-20250217-Vglobal-CS 009-12</v>
      </c>
      <c r="B227" s="2">
        <f t="array" ref="B227">INDEX(helper!$A$3:$A3996,ROUNDUP((ROW()-1)/COUNTA(helper!$D$3:$D3996),0))</f>
        <v>45705</v>
      </c>
      <c r="C227" s="5" t="str">
        <f t="array" ref="C227">IF(B227="","",INDEX(helper!$D$3:$D3996,MOD(ROW()-2,COUNTA(helper!$D$3:$D3996))+1))</f>
        <v>Vglobal</v>
      </c>
      <c r="D227" s="3" t="str">
        <f t="array" ref="D227">IF(B227="","",INDEX(helper!$E$3:$E3996,MOD(ROW()-2,COUNTA(helper!$D$3:$D3996))+1))</f>
        <v>CS 009</v>
      </c>
      <c r="E227" s="3">
        <f t="array" ref="E227">IF(B227="","",INDEX(helper!$F$3:$F3996,MOD(ROW()-2,COUNTA(helper!$D$3:$D3996))+1))</f>
        <v>12</v>
      </c>
      <c r="F227" s="3">
        <f>IF(B227="","",SUMIFS('inventory ledger'!$H:$H,'inventory ledger'!$C:$C,C227,'inventory ledger'!$D:$D,D227,'inventory ledger'!$E:$E,E227,'inventory ledger'!$A:$A,"&lt;="&amp;B227+TIME(23,59,59))-SUMIFS('inventory ledger'!$I:$I,'inventory ledger'!$C:$C,C227,'inventory ledger'!$D:$D,D227,'inventory ledger'!$E:$E,E227,'inventory ledger'!$A:$A,"&lt;="&amp;B227+TIME(23,59,59)))</f>
        <v>0</v>
      </c>
      <c r="G227" s="3">
        <f>IFERROR(__xludf.DUMMYFUNCTION("IF(F227&lt;=0,0,IFERROR(ROUNDUP(F227/INDEX(FILTER('warehouse config'!$D:$D,('warehouse config'!$B:$B=C227)*('warehouse config'!$C:$C=D227)*('warehouse config'!$G:$G&lt;=B227)*(('warehouse config'!$H:$H&gt;=B227)+ISBLANK('warehouse config'!$H:$H))),1)),0))"),0.0)</f>
        <v>0</v>
      </c>
      <c r="H227" s="3">
        <f>IFERROR(__xludf.DUMMYFUNCTION("IFERROR(INDEX(FILTER('cost master'!$E:$E,('cost master'!$B:$B=C227)*('cost master'!$D:$D=""Storage cost per pallet / week"")*('cost master'!$G:$G&lt;=B227)*(('cost master'!$H:$H&gt;=B227)+ISBLANK('cost master'!$H:$H))),1),0)"),2.6)</f>
        <v>2.6</v>
      </c>
      <c r="I227" s="3">
        <f t="shared" si="4"/>
        <v>0</v>
      </c>
      <c r="J227" s="27">
        <f t="shared" si="5"/>
        <v>45704</v>
      </c>
      <c r="K227" s="27">
        <f t="shared" si="6"/>
        <v>45731</v>
      </c>
    </row>
    <row r="228" hidden="1">
      <c r="A228" s="3" t="str">
        <f t="shared" si="3"/>
        <v>SL-20250217-Vglobal-CS 012-12</v>
      </c>
      <c r="B228" s="2">
        <f t="array" ref="B228">INDEX(helper!$A$3:$A3996,ROUNDUP((ROW()-1)/COUNTA(helper!$D$3:$D3996),0))</f>
        <v>45705</v>
      </c>
      <c r="C228" s="5" t="str">
        <f t="array" ref="C228">IF(B228="","",INDEX(helper!$D$3:$D3996,MOD(ROW()-2,COUNTA(helper!$D$3:$D3996))+1))</f>
        <v>Vglobal</v>
      </c>
      <c r="D228" s="3" t="str">
        <f t="array" ref="D228">IF(B228="","",INDEX(helper!$E$3:$E3996,MOD(ROW()-2,COUNTA(helper!$D$3:$D3996))+1))</f>
        <v>CS 012</v>
      </c>
      <c r="E228" s="3">
        <f t="array" ref="E228">IF(B228="","",INDEX(helper!$F$3:$F3996,MOD(ROW()-2,COUNTA(helper!$D$3:$D3996))+1))</f>
        <v>12</v>
      </c>
      <c r="F228" s="3">
        <f>IF(B228="","",SUMIFS('inventory ledger'!$H:$H,'inventory ledger'!$C:$C,C228,'inventory ledger'!$D:$D,D228,'inventory ledger'!$E:$E,E228,'inventory ledger'!$A:$A,"&lt;="&amp;B228+TIME(23,59,59))-SUMIFS('inventory ledger'!$I:$I,'inventory ledger'!$C:$C,C228,'inventory ledger'!$D:$D,D228,'inventory ledger'!$E:$E,E228,'inventory ledger'!$A:$A,"&lt;="&amp;B228+TIME(23,59,59)))</f>
        <v>0</v>
      </c>
      <c r="G228" s="3">
        <f>IFERROR(__xludf.DUMMYFUNCTION("IF(F228&lt;=0,0,IFERROR(ROUNDUP(F228/INDEX(FILTER('warehouse config'!$D:$D,('warehouse config'!$B:$B=C228)*('warehouse config'!$C:$C=D228)*('warehouse config'!$G:$G&lt;=B228)*(('warehouse config'!$H:$H&gt;=B228)+ISBLANK('warehouse config'!$H:$H))),1)),0))"),0.0)</f>
        <v>0</v>
      </c>
      <c r="H228" s="3">
        <f>IFERROR(__xludf.DUMMYFUNCTION("IFERROR(INDEX(FILTER('cost master'!$E:$E,('cost master'!$B:$B=C228)*('cost master'!$D:$D=""Storage cost per pallet / week"")*('cost master'!$G:$G&lt;=B228)*(('cost master'!$H:$H&gt;=B228)+ISBLANK('cost master'!$H:$H))),1),0)"),2.6)</f>
        <v>2.6</v>
      </c>
      <c r="I228" s="3">
        <f t="shared" si="4"/>
        <v>0</v>
      </c>
      <c r="J228" s="27">
        <f t="shared" si="5"/>
        <v>45704</v>
      </c>
      <c r="K228" s="27">
        <f t="shared" si="6"/>
        <v>45731</v>
      </c>
    </row>
    <row r="229" hidden="1">
      <c r="A229" s="3" t="str">
        <f t="shared" si="3"/>
        <v>SL-20250217-Vglobal-CS-CDS-001-3</v>
      </c>
      <c r="B229" s="2">
        <f t="array" ref="B229">INDEX(helper!$A$3:$A3996,ROUNDUP((ROW()-1)/COUNTA(helper!$D$3:$D3996),0))</f>
        <v>45705</v>
      </c>
      <c r="C229" s="5" t="str">
        <f t="array" ref="C229">IF(B229="","",INDEX(helper!$D$3:$D3996,MOD(ROW()-2,COUNTA(helper!$D$3:$D3996))+1))</f>
        <v>Vglobal</v>
      </c>
      <c r="D229" s="3" t="str">
        <f t="array" ref="D229">IF(B229="","",INDEX(helper!$E$3:$E3996,MOD(ROW()-2,COUNTA(helper!$D$3:$D3996))+1))</f>
        <v>CS-CDS-001</v>
      </c>
      <c r="E229" s="3">
        <f t="array" ref="E229">IF(B229="","",INDEX(helper!$F$3:$F3996,MOD(ROW()-2,COUNTA(helper!$D$3:$D3996))+1))</f>
        <v>3</v>
      </c>
      <c r="F229" s="3">
        <f>IF(B229="","",SUMIFS('inventory ledger'!$H:$H,'inventory ledger'!$C:$C,C229,'inventory ledger'!$D:$D,D229,'inventory ledger'!$E:$E,E229,'inventory ledger'!$A:$A,"&lt;="&amp;B229+TIME(23,59,59))-SUMIFS('inventory ledger'!$I:$I,'inventory ledger'!$C:$C,C229,'inventory ledger'!$D:$D,D229,'inventory ledger'!$E:$E,E229,'inventory ledger'!$A:$A,"&lt;="&amp;B229+TIME(23,59,59)))</f>
        <v>19</v>
      </c>
      <c r="G229" s="3">
        <f>IFERROR(__xludf.DUMMYFUNCTION("IF(F229&lt;=0,0,IFERROR(ROUNDUP(F229/INDEX(FILTER('warehouse config'!$D:$D,('warehouse config'!$B:$B=C229)*('warehouse config'!$C:$C=D229)*('warehouse config'!$G:$G&lt;=B229)*(('warehouse config'!$H:$H&gt;=B229)+ISBLANK('warehouse config'!$H:$H))),1)),0))"),2.0)</f>
        <v>2</v>
      </c>
      <c r="H229" s="3">
        <f>IFERROR(__xludf.DUMMYFUNCTION("IFERROR(INDEX(FILTER('cost master'!$E:$E,('cost master'!$B:$B=C229)*('cost master'!$D:$D=""Storage cost per pallet / week"")*('cost master'!$G:$G&lt;=B229)*(('cost master'!$H:$H&gt;=B229)+ISBLANK('cost master'!$H:$H))),1),0)"),2.6)</f>
        <v>2.6</v>
      </c>
      <c r="I229" s="3">
        <f t="shared" si="4"/>
        <v>5.2</v>
      </c>
      <c r="J229" s="27">
        <f t="shared" si="5"/>
        <v>45704</v>
      </c>
      <c r="K229" s="27">
        <f t="shared" si="6"/>
        <v>45731</v>
      </c>
    </row>
    <row r="230" hidden="1">
      <c r="A230" s="3" t="str">
        <f t="shared" si="3"/>
        <v>SL-20250217-Vglobal-CS-CDS-002-3</v>
      </c>
      <c r="B230" s="2">
        <f t="array" ref="B230">INDEX(helper!$A$3:$A3996,ROUNDUP((ROW()-1)/COUNTA(helper!$D$3:$D3996),0))</f>
        <v>45705</v>
      </c>
      <c r="C230" s="5" t="str">
        <f t="array" ref="C230">IF(B230="","",INDEX(helper!$D$3:$D3996,MOD(ROW()-2,COUNTA(helper!$D$3:$D3996))+1))</f>
        <v>Vglobal</v>
      </c>
      <c r="D230" s="3" t="str">
        <f t="array" ref="D230">IF(B230="","",INDEX(helper!$E$3:$E3996,MOD(ROW()-2,COUNTA(helper!$D$3:$D3996))+1))</f>
        <v>CS-CDS-002</v>
      </c>
      <c r="E230" s="3">
        <f t="array" ref="E230">IF(B230="","",INDEX(helper!$F$3:$F3996,MOD(ROW()-2,COUNTA(helper!$D$3:$D3996))+1))</f>
        <v>3</v>
      </c>
      <c r="F230" s="3">
        <f>IF(B230="","",SUMIFS('inventory ledger'!$H:$H,'inventory ledger'!$C:$C,C230,'inventory ledger'!$D:$D,D230,'inventory ledger'!$E:$E,E230,'inventory ledger'!$A:$A,"&lt;="&amp;B230+TIME(23,59,59))-SUMIFS('inventory ledger'!$I:$I,'inventory ledger'!$C:$C,C230,'inventory ledger'!$D:$D,D230,'inventory ledger'!$E:$E,E230,'inventory ledger'!$A:$A,"&lt;="&amp;B230+TIME(23,59,59)))</f>
        <v>0</v>
      </c>
      <c r="G230" s="3">
        <f>IFERROR(__xludf.DUMMYFUNCTION("IF(F230&lt;=0,0,IFERROR(ROUNDUP(F230/INDEX(FILTER('warehouse config'!$D:$D,('warehouse config'!$B:$B=C230)*('warehouse config'!$C:$C=D230)*('warehouse config'!$G:$G&lt;=B230)*(('warehouse config'!$H:$H&gt;=B230)+ISBLANK('warehouse config'!$H:$H))),1)),0))"),0.0)</f>
        <v>0</v>
      </c>
      <c r="H230" s="3">
        <f>IFERROR(__xludf.DUMMYFUNCTION("IFERROR(INDEX(FILTER('cost master'!$E:$E,('cost master'!$B:$B=C230)*('cost master'!$D:$D=""Storage cost per pallet / week"")*('cost master'!$G:$G&lt;=B230)*(('cost master'!$H:$H&gt;=B230)+ISBLANK('cost master'!$H:$H))),1),0)"),2.6)</f>
        <v>2.6</v>
      </c>
      <c r="I230" s="3">
        <f t="shared" si="4"/>
        <v>0</v>
      </c>
      <c r="J230" s="27">
        <f t="shared" si="5"/>
        <v>45704</v>
      </c>
      <c r="K230" s="27">
        <f t="shared" si="6"/>
        <v>45731</v>
      </c>
    </row>
    <row r="231" hidden="1">
      <c r="A231" s="3" t="str">
        <f t="shared" si="3"/>
        <v>SL-20250217-4as-CS-CDS-001-4</v>
      </c>
      <c r="B231" s="2">
        <f t="array" ref="B231">INDEX(helper!$A$3:$A3996,ROUNDUP((ROW()-1)/COUNTA(helper!$D$3:$D3996),0))</f>
        <v>45705</v>
      </c>
      <c r="C231" s="5" t="str">
        <f t="array" ref="C231">IF(B231="","",INDEX(helper!$D$3:$D3996,MOD(ROW()-2,COUNTA(helper!$D$3:$D3996))+1))</f>
        <v>4as</v>
      </c>
      <c r="D231" s="3" t="str">
        <f t="array" ref="D231">IF(B231="","",INDEX(helper!$E$3:$E3996,MOD(ROW()-2,COUNTA(helper!$D$3:$D3996))+1))</f>
        <v>CS-CDS-001</v>
      </c>
      <c r="E231" s="3">
        <f t="array" ref="E231">IF(B231="","",INDEX(helper!$F$3:$F3996,MOD(ROW()-2,COUNTA(helper!$D$3:$D3996))+1))</f>
        <v>4</v>
      </c>
      <c r="F231" s="3">
        <f>IF(B231="","",SUMIFS('inventory ledger'!$H:$H,'inventory ledger'!$C:$C,C231,'inventory ledger'!$D:$D,D231,'inventory ledger'!$E:$E,E231,'inventory ledger'!$A:$A,"&lt;="&amp;B231+TIME(23,59,59))-SUMIFS('inventory ledger'!$I:$I,'inventory ledger'!$C:$C,C231,'inventory ledger'!$D:$D,D231,'inventory ledger'!$E:$E,E231,'inventory ledger'!$A:$A,"&lt;="&amp;B231+TIME(23,59,59)))</f>
        <v>91</v>
      </c>
      <c r="G231" s="3">
        <f>IFERROR(__xludf.DUMMYFUNCTION("IF(F231&lt;=0,0,IFERROR(ROUNDUP(F231/INDEX(FILTER('warehouse config'!$D:$D,('warehouse config'!$B:$B=C231)*('warehouse config'!$C:$C=D231)*('warehouse config'!$G:$G&lt;=B231)*(('warehouse config'!$H:$H&gt;=B231)+ISBLANK('warehouse config'!$H:$H))),1)),0))"),5.0)</f>
        <v>5</v>
      </c>
      <c r="H231" s="3">
        <f>IFERROR(__xludf.DUMMYFUNCTION("IFERROR(INDEX(FILTER('cost master'!$E:$E,('cost master'!$B:$B=C231)*('cost master'!$D:$D=""Storage cost per pallet / week"")*('cost master'!$G:$G&lt;=B231)*(('cost master'!$H:$H&gt;=B231)+ISBLANK('cost master'!$H:$H))),1),0)"),9.0)</f>
        <v>9</v>
      </c>
      <c r="I231" s="3">
        <f t="shared" si="4"/>
        <v>45</v>
      </c>
      <c r="J231" s="27">
        <f t="shared" si="5"/>
        <v>45704</v>
      </c>
      <c r="K231" s="27">
        <f t="shared" si="6"/>
        <v>45731</v>
      </c>
    </row>
    <row r="232" hidden="1">
      <c r="A232" s="3" t="str">
        <f t="shared" si="3"/>
        <v>SL-20250217-4as-CS-CDS-002-4</v>
      </c>
      <c r="B232" s="2">
        <f t="array" ref="B232">INDEX(helper!$A$3:$A3996,ROUNDUP((ROW()-1)/COUNTA(helper!$D$3:$D3996),0))</f>
        <v>45705</v>
      </c>
      <c r="C232" s="5" t="str">
        <f t="array" ref="C232">IF(B232="","",INDEX(helper!$D$3:$D3996,MOD(ROW()-2,COUNTA(helper!$D$3:$D3996))+1))</f>
        <v>4as</v>
      </c>
      <c r="D232" s="3" t="str">
        <f t="array" ref="D232">IF(B232="","",INDEX(helper!$E$3:$E3996,MOD(ROW()-2,COUNTA(helper!$D$3:$D3996))+1))</f>
        <v>CS-CDS-002</v>
      </c>
      <c r="E232" s="3">
        <f t="array" ref="E232">IF(B232="","",INDEX(helper!$F$3:$F3996,MOD(ROW()-2,COUNTA(helper!$D$3:$D3996))+1))</f>
        <v>4</v>
      </c>
      <c r="F232" s="3">
        <f>IF(B232="","",SUMIFS('inventory ledger'!$H:$H,'inventory ledger'!$C:$C,C232,'inventory ledger'!$D:$D,D232,'inventory ledger'!$E:$E,E232,'inventory ledger'!$A:$A,"&lt;="&amp;B232+TIME(23,59,59))-SUMIFS('inventory ledger'!$I:$I,'inventory ledger'!$C:$C,C232,'inventory ledger'!$D:$D,D232,'inventory ledger'!$E:$E,E232,'inventory ledger'!$A:$A,"&lt;="&amp;B232+TIME(23,59,59)))</f>
        <v>179</v>
      </c>
      <c r="G232" s="3">
        <f>IFERROR(__xludf.DUMMYFUNCTION("IF(F232&lt;=0,0,IFERROR(ROUNDUP(F232/INDEX(FILTER('warehouse config'!$D:$D,('warehouse config'!$B:$B=C232)*('warehouse config'!$C:$C=D232)*('warehouse config'!$G:$G&lt;=B232)*(('warehouse config'!$H:$H&gt;=B232)+ISBLANK('warehouse config'!$H:$H))),1)),0))"),9.0)</f>
        <v>9</v>
      </c>
      <c r="H232" s="3">
        <f>IFERROR(__xludf.DUMMYFUNCTION("IFERROR(INDEX(FILTER('cost master'!$E:$E,('cost master'!$B:$B=C232)*('cost master'!$D:$D=""Storage cost per pallet / week"")*('cost master'!$G:$G&lt;=B232)*(('cost master'!$H:$H&gt;=B232)+ISBLANK('cost master'!$H:$H))),1),0)"),9.0)</f>
        <v>9</v>
      </c>
      <c r="I232" s="3">
        <f t="shared" si="4"/>
        <v>81</v>
      </c>
      <c r="J232" s="27">
        <f t="shared" si="5"/>
        <v>45704</v>
      </c>
      <c r="K232" s="27">
        <f t="shared" si="6"/>
        <v>45731</v>
      </c>
    </row>
    <row r="233" hidden="1">
      <c r="A233" s="3" t="str">
        <f t="shared" si="3"/>
        <v>SL-20250217-Vglobal-CS 007-13</v>
      </c>
      <c r="B233" s="2">
        <f t="array" ref="B233">INDEX(helper!$A$3:$A3996,ROUNDUP((ROW()-1)/COUNTA(helper!$D$3:$D3996),0))</f>
        <v>45705</v>
      </c>
      <c r="C233" s="5" t="str">
        <f t="array" ref="C233">IF(B233="","",INDEX(helper!$D$3:$D3996,MOD(ROW()-2,COUNTA(helper!$D$3:$D3996))+1))</f>
        <v>Vglobal</v>
      </c>
      <c r="D233" s="3" t="str">
        <f t="array" ref="D233">IF(B233="","",INDEX(helper!$E$3:$E3996,MOD(ROW()-2,COUNTA(helper!$D$3:$D3996))+1))</f>
        <v>CS 007</v>
      </c>
      <c r="E233" s="3">
        <f t="array" ref="E233">IF(B233="","",INDEX(helper!$F$3:$F3996,MOD(ROW()-2,COUNTA(helper!$D$3:$D3996))+1))</f>
        <v>13</v>
      </c>
      <c r="F233" s="3">
        <f>IF(B233="","",SUMIFS('inventory ledger'!$H:$H,'inventory ledger'!$C:$C,C233,'inventory ledger'!$D:$D,D233,'inventory ledger'!$E:$E,E233,'inventory ledger'!$A:$A,"&lt;="&amp;B233+TIME(23,59,59))-SUMIFS('inventory ledger'!$I:$I,'inventory ledger'!$C:$C,C233,'inventory ledger'!$D:$D,D233,'inventory ledger'!$E:$E,E233,'inventory ledger'!$A:$A,"&lt;="&amp;B233+TIME(23,59,59)))</f>
        <v>285</v>
      </c>
      <c r="G233" s="3">
        <f>IFERROR(__xludf.DUMMYFUNCTION("IF(F233&lt;=0,0,IFERROR(ROUNDUP(F233/INDEX(FILTER('warehouse config'!$D:$D,('warehouse config'!$B:$B=C233)*('warehouse config'!$C:$C=D233)*('warehouse config'!$G:$G&lt;=B233)*(('warehouse config'!$H:$H&gt;=B233)+ISBLANK('warehouse config'!$H:$H))),1)),0))"),18.0)</f>
        <v>18</v>
      </c>
      <c r="H233" s="3">
        <f>IFERROR(__xludf.DUMMYFUNCTION("IFERROR(INDEX(FILTER('cost master'!$E:$E,('cost master'!$B:$B=C233)*('cost master'!$D:$D=""Storage cost per pallet / week"")*('cost master'!$G:$G&lt;=B233)*(('cost master'!$H:$H&gt;=B233)+ISBLANK('cost master'!$H:$H))),1),0)"),2.6)</f>
        <v>2.6</v>
      </c>
      <c r="I233" s="3">
        <f t="shared" si="4"/>
        <v>46.8</v>
      </c>
      <c r="J233" s="27">
        <f t="shared" si="5"/>
        <v>45704</v>
      </c>
      <c r="K233" s="27">
        <f t="shared" si="6"/>
        <v>45731</v>
      </c>
    </row>
    <row r="234" hidden="1">
      <c r="A234" s="3" t="str">
        <f t="shared" si="3"/>
        <v>SL-20250217-Vglobal-CS 011-13</v>
      </c>
      <c r="B234" s="2">
        <f t="array" ref="B234">INDEX(helper!$A$3:$A3996,ROUNDUP((ROW()-1)/COUNTA(helper!$D$3:$D3996),0))</f>
        <v>45705</v>
      </c>
      <c r="C234" s="5" t="str">
        <f t="array" ref="C234">IF(B234="","",INDEX(helper!$D$3:$D3996,MOD(ROW()-2,COUNTA(helper!$D$3:$D3996))+1))</f>
        <v>Vglobal</v>
      </c>
      <c r="D234" s="3" t="str">
        <f t="array" ref="D234">IF(B234="","",INDEX(helper!$E$3:$E3996,MOD(ROW()-2,COUNTA(helper!$D$3:$D3996))+1))</f>
        <v>CS 011</v>
      </c>
      <c r="E234" s="3">
        <f t="array" ref="E234">IF(B234="","",INDEX(helper!$F$3:$F3996,MOD(ROW()-2,COUNTA(helper!$D$3:$D3996))+1))</f>
        <v>13</v>
      </c>
      <c r="F234" s="3">
        <f>IF(B234="","",SUMIFS('inventory ledger'!$H:$H,'inventory ledger'!$C:$C,C234,'inventory ledger'!$D:$D,D234,'inventory ledger'!$E:$E,E234,'inventory ledger'!$A:$A,"&lt;="&amp;B234+TIME(23,59,59))-SUMIFS('inventory ledger'!$I:$I,'inventory ledger'!$C:$C,C234,'inventory ledger'!$D:$D,D234,'inventory ledger'!$E:$E,E234,'inventory ledger'!$A:$A,"&lt;="&amp;B234+TIME(23,59,59)))</f>
        <v>175</v>
      </c>
      <c r="G234" s="3">
        <f>IFERROR(__xludf.DUMMYFUNCTION("IF(F234&lt;=0,0,IFERROR(ROUNDUP(F234/INDEX(FILTER('warehouse config'!$D:$D,('warehouse config'!$B:$B=C234)*('warehouse config'!$C:$C=D234)*('warehouse config'!$G:$G&lt;=B234)*(('warehouse config'!$H:$H&gt;=B234)+ISBLANK('warehouse config'!$H:$H))),1)),0))"),9.0)</f>
        <v>9</v>
      </c>
      <c r="H234" s="3">
        <f>IFERROR(__xludf.DUMMYFUNCTION("IFERROR(INDEX(FILTER('cost master'!$E:$E,('cost master'!$B:$B=C234)*('cost master'!$D:$D=""Storage cost per pallet / week"")*('cost master'!$G:$G&lt;=B234)*(('cost master'!$H:$H&gt;=B234)+ISBLANK('cost master'!$H:$H))),1),0)"),2.6)</f>
        <v>2.6</v>
      </c>
      <c r="I234" s="3">
        <f t="shared" si="4"/>
        <v>23.4</v>
      </c>
      <c r="J234" s="27">
        <f t="shared" si="5"/>
        <v>45704</v>
      </c>
      <c r="K234" s="27">
        <f t="shared" si="6"/>
        <v>45731</v>
      </c>
    </row>
    <row r="235" hidden="1">
      <c r="A235" s="3" t="str">
        <f t="shared" si="3"/>
        <v>SL-20250217-Vglobal-CS 008-13</v>
      </c>
      <c r="B235" s="2">
        <f t="array" ref="B235">INDEX(helper!$A$3:$A3996,ROUNDUP((ROW()-1)/COUNTA(helper!$D$3:$D3996),0))</f>
        <v>45705</v>
      </c>
      <c r="C235" s="5" t="str">
        <f t="array" ref="C235">IF(B235="","",INDEX(helper!$D$3:$D3996,MOD(ROW()-2,COUNTA(helper!$D$3:$D3996))+1))</f>
        <v>Vglobal</v>
      </c>
      <c r="D235" s="3" t="str">
        <f t="array" ref="D235">IF(B235="","",INDEX(helper!$E$3:$E3996,MOD(ROW()-2,COUNTA(helper!$D$3:$D3996))+1))</f>
        <v>CS 008</v>
      </c>
      <c r="E235" s="3">
        <f t="array" ref="E235">IF(B235="","",INDEX(helper!$F$3:$F3996,MOD(ROW()-2,COUNTA(helper!$D$3:$D3996))+1))</f>
        <v>13</v>
      </c>
      <c r="F235" s="3">
        <f>IF(B235="","",SUMIFS('inventory ledger'!$H:$H,'inventory ledger'!$C:$C,C235,'inventory ledger'!$D:$D,D235,'inventory ledger'!$E:$E,E235,'inventory ledger'!$A:$A,"&lt;="&amp;B235+TIME(23,59,59))-SUMIFS('inventory ledger'!$I:$I,'inventory ledger'!$C:$C,C235,'inventory ledger'!$D:$D,D235,'inventory ledger'!$E:$E,E235,'inventory ledger'!$A:$A,"&lt;="&amp;B235+TIME(23,59,59)))</f>
        <v>20</v>
      </c>
      <c r="G235" s="3">
        <f>IFERROR(__xludf.DUMMYFUNCTION("IF(F235&lt;=0,0,IFERROR(ROUNDUP(F235/INDEX(FILTER('warehouse config'!$D:$D,('warehouse config'!$B:$B=C235)*('warehouse config'!$C:$C=D235)*('warehouse config'!$G:$G&lt;=B235)*(('warehouse config'!$H:$H&gt;=B235)+ISBLANK('warehouse config'!$H:$H))),1)),0))"),1.0)</f>
        <v>1</v>
      </c>
      <c r="H235" s="3">
        <f>IFERROR(__xludf.DUMMYFUNCTION("IFERROR(INDEX(FILTER('cost master'!$E:$E,('cost master'!$B:$B=C235)*('cost master'!$D:$D=""Storage cost per pallet / week"")*('cost master'!$G:$G&lt;=B235)*(('cost master'!$H:$H&gt;=B235)+ISBLANK('cost master'!$H:$H))),1),0)"),2.6)</f>
        <v>2.6</v>
      </c>
      <c r="I235" s="3">
        <f t="shared" si="4"/>
        <v>2.6</v>
      </c>
      <c r="J235" s="27">
        <f t="shared" si="5"/>
        <v>45704</v>
      </c>
      <c r="K235" s="27">
        <f t="shared" si="6"/>
        <v>45731</v>
      </c>
    </row>
    <row r="236" hidden="1">
      <c r="A236" s="3" t="str">
        <f t="shared" si="3"/>
        <v>SL-20250217-Vglobal-CS 010-13</v>
      </c>
      <c r="B236" s="2">
        <f t="array" ref="B236">INDEX(helper!$A$3:$A3996,ROUNDUP((ROW()-1)/COUNTA(helper!$D$3:$D3996),0))</f>
        <v>45705</v>
      </c>
      <c r="C236" s="5" t="str">
        <f t="array" ref="C236">IF(B236="","",INDEX(helper!$D$3:$D3996,MOD(ROW()-2,COUNTA(helper!$D$3:$D3996))+1))</f>
        <v>Vglobal</v>
      </c>
      <c r="D236" s="3" t="str">
        <f t="array" ref="D236">IF(B236="","",INDEX(helper!$E$3:$E3996,MOD(ROW()-2,COUNTA(helper!$D$3:$D3996))+1))</f>
        <v>CS 010</v>
      </c>
      <c r="E236" s="3">
        <f t="array" ref="E236">IF(B236="","",INDEX(helper!$F$3:$F3996,MOD(ROW()-2,COUNTA(helper!$D$3:$D3996))+1))</f>
        <v>13</v>
      </c>
      <c r="F236" s="3">
        <f>IF(B236="","",SUMIFS('inventory ledger'!$H:$H,'inventory ledger'!$C:$C,C236,'inventory ledger'!$D:$D,D236,'inventory ledger'!$E:$E,E236,'inventory ledger'!$A:$A,"&lt;="&amp;B236+TIME(23,59,59))-SUMIFS('inventory ledger'!$I:$I,'inventory ledger'!$C:$C,C236,'inventory ledger'!$D:$D,D236,'inventory ledger'!$E:$E,E236,'inventory ledger'!$A:$A,"&lt;="&amp;B236+TIME(23,59,59)))</f>
        <v>80</v>
      </c>
      <c r="G236" s="3">
        <f>IFERROR(__xludf.DUMMYFUNCTION("IF(F236&lt;=0,0,IFERROR(ROUNDUP(F236/INDEX(FILTER('warehouse config'!$D:$D,('warehouse config'!$B:$B=C236)*('warehouse config'!$C:$C=D236)*('warehouse config'!$G:$G&lt;=B236)*(('warehouse config'!$H:$H&gt;=B236)+ISBLANK('warehouse config'!$H:$H))),1)),0))"),4.0)</f>
        <v>4</v>
      </c>
      <c r="H236" s="3">
        <f>IFERROR(__xludf.DUMMYFUNCTION("IFERROR(INDEX(FILTER('cost master'!$E:$E,('cost master'!$B:$B=C236)*('cost master'!$D:$D=""Storage cost per pallet / week"")*('cost master'!$G:$G&lt;=B236)*(('cost master'!$H:$H&gt;=B236)+ISBLANK('cost master'!$H:$H))),1),0)"),2.6)</f>
        <v>2.6</v>
      </c>
      <c r="I236" s="3">
        <f t="shared" si="4"/>
        <v>10.4</v>
      </c>
      <c r="J236" s="27">
        <f t="shared" si="5"/>
        <v>45704</v>
      </c>
      <c r="K236" s="27">
        <f t="shared" si="6"/>
        <v>45731</v>
      </c>
    </row>
    <row r="237" hidden="1">
      <c r="A237" s="3" t="str">
        <f t="shared" si="3"/>
        <v>SL-20250217-Vglobal-CS 009-13</v>
      </c>
      <c r="B237" s="2">
        <f t="array" ref="B237">INDEX(helper!$A$3:$A3996,ROUNDUP((ROW()-1)/COUNTA(helper!$D$3:$D3996),0))</f>
        <v>45705</v>
      </c>
      <c r="C237" s="5" t="str">
        <f t="array" ref="C237">IF(B237="","",INDEX(helper!$D$3:$D3996,MOD(ROW()-2,COUNTA(helper!$D$3:$D3996))+1))</f>
        <v>Vglobal</v>
      </c>
      <c r="D237" s="3" t="str">
        <f t="array" ref="D237">IF(B237="","",INDEX(helper!$E$3:$E3996,MOD(ROW()-2,COUNTA(helper!$D$3:$D3996))+1))</f>
        <v>CS 009</v>
      </c>
      <c r="E237" s="3">
        <f t="array" ref="E237">IF(B237="","",INDEX(helper!$F$3:$F3996,MOD(ROW()-2,COUNTA(helper!$D$3:$D3996))+1))</f>
        <v>13</v>
      </c>
      <c r="F237" s="3">
        <f>IF(B237="","",SUMIFS('inventory ledger'!$H:$H,'inventory ledger'!$C:$C,C237,'inventory ledger'!$D:$D,D237,'inventory ledger'!$E:$E,E237,'inventory ledger'!$A:$A,"&lt;="&amp;B237+TIME(23,59,59))-SUMIFS('inventory ledger'!$I:$I,'inventory ledger'!$C:$C,C237,'inventory ledger'!$D:$D,D237,'inventory ledger'!$E:$E,E237,'inventory ledger'!$A:$A,"&lt;="&amp;B237+TIME(23,59,59)))</f>
        <v>84</v>
      </c>
      <c r="G237" s="3">
        <f>IFERROR(__xludf.DUMMYFUNCTION("IF(F237&lt;=0,0,IFERROR(ROUNDUP(F237/INDEX(FILTER('warehouse config'!$D:$D,('warehouse config'!$B:$B=C237)*('warehouse config'!$C:$C=D237)*('warehouse config'!$G:$G&lt;=B237)*(('warehouse config'!$H:$H&gt;=B237)+ISBLANK('warehouse config'!$H:$H))),1)),0))"),6.0)</f>
        <v>6</v>
      </c>
      <c r="H237" s="3">
        <f>IFERROR(__xludf.DUMMYFUNCTION("IFERROR(INDEX(FILTER('cost master'!$E:$E,('cost master'!$B:$B=C237)*('cost master'!$D:$D=""Storage cost per pallet / week"")*('cost master'!$G:$G&lt;=B237)*(('cost master'!$H:$H&gt;=B237)+ISBLANK('cost master'!$H:$H))),1),0)"),2.6)</f>
        <v>2.6</v>
      </c>
      <c r="I237" s="3">
        <f t="shared" si="4"/>
        <v>15.6</v>
      </c>
      <c r="J237" s="27">
        <f t="shared" si="5"/>
        <v>45704</v>
      </c>
      <c r="K237" s="27">
        <f t="shared" si="6"/>
        <v>45731</v>
      </c>
    </row>
    <row r="238" hidden="1">
      <c r="A238" s="3" t="str">
        <f t="shared" si="3"/>
        <v>SL-20250217-Vglobal-CS 012-13</v>
      </c>
      <c r="B238" s="2">
        <f t="array" ref="B238">INDEX(helper!$A$3:$A3996,ROUNDUP((ROW()-1)/COUNTA(helper!$D$3:$D3996),0))</f>
        <v>45705</v>
      </c>
      <c r="C238" s="5" t="str">
        <f t="array" ref="C238">IF(B238="","",INDEX(helper!$D$3:$D3996,MOD(ROW()-2,COUNTA(helper!$D$3:$D3996))+1))</f>
        <v>Vglobal</v>
      </c>
      <c r="D238" s="3" t="str">
        <f t="array" ref="D238">IF(B238="","",INDEX(helper!$E$3:$E3996,MOD(ROW()-2,COUNTA(helper!$D$3:$D3996))+1))</f>
        <v>CS 012</v>
      </c>
      <c r="E238" s="3">
        <f t="array" ref="E238">IF(B238="","",INDEX(helper!$F$3:$F3996,MOD(ROW()-2,COUNTA(helper!$D$3:$D3996))+1))</f>
        <v>13</v>
      </c>
      <c r="F238" s="3">
        <f>IF(B238="","",SUMIFS('inventory ledger'!$H:$H,'inventory ledger'!$C:$C,C238,'inventory ledger'!$D:$D,D238,'inventory ledger'!$E:$E,E238,'inventory ledger'!$A:$A,"&lt;="&amp;B238+TIME(23,59,59))-SUMIFS('inventory ledger'!$I:$I,'inventory ledger'!$C:$C,C238,'inventory ledger'!$D:$D,D238,'inventory ledger'!$E:$E,E238,'inventory ledger'!$A:$A,"&lt;="&amp;B238+TIME(23,59,59)))</f>
        <v>41</v>
      </c>
      <c r="G238" s="3">
        <f>IFERROR(__xludf.DUMMYFUNCTION("IF(F238&lt;=0,0,IFERROR(ROUNDUP(F238/INDEX(FILTER('warehouse config'!$D:$D,('warehouse config'!$B:$B=C238)*('warehouse config'!$C:$C=D238)*('warehouse config'!$G:$G&lt;=B238)*(('warehouse config'!$H:$H&gt;=B238)+ISBLANK('warehouse config'!$H:$H))),1)),0))"),3.0)</f>
        <v>3</v>
      </c>
      <c r="H238" s="3">
        <f>IFERROR(__xludf.DUMMYFUNCTION("IFERROR(INDEX(FILTER('cost master'!$E:$E,('cost master'!$B:$B=C238)*('cost master'!$D:$D=""Storage cost per pallet / week"")*('cost master'!$G:$G&lt;=B238)*(('cost master'!$H:$H&gt;=B238)+ISBLANK('cost master'!$H:$H))),1),0)"),2.6)</f>
        <v>2.6</v>
      </c>
      <c r="I238" s="3">
        <f t="shared" si="4"/>
        <v>7.8</v>
      </c>
      <c r="J238" s="27">
        <f t="shared" si="5"/>
        <v>45704</v>
      </c>
      <c r="K238" s="27">
        <f t="shared" si="6"/>
        <v>45731</v>
      </c>
    </row>
    <row r="239" hidden="1">
      <c r="A239" s="3" t="str">
        <f t="shared" si="3"/>
        <v>SL-20250217-FMC-CS 008-11</v>
      </c>
      <c r="B239" s="2">
        <f t="array" ref="B239">INDEX(helper!$A$3:$A3996,ROUNDUP((ROW()-1)/COUNTA(helper!$D$3:$D3996),0))</f>
        <v>45705</v>
      </c>
      <c r="C239" s="5" t="str">
        <f t="array" ref="C239">IF(B239="","",INDEX(helper!$D$3:$D3996,MOD(ROW()-2,COUNTA(helper!$D$3:$D3996))+1))</f>
        <v>FMC</v>
      </c>
      <c r="D239" s="3" t="str">
        <f t="array" ref="D239">IF(B239="","",INDEX(helper!$E$3:$E3996,MOD(ROW()-2,COUNTA(helper!$D$3:$D3996))+1))</f>
        <v>CS 008</v>
      </c>
      <c r="E239" s="3">
        <f t="array" ref="E239">IF(B239="","",INDEX(helper!$F$3:$F3996,MOD(ROW()-2,COUNTA(helper!$D$3:$D3996))+1))</f>
        <v>11</v>
      </c>
      <c r="F239" s="3">
        <f>IF(B239="","",SUMIFS('inventory ledger'!$H:$H,'inventory ledger'!$C:$C,C239,'inventory ledger'!$D:$D,D239,'inventory ledger'!$E:$E,E239,'inventory ledger'!$A:$A,"&lt;="&amp;B239+TIME(23,59,59))-SUMIFS('inventory ledger'!$I:$I,'inventory ledger'!$C:$C,C239,'inventory ledger'!$D:$D,D239,'inventory ledger'!$E:$E,E239,'inventory ledger'!$A:$A,"&lt;="&amp;B239+TIME(23,59,59)))</f>
        <v>0</v>
      </c>
      <c r="G239" s="3">
        <f>IFERROR(__xludf.DUMMYFUNCTION("IF(F239&lt;=0,0,IFERROR(ROUNDUP(F239/INDEX(FILTER('warehouse config'!$D:$D,('warehouse config'!$B:$B=C239)*('warehouse config'!$C:$C=D239)*('warehouse config'!$G:$G&lt;=B239)*(('warehouse config'!$H:$H&gt;=B239)+ISBLANK('warehouse config'!$H:$H))),1)),0))"),0.0)</f>
        <v>0</v>
      </c>
      <c r="H239" s="3">
        <f>IFERROR(__xludf.DUMMYFUNCTION("IFERROR(INDEX(FILTER('cost master'!$E:$E,('cost master'!$B:$B=C239)*('cost master'!$D:$D=""Storage cost per pallet / week"")*('cost master'!$G:$G&lt;=B239)*(('cost master'!$H:$H&gt;=B239)+ISBLANK('cost master'!$H:$H))),1),0)"),3.9)</f>
        <v>3.9</v>
      </c>
      <c r="I239" s="3">
        <f t="shared" si="4"/>
        <v>0</v>
      </c>
      <c r="J239" s="27">
        <f t="shared" si="5"/>
        <v>45704</v>
      </c>
      <c r="K239" s="27">
        <f t="shared" si="6"/>
        <v>45731</v>
      </c>
    </row>
    <row r="240" hidden="1">
      <c r="A240" s="3" t="str">
        <f t="shared" si="3"/>
        <v>SL-20250224-FMC-CS 007-8</v>
      </c>
      <c r="B240" s="2">
        <f t="array" ref="B240">INDEX(helper!$A$3:$A3996,ROUNDUP((ROW()-1)/COUNTA(helper!$D$3:$D3996),0))</f>
        <v>45712</v>
      </c>
      <c r="C240" s="5" t="str">
        <f t="array" ref="C240">IF(B240="","",INDEX(helper!$D$3:$D3996,MOD(ROW()-2,COUNTA(helper!$D$3:$D3996))+1))</f>
        <v>FMC</v>
      </c>
      <c r="D240" s="3" t="str">
        <f t="array" ref="D240">IF(B240="","",INDEX(helper!$E$3:$E3996,MOD(ROW()-2,COUNTA(helper!$D$3:$D3996))+1))</f>
        <v>CS 007</v>
      </c>
      <c r="E240" s="3">
        <f t="array" ref="E240">IF(B240="","",INDEX(helper!$F$3:$F3996,MOD(ROW()-2,COUNTA(helper!$D$3:$D3996))+1))</f>
        <v>8</v>
      </c>
      <c r="F240" s="3">
        <f>IF(B240="","",SUMIFS('inventory ledger'!$H:$H,'inventory ledger'!$C:$C,C240,'inventory ledger'!$D:$D,D240,'inventory ledger'!$E:$E,E240,'inventory ledger'!$A:$A,"&lt;="&amp;B240+TIME(23,59,59))-SUMIFS('inventory ledger'!$I:$I,'inventory ledger'!$C:$C,C240,'inventory ledger'!$D:$D,D240,'inventory ledger'!$E:$E,E240,'inventory ledger'!$A:$A,"&lt;="&amp;B240+TIME(23,59,59)))</f>
        <v>0</v>
      </c>
      <c r="G240" s="3">
        <f>IFERROR(__xludf.DUMMYFUNCTION("IF(F240&lt;=0,0,IFERROR(ROUNDUP(F240/INDEX(FILTER('warehouse config'!$D:$D,('warehouse config'!$B:$B=C240)*('warehouse config'!$C:$C=D240)*('warehouse config'!$G:$G&lt;=B240)*(('warehouse config'!$H:$H&gt;=B240)+ISBLANK('warehouse config'!$H:$H))),1)),0))"),0.0)</f>
        <v>0</v>
      </c>
      <c r="H240" s="3">
        <f>IFERROR(__xludf.DUMMYFUNCTION("IFERROR(INDEX(FILTER('cost master'!$E:$E,('cost master'!$B:$B=C240)*('cost master'!$D:$D=""Storage cost per pallet / week"")*('cost master'!$G:$G&lt;=B240)*(('cost master'!$H:$H&gt;=B240)+ISBLANK('cost master'!$H:$H))),1),0)"),3.9)</f>
        <v>3.9</v>
      </c>
      <c r="I240" s="3">
        <f t="shared" si="4"/>
        <v>0</v>
      </c>
      <c r="J240" s="27">
        <f t="shared" si="5"/>
        <v>45704</v>
      </c>
      <c r="K240" s="27">
        <f t="shared" si="6"/>
        <v>45731</v>
      </c>
    </row>
    <row r="241" hidden="1">
      <c r="A241" s="3" t="str">
        <f t="shared" si="3"/>
        <v>SL-20250224-FMC-CS 008-8</v>
      </c>
      <c r="B241" s="2">
        <f t="array" ref="B241">INDEX(helper!$A$3:$A3996,ROUNDUP((ROW()-1)/COUNTA(helper!$D$3:$D3996),0))</f>
        <v>45712</v>
      </c>
      <c r="C241" s="5" t="str">
        <f t="array" ref="C241">IF(B241="","",INDEX(helper!$D$3:$D3996,MOD(ROW()-2,COUNTA(helper!$D$3:$D3996))+1))</f>
        <v>FMC</v>
      </c>
      <c r="D241" s="3" t="str">
        <f t="array" ref="D241">IF(B241="","",INDEX(helper!$E$3:$E3996,MOD(ROW()-2,COUNTA(helper!$D$3:$D3996))+1))</f>
        <v>CS 008</v>
      </c>
      <c r="E241" s="3">
        <f t="array" ref="E241">IF(B241="","",INDEX(helper!$F$3:$F3996,MOD(ROW()-2,COUNTA(helper!$D$3:$D3996))+1))</f>
        <v>8</v>
      </c>
      <c r="F241" s="3">
        <f>IF(B241="","",SUMIFS('inventory ledger'!$H:$H,'inventory ledger'!$C:$C,C241,'inventory ledger'!$D:$D,D241,'inventory ledger'!$E:$E,E241,'inventory ledger'!$A:$A,"&lt;="&amp;B241+TIME(23,59,59))-SUMIFS('inventory ledger'!$I:$I,'inventory ledger'!$C:$C,C241,'inventory ledger'!$D:$D,D241,'inventory ledger'!$E:$E,E241,'inventory ledger'!$A:$A,"&lt;="&amp;B241+TIME(23,59,59)))</f>
        <v>0</v>
      </c>
      <c r="G241" s="3">
        <f>IFERROR(__xludf.DUMMYFUNCTION("IF(F241&lt;=0,0,IFERROR(ROUNDUP(F241/INDEX(FILTER('warehouse config'!$D:$D,('warehouse config'!$B:$B=C241)*('warehouse config'!$C:$C=D241)*('warehouse config'!$G:$G&lt;=B241)*(('warehouse config'!$H:$H&gt;=B241)+ISBLANK('warehouse config'!$H:$H))),1)),0))"),0.0)</f>
        <v>0</v>
      </c>
      <c r="H241" s="3">
        <f>IFERROR(__xludf.DUMMYFUNCTION("IFERROR(INDEX(FILTER('cost master'!$E:$E,('cost master'!$B:$B=C241)*('cost master'!$D:$D=""Storage cost per pallet / week"")*('cost master'!$G:$G&lt;=B241)*(('cost master'!$H:$H&gt;=B241)+ISBLANK('cost master'!$H:$H))),1),0)"),3.9)</f>
        <v>3.9</v>
      </c>
      <c r="I241" s="3">
        <f t="shared" si="4"/>
        <v>0</v>
      </c>
      <c r="J241" s="27">
        <f t="shared" si="5"/>
        <v>45704</v>
      </c>
      <c r="K241" s="27">
        <f t="shared" si="6"/>
        <v>45731</v>
      </c>
    </row>
    <row r="242" hidden="1">
      <c r="A242" s="3" t="str">
        <f t="shared" si="3"/>
        <v>SL-20250224-FMC-CS 009-8</v>
      </c>
      <c r="B242" s="2">
        <f t="array" ref="B242">INDEX(helper!$A$3:$A3996,ROUNDUP((ROW()-1)/COUNTA(helper!$D$3:$D3996),0))</f>
        <v>45712</v>
      </c>
      <c r="C242" s="5" t="str">
        <f t="array" ref="C242">IF(B242="","",INDEX(helper!$D$3:$D3996,MOD(ROW()-2,COUNTA(helper!$D$3:$D3996))+1))</f>
        <v>FMC</v>
      </c>
      <c r="D242" s="3" t="str">
        <f t="array" ref="D242">IF(B242="","",INDEX(helper!$E$3:$E3996,MOD(ROW()-2,COUNTA(helper!$D$3:$D3996))+1))</f>
        <v>CS 009</v>
      </c>
      <c r="E242" s="3">
        <f t="array" ref="E242">IF(B242="","",INDEX(helper!$F$3:$F3996,MOD(ROW()-2,COUNTA(helper!$D$3:$D3996))+1))</f>
        <v>8</v>
      </c>
      <c r="F242" s="3">
        <f>IF(B242="","",SUMIFS('inventory ledger'!$H:$H,'inventory ledger'!$C:$C,C242,'inventory ledger'!$D:$D,D242,'inventory ledger'!$E:$E,E242,'inventory ledger'!$A:$A,"&lt;="&amp;B242+TIME(23,59,59))-SUMIFS('inventory ledger'!$I:$I,'inventory ledger'!$C:$C,C242,'inventory ledger'!$D:$D,D242,'inventory ledger'!$E:$E,E242,'inventory ledger'!$A:$A,"&lt;="&amp;B242+TIME(23,59,59)))</f>
        <v>0</v>
      </c>
      <c r="G242" s="3">
        <f>IFERROR(__xludf.DUMMYFUNCTION("IF(F242&lt;=0,0,IFERROR(ROUNDUP(F242/INDEX(FILTER('warehouse config'!$D:$D,('warehouse config'!$B:$B=C242)*('warehouse config'!$C:$C=D242)*('warehouse config'!$G:$G&lt;=B242)*(('warehouse config'!$H:$H&gt;=B242)+ISBLANK('warehouse config'!$H:$H))),1)),0))"),0.0)</f>
        <v>0</v>
      </c>
      <c r="H242" s="3">
        <f>IFERROR(__xludf.DUMMYFUNCTION("IFERROR(INDEX(FILTER('cost master'!$E:$E,('cost master'!$B:$B=C242)*('cost master'!$D:$D=""Storage cost per pallet / week"")*('cost master'!$G:$G&lt;=B242)*(('cost master'!$H:$H&gt;=B242)+ISBLANK('cost master'!$H:$H))),1),0)"),3.9)</f>
        <v>3.9</v>
      </c>
      <c r="I242" s="3">
        <f t="shared" si="4"/>
        <v>0</v>
      </c>
      <c r="J242" s="27">
        <f t="shared" si="5"/>
        <v>45704</v>
      </c>
      <c r="K242" s="27">
        <f t="shared" si="6"/>
        <v>45731</v>
      </c>
    </row>
    <row r="243" hidden="1">
      <c r="A243" s="3" t="str">
        <f t="shared" si="3"/>
        <v>SL-20250224-FMC-CS 010-8</v>
      </c>
      <c r="B243" s="2">
        <f t="array" ref="B243">INDEX(helper!$A$3:$A3996,ROUNDUP((ROW()-1)/COUNTA(helper!$D$3:$D3996),0))</f>
        <v>45712</v>
      </c>
      <c r="C243" s="5" t="str">
        <f t="array" ref="C243">IF(B243="","",INDEX(helper!$D$3:$D3996,MOD(ROW()-2,COUNTA(helper!$D$3:$D3996))+1))</f>
        <v>FMC</v>
      </c>
      <c r="D243" s="3" t="str">
        <f t="array" ref="D243">IF(B243="","",INDEX(helper!$E$3:$E3996,MOD(ROW()-2,COUNTA(helper!$D$3:$D3996))+1))</f>
        <v>CS 010</v>
      </c>
      <c r="E243" s="3">
        <f t="array" ref="E243">IF(B243="","",INDEX(helper!$F$3:$F3996,MOD(ROW()-2,COUNTA(helper!$D$3:$D3996))+1))</f>
        <v>8</v>
      </c>
      <c r="F243" s="3">
        <f>IF(B243="","",SUMIFS('inventory ledger'!$H:$H,'inventory ledger'!$C:$C,C243,'inventory ledger'!$D:$D,D243,'inventory ledger'!$E:$E,E243,'inventory ledger'!$A:$A,"&lt;="&amp;B243+TIME(23,59,59))-SUMIFS('inventory ledger'!$I:$I,'inventory ledger'!$C:$C,C243,'inventory ledger'!$D:$D,D243,'inventory ledger'!$E:$E,E243,'inventory ledger'!$A:$A,"&lt;="&amp;B243+TIME(23,59,59)))</f>
        <v>0</v>
      </c>
      <c r="G243" s="3">
        <f>IFERROR(__xludf.DUMMYFUNCTION("IF(F243&lt;=0,0,IFERROR(ROUNDUP(F243/INDEX(FILTER('warehouse config'!$D:$D,('warehouse config'!$B:$B=C243)*('warehouse config'!$C:$C=D243)*('warehouse config'!$G:$G&lt;=B243)*(('warehouse config'!$H:$H&gt;=B243)+ISBLANK('warehouse config'!$H:$H))),1)),0))"),0.0)</f>
        <v>0</v>
      </c>
      <c r="H243" s="3">
        <f>IFERROR(__xludf.DUMMYFUNCTION("IFERROR(INDEX(FILTER('cost master'!$E:$E,('cost master'!$B:$B=C243)*('cost master'!$D:$D=""Storage cost per pallet / week"")*('cost master'!$G:$G&lt;=B243)*(('cost master'!$H:$H&gt;=B243)+ISBLANK('cost master'!$H:$H))),1),0)"),3.9)</f>
        <v>3.9</v>
      </c>
      <c r="I243" s="3">
        <f t="shared" si="4"/>
        <v>0</v>
      </c>
      <c r="J243" s="27">
        <f t="shared" si="5"/>
        <v>45704</v>
      </c>
      <c r="K243" s="27">
        <f t="shared" si="6"/>
        <v>45731</v>
      </c>
    </row>
    <row r="244" hidden="1">
      <c r="A244" s="3" t="str">
        <f t="shared" si="3"/>
        <v>SL-20250224-FMC-CS 007-9</v>
      </c>
      <c r="B244" s="2">
        <f t="array" ref="B244">INDEX(helper!$A$3:$A3996,ROUNDUP((ROW()-1)/COUNTA(helper!$D$3:$D3996),0))</f>
        <v>45712</v>
      </c>
      <c r="C244" s="5" t="str">
        <f t="array" ref="C244">IF(B244="","",INDEX(helper!$D$3:$D3996,MOD(ROW()-2,COUNTA(helper!$D$3:$D3996))+1))</f>
        <v>FMC</v>
      </c>
      <c r="D244" s="3" t="str">
        <f t="array" ref="D244">IF(B244="","",INDEX(helper!$E$3:$E3996,MOD(ROW()-2,COUNTA(helper!$D$3:$D3996))+1))</f>
        <v>CS 007</v>
      </c>
      <c r="E244" s="3">
        <f t="array" ref="E244">IF(B244="","",INDEX(helper!$F$3:$F3996,MOD(ROW()-2,COUNTA(helper!$D$3:$D3996))+1))</f>
        <v>9</v>
      </c>
      <c r="F244" s="3">
        <f>IF(B244="","",SUMIFS('inventory ledger'!$H:$H,'inventory ledger'!$C:$C,C244,'inventory ledger'!$D:$D,D244,'inventory ledger'!$E:$E,E244,'inventory ledger'!$A:$A,"&lt;="&amp;B244+TIME(23,59,59))-SUMIFS('inventory ledger'!$I:$I,'inventory ledger'!$C:$C,C244,'inventory ledger'!$D:$D,D244,'inventory ledger'!$E:$E,E244,'inventory ledger'!$A:$A,"&lt;="&amp;B244+TIME(23,59,59)))</f>
        <v>0</v>
      </c>
      <c r="G244" s="3">
        <f>IFERROR(__xludf.DUMMYFUNCTION("IF(F244&lt;=0,0,IFERROR(ROUNDUP(F244/INDEX(FILTER('warehouse config'!$D:$D,('warehouse config'!$B:$B=C244)*('warehouse config'!$C:$C=D244)*('warehouse config'!$G:$G&lt;=B244)*(('warehouse config'!$H:$H&gt;=B244)+ISBLANK('warehouse config'!$H:$H))),1)),0))"),0.0)</f>
        <v>0</v>
      </c>
      <c r="H244" s="3">
        <f>IFERROR(__xludf.DUMMYFUNCTION("IFERROR(INDEX(FILTER('cost master'!$E:$E,('cost master'!$B:$B=C244)*('cost master'!$D:$D=""Storage cost per pallet / week"")*('cost master'!$G:$G&lt;=B244)*(('cost master'!$H:$H&gt;=B244)+ISBLANK('cost master'!$H:$H))),1),0)"),3.9)</f>
        <v>3.9</v>
      </c>
      <c r="I244" s="3">
        <f t="shared" si="4"/>
        <v>0</v>
      </c>
      <c r="J244" s="27">
        <f t="shared" si="5"/>
        <v>45704</v>
      </c>
      <c r="K244" s="27">
        <f t="shared" si="6"/>
        <v>45731</v>
      </c>
    </row>
    <row r="245" hidden="1">
      <c r="A245" s="3" t="str">
        <f t="shared" si="3"/>
        <v>SL-20250224-FMC-CS 008-9</v>
      </c>
      <c r="B245" s="2">
        <f t="array" ref="B245">INDEX(helper!$A$3:$A3996,ROUNDUP((ROW()-1)/COUNTA(helper!$D$3:$D3996),0))</f>
        <v>45712</v>
      </c>
      <c r="C245" s="5" t="str">
        <f t="array" ref="C245">IF(B245="","",INDEX(helper!$D$3:$D3996,MOD(ROW()-2,COUNTA(helper!$D$3:$D3996))+1))</f>
        <v>FMC</v>
      </c>
      <c r="D245" s="3" t="str">
        <f t="array" ref="D245">IF(B245="","",INDEX(helper!$E$3:$E3996,MOD(ROW()-2,COUNTA(helper!$D$3:$D3996))+1))</f>
        <v>CS 008</v>
      </c>
      <c r="E245" s="3">
        <f t="array" ref="E245">IF(B245="","",INDEX(helper!$F$3:$F3996,MOD(ROW()-2,COUNTA(helper!$D$3:$D3996))+1))</f>
        <v>9</v>
      </c>
      <c r="F245" s="3">
        <f>IF(B245="","",SUMIFS('inventory ledger'!$H:$H,'inventory ledger'!$C:$C,C245,'inventory ledger'!$D:$D,D245,'inventory ledger'!$E:$E,E245,'inventory ledger'!$A:$A,"&lt;="&amp;B245+TIME(23,59,59))-SUMIFS('inventory ledger'!$I:$I,'inventory ledger'!$C:$C,C245,'inventory ledger'!$D:$D,D245,'inventory ledger'!$E:$E,E245,'inventory ledger'!$A:$A,"&lt;="&amp;B245+TIME(23,59,59)))</f>
        <v>14</v>
      </c>
      <c r="G245" s="3">
        <f>IFERROR(__xludf.DUMMYFUNCTION("IF(F245&lt;=0,0,IFERROR(ROUNDUP(F245/INDEX(FILTER('warehouse config'!$D:$D,('warehouse config'!$B:$B=C245)*('warehouse config'!$C:$C=D245)*('warehouse config'!$G:$G&lt;=B245)*(('warehouse config'!$H:$H&gt;=B245)+ISBLANK('warehouse config'!$H:$H))),1)),0))"),1.0)</f>
        <v>1</v>
      </c>
      <c r="H245" s="3">
        <f>IFERROR(__xludf.DUMMYFUNCTION("IFERROR(INDEX(FILTER('cost master'!$E:$E,('cost master'!$B:$B=C245)*('cost master'!$D:$D=""Storage cost per pallet / week"")*('cost master'!$G:$G&lt;=B245)*(('cost master'!$H:$H&gt;=B245)+ISBLANK('cost master'!$H:$H))),1),0)"),3.9)</f>
        <v>3.9</v>
      </c>
      <c r="I245" s="3">
        <f t="shared" si="4"/>
        <v>3.9</v>
      </c>
      <c r="J245" s="27">
        <f t="shared" si="5"/>
        <v>45704</v>
      </c>
      <c r="K245" s="27">
        <f t="shared" si="6"/>
        <v>45731</v>
      </c>
    </row>
    <row r="246" hidden="1">
      <c r="A246" s="3" t="str">
        <f t="shared" si="3"/>
        <v>SL-20250224-FMC-CS 009-9</v>
      </c>
      <c r="B246" s="2">
        <f t="array" ref="B246">INDEX(helper!$A$3:$A3996,ROUNDUP((ROW()-1)/COUNTA(helper!$D$3:$D3996),0))</f>
        <v>45712</v>
      </c>
      <c r="C246" s="5" t="str">
        <f t="array" ref="C246">IF(B246="","",INDEX(helper!$D$3:$D3996,MOD(ROW()-2,COUNTA(helper!$D$3:$D3996))+1))</f>
        <v>FMC</v>
      </c>
      <c r="D246" s="3" t="str">
        <f t="array" ref="D246">IF(B246="","",INDEX(helper!$E$3:$E3996,MOD(ROW()-2,COUNTA(helper!$D$3:$D3996))+1))</f>
        <v>CS 009</v>
      </c>
      <c r="E246" s="3">
        <f t="array" ref="E246">IF(B246="","",INDEX(helper!$F$3:$F3996,MOD(ROW()-2,COUNTA(helper!$D$3:$D3996))+1))</f>
        <v>9</v>
      </c>
      <c r="F246" s="3">
        <f>IF(B246="","",SUMIFS('inventory ledger'!$H:$H,'inventory ledger'!$C:$C,C246,'inventory ledger'!$D:$D,D246,'inventory ledger'!$E:$E,E246,'inventory ledger'!$A:$A,"&lt;="&amp;B246+TIME(23,59,59))-SUMIFS('inventory ledger'!$I:$I,'inventory ledger'!$C:$C,C246,'inventory ledger'!$D:$D,D246,'inventory ledger'!$E:$E,E246,'inventory ledger'!$A:$A,"&lt;="&amp;B246+TIME(23,59,59)))</f>
        <v>0</v>
      </c>
      <c r="G246" s="3">
        <f>IFERROR(__xludf.DUMMYFUNCTION("IF(F246&lt;=0,0,IFERROR(ROUNDUP(F246/INDEX(FILTER('warehouse config'!$D:$D,('warehouse config'!$B:$B=C246)*('warehouse config'!$C:$C=D246)*('warehouse config'!$G:$G&lt;=B246)*(('warehouse config'!$H:$H&gt;=B246)+ISBLANK('warehouse config'!$H:$H))),1)),0))"),0.0)</f>
        <v>0</v>
      </c>
      <c r="H246" s="3">
        <f>IFERROR(__xludf.DUMMYFUNCTION("IFERROR(INDEX(FILTER('cost master'!$E:$E,('cost master'!$B:$B=C246)*('cost master'!$D:$D=""Storage cost per pallet / week"")*('cost master'!$G:$G&lt;=B246)*(('cost master'!$H:$H&gt;=B246)+ISBLANK('cost master'!$H:$H))),1),0)"),3.9)</f>
        <v>3.9</v>
      </c>
      <c r="I246" s="3">
        <f t="shared" si="4"/>
        <v>0</v>
      </c>
      <c r="J246" s="27">
        <f t="shared" si="5"/>
        <v>45704</v>
      </c>
      <c r="K246" s="27">
        <f t="shared" si="6"/>
        <v>45731</v>
      </c>
    </row>
    <row r="247" hidden="1">
      <c r="A247" s="3" t="str">
        <f t="shared" si="3"/>
        <v>SL-20250224-FMC-CS 010-9</v>
      </c>
      <c r="B247" s="2">
        <f t="array" ref="B247">INDEX(helper!$A$3:$A3996,ROUNDUP((ROW()-1)/COUNTA(helper!$D$3:$D3996),0))</f>
        <v>45712</v>
      </c>
      <c r="C247" s="5" t="str">
        <f t="array" ref="C247">IF(B247="","",INDEX(helper!$D$3:$D3996,MOD(ROW()-2,COUNTA(helper!$D$3:$D3996))+1))</f>
        <v>FMC</v>
      </c>
      <c r="D247" s="3" t="str">
        <f t="array" ref="D247">IF(B247="","",INDEX(helper!$E$3:$E3996,MOD(ROW()-2,COUNTA(helper!$D$3:$D3996))+1))</f>
        <v>CS 010</v>
      </c>
      <c r="E247" s="3">
        <f t="array" ref="E247">IF(B247="","",INDEX(helper!$F$3:$F3996,MOD(ROW()-2,COUNTA(helper!$D$3:$D3996))+1))</f>
        <v>9</v>
      </c>
      <c r="F247" s="3">
        <f>IF(B247="","",SUMIFS('inventory ledger'!$H:$H,'inventory ledger'!$C:$C,C247,'inventory ledger'!$D:$D,D247,'inventory ledger'!$E:$E,E247,'inventory ledger'!$A:$A,"&lt;="&amp;B247+TIME(23,59,59))-SUMIFS('inventory ledger'!$I:$I,'inventory ledger'!$C:$C,C247,'inventory ledger'!$D:$D,D247,'inventory ledger'!$E:$E,E247,'inventory ledger'!$A:$A,"&lt;="&amp;B247+TIME(23,59,59)))</f>
        <v>0</v>
      </c>
      <c r="G247" s="3">
        <f>IFERROR(__xludf.DUMMYFUNCTION("IF(F247&lt;=0,0,IFERROR(ROUNDUP(F247/INDEX(FILTER('warehouse config'!$D:$D,('warehouse config'!$B:$B=C247)*('warehouse config'!$C:$C=D247)*('warehouse config'!$G:$G&lt;=B247)*(('warehouse config'!$H:$H&gt;=B247)+ISBLANK('warehouse config'!$H:$H))),1)),0))"),0.0)</f>
        <v>0</v>
      </c>
      <c r="H247" s="3">
        <f>IFERROR(__xludf.DUMMYFUNCTION("IFERROR(INDEX(FILTER('cost master'!$E:$E,('cost master'!$B:$B=C247)*('cost master'!$D:$D=""Storage cost per pallet / week"")*('cost master'!$G:$G&lt;=B247)*(('cost master'!$H:$H&gt;=B247)+ISBLANK('cost master'!$H:$H))),1),0)"),3.9)</f>
        <v>3.9</v>
      </c>
      <c r="I247" s="3">
        <f t="shared" si="4"/>
        <v>0</v>
      </c>
      <c r="J247" s="27">
        <f t="shared" si="5"/>
        <v>45704</v>
      </c>
      <c r="K247" s="27">
        <f t="shared" si="6"/>
        <v>45731</v>
      </c>
    </row>
    <row r="248" hidden="1">
      <c r="A248" s="3" t="str">
        <f t="shared" si="3"/>
        <v>SL-20250224-FMC-CS-CDS-001-9</v>
      </c>
      <c r="B248" s="2">
        <f t="array" ref="B248">INDEX(helper!$A$3:$A3996,ROUNDUP((ROW()-1)/COUNTA(helper!$D$3:$D3996),0))</f>
        <v>45712</v>
      </c>
      <c r="C248" s="5" t="str">
        <f t="array" ref="C248">IF(B248="","",INDEX(helper!$D$3:$D3996,MOD(ROW()-2,COUNTA(helper!$D$3:$D3996))+1))</f>
        <v>FMC</v>
      </c>
      <c r="D248" s="3" t="str">
        <f t="array" ref="D248">IF(B248="","",INDEX(helper!$E$3:$E3996,MOD(ROW()-2,COUNTA(helper!$D$3:$D3996))+1))</f>
        <v>CS-CDS-001</v>
      </c>
      <c r="E248" s="3">
        <f t="array" ref="E248">IF(B248="","",INDEX(helper!$F$3:$F3996,MOD(ROW()-2,COUNTA(helper!$D$3:$D3996))+1))</f>
        <v>9</v>
      </c>
      <c r="F248" s="3">
        <f>IF(B248="","",SUMIFS('inventory ledger'!$H:$H,'inventory ledger'!$C:$C,C248,'inventory ledger'!$D:$D,D248,'inventory ledger'!$E:$E,E248,'inventory ledger'!$A:$A,"&lt;="&amp;B248+TIME(23,59,59))-SUMIFS('inventory ledger'!$I:$I,'inventory ledger'!$C:$C,C248,'inventory ledger'!$D:$D,D248,'inventory ledger'!$E:$E,E248,'inventory ledger'!$A:$A,"&lt;="&amp;B248+TIME(23,59,59)))</f>
        <v>0</v>
      </c>
      <c r="G248" s="3">
        <f>IFERROR(__xludf.DUMMYFUNCTION("IF(F248&lt;=0,0,IFERROR(ROUNDUP(F248/INDEX(FILTER('warehouse config'!$D:$D,('warehouse config'!$B:$B=C248)*('warehouse config'!$C:$C=D248)*('warehouse config'!$G:$G&lt;=B248)*(('warehouse config'!$H:$H&gt;=B248)+ISBLANK('warehouse config'!$H:$H))),1)),0))"),0.0)</f>
        <v>0</v>
      </c>
      <c r="H248" s="3">
        <f>IFERROR(__xludf.DUMMYFUNCTION("IFERROR(INDEX(FILTER('cost master'!$E:$E,('cost master'!$B:$B=C248)*('cost master'!$D:$D=""Storage cost per pallet / week"")*('cost master'!$G:$G&lt;=B248)*(('cost master'!$H:$H&gt;=B248)+ISBLANK('cost master'!$H:$H))),1),0)"),3.9)</f>
        <v>3.9</v>
      </c>
      <c r="I248" s="3">
        <f t="shared" si="4"/>
        <v>0</v>
      </c>
      <c r="J248" s="27">
        <f t="shared" si="5"/>
        <v>45704</v>
      </c>
      <c r="K248" s="27">
        <f t="shared" si="6"/>
        <v>45731</v>
      </c>
    </row>
    <row r="249" hidden="1">
      <c r="A249" s="3" t="str">
        <f t="shared" si="3"/>
        <v>SL-20250224-FMC-CS-CDS-002-9</v>
      </c>
      <c r="B249" s="2">
        <f t="array" ref="B249">INDEX(helper!$A$3:$A3996,ROUNDUP((ROW()-1)/COUNTA(helper!$D$3:$D3996),0))</f>
        <v>45712</v>
      </c>
      <c r="C249" s="5" t="str">
        <f t="array" ref="C249">IF(B249="","",INDEX(helper!$D$3:$D3996,MOD(ROW()-2,COUNTA(helper!$D$3:$D3996))+1))</f>
        <v>FMC</v>
      </c>
      <c r="D249" s="3" t="str">
        <f t="array" ref="D249">IF(B249="","",INDEX(helper!$E$3:$E3996,MOD(ROW()-2,COUNTA(helper!$D$3:$D3996))+1))</f>
        <v>CS-CDS-002</v>
      </c>
      <c r="E249" s="3">
        <f t="array" ref="E249">IF(B249="","",INDEX(helper!$F$3:$F3996,MOD(ROW()-2,COUNTA(helper!$D$3:$D3996))+1))</f>
        <v>9</v>
      </c>
      <c r="F249" s="3">
        <f>IF(B249="","",SUMIFS('inventory ledger'!$H:$H,'inventory ledger'!$C:$C,C249,'inventory ledger'!$D:$D,D249,'inventory ledger'!$E:$E,E249,'inventory ledger'!$A:$A,"&lt;="&amp;B249+TIME(23,59,59))-SUMIFS('inventory ledger'!$I:$I,'inventory ledger'!$C:$C,C249,'inventory ledger'!$D:$D,D249,'inventory ledger'!$E:$E,E249,'inventory ledger'!$A:$A,"&lt;="&amp;B249+TIME(23,59,59)))</f>
        <v>0</v>
      </c>
      <c r="G249" s="3">
        <f>IFERROR(__xludf.DUMMYFUNCTION("IF(F249&lt;=0,0,IFERROR(ROUNDUP(F249/INDEX(FILTER('warehouse config'!$D:$D,('warehouse config'!$B:$B=C249)*('warehouse config'!$C:$C=D249)*('warehouse config'!$G:$G&lt;=B249)*(('warehouse config'!$H:$H&gt;=B249)+ISBLANK('warehouse config'!$H:$H))),1)),0))"),0.0)</f>
        <v>0</v>
      </c>
      <c r="H249" s="3">
        <f>IFERROR(__xludf.DUMMYFUNCTION("IFERROR(INDEX(FILTER('cost master'!$E:$E,('cost master'!$B:$B=C249)*('cost master'!$D:$D=""Storage cost per pallet / week"")*('cost master'!$G:$G&lt;=B249)*(('cost master'!$H:$H&gt;=B249)+ISBLANK('cost master'!$H:$H))),1),0)"),3.9)</f>
        <v>3.9</v>
      </c>
      <c r="I249" s="3">
        <f t="shared" si="4"/>
        <v>0</v>
      </c>
      <c r="J249" s="27">
        <f t="shared" si="5"/>
        <v>45704</v>
      </c>
      <c r="K249" s="27">
        <f t="shared" si="6"/>
        <v>45731</v>
      </c>
    </row>
    <row r="250" hidden="1">
      <c r="A250" s="3" t="str">
        <f t="shared" si="3"/>
        <v>SL-20250224-FMC-CS 007-10</v>
      </c>
      <c r="B250" s="2">
        <f t="array" ref="B250">INDEX(helper!$A$3:$A3996,ROUNDUP((ROW()-1)/COUNTA(helper!$D$3:$D3996),0))</f>
        <v>45712</v>
      </c>
      <c r="C250" s="5" t="str">
        <f t="array" ref="C250">IF(B250="","",INDEX(helper!$D$3:$D3996,MOD(ROW()-2,COUNTA(helper!$D$3:$D3996))+1))</f>
        <v>FMC</v>
      </c>
      <c r="D250" s="3" t="str">
        <f t="array" ref="D250">IF(B250="","",INDEX(helper!$E$3:$E3996,MOD(ROW()-2,COUNTA(helper!$D$3:$D3996))+1))</f>
        <v>CS 007</v>
      </c>
      <c r="E250" s="3">
        <f t="array" ref="E250">IF(B250="","",INDEX(helper!$F$3:$F3996,MOD(ROW()-2,COUNTA(helper!$D$3:$D3996))+1))</f>
        <v>10</v>
      </c>
      <c r="F250" s="3">
        <f>IF(B250="","",SUMIFS('inventory ledger'!$H:$H,'inventory ledger'!$C:$C,C250,'inventory ledger'!$D:$D,D250,'inventory ledger'!$E:$E,E250,'inventory ledger'!$A:$A,"&lt;="&amp;B250+TIME(23,59,59))-SUMIFS('inventory ledger'!$I:$I,'inventory ledger'!$C:$C,C250,'inventory ledger'!$D:$D,D250,'inventory ledger'!$E:$E,E250,'inventory ledger'!$A:$A,"&lt;="&amp;B250+TIME(23,59,59)))</f>
        <v>0</v>
      </c>
      <c r="G250" s="3">
        <f>IFERROR(__xludf.DUMMYFUNCTION("IF(F250&lt;=0,0,IFERROR(ROUNDUP(F250/INDEX(FILTER('warehouse config'!$D:$D,('warehouse config'!$B:$B=C250)*('warehouse config'!$C:$C=D250)*('warehouse config'!$G:$G&lt;=B250)*(('warehouse config'!$H:$H&gt;=B250)+ISBLANK('warehouse config'!$H:$H))),1)),0))"),0.0)</f>
        <v>0</v>
      </c>
      <c r="H250" s="3">
        <f>IFERROR(__xludf.DUMMYFUNCTION("IFERROR(INDEX(FILTER('cost master'!$E:$E,('cost master'!$B:$B=C250)*('cost master'!$D:$D=""Storage cost per pallet / week"")*('cost master'!$G:$G&lt;=B250)*(('cost master'!$H:$H&gt;=B250)+ISBLANK('cost master'!$H:$H))),1),0)"),3.9)</f>
        <v>3.9</v>
      </c>
      <c r="I250" s="3">
        <f t="shared" si="4"/>
        <v>0</v>
      </c>
      <c r="J250" s="27">
        <f t="shared" si="5"/>
        <v>45704</v>
      </c>
      <c r="K250" s="27">
        <f t="shared" si="6"/>
        <v>45731</v>
      </c>
    </row>
    <row r="251" hidden="1">
      <c r="A251" s="3" t="str">
        <f t="shared" si="3"/>
        <v>SL-20250224-FMC-CS 009-10</v>
      </c>
      <c r="B251" s="2">
        <f t="array" ref="B251">INDEX(helper!$A$3:$A3996,ROUNDUP((ROW()-1)/COUNTA(helper!$D$3:$D3996),0))</f>
        <v>45712</v>
      </c>
      <c r="C251" s="5" t="str">
        <f t="array" ref="C251">IF(B251="","",INDEX(helper!$D$3:$D3996,MOD(ROW()-2,COUNTA(helper!$D$3:$D3996))+1))</f>
        <v>FMC</v>
      </c>
      <c r="D251" s="3" t="str">
        <f t="array" ref="D251">IF(B251="","",INDEX(helper!$E$3:$E3996,MOD(ROW()-2,COUNTA(helper!$D$3:$D3996))+1))</f>
        <v>CS 009</v>
      </c>
      <c r="E251" s="3">
        <f t="array" ref="E251">IF(B251="","",INDEX(helper!$F$3:$F3996,MOD(ROW()-2,COUNTA(helper!$D$3:$D3996))+1))</f>
        <v>10</v>
      </c>
      <c r="F251" s="3">
        <f>IF(B251="","",SUMIFS('inventory ledger'!$H:$H,'inventory ledger'!$C:$C,C251,'inventory ledger'!$D:$D,D251,'inventory ledger'!$E:$E,E251,'inventory ledger'!$A:$A,"&lt;="&amp;B251+TIME(23,59,59))-SUMIFS('inventory ledger'!$I:$I,'inventory ledger'!$C:$C,C251,'inventory ledger'!$D:$D,D251,'inventory ledger'!$E:$E,E251,'inventory ledger'!$A:$A,"&lt;="&amp;B251+TIME(23,59,59)))</f>
        <v>0</v>
      </c>
      <c r="G251" s="3">
        <f>IFERROR(__xludf.DUMMYFUNCTION("IF(F251&lt;=0,0,IFERROR(ROUNDUP(F251/INDEX(FILTER('warehouse config'!$D:$D,('warehouse config'!$B:$B=C251)*('warehouse config'!$C:$C=D251)*('warehouse config'!$G:$G&lt;=B251)*(('warehouse config'!$H:$H&gt;=B251)+ISBLANK('warehouse config'!$H:$H))),1)),0))"),0.0)</f>
        <v>0</v>
      </c>
      <c r="H251" s="3">
        <f>IFERROR(__xludf.DUMMYFUNCTION("IFERROR(INDEX(FILTER('cost master'!$E:$E,('cost master'!$B:$B=C251)*('cost master'!$D:$D=""Storage cost per pallet / week"")*('cost master'!$G:$G&lt;=B251)*(('cost master'!$H:$H&gt;=B251)+ISBLANK('cost master'!$H:$H))),1),0)"),3.9)</f>
        <v>3.9</v>
      </c>
      <c r="I251" s="3">
        <f t="shared" si="4"/>
        <v>0</v>
      </c>
      <c r="J251" s="27">
        <f t="shared" si="5"/>
        <v>45704</v>
      </c>
      <c r="K251" s="27">
        <f t="shared" si="6"/>
        <v>45731</v>
      </c>
    </row>
    <row r="252" hidden="1">
      <c r="A252" s="3" t="str">
        <f t="shared" si="3"/>
        <v>SL-20250224-FMC-CS 010-10</v>
      </c>
      <c r="B252" s="2">
        <f t="array" ref="B252">INDEX(helper!$A$3:$A3996,ROUNDUP((ROW()-1)/COUNTA(helper!$D$3:$D3996),0))</f>
        <v>45712</v>
      </c>
      <c r="C252" s="5" t="str">
        <f t="array" ref="C252">IF(B252="","",INDEX(helper!$D$3:$D3996,MOD(ROW()-2,COUNTA(helper!$D$3:$D3996))+1))</f>
        <v>FMC</v>
      </c>
      <c r="D252" s="3" t="str">
        <f t="array" ref="D252">IF(B252="","",INDEX(helper!$E$3:$E3996,MOD(ROW()-2,COUNTA(helper!$D$3:$D3996))+1))</f>
        <v>CS 010</v>
      </c>
      <c r="E252" s="3">
        <f t="array" ref="E252">IF(B252="","",INDEX(helper!$F$3:$F3996,MOD(ROW()-2,COUNTA(helper!$D$3:$D3996))+1))</f>
        <v>10</v>
      </c>
      <c r="F252" s="3">
        <f>IF(B252="","",SUMIFS('inventory ledger'!$H:$H,'inventory ledger'!$C:$C,C252,'inventory ledger'!$D:$D,D252,'inventory ledger'!$E:$E,E252,'inventory ledger'!$A:$A,"&lt;="&amp;B252+TIME(23,59,59))-SUMIFS('inventory ledger'!$I:$I,'inventory ledger'!$C:$C,C252,'inventory ledger'!$D:$D,D252,'inventory ledger'!$E:$E,E252,'inventory ledger'!$A:$A,"&lt;="&amp;B252+TIME(23,59,59)))</f>
        <v>26</v>
      </c>
      <c r="G252" s="3">
        <f>IFERROR(__xludf.DUMMYFUNCTION("IF(F252&lt;=0,0,IFERROR(ROUNDUP(F252/INDEX(FILTER('warehouse config'!$D:$D,('warehouse config'!$B:$B=C252)*('warehouse config'!$C:$C=D252)*('warehouse config'!$G:$G&lt;=B252)*(('warehouse config'!$H:$H&gt;=B252)+ISBLANK('warehouse config'!$H:$H))),1)),0))"),1.0)</f>
        <v>1</v>
      </c>
      <c r="H252" s="3">
        <f>IFERROR(__xludf.DUMMYFUNCTION("IFERROR(INDEX(FILTER('cost master'!$E:$E,('cost master'!$B:$B=C252)*('cost master'!$D:$D=""Storage cost per pallet / week"")*('cost master'!$G:$G&lt;=B252)*(('cost master'!$H:$H&gt;=B252)+ISBLANK('cost master'!$H:$H))),1),0)"),3.9)</f>
        <v>3.9</v>
      </c>
      <c r="I252" s="3">
        <f t="shared" si="4"/>
        <v>3.9</v>
      </c>
      <c r="J252" s="27">
        <f t="shared" si="5"/>
        <v>45704</v>
      </c>
      <c r="K252" s="27">
        <f t="shared" si="6"/>
        <v>45731</v>
      </c>
    </row>
    <row r="253" hidden="1">
      <c r="A253" s="3" t="str">
        <f t="shared" si="3"/>
        <v>SL-20250224-FMC-CS-CDS-001-10</v>
      </c>
      <c r="B253" s="2">
        <f t="array" ref="B253">INDEX(helper!$A$3:$A3996,ROUNDUP((ROW()-1)/COUNTA(helper!$D$3:$D3996),0))</f>
        <v>45712</v>
      </c>
      <c r="C253" s="5" t="str">
        <f t="array" ref="C253">IF(B253="","",INDEX(helper!$D$3:$D3996,MOD(ROW()-2,COUNTA(helper!$D$3:$D3996))+1))</f>
        <v>FMC</v>
      </c>
      <c r="D253" s="3" t="str">
        <f t="array" ref="D253">IF(B253="","",INDEX(helper!$E$3:$E3996,MOD(ROW()-2,COUNTA(helper!$D$3:$D3996))+1))</f>
        <v>CS-CDS-001</v>
      </c>
      <c r="E253" s="3">
        <f t="array" ref="E253">IF(B253="","",INDEX(helper!$F$3:$F3996,MOD(ROW()-2,COUNTA(helper!$D$3:$D3996))+1))</f>
        <v>10</v>
      </c>
      <c r="F253" s="3">
        <f>IF(B253="","",SUMIFS('inventory ledger'!$H:$H,'inventory ledger'!$C:$C,C253,'inventory ledger'!$D:$D,D253,'inventory ledger'!$E:$E,E253,'inventory ledger'!$A:$A,"&lt;="&amp;B253+TIME(23,59,59))-SUMIFS('inventory ledger'!$I:$I,'inventory ledger'!$C:$C,C253,'inventory ledger'!$D:$D,D253,'inventory ledger'!$E:$E,E253,'inventory ledger'!$A:$A,"&lt;="&amp;B253+TIME(23,59,59)))</f>
        <v>0</v>
      </c>
      <c r="G253" s="3">
        <f>IFERROR(__xludf.DUMMYFUNCTION("IF(F253&lt;=0,0,IFERROR(ROUNDUP(F253/INDEX(FILTER('warehouse config'!$D:$D,('warehouse config'!$B:$B=C253)*('warehouse config'!$C:$C=D253)*('warehouse config'!$G:$G&lt;=B253)*(('warehouse config'!$H:$H&gt;=B253)+ISBLANK('warehouse config'!$H:$H))),1)),0))"),0.0)</f>
        <v>0</v>
      </c>
      <c r="H253" s="3">
        <f>IFERROR(__xludf.DUMMYFUNCTION("IFERROR(INDEX(FILTER('cost master'!$E:$E,('cost master'!$B:$B=C253)*('cost master'!$D:$D=""Storage cost per pallet / week"")*('cost master'!$G:$G&lt;=B253)*(('cost master'!$H:$H&gt;=B253)+ISBLANK('cost master'!$H:$H))),1),0)"),3.9)</f>
        <v>3.9</v>
      </c>
      <c r="I253" s="3">
        <f t="shared" si="4"/>
        <v>0</v>
      </c>
      <c r="J253" s="27">
        <f t="shared" si="5"/>
        <v>45704</v>
      </c>
      <c r="K253" s="27">
        <f t="shared" si="6"/>
        <v>45731</v>
      </c>
    </row>
    <row r="254" hidden="1">
      <c r="A254" s="3" t="str">
        <f t="shared" si="3"/>
        <v>SL-20250224-FMC-CS 007-11</v>
      </c>
      <c r="B254" s="2">
        <f t="array" ref="B254">INDEX(helper!$A$3:$A3996,ROUNDUP((ROW()-1)/COUNTA(helper!$D$3:$D3996),0))</f>
        <v>45712</v>
      </c>
      <c r="C254" s="5" t="str">
        <f t="array" ref="C254">IF(B254="","",INDEX(helper!$D$3:$D3996,MOD(ROW()-2,COUNTA(helper!$D$3:$D3996))+1))</f>
        <v>FMC</v>
      </c>
      <c r="D254" s="3" t="str">
        <f t="array" ref="D254">IF(B254="","",INDEX(helper!$E$3:$E3996,MOD(ROW()-2,COUNTA(helper!$D$3:$D3996))+1))</f>
        <v>CS 007</v>
      </c>
      <c r="E254" s="3">
        <f t="array" ref="E254">IF(B254="","",INDEX(helper!$F$3:$F3996,MOD(ROW()-2,COUNTA(helper!$D$3:$D3996))+1))</f>
        <v>11</v>
      </c>
      <c r="F254" s="3">
        <f>IF(B254="","",SUMIFS('inventory ledger'!$H:$H,'inventory ledger'!$C:$C,C254,'inventory ledger'!$D:$D,D254,'inventory ledger'!$E:$E,E254,'inventory ledger'!$A:$A,"&lt;="&amp;B254+TIME(23,59,59))-SUMIFS('inventory ledger'!$I:$I,'inventory ledger'!$C:$C,C254,'inventory ledger'!$D:$D,D254,'inventory ledger'!$E:$E,E254,'inventory ledger'!$A:$A,"&lt;="&amp;B254+TIME(23,59,59)))</f>
        <v>0</v>
      </c>
      <c r="G254" s="3">
        <f>IFERROR(__xludf.DUMMYFUNCTION("IF(F254&lt;=0,0,IFERROR(ROUNDUP(F254/INDEX(FILTER('warehouse config'!$D:$D,('warehouse config'!$B:$B=C254)*('warehouse config'!$C:$C=D254)*('warehouse config'!$G:$G&lt;=B254)*(('warehouse config'!$H:$H&gt;=B254)+ISBLANK('warehouse config'!$H:$H))),1)),0))"),0.0)</f>
        <v>0</v>
      </c>
      <c r="H254" s="3">
        <f>IFERROR(__xludf.DUMMYFUNCTION("IFERROR(INDEX(FILTER('cost master'!$E:$E,('cost master'!$B:$B=C254)*('cost master'!$D:$D=""Storage cost per pallet / week"")*('cost master'!$G:$G&lt;=B254)*(('cost master'!$H:$H&gt;=B254)+ISBLANK('cost master'!$H:$H))),1),0)"),3.9)</f>
        <v>3.9</v>
      </c>
      <c r="I254" s="3">
        <f t="shared" si="4"/>
        <v>0</v>
      </c>
      <c r="J254" s="27">
        <f t="shared" si="5"/>
        <v>45704</v>
      </c>
      <c r="K254" s="27">
        <f t="shared" si="6"/>
        <v>45731</v>
      </c>
    </row>
    <row r="255" hidden="1">
      <c r="A255" s="3" t="str">
        <f t="shared" si="3"/>
        <v>SL-20250224-FMC-CS 009-11</v>
      </c>
      <c r="B255" s="2">
        <f t="array" ref="B255">INDEX(helper!$A$3:$A3996,ROUNDUP((ROW()-1)/COUNTA(helper!$D$3:$D3996),0))</f>
        <v>45712</v>
      </c>
      <c r="C255" s="5" t="str">
        <f t="array" ref="C255">IF(B255="","",INDEX(helper!$D$3:$D3996,MOD(ROW()-2,COUNTA(helper!$D$3:$D3996))+1))</f>
        <v>FMC</v>
      </c>
      <c r="D255" s="3" t="str">
        <f t="array" ref="D255">IF(B255="","",INDEX(helper!$E$3:$E3996,MOD(ROW()-2,COUNTA(helper!$D$3:$D3996))+1))</f>
        <v>CS 009</v>
      </c>
      <c r="E255" s="3">
        <f t="array" ref="E255">IF(B255="","",INDEX(helper!$F$3:$F3996,MOD(ROW()-2,COUNTA(helper!$D$3:$D3996))+1))</f>
        <v>11</v>
      </c>
      <c r="F255" s="3">
        <f>IF(B255="","",SUMIFS('inventory ledger'!$H:$H,'inventory ledger'!$C:$C,C255,'inventory ledger'!$D:$D,D255,'inventory ledger'!$E:$E,E255,'inventory ledger'!$A:$A,"&lt;="&amp;B255+TIME(23,59,59))-SUMIFS('inventory ledger'!$I:$I,'inventory ledger'!$C:$C,C255,'inventory ledger'!$D:$D,D255,'inventory ledger'!$E:$E,E255,'inventory ledger'!$A:$A,"&lt;="&amp;B255+TIME(23,59,59)))</f>
        <v>0</v>
      </c>
      <c r="G255" s="3">
        <f>IFERROR(__xludf.DUMMYFUNCTION("IF(F255&lt;=0,0,IFERROR(ROUNDUP(F255/INDEX(FILTER('warehouse config'!$D:$D,('warehouse config'!$B:$B=C255)*('warehouse config'!$C:$C=D255)*('warehouse config'!$G:$G&lt;=B255)*(('warehouse config'!$H:$H&gt;=B255)+ISBLANK('warehouse config'!$H:$H))),1)),0))"),0.0)</f>
        <v>0</v>
      </c>
      <c r="H255" s="3">
        <f>IFERROR(__xludf.DUMMYFUNCTION("IFERROR(INDEX(FILTER('cost master'!$E:$E,('cost master'!$B:$B=C255)*('cost master'!$D:$D=""Storage cost per pallet / week"")*('cost master'!$G:$G&lt;=B255)*(('cost master'!$H:$H&gt;=B255)+ISBLANK('cost master'!$H:$H))),1),0)"),3.9)</f>
        <v>3.9</v>
      </c>
      <c r="I255" s="3">
        <f t="shared" si="4"/>
        <v>0</v>
      </c>
      <c r="J255" s="27">
        <f t="shared" si="5"/>
        <v>45704</v>
      </c>
      <c r="K255" s="27">
        <f t="shared" si="6"/>
        <v>45731</v>
      </c>
    </row>
    <row r="256" hidden="1">
      <c r="A256" s="3" t="str">
        <f t="shared" si="3"/>
        <v>SL-20250224-FMC-CS 010-11</v>
      </c>
      <c r="B256" s="2">
        <f t="array" ref="B256">INDEX(helper!$A$3:$A3996,ROUNDUP((ROW()-1)/COUNTA(helper!$D$3:$D3996),0))</f>
        <v>45712</v>
      </c>
      <c r="C256" s="5" t="str">
        <f t="array" ref="C256">IF(B256="","",INDEX(helper!$D$3:$D3996,MOD(ROW()-2,COUNTA(helper!$D$3:$D3996))+1))</f>
        <v>FMC</v>
      </c>
      <c r="D256" s="3" t="str">
        <f t="array" ref="D256">IF(B256="","",INDEX(helper!$E$3:$E3996,MOD(ROW()-2,COUNTA(helper!$D$3:$D3996))+1))</f>
        <v>CS 010</v>
      </c>
      <c r="E256" s="3">
        <f t="array" ref="E256">IF(B256="","",INDEX(helper!$F$3:$F3996,MOD(ROW()-2,COUNTA(helper!$D$3:$D3996))+1))</f>
        <v>11</v>
      </c>
      <c r="F256" s="3">
        <f>IF(B256="","",SUMIFS('inventory ledger'!$H:$H,'inventory ledger'!$C:$C,C256,'inventory ledger'!$D:$D,D256,'inventory ledger'!$E:$E,E256,'inventory ledger'!$A:$A,"&lt;="&amp;B256+TIME(23,59,59))-SUMIFS('inventory ledger'!$I:$I,'inventory ledger'!$C:$C,C256,'inventory ledger'!$D:$D,D256,'inventory ledger'!$E:$E,E256,'inventory ledger'!$A:$A,"&lt;="&amp;B256+TIME(23,59,59)))</f>
        <v>46</v>
      </c>
      <c r="G256" s="3">
        <f>IFERROR(__xludf.DUMMYFUNCTION("IF(F256&lt;=0,0,IFERROR(ROUNDUP(F256/INDEX(FILTER('warehouse config'!$D:$D,('warehouse config'!$B:$B=C256)*('warehouse config'!$C:$C=D256)*('warehouse config'!$G:$G&lt;=B256)*(('warehouse config'!$H:$H&gt;=B256)+ISBLANK('warehouse config'!$H:$H))),1)),0))"),2.0)</f>
        <v>2</v>
      </c>
      <c r="H256" s="3">
        <f>IFERROR(__xludf.DUMMYFUNCTION("IFERROR(INDEX(FILTER('cost master'!$E:$E,('cost master'!$B:$B=C256)*('cost master'!$D:$D=""Storage cost per pallet / week"")*('cost master'!$G:$G&lt;=B256)*(('cost master'!$H:$H&gt;=B256)+ISBLANK('cost master'!$H:$H))),1),0)"),3.9)</f>
        <v>3.9</v>
      </c>
      <c r="I256" s="3">
        <f t="shared" si="4"/>
        <v>7.8</v>
      </c>
      <c r="J256" s="27">
        <f t="shared" si="5"/>
        <v>45704</v>
      </c>
      <c r="K256" s="27">
        <f t="shared" si="6"/>
        <v>45731</v>
      </c>
    </row>
    <row r="257" hidden="1">
      <c r="A257" s="3" t="str">
        <f t="shared" si="3"/>
        <v>SL-20250224-Vglobal-CS 007-12</v>
      </c>
      <c r="B257" s="2">
        <f t="array" ref="B257">INDEX(helper!$A$3:$A3996,ROUNDUP((ROW()-1)/COUNTA(helper!$D$3:$D3996),0))</f>
        <v>45712</v>
      </c>
      <c r="C257" s="5" t="str">
        <f t="array" ref="C257">IF(B257="","",INDEX(helper!$D$3:$D3996,MOD(ROW()-2,COUNTA(helper!$D$3:$D3996))+1))</f>
        <v>Vglobal</v>
      </c>
      <c r="D257" s="3" t="str">
        <f t="array" ref="D257">IF(B257="","",INDEX(helper!$E$3:$E3996,MOD(ROW()-2,COUNTA(helper!$D$3:$D3996))+1))</f>
        <v>CS 007</v>
      </c>
      <c r="E257" s="3">
        <f t="array" ref="E257">IF(B257="","",INDEX(helper!$F$3:$F3996,MOD(ROW()-2,COUNTA(helper!$D$3:$D3996))+1))</f>
        <v>12</v>
      </c>
      <c r="F257" s="3">
        <f>IF(B257="","",SUMIFS('inventory ledger'!$H:$H,'inventory ledger'!$C:$C,C257,'inventory ledger'!$D:$D,D257,'inventory ledger'!$E:$E,E257,'inventory ledger'!$A:$A,"&lt;="&amp;B257+TIME(23,59,59))-SUMIFS('inventory ledger'!$I:$I,'inventory ledger'!$C:$C,C257,'inventory ledger'!$D:$D,D257,'inventory ledger'!$E:$E,E257,'inventory ledger'!$A:$A,"&lt;="&amp;B257+TIME(23,59,59)))</f>
        <v>174</v>
      </c>
      <c r="G257" s="3">
        <f>IFERROR(__xludf.DUMMYFUNCTION("IF(F257&lt;=0,0,IFERROR(ROUNDUP(F257/INDEX(FILTER('warehouse config'!$D:$D,('warehouse config'!$B:$B=C257)*('warehouse config'!$C:$C=D257)*('warehouse config'!$G:$G&lt;=B257)*(('warehouse config'!$H:$H&gt;=B257)+ISBLANK('warehouse config'!$H:$H))),1)),0))"),11.0)</f>
        <v>11</v>
      </c>
      <c r="H257" s="3">
        <f>IFERROR(__xludf.DUMMYFUNCTION("IFERROR(INDEX(FILTER('cost master'!$E:$E,('cost master'!$B:$B=C257)*('cost master'!$D:$D=""Storage cost per pallet / week"")*('cost master'!$G:$G&lt;=B257)*(('cost master'!$H:$H&gt;=B257)+ISBLANK('cost master'!$H:$H))),1),0)"),2.6)</f>
        <v>2.6</v>
      </c>
      <c r="I257" s="3">
        <f t="shared" si="4"/>
        <v>28.6</v>
      </c>
      <c r="J257" s="27">
        <f t="shared" si="5"/>
        <v>45704</v>
      </c>
      <c r="K257" s="27">
        <f t="shared" si="6"/>
        <v>45731</v>
      </c>
    </row>
    <row r="258" hidden="1">
      <c r="A258" s="3" t="str">
        <f t="shared" si="3"/>
        <v>SL-20250224-Vglobal-CS 011-12</v>
      </c>
      <c r="B258" s="2">
        <f t="array" ref="B258">INDEX(helper!$A$3:$A3996,ROUNDUP((ROW()-1)/COUNTA(helper!$D$3:$D3996),0))</f>
        <v>45712</v>
      </c>
      <c r="C258" s="5" t="str">
        <f t="array" ref="C258">IF(B258="","",INDEX(helper!$D$3:$D3996,MOD(ROW()-2,COUNTA(helper!$D$3:$D3996))+1))</f>
        <v>Vglobal</v>
      </c>
      <c r="D258" s="3" t="str">
        <f t="array" ref="D258">IF(B258="","",INDEX(helper!$E$3:$E3996,MOD(ROW()-2,COUNTA(helper!$D$3:$D3996))+1))</f>
        <v>CS 011</v>
      </c>
      <c r="E258" s="3">
        <f t="array" ref="E258">IF(B258="","",INDEX(helper!$F$3:$F3996,MOD(ROW()-2,COUNTA(helper!$D$3:$D3996))+1))</f>
        <v>12</v>
      </c>
      <c r="F258" s="3">
        <f>IF(B258="","",SUMIFS('inventory ledger'!$H:$H,'inventory ledger'!$C:$C,C258,'inventory ledger'!$D:$D,D258,'inventory ledger'!$E:$E,E258,'inventory ledger'!$A:$A,"&lt;="&amp;B258+TIME(23,59,59))-SUMIFS('inventory ledger'!$I:$I,'inventory ledger'!$C:$C,C258,'inventory ledger'!$D:$D,D258,'inventory ledger'!$E:$E,E258,'inventory ledger'!$A:$A,"&lt;="&amp;B258+TIME(23,59,59)))</f>
        <v>9</v>
      </c>
      <c r="G258" s="3">
        <f>IFERROR(__xludf.DUMMYFUNCTION("IF(F258&lt;=0,0,IFERROR(ROUNDUP(F258/INDEX(FILTER('warehouse config'!$D:$D,('warehouse config'!$B:$B=C258)*('warehouse config'!$C:$C=D258)*('warehouse config'!$G:$G&lt;=B258)*(('warehouse config'!$H:$H&gt;=B258)+ISBLANK('warehouse config'!$H:$H))),1)),0))"),1.0)</f>
        <v>1</v>
      </c>
      <c r="H258" s="3">
        <f>IFERROR(__xludf.DUMMYFUNCTION("IFERROR(INDEX(FILTER('cost master'!$E:$E,('cost master'!$B:$B=C258)*('cost master'!$D:$D=""Storage cost per pallet / week"")*('cost master'!$G:$G&lt;=B258)*(('cost master'!$H:$H&gt;=B258)+ISBLANK('cost master'!$H:$H))),1),0)"),2.6)</f>
        <v>2.6</v>
      </c>
      <c r="I258" s="3">
        <f t="shared" si="4"/>
        <v>2.6</v>
      </c>
      <c r="J258" s="27">
        <f t="shared" si="5"/>
        <v>45704</v>
      </c>
      <c r="K258" s="27">
        <f t="shared" si="6"/>
        <v>45731</v>
      </c>
    </row>
    <row r="259" hidden="1">
      <c r="A259" s="3" t="str">
        <f t="shared" si="3"/>
        <v>SL-20250224-Vglobal-CS 008-12</v>
      </c>
      <c r="B259" s="2">
        <f t="array" ref="B259">INDEX(helper!$A$3:$A3996,ROUNDUP((ROW()-1)/COUNTA(helper!$D$3:$D3996),0))</f>
        <v>45712</v>
      </c>
      <c r="C259" s="5" t="str">
        <f t="array" ref="C259">IF(B259="","",INDEX(helper!$D$3:$D3996,MOD(ROW()-2,COUNTA(helper!$D$3:$D3996))+1))</f>
        <v>Vglobal</v>
      </c>
      <c r="D259" s="3" t="str">
        <f t="array" ref="D259">IF(B259="","",INDEX(helper!$E$3:$E3996,MOD(ROW()-2,COUNTA(helper!$D$3:$D3996))+1))</f>
        <v>CS 008</v>
      </c>
      <c r="E259" s="3">
        <f t="array" ref="E259">IF(B259="","",INDEX(helper!$F$3:$F3996,MOD(ROW()-2,COUNTA(helper!$D$3:$D3996))+1))</f>
        <v>12</v>
      </c>
      <c r="F259" s="3">
        <f>IF(B259="","",SUMIFS('inventory ledger'!$H:$H,'inventory ledger'!$C:$C,C259,'inventory ledger'!$D:$D,D259,'inventory ledger'!$E:$E,E259,'inventory ledger'!$A:$A,"&lt;="&amp;B259+TIME(23,59,59))-SUMIFS('inventory ledger'!$I:$I,'inventory ledger'!$C:$C,C259,'inventory ledger'!$D:$D,D259,'inventory ledger'!$E:$E,E259,'inventory ledger'!$A:$A,"&lt;="&amp;B259+TIME(23,59,59)))</f>
        <v>15</v>
      </c>
      <c r="G259" s="3">
        <f>IFERROR(__xludf.DUMMYFUNCTION("IF(F259&lt;=0,0,IFERROR(ROUNDUP(F259/INDEX(FILTER('warehouse config'!$D:$D,('warehouse config'!$B:$B=C259)*('warehouse config'!$C:$C=D259)*('warehouse config'!$G:$G&lt;=B259)*(('warehouse config'!$H:$H&gt;=B259)+ISBLANK('warehouse config'!$H:$H))),1)),0))"),1.0)</f>
        <v>1</v>
      </c>
      <c r="H259" s="3">
        <f>IFERROR(__xludf.DUMMYFUNCTION("IFERROR(INDEX(FILTER('cost master'!$E:$E,('cost master'!$B:$B=C259)*('cost master'!$D:$D=""Storage cost per pallet / week"")*('cost master'!$G:$G&lt;=B259)*(('cost master'!$H:$H&gt;=B259)+ISBLANK('cost master'!$H:$H))),1),0)"),2.6)</f>
        <v>2.6</v>
      </c>
      <c r="I259" s="3">
        <f t="shared" si="4"/>
        <v>2.6</v>
      </c>
      <c r="J259" s="27">
        <f t="shared" si="5"/>
        <v>45704</v>
      </c>
      <c r="K259" s="27">
        <f t="shared" si="6"/>
        <v>45731</v>
      </c>
    </row>
    <row r="260" hidden="1">
      <c r="A260" s="3" t="str">
        <f t="shared" si="3"/>
        <v>SL-20250224-Vglobal-CS 010-12</v>
      </c>
      <c r="B260" s="2">
        <f t="array" ref="B260">INDEX(helper!$A$3:$A3996,ROUNDUP((ROW()-1)/COUNTA(helper!$D$3:$D3996),0))</f>
        <v>45712</v>
      </c>
      <c r="C260" s="5" t="str">
        <f t="array" ref="C260">IF(B260="","",INDEX(helper!$D$3:$D3996,MOD(ROW()-2,COUNTA(helper!$D$3:$D3996))+1))</f>
        <v>Vglobal</v>
      </c>
      <c r="D260" s="3" t="str">
        <f t="array" ref="D260">IF(B260="","",INDEX(helper!$E$3:$E3996,MOD(ROW()-2,COUNTA(helper!$D$3:$D3996))+1))</f>
        <v>CS 010</v>
      </c>
      <c r="E260" s="3">
        <f t="array" ref="E260">IF(B260="","",INDEX(helper!$F$3:$F3996,MOD(ROW()-2,COUNTA(helper!$D$3:$D3996))+1))</f>
        <v>12</v>
      </c>
      <c r="F260" s="3">
        <f>IF(B260="","",SUMIFS('inventory ledger'!$H:$H,'inventory ledger'!$C:$C,C260,'inventory ledger'!$D:$D,D260,'inventory ledger'!$E:$E,E260,'inventory ledger'!$A:$A,"&lt;="&amp;B260+TIME(23,59,59))-SUMIFS('inventory ledger'!$I:$I,'inventory ledger'!$C:$C,C260,'inventory ledger'!$D:$D,D260,'inventory ledger'!$E:$E,E260,'inventory ledger'!$A:$A,"&lt;="&amp;B260+TIME(23,59,59)))</f>
        <v>80</v>
      </c>
      <c r="G260" s="3">
        <f>IFERROR(__xludf.DUMMYFUNCTION("IF(F260&lt;=0,0,IFERROR(ROUNDUP(F260/INDEX(FILTER('warehouse config'!$D:$D,('warehouse config'!$B:$B=C260)*('warehouse config'!$C:$C=D260)*('warehouse config'!$G:$G&lt;=B260)*(('warehouse config'!$H:$H&gt;=B260)+ISBLANK('warehouse config'!$H:$H))),1)),0))"),4.0)</f>
        <v>4</v>
      </c>
      <c r="H260" s="3">
        <f>IFERROR(__xludf.DUMMYFUNCTION("IFERROR(INDEX(FILTER('cost master'!$E:$E,('cost master'!$B:$B=C260)*('cost master'!$D:$D=""Storage cost per pallet / week"")*('cost master'!$G:$G&lt;=B260)*(('cost master'!$H:$H&gt;=B260)+ISBLANK('cost master'!$H:$H))),1),0)"),2.6)</f>
        <v>2.6</v>
      </c>
      <c r="I260" s="3">
        <f t="shared" si="4"/>
        <v>10.4</v>
      </c>
      <c r="J260" s="27">
        <f t="shared" si="5"/>
        <v>45704</v>
      </c>
      <c r="K260" s="27">
        <f t="shared" si="6"/>
        <v>45731</v>
      </c>
    </row>
    <row r="261" hidden="1">
      <c r="A261" s="3" t="str">
        <f t="shared" si="3"/>
        <v>SL-20250224-Vglobal-CS 009-12</v>
      </c>
      <c r="B261" s="2">
        <f t="array" ref="B261">INDEX(helper!$A$3:$A3996,ROUNDUP((ROW()-1)/COUNTA(helper!$D$3:$D3996),0))</f>
        <v>45712</v>
      </c>
      <c r="C261" s="5" t="str">
        <f t="array" ref="C261">IF(B261="","",INDEX(helper!$D$3:$D3996,MOD(ROW()-2,COUNTA(helper!$D$3:$D3996))+1))</f>
        <v>Vglobal</v>
      </c>
      <c r="D261" s="3" t="str">
        <f t="array" ref="D261">IF(B261="","",INDEX(helper!$E$3:$E3996,MOD(ROW()-2,COUNTA(helper!$D$3:$D3996))+1))</f>
        <v>CS 009</v>
      </c>
      <c r="E261" s="3">
        <f t="array" ref="E261">IF(B261="","",INDEX(helper!$F$3:$F3996,MOD(ROW()-2,COUNTA(helper!$D$3:$D3996))+1))</f>
        <v>12</v>
      </c>
      <c r="F261" s="3">
        <f>IF(B261="","",SUMIFS('inventory ledger'!$H:$H,'inventory ledger'!$C:$C,C261,'inventory ledger'!$D:$D,D261,'inventory ledger'!$E:$E,E261,'inventory ledger'!$A:$A,"&lt;="&amp;B261+TIME(23,59,59))-SUMIFS('inventory ledger'!$I:$I,'inventory ledger'!$C:$C,C261,'inventory ledger'!$D:$D,D261,'inventory ledger'!$E:$E,E261,'inventory ledger'!$A:$A,"&lt;="&amp;B261+TIME(23,59,59)))</f>
        <v>0</v>
      </c>
      <c r="G261" s="3">
        <f>IFERROR(__xludf.DUMMYFUNCTION("IF(F261&lt;=0,0,IFERROR(ROUNDUP(F261/INDEX(FILTER('warehouse config'!$D:$D,('warehouse config'!$B:$B=C261)*('warehouse config'!$C:$C=D261)*('warehouse config'!$G:$G&lt;=B261)*(('warehouse config'!$H:$H&gt;=B261)+ISBLANK('warehouse config'!$H:$H))),1)),0))"),0.0)</f>
        <v>0</v>
      </c>
      <c r="H261" s="3">
        <f>IFERROR(__xludf.DUMMYFUNCTION("IFERROR(INDEX(FILTER('cost master'!$E:$E,('cost master'!$B:$B=C261)*('cost master'!$D:$D=""Storage cost per pallet / week"")*('cost master'!$G:$G&lt;=B261)*(('cost master'!$H:$H&gt;=B261)+ISBLANK('cost master'!$H:$H))),1),0)"),2.6)</f>
        <v>2.6</v>
      </c>
      <c r="I261" s="3">
        <f t="shared" si="4"/>
        <v>0</v>
      </c>
      <c r="J261" s="27">
        <f t="shared" si="5"/>
        <v>45704</v>
      </c>
      <c r="K261" s="27">
        <f t="shared" si="6"/>
        <v>45731</v>
      </c>
    </row>
    <row r="262" hidden="1">
      <c r="A262" s="3" t="str">
        <f t="shared" si="3"/>
        <v>SL-20250224-Vglobal-CS 012-12</v>
      </c>
      <c r="B262" s="2">
        <f t="array" ref="B262">INDEX(helper!$A$3:$A3996,ROUNDUP((ROW()-1)/COUNTA(helper!$D$3:$D3996),0))</f>
        <v>45712</v>
      </c>
      <c r="C262" s="5" t="str">
        <f t="array" ref="C262">IF(B262="","",INDEX(helper!$D$3:$D3996,MOD(ROW()-2,COUNTA(helper!$D$3:$D3996))+1))</f>
        <v>Vglobal</v>
      </c>
      <c r="D262" s="3" t="str">
        <f t="array" ref="D262">IF(B262="","",INDEX(helper!$E$3:$E3996,MOD(ROW()-2,COUNTA(helper!$D$3:$D3996))+1))</f>
        <v>CS 012</v>
      </c>
      <c r="E262" s="3">
        <f t="array" ref="E262">IF(B262="","",INDEX(helper!$F$3:$F3996,MOD(ROW()-2,COUNTA(helper!$D$3:$D3996))+1))</f>
        <v>12</v>
      </c>
      <c r="F262" s="3">
        <f>IF(B262="","",SUMIFS('inventory ledger'!$H:$H,'inventory ledger'!$C:$C,C262,'inventory ledger'!$D:$D,D262,'inventory ledger'!$E:$E,E262,'inventory ledger'!$A:$A,"&lt;="&amp;B262+TIME(23,59,59))-SUMIFS('inventory ledger'!$I:$I,'inventory ledger'!$C:$C,C262,'inventory ledger'!$D:$D,D262,'inventory ledger'!$E:$E,E262,'inventory ledger'!$A:$A,"&lt;="&amp;B262+TIME(23,59,59)))</f>
        <v>0</v>
      </c>
      <c r="G262" s="3">
        <f>IFERROR(__xludf.DUMMYFUNCTION("IF(F262&lt;=0,0,IFERROR(ROUNDUP(F262/INDEX(FILTER('warehouse config'!$D:$D,('warehouse config'!$B:$B=C262)*('warehouse config'!$C:$C=D262)*('warehouse config'!$G:$G&lt;=B262)*(('warehouse config'!$H:$H&gt;=B262)+ISBLANK('warehouse config'!$H:$H))),1)),0))"),0.0)</f>
        <v>0</v>
      </c>
      <c r="H262" s="3">
        <f>IFERROR(__xludf.DUMMYFUNCTION("IFERROR(INDEX(FILTER('cost master'!$E:$E,('cost master'!$B:$B=C262)*('cost master'!$D:$D=""Storage cost per pallet / week"")*('cost master'!$G:$G&lt;=B262)*(('cost master'!$H:$H&gt;=B262)+ISBLANK('cost master'!$H:$H))),1),0)"),2.6)</f>
        <v>2.6</v>
      </c>
      <c r="I262" s="3">
        <f t="shared" si="4"/>
        <v>0</v>
      </c>
      <c r="J262" s="27">
        <f t="shared" si="5"/>
        <v>45704</v>
      </c>
      <c r="K262" s="27">
        <f t="shared" si="6"/>
        <v>45731</v>
      </c>
    </row>
    <row r="263" hidden="1">
      <c r="A263" s="3" t="str">
        <f t="shared" si="3"/>
        <v>SL-20250224-Vglobal-CS-CDS-001-3</v>
      </c>
      <c r="B263" s="2">
        <f t="array" ref="B263">INDEX(helper!$A$3:$A3996,ROUNDUP((ROW()-1)/COUNTA(helper!$D$3:$D3996),0))</f>
        <v>45712</v>
      </c>
      <c r="C263" s="5" t="str">
        <f t="array" ref="C263">IF(B263="","",INDEX(helper!$D$3:$D3996,MOD(ROW()-2,COUNTA(helper!$D$3:$D3996))+1))</f>
        <v>Vglobal</v>
      </c>
      <c r="D263" s="3" t="str">
        <f t="array" ref="D263">IF(B263="","",INDEX(helper!$E$3:$E3996,MOD(ROW()-2,COUNTA(helper!$D$3:$D3996))+1))</f>
        <v>CS-CDS-001</v>
      </c>
      <c r="E263" s="3">
        <f t="array" ref="E263">IF(B263="","",INDEX(helper!$F$3:$F3996,MOD(ROW()-2,COUNTA(helper!$D$3:$D3996))+1))</f>
        <v>3</v>
      </c>
      <c r="F263" s="3">
        <f>IF(B263="","",SUMIFS('inventory ledger'!$H:$H,'inventory ledger'!$C:$C,C263,'inventory ledger'!$D:$D,D263,'inventory ledger'!$E:$E,E263,'inventory ledger'!$A:$A,"&lt;="&amp;B263+TIME(23,59,59))-SUMIFS('inventory ledger'!$I:$I,'inventory ledger'!$C:$C,C263,'inventory ledger'!$D:$D,D263,'inventory ledger'!$E:$E,E263,'inventory ledger'!$A:$A,"&lt;="&amp;B263+TIME(23,59,59)))</f>
        <v>19</v>
      </c>
      <c r="G263" s="3">
        <f>IFERROR(__xludf.DUMMYFUNCTION("IF(F263&lt;=0,0,IFERROR(ROUNDUP(F263/INDEX(FILTER('warehouse config'!$D:$D,('warehouse config'!$B:$B=C263)*('warehouse config'!$C:$C=D263)*('warehouse config'!$G:$G&lt;=B263)*(('warehouse config'!$H:$H&gt;=B263)+ISBLANK('warehouse config'!$H:$H))),1)),0))"),2.0)</f>
        <v>2</v>
      </c>
      <c r="H263" s="3">
        <f>IFERROR(__xludf.DUMMYFUNCTION("IFERROR(INDEX(FILTER('cost master'!$E:$E,('cost master'!$B:$B=C263)*('cost master'!$D:$D=""Storage cost per pallet / week"")*('cost master'!$G:$G&lt;=B263)*(('cost master'!$H:$H&gt;=B263)+ISBLANK('cost master'!$H:$H))),1),0)"),2.6)</f>
        <v>2.6</v>
      </c>
      <c r="I263" s="3">
        <f t="shared" si="4"/>
        <v>5.2</v>
      </c>
      <c r="J263" s="27">
        <f t="shared" si="5"/>
        <v>45704</v>
      </c>
      <c r="K263" s="27">
        <f t="shared" si="6"/>
        <v>45731</v>
      </c>
    </row>
    <row r="264" hidden="1">
      <c r="A264" s="3" t="str">
        <f t="shared" si="3"/>
        <v>SL-20250224-Vglobal-CS-CDS-002-3</v>
      </c>
      <c r="B264" s="2">
        <f t="array" ref="B264">INDEX(helper!$A$3:$A3996,ROUNDUP((ROW()-1)/COUNTA(helper!$D$3:$D3996),0))</f>
        <v>45712</v>
      </c>
      <c r="C264" s="5" t="str">
        <f t="array" ref="C264">IF(B264="","",INDEX(helper!$D$3:$D3996,MOD(ROW()-2,COUNTA(helper!$D$3:$D3996))+1))</f>
        <v>Vglobal</v>
      </c>
      <c r="D264" s="3" t="str">
        <f t="array" ref="D264">IF(B264="","",INDEX(helper!$E$3:$E3996,MOD(ROW()-2,COUNTA(helper!$D$3:$D3996))+1))</f>
        <v>CS-CDS-002</v>
      </c>
      <c r="E264" s="3">
        <f t="array" ref="E264">IF(B264="","",INDEX(helper!$F$3:$F3996,MOD(ROW()-2,COUNTA(helper!$D$3:$D3996))+1))</f>
        <v>3</v>
      </c>
      <c r="F264" s="3">
        <f>IF(B264="","",SUMIFS('inventory ledger'!$H:$H,'inventory ledger'!$C:$C,C264,'inventory ledger'!$D:$D,D264,'inventory ledger'!$E:$E,E264,'inventory ledger'!$A:$A,"&lt;="&amp;B264+TIME(23,59,59))-SUMIFS('inventory ledger'!$I:$I,'inventory ledger'!$C:$C,C264,'inventory ledger'!$D:$D,D264,'inventory ledger'!$E:$E,E264,'inventory ledger'!$A:$A,"&lt;="&amp;B264+TIME(23,59,59)))</f>
        <v>0</v>
      </c>
      <c r="G264" s="3">
        <f>IFERROR(__xludf.DUMMYFUNCTION("IF(F264&lt;=0,0,IFERROR(ROUNDUP(F264/INDEX(FILTER('warehouse config'!$D:$D,('warehouse config'!$B:$B=C264)*('warehouse config'!$C:$C=D264)*('warehouse config'!$G:$G&lt;=B264)*(('warehouse config'!$H:$H&gt;=B264)+ISBLANK('warehouse config'!$H:$H))),1)),0))"),0.0)</f>
        <v>0</v>
      </c>
      <c r="H264" s="3">
        <f>IFERROR(__xludf.DUMMYFUNCTION("IFERROR(INDEX(FILTER('cost master'!$E:$E,('cost master'!$B:$B=C264)*('cost master'!$D:$D=""Storage cost per pallet / week"")*('cost master'!$G:$G&lt;=B264)*(('cost master'!$H:$H&gt;=B264)+ISBLANK('cost master'!$H:$H))),1),0)"),2.6)</f>
        <v>2.6</v>
      </c>
      <c r="I264" s="3">
        <f t="shared" si="4"/>
        <v>0</v>
      </c>
      <c r="J264" s="27">
        <f t="shared" si="5"/>
        <v>45704</v>
      </c>
      <c r="K264" s="27">
        <f t="shared" si="6"/>
        <v>45731</v>
      </c>
    </row>
    <row r="265" hidden="1">
      <c r="A265" s="3" t="str">
        <f t="shared" si="3"/>
        <v>SL-20250224-4as-CS-CDS-001-4</v>
      </c>
      <c r="B265" s="2">
        <f t="array" ref="B265">INDEX(helper!$A$3:$A3996,ROUNDUP((ROW()-1)/COUNTA(helper!$D$3:$D3996),0))</f>
        <v>45712</v>
      </c>
      <c r="C265" s="5" t="str">
        <f t="array" ref="C265">IF(B265="","",INDEX(helper!$D$3:$D3996,MOD(ROW()-2,COUNTA(helper!$D$3:$D3996))+1))</f>
        <v>4as</v>
      </c>
      <c r="D265" s="3" t="str">
        <f t="array" ref="D265">IF(B265="","",INDEX(helper!$E$3:$E3996,MOD(ROW()-2,COUNTA(helper!$D$3:$D3996))+1))</f>
        <v>CS-CDS-001</v>
      </c>
      <c r="E265" s="3">
        <f t="array" ref="E265">IF(B265="","",INDEX(helper!$F$3:$F3996,MOD(ROW()-2,COUNTA(helper!$D$3:$D3996))+1))</f>
        <v>4</v>
      </c>
      <c r="F265" s="3">
        <f>IF(B265="","",SUMIFS('inventory ledger'!$H:$H,'inventory ledger'!$C:$C,C265,'inventory ledger'!$D:$D,D265,'inventory ledger'!$E:$E,E265,'inventory ledger'!$A:$A,"&lt;="&amp;B265+TIME(23,59,59))-SUMIFS('inventory ledger'!$I:$I,'inventory ledger'!$C:$C,C265,'inventory ledger'!$D:$D,D265,'inventory ledger'!$E:$E,E265,'inventory ledger'!$A:$A,"&lt;="&amp;B265+TIME(23,59,59)))</f>
        <v>91</v>
      </c>
      <c r="G265" s="3">
        <f>IFERROR(__xludf.DUMMYFUNCTION("IF(F265&lt;=0,0,IFERROR(ROUNDUP(F265/INDEX(FILTER('warehouse config'!$D:$D,('warehouse config'!$B:$B=C265)*('warehouse config'!$C:$C=D265)*('warehouse config'!$G:$G&lt;=B265)*(('warehouse config'!$H:$H&gt;=B265)+ISBLANK('warehouse config'!$H:$H))),1)),0))"),5.0)</f>
        <v>5</v>
      </c>
      <c r="H265" s="3">
        <f>IFERROR(__xludf.DUMMYFUNCTION("IFERROR(INDEX(FILTER('cost master'!$E:$E,('cost master'!$B:$B=C265)*('cost master'!$D:$D=""Storage cost per pallet / week"")*('cost master'!$G:$G&lt;=B265)*(('cost master'!$H:$H&gt;=B265)+ISBLANK('cost master'!$H:$H))),1),0)"),9.0)</f>
        <v>9</v>
      </c>
      <c r="I265" s="3">
        <f t="shared" si="4"/>
        <v>45</v>
      </c>
      <c r="J265" s="27">
        <f t="shared" si="5"/>
        <v>45704</v>
      </c>
      <c r="K265" s="27">
        <f t="shared" si="6"/>
        <v>45731</v>
      </c>
    </row>
    <row r="266" hidden="1">
      <c r="A266" s="3" t="str">
        <f t="shared" si="3"/>
        <v>SL-20250224-4as-CS-CDS-002-4</v>
      </c>
      <c r="B266" s="2">
        <f t="array" ref="B266">INDEX(helper!$A$3:$A3996,ROUNDUP((ROW()-1)/COUNTA(helper!$D$3:$D3996),0))</f>
        <v>45712</v>
      </c>
      <c r="C266" s="5" t="str">
        <f t="array" ref="C266">IF(B266="","",INDEX(helper!$D$3:$D3996,MOD(ROW()-2,COUNTA(helper!$D$3:$D3996))+1))</f>
        <v>4as</v>
      </c>
      <c r="D266" s="3" t="str">
        <f t="array" ref="D266">IF(B266="","",INDEX(helper!$E$3:$E3996,MOD(ROW()-2,COUNTA(helper!$D$3:$D3996))+1))</f>
        <v>CS-CDS-002</v>
      </c>
      <c r="E266" s="3">
        <f t="array" ref="E266">IF(B266="","",INDEX(helper!$F$3:$F3996,MOD(ROW()-2,COUNTA(helper!$D$3:$D3996))+1))</f>
        <v>4</v>
      </c>
      <c r="F266" s="3">
        <f>IF(B266="","",SUMIFS('inventory ledger'!$H:$H,'inventory ledger'!$C:$C,C266,'inventory ledger'!$D:$D,D266,'inventory ledger'!$E:$E,E266,'inventory ledger'!$A:$A,"&lt;="&amp;B266+TIME(23,59,59))-SUMIFS('inventory ledger'!$I:$I,'inventory ledger'!$C:$C,C266,'inventory ledger'!$D:$D,D266,'inventory ledger'!$E:$E,E266,'inventory ledger'!$A:$A,"&lt;="&amp;B266+TIME(23,59,59)))</f>
        <v>159</v>
      </c>
      <c r="G266" s="3">
        <f>IFERROR(__xludf.DUMMYFUNCTION("IF(F266&lt;=0,0,IFERROR(ROUNDUP(F266/INDEX(FILTER('warehouse config'!$D:$D,('warehouse config'!$B:$B=C266)*('warehouse config'!$C:$C=D266)*('warehouse config'!$G:$G&lt;=B266)*(('warehouse config'!$H:$H&gt;=B266)+ISBLANK('warehouse config'!$H:$H))),1)),0))"),8.0)</f>
        <v>8</v>
      </c>
      <c r="H266" s="3">
        <f>IFERROR(__xludf.DUMMYFUNCTION("IFERROR(INDEX(FILTER('cost master'!$E:$E,('cost master'!$B:$B=C266)*('cost master'!$D:$D=""Storage cost per pallet / week"")*('cost master'!$G:$G&lt;=B266)*(('cost master'!$H:$H&gt;=B266)+ISBLANK('cost master'!$H:$H))),1),0)"),9.0)</f>
        <v>9</v>
      </c>
      <c r="I266" s="3">
        <f t="shared" si="4"/>
        <v>72</v>
      </c>
      <c r="J266" s="27">
        <f t="shared" si="5"/>
        <v>45704</v>
      </c>
      <c r="K266" s="27">
        <f t="shared" si="6"/>
        <v>45731</v>
      </c>
    </row>
    <row r="267" hidden="1">
      <c r="A267" s="3" t="str">
        <f t="shared" si="3"/>
        <v>SL-20250224-Vglobal-CS 007-13</v>
      </c>
      <c r="B267" s="2">
        <f t="array" ref="B267">INDEX(helper!$A$3:$A3996,ROUNDUP((ROW()-1)/COUNTA(helper!$D$3:$D3996),0))</f>
        <v>45712</v>
      </c>
      <c r="C267" s="5" t="str">
        <f t="array" ref="C267">IF(B267="","",INDEX(helper!$D$3:$D3996,MOD(ROW()-2,COUNTA(helper!$D$3:$D3996))+1))</f>
        <v>Vglobal</v>
      </c>
      <c r="D267" s="3" t="str">
        <f t="array" ref="D267">IF(B267="","",INDEX(helper!$E$3:$E3996,MOD(ROW()-2,COUNTA(helper!$D$3:$D3996))+1))</f>
        <v>CS 007</v>
      </c>
      <c r="E267" s="3">
        <f t="array" ref="E267">IF(B267="","",INDEX(helper!$F$3:$F3996,MOD(ROW()-2,COUNTA(helper!$D$3:$D3996))+1))</f>
        <v>13</v>
      </c>
      <c r="F267" s="3">
        <f>IF(B267="","",SUMIFS('inventory ledger'!$H:$H,'inventory ledger'!$C:$C,C267,'inventory ledger'!$D:$D,D267,'inventory ledger'!$E:$E,E267,'inventory ledger'!$A:$A,"&lt;="&amp;B267+TIME(23,59,59))-SUMIFS('inventory ledger'!$I:$I,'inventory ledger'!$C:$C,C267,'inventory ledger'!$D:$D,D267,'inventory ledger'!$E:$E,E267,'inventory ledger'!$A:$A,"&lt;="&amp;B267+TIME(23,59,59)))</f>
        <v>285</v>
      </c>
      <c r="G267" s="3">
        <f>IFERROR(__xludf.DUMMYFUNCTION("IF(F267&lt;=0,0,IFERROR(ROUNDUP(F267/INDEX(FILTER('warehouse config'!$D:$D,('warehouse config'!$B:$B=C267)*('warehouse config'!$C:$C=D267)*('warehouse config'!$G:$G&lt;=B267)*(('warehouse config'!$H:$H&gt;=B267)+ISBLANK('warehouse config'!$H:$H))),1)),0))"),18.0)</f>
        <v>18</v>
      </c>
      <c r="H267" s="3">
        <f>IFERROR(__xludf.DUMMYFUNCTION("IFERROR(INDEX(FILTER('cost master'!$E:$E,('cost master'!$B:$B=C267)*('cost master'!$D:$D=""Storage cost per pallet / week"")*('cost master'!$G:$G&lt;=B267)*(('cost master'!$H:$H&gt;=B267)+ISBLANK('cost master'!$H:$H))),1),0)"),2.6)</f>
        <v>2.6</v>
      </c>
      <c r="I267" s="3">
        <f t="shared" si="4"/>
        <v>46.8</v>
      </c>
      <c r="J267" s="27">
        <f t="shared" si="5"/>
        <v>45704</v>
      </c>
      <c r="K267" s="27">
        <f t="shared" si="6"/>
        <v>45731</v>
      </c>
    </row>
    <row r="268" hidden="1">
      <c r="A268" s="3" t="str">
        <f t="shared" si="3"/>
        <v>SL-20250224-Vglobal-CS 011-13</v>
      </c>
      <c r="B268" s="2">
        <f t="array" ref="B268">INDEX(helper!$A$3:$A3996,ROUNDUP((ROW()-1)/COUNTA(helper!$D$3:$D3996),0))</f>
        <v>45712</v>
      </c>
      <c r="C268" s="5" t="str">
        <f t="array" ref="C268">IF(B268="","",INDEX(helper!$D$3:$D3996,MOD(ROW()-2,COUNTA(helper!$D$3:$D3996))+1))</f>
        <v>Vglobal</v>
      </c>
      <c r="D268" s="3" t="str">
        <f t="array" ref="D268">IF(B268="","",INDEX(helper!$E$3:$E3996,MOD(ROW()-2,COUNTA(helper!$D$3:$D3996))+1))</f>
        <v>CS 011</v>
      </c>
      <c r="E268" s="3">
        <f t="array" ref="E268">IF(B268="","",INDEX(helper!$F$3:$F3996,MOD(ROW()-2,COUNTA(helper!$D$3:$D3996))+1))</f>
        <v>13</v>
      </c>
      <c r="F268" s="3">
        <f>IF(B268="","",SUMIFS('inventory ledger'!$H:$H,'inventory ledger'!$C:$C,C268,'inventory ledger'!$D:$D,D268,'inventory ledger'!$E:$E,E268,'inventory ledger'!$A:$A,"&lt;="&amp;B268+TIME(23,59,59))-SUMIFS('inventory ledger'!$I:$I,'inventory ledger'!$C:$C,C268,'inventory ledger'!$D:$D,D268,'inventory ledger'!$E:$E,E268,'inventory ledger'!$A:$A,"&lt;="&amp;B268+TIME(23,59,59)))</f>
        <v>175</v>
      </c>
      <c r="G268" s="3">
        <f>IFERROR(__xludf.DUMMYFUNCTION("IF(F268&lt;=0,0,IFERROR(ROUNDUP(F268/INDEX(FILTER('warehouse config'!$D:$D,('warehouse config'!$B:$B=C268)*('warehouse config'!$C:$C=D268)*('warehouse config'!$G:$G&lt;=B268)*(('warehouse config'!$H:$H&gt;=B268)+ISBLANK('warehouse config'!$H:$H))),1)),0))"),9.0)</f>
        <v>9</v>
      </c>
      <c r="H268" s="3">
        <f>IFERROR(__xludf.DUMMYFUNCTION("IFERROR(INDEX(FILTER('cost master'!$E:$E,('cost master'!$B:$B=C268)*('cost master'!$D:$D=""Storage cost per pallet / week"")*('cost master'!$G:$G&lt;=B268)*(('cost master'!$H:$H&gt;=B268)+ISBLANK('cost master'!$H:$H))),1),0)"),2.6)</f>
        <v>2.6</v>
      </c>
      <c r="I268" s="3">
        <f t="shared" si="4"/>
        <v>23.4</v>
      </c>
      <c r="J268" s="27">
        <f t="shared" si="5"/>
        <v>45704</v>
      </c>
      <c r="K268" s="27">
        <f t="shared" si="6"/>
        <v>45731</v>
      </c>
    </row>
    <row r="269" hidden="1">
      <c r="A269" s="3" t="str">
        <f t="shared" si="3"/>
        <v>SL-20250224-Vglobal-CS 008-13</v>
      </c>
      <c r="B269" s="2">
        <f t="array" ref="B269">INDEX(helper!$A$3:$A3996,ROUNDUP((ROW()-1)/COUNTA(helper!$D$3:$D3996),0))</f>
        <v>45712</v>
      </c>
      <c r="C269" s="5" t="str">
        <f t="array" ref="C269">IF(B269="","",INDEX(helper!$D$3:$D3996,MOD(ROW()-2,COUNTA(helper!$D$3:$D3996))+1))</f>
        <v>Vglobal</v>
      </c>
      <c r="D269" s="3" t="str">
        <f t="array" ref="D269">IF(B269="","",INDEX(helper!$E$3:$E3996,MOD(ROW()-2,COUNTA(helper!$D$3:$D3996))+1))</f>
        <v>CS 008</v>
      </c>
      <c r="E269" s="3">
        <f t="array" ref="E269">IF(B269="","",INDEX(helper!$F$3:$F3996,MOD(ROW()-2,COUNTA(helper!$D$3:$D3996))+1))</f>
        <v>13</v>
      </c>
      <c r="F269" s="3">
        <f>IF(B269="","",SUMIFS('inventory ledger'!$H:$H,'inventory ledger'!$C:$C,C269,'inventory ledger'!$D:$D,D269,'inventory ledger'!$E:$E,E269,'inventory ledger'!$A:$A,"&lt;="&amp;B269+TIME(23,59,59))-SUMIFS('inventory ledger'!$I:$I,'inventory ledger'!$C:$C,C269,'inventory ledger'!$D:$D,D269,'inventory ledger'!$E:$E,E269,'inventory ledger'!$A:$A,"&lt;="&amp;B269+TIME(23,59,59)))</f>
        <v>20</v>
      </c>
      <c r="G269" s="3">
        <f>IFERROR(__xludf.DUMMYFUNCTION("IF(F269&lt;=0,0,IFERROR(ROUNDUP(F269/INDEX(FILTER('warehouse config'!$D:$D,('warehouse config'!$B:$B=C269)*('warehouse config'!$C:$C=D269)*('warehouse config'!$G:$G&lt;=B269)*(('warehouse config'!$H:$H&gt;=B269)+ISBLANK('warehouse config'!$H:$H))),1)),0))"),1.0)</f>
        <v>1</v>
      </c>
      <c r="H269" s="3">
        <f>IFERROR(__xludf.DUMMYFUNCTION("IFERROR(INDEX(FILTER('cost master'!$E:$E,('cost master'!$B:$B=C269)*('cost master'!$D:$D=""Storage cost per pallet / week"")*('cost master'!$G:$G&lt;=B269)*(('cost master'!$H:$H&gt;=B269)+ISBLANK('cost master'!$H:$H))),1),0)"),2.6)</f>
        <v>2.6</v>
      </c>
      <c r="I269" s="3">
        <f t="shared" si="4"/>
        <v>2.6</v>
      </c>
      <c r="J269" s="27">
        <f t="shared" si="5"/>
        <v>45704</v>
      </c>
      <c r="K269" s="27">
        <f t="shared" si="6"/>
        <v>45731</v>
      </c>
    </row>
    <row r="270" hidden="1">
      <c r="A270" s="3" t="str">
        <f t="shared" si="3"/>
        <v>SL-20250224-Vglobal-CS 010-13</v>
      </c>
      <c r="B270" s="2">
        <f t="array" ref="B270">INDEX(helper!$A$3:$A3996,ROUNDUP((ROW()-1)/COUNTA(helper!$D$3:$D3996),0))</f>
        <v>45712</v>
      </c>
      <c r="C270" s="5" t="str">
        <f t="array" ref="C270">IF(B270="","",INDEX(helper!$D$3:$D3996,MOD(ROW()-2,COUNTA(helper!$D$3:$D3996))+1))</f>
        <v>Vglobal</v>
      </c>
      <c r="D270" s="3" t="str">
        <f t="array" ref="D270">IF(B270="","",INDEX(helper!$E$3:$E3996,MOD(ROW()-2,COUNTA(helper!$D$3:$D3996))+1))</f>
        <v>CS 010</v>
      </c>
      <c r="E270" s="3">
        <f t="array" ref="E270">IF(B270="","",INDEX(helper!$F$3:$F3996,MOD(ROW()-2,COUNTA(helper!$D$3:$D3996))+1))</f>
        <v>13</v>
      </c>
      <c r="F270" s="3">
        <f>IF(B270="","",SUMIFS('inventory ledger'!$H:$H,'inventory ledger'!$C:$C,C270,'inventory ledger'!$D:$D,D270,'inventory ledger'!$E:$E,E270,'inventory ledger'!$A:$A,"&lt;="&amp;B270+TIME(23,59,59))-SUMIFS('inventory ledger'!$I:$I,'inventory ledger'!$C:$C,C270,'inventory ledger'!$D:$D,D270,'inventory ledger'!$E:$E,E270,'inventory ledger'!$A:$A,"&lt;="&amp;B270+TIME(23,59,59)))</f>
        <v>80</v>
      </c>
      <c r="G270" s="3">
        <f>IFERROR(__xludf.DUMMYFUNCTION("IF(F270&lt;=0,0,IFERROR(ROUNDUP(F270/INDEX(FILTER('warehouse config'!$D:$D,('warehouse config'!$B:$B=C270)*('warehouse config'!$C:$C=D270)*('warehouse config'!$G:$G&lt;=B270)*(('warehouse config'!$H:$H&gt;=B270)+ISBLANK('warehouse config'!$H:$H))),1)),0))"),4.0)</f>
        <v>4</v>
      </c>
      <c r="H270" s="3">
        <f>IFERROR(__xludf.DUMMYFUNCTION("IFERROR(INDEX(FILTER('cost master'!$E:$E,('cost master'!$B:$B=C270)*('cost master'!$D:$D=""Storage cost per pallet / week"")*('cost master'!$G:$G&lt;=B270)*(('cost master'!$H:$H&gt;=B270)+ISBLANK('cost master'!$H:$H))),1),0)"),2.6)</f>
        <v>2.6</v>
      </c>
      <c r="I270" s="3">
        <f t="shared" si="4"/>
        <v>10.4</v>
      </c>
      <c r="J270" s="27">
        <f t="shared" si="5"/>
        <v>45704</v>
      </c>
      <c r="K270" s="27">
        <f t="shared" si="6"/>
        <v>45731</v>
      </c>
    </row>
    <row r="271" hidden="1">
      <c r="A271" s="3" t="str">
        <f t="shared" si="3"/>
        <v>SL-20250224-Vglobal-CS 009-13</v>
      </c>
      <c r="B271" s="2">
        <f t="array" ref="B271">INDEX(helper!$A$3:$A3996,ROUNDUP((ROW()-1)/COUNTA(helper!$D$3:$D3996),0))</f>
        <v>45712</v>
      </c>
      <c r="C271" s="5" t="str">
        <f t="array" ref="C271">IF(B271="","",INDEX(helper!$D$3:$D3996,MOD(ROW()-2,COUNTA(helper!$D$3:$D3996))+1))</f>
        <v>Vglobal</v>
      </c>
      <c r="D271" s="3" t="str">
        <f t="array" ref="D271">IF(B271="","",INDEX(helper!$E$3:$E3996,MOD(ROW()-2,COUNTA(helper!$D$3:$D3996))+1))</f>
        <v>CS 009</v>
      </c>
      <c r="E271" s="3">
        <f t="array" ref="E271">IF(B271="","",INDEX(helper!$F$3:$F3996,MOD(ROW()-2,COUNTA(helper!$D$3:$D3996))+1))</f>
        <v>13</v>
      </c>
      <c r="F271" s="3">
        <f>IF(B271="","",SUMIFS('inventory ledger'!$H:$H,'inventory ledger'!$C:$C,C271,'inventory ledger'!$D:$D,D271,'inventory ledger'!$E:$E,E271,'inventory ledger'!$A:$A,"&lt;="&amp;B271+TIME(23,59,59))-SUMIFS('inventory ledger'!$I:$I,'inventory ledger'!$C:$C,C271,'inventory ledger'!$D:$D,D271,'inventory ledger'!$E:$E,E271,'inventory ledger'!$A:$A,"&lt;="&amp;B271+TIME(23,59,59)))</f>
        <v>84</v>
      </c>
      <c r="G271" s="3">
        <f>IFERROR(__xludf.DUMMYFUNCTION("IF(F271&lt;=0,0,IFERROR(ROUNDUP(F271/INDEX(FILTER('warehouse config'!$D:$D,('warehouse config'!$B:$B=C271)*('warehouse config'!$C:$C=D271)*('warehouse config'!$G:$G&lt;=B271)*(('warehouse config'!$H:$H&gt;=B271)+ISBLANK('warehouse config'!$H:$H))),1)),0))"),6.0)</f>
        <v>6</v>
      </c>
      <c r="H271" s="3">
        <f>IFERROR(__xludf.DUMMYFUNCTION("IFERROR(INDEX(FILTER('cost master'!$E:$E,('cost master'!$B:$B=C271)*('cost master'!$D:$D=""Storage cost per pallet / week"")*('cost master'!$G:$G&lt;=B271)*(('cost master'!$H:$H&gt;=B271)+ISBLANK('cost master'!$H:$H))),1),0)"),2.6)</f>
        <v>2.6</v>
      </c>
      <c r="I271" s="3">
        <f t="shared" si="4"/>
        <v>15.6</v>
      </c>
      <c r="J271" s="27">
        <f t="shared" si="5"/>
        <v>45704</v>
      </c>
      <c r="K271" s="27">
        <f t="shared" si="6"/>
        <v>45731</v>
      </c>
    </row>
    <row r="272" hidden="1">
      <c r="A272" s="3" t="str">
        <f t="shared" si="3"/>
        <v>SL-20250224-Vglobal-CS 012-13</v>
      </c>
      <c r="B272" s="2">
        <f t="array" ref="B272">INDEX(helper!$A$3:$A3996,ROUNDUP((ROW()-1)/COUNTA(helper!$D$3:$D3996),0))</f>
        <v>45712</v>
      </c>
      <c r="C272" s="5" t="str">
        <f t="array" ref="C272">IF(B272="","",INDEX(helper!$D$3:$D3996,MOD(ROW()-2,COUNTA(helper!$D$3:$D3996))+1))</f>
        <v>Vglobal</v>
      </c>
      <c r="D272" s="3" t="str">
        <f t="array" ref="D272">IF(B272="","",INDEX(helper!$E$3:$E3996,MOD(ROW()-2,COUNTA(helper!$D$3:$D3996))+1))</f>
        <v>CS 012</v>
      </c>
      <c r="E272" s="3">
        <f t="array" ref="E272">IF(B272="","",INDEX(helper!$F$3:$F3996,MOD(ROW()-2,COUNTA(helper!$D$3:$D3996))+1))</f>
        <v>13</v>
      </c>
      <c r="F272" s="3">
        <f>IF(B272="","",SUMIFS('inventory ledger'!$H:$H,'inventory ledger'!$C:$C,C272,'inventory ledger'!$D:$D,D272,'inventory ledger'!$E:$E,E272,'inventory ledger'!$A:$A,"&lt;="&amp;B272+TIME(23,59,59))-SUMIFS('inventory ledger'!$I:$I,'inventory ledger'!$C:$C,C272,'inventory ledger'!$D:$D,D272,'inventory ledger'!$E:$E,E272,'inventory ledger'!$A:$A,"&lt;="&amp;B272+TIME(23,59,59)))</f>
        <v>41</v>
      </c>
      <c r="G272" s="3">
        <f>IFERROR(__xludf.DUMMYFUNCTION("IF(F272&lt;=0,0,IFERROR(ROUNDUP(F272/INDEX(FILTER('warehouse config'!$D:$D,('warehouse config'!$B:$B=C272)*('warehouse config'!$C:$C=D272)*('warehouse config'!$G:$G&lt;=B272)*(('warehouse config'!$H:$H&gt;=B272)+ISBLANK('warehouse config'!$H:$H))),1)),0))"),3.0)</f>
        <v>3</v>
      </c>
      <c r="H272" s="3">
        <f>IFERROR(__xludf.DUMMYFUNCTION("IFERROR(INDEX(FILTER('cost master'!$E:$E,('cost master'!$B:$B=C272)*('cost master'!$D:$D=""Storage cost per pallet / week"")*('cost master'!$G:$G&lt;=B272)*(('cost master'!$H:$H&gt;=B272)+ISBLANK('cost master'!$H:$H))),1),0)"),2.6)</f>
        <v>2.6</v>
      </c>
      <c r="I272" s="3">
        <f t="shared" si="4"/>
        <v>7.8</v>
      </c>
      <c r="J272" s="27">
        <f t="shared" si="5"/>
        <v>45704</v>
      </c>
      <c r="K272" s="27">
        <f t="shared" si="6"/>
        <v>45731</v>
      </c>
    </row>
    <row r="273" hidden="1">
      <c r="A273" s="3" t="str">
        <f t="shared" si="3"/>
        <v>SL-20250224-FMC-CS 008-11</v>
      </c>
      <c r="B273" s="2">
        <f t="array" ref="B273">INDEX(helper!$A$3:$A3996,ROUNDUP((ROW()-1)/COUNTA(helper!$D$3:$D3996),0))</f>
        <v>45712</v>
      </c>
      <c r="C273" s="5" t="str">
        <f t="array" ref="C273">IF(B273="","",INDEX(helper!$D$3:$D3996,MOD(ROW()-2,COUNTA(helper!$D$3:$D3996))+1))</f>
        <v>FMC</v>
      </c>
      <c r="D273" s="3" t="str">
        <f t="array" ref="D273">IF(B273="","",INDEX(helper!$E$3:$E3996,MOD(ROW()-2,COUNTA(helper!$D$3:$D3996))+1))</f>
        <v>CS 008</v>
      </c>
      <c r="E273" s="3">
        <f t="array" ref="E273">IF(B273="","",INDEX(helper!$F$3:$F3996,MOD(ROW()-2,COUNTA(helper!$D$3:$D3996))+1))</f>
        <v>11</v>
      </c>
      <c r="F273" s="3">
        <f>IF(B273="","",SUMIFS('inventory ledger'!$H:$H,'inventory ledger'!$C:$C,C273,'inventory ledger'!$D:$D,D273,'inventory ledger'!$E:$E,E273,'inventory ledger'!$A:$A,"&lt;="&amp;B273+TIME(23,59,59))-SUMIFS('inventory ledger'!$I:$I,'inventory ledger'!$C:$C,C273,'inventory ledger'!$D:$D,D273,'inventory ledger'!$E:$E,E273,'inventory ledger'!$A:$A,"&lt;="&amp;B273+TIME(23,59,59)))</f>
        <v>0</v>
      </c>
      <c r="G273" s="3">
        <f>IFERROR(__xludf.DUMMYFUNCTION("IF(F273&lt;=0,0,IFERROR(ROUNDUP(F273/INDEX(FILTER('warehouse config'!$D:$D,('warehouse config'!$B:$B=C273)*('warehouse config'!$C:$C=D273)*('warehouse config'!$G:$G&lt;=B273)*(('warehouse config'!$H:$H&gt;=B273)+ISBLANK('warehouse config'!$H:$H))),1)),0))"),0.0)</f>
        <v>0</v>
      </c>
      <c r="H273" s="3">
        <f>IFERROR(__xludf.DUMMYFUNCTION("IFERROR(INDEX(FILTER('cost master'!$E:$E,('cost master'!$B:$B=C273)*('cost master'!$D:$D=""Storage cost per pallet / week"")*('cost master'!$G:$G&lt;=B273)*(('cost master'!$H:$H&gt;=B273)+ISBLANK('cost master'!$H:$H))),1),0)"),3.9)</f>
        <v>3.9</v>
      </c>
      <c r="I273" s="3">
        <f t="shared" si="4"/>
        <v>0</v>
      </c>
      <c r="J273" s="27">
        <f t="shared" si="5"/>
        <v>45704</v>
      </c>
      <c r="K273" s="27">
        <f t="shared" si="6"/>
        <v>45731</v>
      </c>
    </row>
    <row r="274" hidden="1">
      <c r="A274" s="3" t="str">
        <f t="shared" si="3"/>
        <v>SL-20250303-FMC-CS 007-8</v>
      </c>
      <c r="B274" s="2">
        <f t="array" ref="B274">INDEX(helper!$A$3:$A3996,ROUNDUP((ROW()-1)/COUNTA(helper!$D$3:$D3996),0))</f>
        <v>45719</v>
      </c>
      <c r="C274" s="5" t="str">
        <f t="array" ref="C274">IF(B274="","",INDEX(helper!$D$3:$D3996,MOD(ROW()-2,COUNTA(helper!$D$3:$D3996))+1))</f>
        <v>FMC</v>
      </c>
      <c r="D274" s="3" t="str">
        <f t="array" ref="D274">IF(B274="","",INDEX(helper!$E$3:$E3996,MOD(ROW()-2,COUNTA(helper!$D$3:$D3996))+1))</f>
        <v>CS 007</v>
      </c>
      <c r="E274" s="3">
        <f t="array" ref="E274">IF(B274="","",INDEX(helper!$F$3:$F3996,MOD(ROW()-2,COUNTA(helper!$D$3:$D3996))+1))</f>
        <v>8</v>
      </c>
      <c r="F274" s="3">
        <f>IF(B274="","",SUMIFS('inventory ledger'!$H:$H,'inventory ledger'!$C:$C,C274,'inventory ledger'!$D:$D,D274,'inventory ledger'!$E:$E,E274,'inventory ledger'!$A:$A,"&lt;="&amp;B274+TIME(23,59,59))-SUMIFS('inventory ledger'!$I:$I,'inventory ledger'!$C:$C,C274,'inventory ledger'!$D:$D,D274,'inventory ledger'!$E:$E,E274,'inventory ledger'!$A:$A,"&lt;="&amp;B274+TIME(23,59,59)))</f>
        <v>0</v>
      </c>
      <c r="G274" s="3">
        <f>IFERROR(__xludf.DUMMYFUNCTION("IF(F274&lt;=0,0,IFERROR(ROUNDUP(F274/INDEX(FILTER('warehouse config'!$D:$D,('warehouse config'!$B:$B=C274)*('warehouse config'!$C:$C=D274)*('warehouse config'!$G:$G&lt;=B274)*(('warehouse config'!$H:$H&gt;=B274)+ISBLANK('warehouse config'!$H:$H))),1)),0))"),0.0)</f>
        <v>0</v>
      </c>
      <c r="H274" s="3">
        <f>IFERROR(__xludf.DUMMYFUNCTION("IFERROR(INDEX(FILTER('cost master'!$E:$E,('cost master'!$B:$B=C274)*('cost master'!$D:$D=""Storage cost per pallet / week"")*('cost master'!$G:$G&lt;=B274)*(('cost master'!$H:$H&gt;=B274)+ISBLANK('cost master'!$H:$H))),1),0)"),3.9)</f>
        <v>3.9</v>
      </c>
      <c r="I274" s="3">
        <f t="shared" si="4"/>
        <v>0</v>
      </c>
      <c r="J274" s="27">
        <f t="shared" si="5"/>
        <v>45704</v>
      </c>
      <c r="K274" s="27">
        <f t="shared" si="6"/>
        <v>45731</v>
      </c>
    </row>
    <row r="275" hidden="1">
      <c r="A275" s="3" t="str">
        <f t="shared" si="3"/>
        <v>SL-20250303-FMC-CS 008-8</v>
      </c>
      <c r="B275" s="2">
        <f t="array" ref="B275">INDEX(helper!$A$3:$A3996,ROUNDUP((ROW()-1)/COUNTA(helper!$D$3:$D3996),0))</f>
        <v>45719</v>
      </c>
      <c r="C275" s="5" t="str">
        <f t="array" ref="C275">IF(B275="","",INDEX(helper!$D$3:$D3996,MOD(ROW()-2,COUNTA(helper!$D$3:$D3996))+1))</f>
        <v>FMC</v>
      </c>
      <c r="D275" s="3" t="str">
        <f t="array" ref="D275">IF(B275="","",INDEX(helper!$E$3:$E3996,MOD(ROW()-2,COUNTA(helper!$D$3:$D3996))+1))</f>
        <v>CS 008</v>
      </c>
      <c r="E275" s="3">
        <f t="array" ref="E275">IF(B275="","",INDEX(helper!$F$3:$F3996,MOD(ROW()-2,COUNTA(helper!$D$3:$D3996))+1))</f>
        <v>8</v>
      </c>
      <c r="F275" s="3">
        <f>IF(B275="","",SUMIFS('inventory ledger'!$H:$H,'inventory ledger'!$C:$C,C275,'inventory ledger'!$D:$D,D275,'inventory ledger'!$E:$E,E275,'inventory ledger'!$A:$A,"&lt;="&amp;B275+TIME(23,59,59))-SUMIFS('inventory ledger'!$I:$I,'inventory ledger'!$C:$C,C275,'inventory ledger'!$D:$D,D275,'inventory ledger'!$E:$E,E275,'inventory ledger'!$A:$A,"&lt;="&amp;B275+TIME(23,59,59)))</f>
        <v>0</v>
      </c>
      <c r="G275" s="3">
        <f>IFERROR(__xludf.DUMMYFUNCTION("IF(F275&lt;=0,0,IFERROR(ROUNDUP(F275/INDEX(FILTER('warehouse config'!$D:$D,('warehouse config'!$B:$B=C275)*('warehouse config'!$C:$C=D275)*('warehouse config'!$G:$G&lt;=B275)*(('warehouse config'!$H:$H&gt;=B275)+ISBLANK('warehouse config'!$H:$H))),1)),0))"),0.0)</f>
        <v>0</v>
      </c>
      <c r="H275" s="3">
        <f>IFERROR(__xludf.DUMMYFUNCTION("IFERROR(INDEX(FILTER('cost master'!$E:$E,('cost master'!$B:$B=C275)*('cost master'!$D:$D=""Storage cost per pallet / week"")*('cost master'!$G:$G&lt;=B275)*(('cost master'!$H:$H&gt;=B275)+ISBLANK('cost master'!$H:$H))),1),0)"),3.9)</f>
        <v>3.9</v>
      </c>
      <c r="I275" s="3">
        <f t="shared" si="4"/>
        <v>0</v>
      </c>
      <c r="J275" s="27">
        <f t="shared" si="5"/>
        <v>45704</v>
      </c>
      <c r="K275" s="27">
        <f t="shared" si="6"/>
        <v>45731</v>
      </c>
    </row>
    <row r="276" hidden="1">
      <c r="A276" s="3" t="str">
        <f t="shared" si="3"/>
        <v>SL-20250303-FMC-CS 009-8</v>
      </c>
      <c r="B276" s="2">
        <f t="array" ref="B276">INDEX(helper!$A$3:$A3996,ROUNDUP((ROW()-1)/COUNTA(helper!$D$3:$D3996),0))</f>
        <v>45719</v>
      </c>
      <c r="C276" s="5" t="str">
        <f t="array" ref="C276">IF(B276="","",INDEX(helper!$D$3:$D3996,MOD(ROW()-2,COUNTA(helper!$D$3:$D3996))+1))</f>
        <v>FMC</v>
      </c>
      <c r="D276" s="3" t="str">
        <f t="array" ref="D276">IF(B276="","",INDEX(helper!$E$3:$E3996,MOD(ROW()-2,COUNTA(helper!$D$3:$D3996))+1))</f>
        <v>CS 009</v>
      </c>
      <c r="E276" s="3">
        <f t="array" ref="E276">IF(B276="","",INDEX(helper!$F$3:$F3996,MOD(ROW()-2,COUNTA(helper!$D$3:$D3996))+1))</f>
        <v>8</v>
      </c>
      <c r="F276" s="3">
        <f>IF(B276="","",SUMIFS('inventory ledger'!$H:$H,'inventory ledger'!$C:$C,C276,'inventory ledger'!$D:$D,D276,'inventory ledger'!$E:$E,E276,'inventory ledger'!$A:$A,"&lt;="&amp;B276+TIME(23,59,59))-SUMIFS('inventory ledger'!$I:$I,'inventory ledger'!$C:$C,C276,'inventory ledger'!$D:$D,D276,'inventory ledger'!$E:$E,E276,'inventory ledger'!$A:$A,"&lt;="&amp;B276+TIME(23,59,59)))</f>
        <v>0</v>
      </c>
      <c r="G276" s="3">
        <f>IFERROR(__xludf.DUMMYFUNCTION("IF(F276&lt;=0,0,IFERROR(ROUNDUP(F276/INDEX(FILTER('warehouse config'!$D:$D,('warehouse config'!$B:$B=C276)*('warehouse config'!$C:$C=D276)*('warehouse config'!$G:$G&lt;=B276)*(('warehouse config'!$H:$H&gt;=B276)+ISBLANK('warehouse config'!$H:$H))),1)),0))"),0.0)</f>
        <v>0</v>
      </c>
      <c r="H276" s="3">
        <f>IFERROR(__xludf.DUMMYFUNCTION("IFERROR(INDEX(FILTER('cost master'!$E:$E,('cost master'!$B:$B=C276)*('cost master'!$D:$D=""Storage cost per pallet / week"")*('cost master'!$G:$G&lt;=B276)*(('cost master'!$H:$H&gt;=B276)+ISBLANK('cost master'!$H:$H))),1),0)"),3.9)</f>
        <v>3.9</v>
      </c>
      <c r="I276" s="3">
        <f t="shared" si="4"/>
        <v>0</v>
      </c>
      <c r="J276" s="27">
        <f t="shared" si="5"/>
        <v>45704</v>
      </c>
      <c r="K276" s="27">
        <f t="shared" si="6"/>
        <v>45731</v>
      </c>
    </row>
    <row r="277" hidden="1">
      <c r="A277" s="3" t="str">
        <f t="shared" si="3"/>
        <v>SL-20250303-FMC-CS 010-8</v>
      </c>
      <c r="B277" s="2">
        <f t="array" ref="B277">INDEX(helper!$A$3:$A3996,ROUNDUP((ROW()-1)/COUNTA(helper!$D$3:$D3996),0))</f>
        <v>45719</v>
      </c>
      <c r="C277" s="5" t="str">
        <f t="array" ref="C277">IF(B277="","",INDEX(helper!$D$3:$D3996,MOD(ROW()-2,COUNTA(helper!$D$3:$D3996))+1))</f>
        <v>FMC</v>
      </c>
      <c r="D277" s="3" t="str">
        <f t="array" ref="D277">IF(B277="","",INDEX(helper!$E$3:$E3996,MOD(ROW()-2,COUNTA(helper!$D$3:$D3996))+1))</f>
        <v>CS 010</v>
      </c>
      <c r="E277" s="3">
        <f t="array" ref="E277">IF(B277="","",INDEX(helper!$F$3:$F3996,MOD(ROW()-2,COUNTA(helper!$D$3:$D3996))+1))</f>
        <v>8</v>
      </c>
      <c r="F277" s="3">
        <f>IF(B277="","",SUMIFS('inventory ledger'!$H:$H,'inventory ledger'!$C:$C,C277,'inventory ledger'!$D:$D,D277,'inventory ledger'!$E:$E,E277,'inventory ledger'!$A:$A,"&lt;="&amp;B277+TIME(23,59,59))-SUMIFS('inventory ledger'!$I:$I,'inventory ledger'!$C:$C,C277,'inventory ledger'!$D:$D,D277,'inventory ledger'!$E:$E,E277,'inventory ledger'!$A:$A,"&lt;="&amp;B277+TIME(23,59,59)))</f>
        <v>0</v>
      </c>
      <c r="G277" s="3">
        <f>IFERROR(__xludf.DUMMYFUNCTION("IF(F277&lt;=0,0,IFERROR(ROUNDUP(F277/INDEX(FILTER('warehouse config'!$D:$D,('warehouse config'!$B:$B=C277)*('warehouse config'!$C:$C=D277)*('warehouse config'!$G:$G&lt;=B277)*(('warehouse config'!$H:$H&gt;=B277)+ISBLANK('warehouse config'!$H:$H))),1)),0))"),0.0)</f>
        <v>0</v>
      </c>
      <c r="H277" s="3">
        <f>IFERROR(__xludf.DUMMYFUNCTION("IFERROR(INDEX(FILTER('cost master'!$E:$E,('cost master'!$B:$B=C277)*('cost master'!$D:$D=""Storage cost per pallet / week"")*('cost master'!$G:$G&lt;=B277)*(('cost master'!$H:$H&gt;=B277)+ISBLANK('cost master'!$H:$H))),1),0)"),3.9)</f>
        <v>3.9</v>
      </c>
      <c r="I277" s="3">
        <f t="shared" si="4"/>
        <v>0</v>
      </c>
      <c r="J277" s="27">
        <f t="shared" si="5"/>
        <v>45704</v>
      </c>
      <c r="K277" s="27">
        <f t="shared" si="6"/>
        <v>45731</v>
      </c>
    </row>
    <row r="278" hidden="1">
      <c r="A278" s="3" t="str">
        <f t="shared" si="3"/>
        <v>SL-20250303-FMC-CS 007-9</v>
      </c>
      <c r="B278" s="2">
        <f t="array" ref="B278">INDEX(helper!$A$3:$A3996,ROUNDUP((ROW()-1)/COUNTA(helper!$D$3:$D3996),0))</f>
        <v>45719</v>
      </c>
      <c r="C278" s="5" t="str">
        <f t="array" ref="C278">IF(B278="","",INDEX(helper!$D$3:$D3996,MOD(ROW()-2,COUNTA(helper!$D$3:$D3996))+1))</f>
        <v>FMC</v>
      </c>
      <c r="D278" s="3" t="str">
        <f t="array" ref="D278">IF(B278="","",INDEX(helper!$E$3:$E3996,MOD(ROW()-2,COUNTA(helper!$D$3:$D3996))+1))</f>
        <v>CS 007</v>
      </c>
      <c r="E278" s="3">
        <f t="array" ref="E278">IF(B278="","",INDEX(helper!$F$3:$F3996,MOD(ROW()-2,COUNTA(helper!$D$3:$D3996))+1))</f>
        <v>9</v>
      </c>
      <c r="F278" s="3">
        <f>IF(B278="","",SUMIFS('inventory ledger'!$H:$H,'inventory ledger'!$C:$C,C278,'inventory ledger'!$D:$D,D278,'inventory ledger'!$E:$E,E278,'inventory ledger'!$A:$A,"&lt;="&amp;B278+TIME(23,59,59))-SUMIFS('inventory ledger'!$I:$I,'inventory ledger'!$C:$C,C278,'inventory ledger'!$D:$D,D278,'inventory ledger'!$E:$E,E278,'inventory ledger'!$A:$A,"&lt;="&amp;B278+TIME(23,59,59)))</f>
        <v>0</v>
      </c>
      <c r="G278" s="3">
        <f>IFERROR(__xludf.DUMMYFUNCTION("IF(F278&lt;=0,0,IFERROR(ROUNDUP(F278/INDEX(FILTER('warehouse config'!$D:$D,('warehouse config'!$B:$B=C278)*('warehouse config'!$C:$C=D278)*('warehouse config'!$G:$G&lt;=B278)*(('warehouse config'!$H:$H&gt;=B278)+ISBLANK('warehouse config'!$H:$H))),1)),0))"),0.0)</f>
        <v>0</v>
      </c>
      <c r="H278" s="3">
        <f>IFERROR(__xludf.DUMMYFUNCTION("IFERROR(INDEX(FILTER('cost master'!$E:$E,('cost master'!$B:$B=C278)*('cost master'!$D:$D=""Storage cost per pallet / week"")*('cost master'!$G:$G&lt;=B278)*(('cost master'!$H:$H&gt;=B278)+ISBLANK('cost master'!$H:$H))),1),0)"),3.9)</f>
        <v>3.9</v>
      </c>
      <c r="I278" s="3">
        <f t="shared" si="4"/>
        <v>0</v>
      </c>
      <c r="J278" s="27">
        <f t="shared" si="5"/>
        <v>45704</v>
      </c>
      <c r="K278" s="27">
        <f t="shared" si="6"/>
        <v>45731</v>
      </c>
    </row>
    <row r="279" hidden="1">
      <c r="A279" s="3" t="str">
        <f t="shared" si="3"/>
        <v>SL-20250303-FMC-CS 008-9</v>
      </c>
      <c r="B279" s="2">
        <f t="array" ref="B279">INDEX(helper!$A$3:$A3996,ROUNDUP((ROW()-1)/COUNTA(helper!$D$3:$D3996),0))</f>
        <v>45719</v>
      </c>
      <c r="C279" s="5" t="str">
        <f t="array" ref="C279">IF(B279="","",INDEX(helper!$D$3:$D3996,MOD(ROW()-2,COUNTA(helper!$D$3:$D3996))+1))</f>
        <v>FMC</v>
      </c>
      <c r="D279" s="3" t="str">
        <f t="array" ref="D279">IF(B279="","",INDEX(helper!$E$3:$E3996,MOD(ROW()-2,COUNTA(helper!$D$3:$D3996))+1))</f>
        <v>CS 008</v>
      </c>
      <c r="E279" s="3">
        <f t="array" ref="E279">IF(B279="","",INDEX(helper!$F$3:$F3996,MOD(ROW()-2,COUNTA(helper!$D$3:$D3996))+1))</f>
        <v>9</v>
      </c>
      <c r="F279" s="3">
        <f>IF(B279="","",SUMIFS('inventory ledger'!$H:$H,'inventory ledger'!$C:$C,C279,'inventory ledger'!$D:$D,D279,'inventory ledger'!$E:$E,E279,'inventory ledger'!$A:$A,"&lt;="&amp;B279+TIME(23,59,59))-SUMIFS('inventory ledger'!$I:$I,'inventory ledger'!$C:$C,C279,'inventory ledger'!$D:$D,D279,'inventory ledger'!$E:$E,E279,'inventory ledger'!$A:$A,"&lt;="&amp;B279+TIME(23,59,59)))</f>
        <v>14</v>
      </c>
      <c r="G279" s="3">
        <f>IFERROR(__xludf.DUMMYFUNCTION("IF(F279&lt;=0,0,IFERROR(ROUNDUP(F279/INDEX(FILTER('warehouse config'!$D:$D,('warehouse config'!$B:$B=C279)*('warehouse config'!$C:$C=D279)*('warehouse config'!$G:$G&lt;=B279)*(('warehouse config'!$H:$H&gt;=B279)+ISBLANK('warehouse config'!$H:$H))),1)),0))"),1.0)</f>
        <v>1</v>
      </c>
      <c r="H279" s="3">
        <f>IFERROR(__xludf.DUMMYFUNCTION("IFERROR(INDEX(FILTER('cost master'!$E:$E,('cost master'!$B:$B=C279)*('cost master'!$D:$D=""Storage cost per pallet / week"")*('cost master'!$G:$G&lt;=B279)*(('cost master'!$H:$H&gt;=B279)+ISBLANK('cost master'!$H:$H))),1),0)"),3.9)</f>
        <v>3.9</v>
      </c>
      <c r="I279" s="3">
        <f t="shared" si="4"/>
        <v>3.9</v>
      </c>
      <c r="J279" s="27">
        <f t="shared" si="5"/>
        <v>45704</v>
      </c>
      <c r="K279" s="27">
        <f t="shared" si="6"/>
        <v>45731</v>
      </c>
    </row>
    <row r="280" hidden="1">
      <c r="A280" s="3" t="str">
        <f t="shared" si="3"/>
        <v>SL-20250303-FMC-CS 009-9</v>
      </c>
      <c r="B280" s="2">
        <f t="array" ref="B280">INDEX(helper!$A$3:$A3996,ROUNDUP((ROW()-1)/COUNTA(helper!$D$3:$D3996),0))</f>
        <v>45719</v>
      </c>
      <c r="C280" s="5" t="str">
        <f t="array" ref="C280">IF(B280="","",INDEX(helper!$D$3:$D3996,MOD(ROW()-2,COUNTA(helper!$D$3:$D3996))+1))</f>
        <v>FMC</v>
      </c>
      <c r="D280" s="3" t="str">
        <f t="array" ref="D280">IF(B280="","",INDEX(helper!$E$3:$E3996,MOD(ROW()-2,COUNTA(helper!$D$3:$D3996))+1))</f>
        <v>CS 009</v>
      </c>
      <c r="E280" s="3">
        <f t="array" ref="E280">IF(B280="","",INDEX(helper!$F$3:$F3996,MOD(ROW()-2,COUNTA(helper!$D$3:$D3996))+1))</f>
        <v>9</v>
      </c>
      <c r="F280" s="3">
        <f>IF(B280="","",SUMIFS('inventory ledger'!$H:$H,'inventory ledger'!$C:$C,C280,'inventory ledger'!$D:$D,D280,'inventory ledger'!$E:$E,E280,'inventory ledger'!$A:$A,"&lt;="&amp;B280+TIME(23,59,59))-SUMIFS('inventory ledger'!$I:$I,'inventory ledger'!$C:$C,C280,'inventory ledger'!$D:$D,D280,'inventory ledger'!$E:$E,E280,'inventory ledger'!$A:$A,"&lt;="&amp;B280+TIME(23,59,59)))</f>
        <v>0</v>
      </c>
      <c r="G280" s="3">
        <f>IFERROR(__xludf.DUMMYFUNCTION("IF(F280&lt;=0,0,IFERROR(ROUNDUP(F280/INDEX(FILTER('warehouse config'!$D:$D,('warehouse config'!$B:$B=C280)*('warehouse config'!$C:$C=D280)*('warehouse config'!$G:$G&lt;=B280)*(('warehouse config'!$H:$H&gt;=B280)+ISBLANK('warehouse config'!$H:$H))),1)),0))"),0.0)</f>
        <v>0</v>
      </c>
      <c r="H280" s="3">
        <f>IFERROR(__xludf.DUMMYFUNCTION("IFERROR(INDEX(FILTER('cost master'!$E:$E,('cost master'!$B:$B=C280)*('cost master'!$D:$D=""Storage cost per pallet / week"")*('cost master'!$G:$G&lt;=B280)*(('cost master'!$H:$H&gt;=B280)+ISBLANK('cost master'!$H:$H))),1),0)"),3.9)</f>
        <v>3.9</v>
      </c>
      <c r="I280" s="3">
        <f t="shared" si="4"/>
        <v>0</v>
      </c>
      <c r="J280" s="27">
        <f t="shared" si="5"/>
        <v>45704</v>
      </c>
      <c r="K280" s="27">
        <f t="shared" si="6"/>
        <v>45731</v>
      </c>
    </row>
    <row r="281" hidden="1">
      <c r="A281" s="3" t="str">
        <f t="shared" si="3"/>
        <v>SL-20250303-FMC-CS 010-9</v>
      </c>
      <c r="B281" s="2">
        <f t="array" ref="B281">INDEX(helper!$A$3:$A3996,ROUNDUP((ROW()-1)/COUNTA(helper!$D$3:$D3996),0))</f>
        <v>45719</v>
      </c>
      <c r="C281" s="5" t="str">
        <f t="array" ref="C281">IF(B281="","",INDEX(helper!$D$3:$D3996,MOD(ROW()-2,COUNTA(helper!$D$3:$D3996))+1))</f>
        <v>FMC</v>
      </c>
      <c r="D281" s="3" t="str">
        <f t="array" ref="D281">IF(B281="","",INDEX(helper!$E$3:$E3996,MOD(ROW()-2,COUNTA(helper!$D$3:$D3996))+1))</f>
        <v>CS 010</v>
      </c>
      <c r="E281" s="3">
        <f t="array" ref="E281">IF(B281="","",INDEX(helper!$F$3:$F3996,MOD(ROW()-2,COUNTA(helper!$D$3:$D3996))+1))</f>
        <v>9</v>
      </c>
      <c r="F281" s="3">
        <f>IF(B281="","",SUMIFS('inventory ledger'!$H:$H,'inventory ledger'!$C:$C,C281,'inventory ledger'!$D:$D,D281,'inventory ledger'!$E:$E,E281,'inventory ledger'!$A:$A,"&lt;="&amp;B281+TIME(23,59,59))-SUMIFS('inventory ledger'!$I:$I,'inventory ledger'!$C:$C,C281,'inventory ledger'!$D:$D,D281,'inventory ledger'!$E:$E,E281,'inventory ledger'!$A:$A,"&lt;="&amp;B281+TIME(23,59,59)))</f>
        <v>0</v>
      </c>
      <c r="G281" s="3">
        <f>IFERROR(__xludf.DUMMYFUNCTION("IF(F281&lt;=0,0,IFERROR(ROUNDUP(F281/INDEX(FILTER('warehouse config'!$D:$D,('warehouse config'!$B:$B=C281)*('warehouse config'!$C:$C=D281)*('warehouse config'!$G:$G&lt;=B281)*(('warehouse config'!$H:$H&gt;=B281)+ISBLANK('warehouse config'!$H:$H))),1)),0))"),0.0)</f>
        <v>0</v>
      </c>
      <c r="H281" s="3">
        <f>IFERROR(__xludf.DUMMYFUNCTION("IFERROR(INDEX(FILTER('cost master'!$E:$E,('cost master'!$B:$B=C281)*('cost master'!$D:$D=""Storage cost per pallet / week"")*('cost master'!$G:$G&lt;=B281)*(('cost master'!$H:$H&gt;=B281)+ISBLANK('cost master'!$H:$H))),1),0)"),3.9)</f>
        <v>3.9</v>
      </c>
      <c r="I281" s="3">
        <f t="shared" si="4"/>
        <v>0</v>
      </c>
      <c r="J281" s="27">
        <f t="shared" si="5"/>
        <v>45704</v>
      </c>
      <c r="K281" s="27">
        <f t="shared" si="6"/>
        <v>45731</v>
      </c>
    </row>
    <row r="282" hidden="1">
      <c r="A282" s="3" t="str">
        <f t="shared" si="3"/>
        <v>SL-20250303-FMC-CS-CDS-001-9</v>
      </c>
      <c r="B282" s="2">
        <f t="array" ref="B282">INDEX(helper!$A$3:$A3996,ROUNDUP((ROW()-1)/COUNTA(helper!$D$3:$D3996),0))</f>
        <v>45719</v>
      </c>
      <c r="C282" s="5" t="str">
        <f t="array" ref="C282">IF(B282="","",INDEX(helper!$D$3:$D3996,MOD(ROW()-2,COUNTA(helper!$D$3:$D3996))+1))</f>
        <v>FMC</v>
      </c>
      <c r="D282" s="3" t="str">
        <f t="array" ref="D282">IF(B282="","",INDEX(helper!$E$3:$E3996,MOD(ROW()-2,COUNTA(helper!$D$3:$D3996))+1))</f>
        <v>CS-CDS-001</v>
      </c>
      <c r="E282" s="3">
        <f t="array" ref="E282">IF(B282="","",INDEX(helper!$F$3:$F3996,MOD(ROW()-2,COUNTA(helper!$D$3:$D3996))+1))</f>
        <v>9</v>
      </c>
      <c r="F282" s="3">
        <f>IF(B282="","",SUMIFS('inventory ledger'!$H:$H,'inventory ledger'!$C:$C,C282,'inventory ledger'!$D:$D,D282,'inventory ledger'!$E:$E,E282,'inventory ledger'!$A:$A,"&lt;="&amp;B282+TIME(23,59,59))-SUMIFS('inventory ledger'!$I:$I,'inventory ledger'!$C:$C,C282,'inventory ledger'!$D:$D,D282,'inventory ledger'!$E:$E,E282,'inventory ledger'!$A:$A,"&lt;="&amp;B282+TIME(23,59,59)))</f>
        <v>0</v>
      </c>
      <c r="G282" s="3">
        <f>IFERROR(__xludf.DUMMYFUNCTION("IF(F282&lt;=0,0,IFERROR(ROUNDUP(F282/INDEX(FILTER('warehouse config'!$D:$D,('warehouse config'!$B:$B=C282)*('warehouse config'!$C:$C=D282)*('warehouse config'!$G:$G&lt;=B282)*(('warehouse config'!$H:$H&gt;=B282)+ISBLANK('warehouse config'!$H:$H))),1)),0))"),0.0)</f>
        <v>0</v>
      </c>
      <c r="H282" s="3">
        <f>IFERROR(__xludf.DUMMYFUNCTION("IFERROR(INDEX(FILTER('cost master'!$E:$E,('cost master'!$B:$B=C282)*('cost master'!$D:$D=""Storage cost per pallet / week"")*('cost master'!$G:$G&lt;=B282)*(('cost master'!$H:$H&gt;=B282)+ISBLANK('cost master'!$H:$H))),1),0)"),3.9)</f>
        <v>3.9</v>
      </c>
      <c r="I282" s="3">
        <f t="shared" si="4"/>
        <v>0</v>
      </c>
      <c r="J282" s="27">
        <f t="shared" si="5"/>
        <v>45704</v>
      </c>
      <c r="K282" s="27">
        <f t="shared" si="6"/>
        <v>45731</v>
      </c>
    </row>
    <row r="283" hidden="1">
      <c r="A283" s="3" t="str">
        <f t="shared" si="3"/>
        <v>SL-20250303-FMC-CS-CDS-002-9</v>
      </c>
      <c r="B283" s="2">
        <f t="array" ref="B283">INDEX(helper!$A$3:$A3996,ROUNDUP((ROW()-1)/COUNTA(helper!$D$3:$D3996),0))</f>
        <v>45719</v>
      </c>
      <c r="C283" s="5" t="str">
        <f t="array" ref="C283">IF(B283="","",INDEX(helper!$D$3:$D3996,MOD(ROW()-2,COUNTA(helper!$D$3:$D3996))+1))</f>
        <v>FMC</v>
      </c>
      <c r="D283" s="3" t="str">
        <f t="array" ref="D283">IF(B283="","",INDEX(helper!$E$3:$E3996,MOD(ROW()-2,COUNTA(helper!$D$3:$D3996))+1))</f>
        <v>CS-CDS-002</v>
      </c>
      <c r="E283" s="3">
        <f t="array" ref="E283">IF(B283="","",INDEX(helper!$F$3:$F3996,MOD(ROW()-2,COUNTA(helper!$D$3:$D3996))+1))</f>
        <v>9</v>
      </c>
      <c r="F283" s="3">
        <f>IF(B283="","",SUMIFS('inventory ledger'!$H:$H,'inventory ledger'!$C:$C,C283,'inventory ledger'!$D:$D,D283,'inventory ledger'!$E:$E,E283,'inventory ledger'!$A:$A,"&lt;="&amp;B283+TIME(23,59,59))-SUMIFS('inventory ledger'!$I:$I,'inventory ledger'!$C:$C,C283,'inventory ledger'!$D:$D,D283,'inventory ledger'!$E:$E,E283,'inventory ledger'!$A:$A,"&lt;="&amp;B283+TIME(23,59,59)))</f>
        <v>0</v>
      </c>
      <c r="G283" s="3">
        <f>IFERROR(__xludf.DUMMYFUNCTION("IF(F283&lt;=0,0,IFERROR(ROUNDUP(F283/INDEX(FILTER('warehouse config'!$D:$D,('warehouse config'!$B:$B=C283)*('warehouse config'!$C:$C=D283)*('warehouse config'!$G:$G&lt;=B283)*(('warehouse config'!$H:$H&gt;=B283)+ISBLANK('warehouse config'!$H:$H))),1)),0))"),0.0)</f>
        <v>0</v>
      </c>
      <c r="H283" s="3">
        <f>IFERROR(__xludf.DUMMYFUNCTION("IFERROR(INDEX(FILTER('cost master'!$E:$E,('cost master'!$B:$B=C283)*('cost master'!$D:$D=""Storage cost per pallet / week"")*('cost master'!$G:$G&lt;=B283)*(('cost master'!$H:$H&gt;=B283)+ISBLANK('cost master'!$H:$H))),1),0)"),3.9)</f>
        <v>3.9</v>
      </c>
      <c r="I283" s="3">
        <f t="shared" si="4"/>
        <v>0</v>
      </c>
      <c r="J283" s="27">
        <f t="shared" si="5"/>
        <v>45704</v>
      </c>
      <c r="K283" s="27">
        <f t="shared" si="6"/>
        <v>45731</v>
      </c>
    </row>
    <row r="284" hidden="1">
      <c r="A284" s="3" t="str">
        <f t="shared" si="3"/>
        <v>SL-20250303-FMC-CS 007-10</v>
      </c>
      <c r="B284" s="2">
        <f t="array" ref="B284">INDEX(helper!$A$3:$A3996,ROUNDUP((ROW()-1)/COUNTA(helper!$D$3:$D3996),0))</f>
        <v>45719</v>
      </c>
      <c r="C284" s="5" t="str">
        <f t="array" ref="C284">IF(B284="","",INDEX(helper!$D$3:$D3996,MOD(ROW()-2,COUNTA(helper!$D$3:$D3996))+1))</f>
        <v>FMC</v>
      </c>
      <c r="D284" s="3" t="str">
        <f t="array" ref="D284">IF(B284="","",INDEX(helper!$E$3:$E3996,MOD(ROW()-2,COUNTA(helper!$D$3:$D3996))+1))</f>
        <v>CS 007</v>
      </c>
      <c r="E284" s="3">
        <f t="array" ref="E284">IF(B284="","",INDEX(helper!$F$3:$F3996,MOD(ROW()-2,COUNTA(helper!$D$3:$D3996))+1))</f>
        <v>10</v>
      </c>
      <c r="F284" s="3">
        <f>IF(B284="","",SUMIFS('inventory ledger'!$H:$H,'inventory ledger'!$C:$C,C284,'inventory ledger'!$D:$D,D284,'inventory ledger'!$E:$E,E284,'inventory ledger'!$A:$A,"&lt;="&amp;B284+TIME(23,59,59))-SUMIFS('inventory ledger'!$I:$I,'inventory ledger'!$C:$C,C284,'inventory ledger'!$D:$D,D284,'inventory ledger'!$E:$E,E284,'inventory ledger'!$A:$A,"&lt;="&amp;B284+TIME(23,59,59)))</f>
        <v>0</v>
      </c>
      <c r="G284" s="3">
        <f>IFERROR(__xludf.DUMMYFUNCTION("IF(F284&lt;=0,0,IFERROR(ROUNDUP(F284/INDEX(FILTER('warehouse config'!$D:$D,('warehouse config'!$B:$B=C284)*('warehouse config'!$C:$C=D284)*('warehouse config'!$G:$G&lt;=B284)*(('warehouse config'!$H:$H&gt;=B284)+ISBLANK('warehouse config'!$H:$H))),1)),0))"),0.0)</f>
        <v>0</v>
      </c>
      <c r="H284" s="3">
        <f>IFERROR(__xludf.DUMMYFUNCTION("IFERROR(INDEX(FILTER('cost master'!$E:$E,('cost master'!$B:$B=C284)*('cost master'!$D:$D=""Storage cost per pallet / week"")*('cost master'!$G:$G&lt;=B284)*(('cost master'!$H:$H&gt;=B284)+ISBLANK('cost master'!$H:$H))),1),0)"),3.9)</f>
        <v>3.9</v>
      </c>
      <c r="I284" s="3">
        <f t="shared" si="4"/>
        <v>0</v>
      </c>
      <c r="J284" s="27">
        <f t="shared" si="5"/>
        <v>45704</v>
      </c>
      <c r="K284" s="27">
        <f t="shared" si="6"/>
        <v>45731</v>
      </c>
    </row>
    <row r="285" hidden="1">
      <c r="A285" s="3" t="str">
        <f t="shared" si="3"/>
        <v>SL-20250303-FMC-CS 009-10</v>
      </c>
      <c r="B285" s="2">
        <f t="array" ref="B285">INDEX(helper!$A$3:$A3996,ROUNDUP((ROW()-1)/COUNTA(helper!$D$3:$D3996),0))</f>
        <v>45719</v>
      </c>
      <c r="C285" s="5" t="str">
        <f t="array" ref="C285">IF(B285="","",INDEX(helper!$D$3:$D3996,MOD(ROW()-2,COUNTA(helper!$D$3:$D3996))+1))</f>
        <v>FMC</v>
      </c>
      <c r="D285" s="3" t="str">
        <f t="array" ref="D285">IF(B285="","",INDEX(helper!$E$3:$E3996,MOD(ROW()-2,COUNTA(helper!$D$3:$D3996))+1))</f>
        <v>CS 009</v>
      </c>
      <c r="E285" s="3">
        <f t="array" ref="E285">IF(B285="","",INDEX(helper!$F$3:$F3996,MOD(ROW()-2,COUNTA(helper!$D$3:$D3996))+1))</f>
        <v>10</v>
      </c>
      <c r="F285" s="3">
        <f>IF(B285="","",SUMIFS('inventory ledger'!$H:$H,'inventory ledger'!$C:$C,C285,'inventory ledger'!$D:$D,D285,'inventory ledger'!$E:$E,E285,'inventory ledger'!$A:$A,"&lt;="&amp;B285+TIME(23,59,59))-SUMIFS('inventory ledger'!$I:$I,'inventory ledger'!$C:$C,C285,'inventory ledger'!$D:$D,D285,'inventory ledger'!$E:$E,E285,'inventory ledger'!$A:$A,"&lt;="&amp;B285+TIME(23,59,59)))</f>
        <v>0</v>
      </c>
      <c r="G285" s="3">
        <f>IFERROR(__xludf.DUMMYFUNCTION("IF(F285&lt;=0,0,IFERROR(ROUNDUP(F285/INDEX(FILTER('warehouse config'!$D:$D,('warehouse config'!$B:$B=C285)*('warehouse config'!$C:$C=D285)*('warehouse config'!$G:$G&lt;=B285)*(('warehouse config'!$H:$H&gt;=B285)+ISBLANK('warehouse config'!$H:$H))),1)),0))"),0.0)</f>
        <v>0</v>
      </c>
      <c r="H285" s="3">
        <f>IFERROR(__xludf.DUMMYFUNCTION("IFERROR(INDEX(FILTER('cost master'!$E:$E,('cost master'!$B:$B=C285)*('cost master'!$D:$D=""Storage cost per pallet / week"")*('cost master'!$G:$G&lt;=B285)*(('cost master'!$H:$H&gt;=B285)+ISBLANK('cost master'!$H:$H))),1),0)"),3.9)</f>
        <v>3.9</v>
      </c>
      <c r="I285" s="3">
        <f t="shared" si="4"/>
        <v>0</v>
      </c>
      <c r="J285" s="27">
        <f t="shared" si="5"/>
        <v>45704</v>
      </c>
      <c r="K285" s="27">
        <f t="shared" si="6"/>
        <v>45731</v>
      </c>
    </row>
    <row r="286" hidden="1">
      <c r="A286" s="3" t="str">
        <f t="shared" si="3"/>
        <v>SL-20250303-FMC-CS 010-10</v>
      </c>
      <c r="B286" s="2">
        <f t="array" ref="B286">INDEX(helper!$A$3:$A3996,ROUNDUP((ROW()-1)/COUNTA(helper!$D$3:$D3996),0))</f>
        <v>45719</v>
      </c>
      <c r="C286" s="5" t="str">
        <f t="array" ref="C286">IF(B286="","",INDEX(helper!$D$3:$D3996,MOD(ROW()-2,COUNTA(helper!$D$3:$D3996))+1))</f>
        <v>FMC</v>
      </c>
      <c r="D286" s="3" t="str">
        <f t="array" ref="D286">IF(B286="","",INDEX(helper!$E$3:$E3996,MOD(ROW()-2,COUNTA(helper!$D$3:$D3996))+1))</f>
        <v>CS 010</v>
      </c>
      <c r="E286" s="3">
        <f t="array" ref="E286">IF(B286="","",INDEX(helper!$F$3:$F3996,MOD(ROW()-2,COUNTA(helper!$D$3:$D3996))+1))</f>
        <v>10</v>
      </c>
      <c r="F286" s="3">
        <f>IF(B286="","",SUMIFS('inventory ledger'!$H:$H,'inventory ledger'!$C:$C,C286,'inventory ledger'!$D:$D,D286,'inventory ledger'!$E:$E,E286,'inventory ledger'!$A:$A,"&lt;="&amp;B286+TIME(23,59,59))-SUMIFS('inventory ledger'!$I:$I,'inventory ledger'!$C:$C,C286,'inventory ledger'!$D:$D,D286,'inventory ledger'!$E:$E,E286,'inventory ledger'!$A:$A,"&lt;="&amp;B286+TIME(23,59,59)))</f>
        <v>26</v>
      </c>
      <c r="G286" s="3">
        <f>IFERROR(__xludf.DUMMYFUNCTION("IF(F286&lt;=0,0,IFERROR(ROUNDUP(F286/INDEX(FILTER('warehouse config'!$D:$D,('warehouse config'!$B:$B=C286)*('warehouse config'!$C:$C=D286)*('warehouse config'!$G:$G&lt;=B286)*(('warehouse config'!$H:$H&gt;=B286)+ISBLANK('warehouse config'!$H:$H))),1)),0))"),1.0)</f>
        <v>1</v>
      </c>
      <c r="H286" s="3">
        <f>IFERROR(__xludf.DUMMYFUNCTION("IFERROR(INDEX(FILTER('cost master'!$E:$E,('cost master'!$B:$B=C286)*('cost master'!$D:$D=""Storage cost per pallet / week"")*('cost master'!$G:$G&lt;=B286)*(('cost master'!$H:$H&gt;=B286)+ISBLANK('cost master'!$H:$H))),1),0)"),3.9)</f>
        <v>3.9</v>
      </c>
      <c r="I286" s="3">
        <f t="shared" si="4"/>
        <v>3.9</v>
      </c>
      <c r="J286" s="27">
        <f t="shared" si="5"/>
        <v>45704</v>
      </c>
      <c r="K286" s="27">
        <f t="shared" si="6"/>
        <v>45731</v>
      </c>
    </row>
    <row r="287" hidden="1">
      <c r="A287" s="3" t="str">
        <f t="shared" si="3"/>
        <v>SL-20250303-FMC-CS-CDS-001-10</v>
      </c>
      <c r="B287" s="2">
        <f t="array" ref="B287">INDEX(helper!$A$3:$A3996,ROUNDUP((ROW()-1)/COUNTA(helper!$D$3:$D3996),0))</f>
        <v>45719</v>
      </c>
      <c r="C287" s="5" t="str">
        <f t="array" ref="C287">IF(B287="","",INDEX(helper!$D$3:$D3996,MOD(ROW()-2,COUNTA(helper!$D$3:$D3996))+1))</f>
        <v>FMC</v>
      </c>
      <c r="D287" s="3" t="str">
        <f t="array" ref="D287">IF(B287="","",INDEX(helper!$E$3:$E3996,MOD(ROW()-2,COUNTA(helper!$D$3:$D3996))+1))</f>
        <v>CS-CDS-001</v>
      </c>
      <c r="E287" s="3">
        <f t="array" ref="E287">IF(B287="","",INDEX(helper!$F$3:$F3996,MOD(ROW()-2,COUNTA(helper!$D$3:$D3996))+1))</f>
        <v>10</v>
      </c>
      <c r="F287" s="3">
        <f>IF(B287="","",SUMIFS('inventory ledger'!$H:$H,'inventory ledger'!$C:$C,C287,'inventory ledger'!$D:$D,D287,'inventory ledger'!$E:$E,E287,'inventory ledger'!$A:$A,"&lt;="&amp;B287+TIME(23,59,59))-SUMIFS('inventory ledger'!$I:$I,'inventory ledger'!$C:$C,C287,'inventory ledger'!$D:$D,D287,'inventory ledger'!$E:$E,E287,'inventory ledger'!$A:$A,"&lt;="&amp;B287+TIME(23,59,59)))</f>
        <v>0</v>
      </c>
      <c r="G287" s="3">
        <f>IFERROR(__xludf.DUMMYFUNCTION("IF(F287&lt;=0,0,IFERROR(ROUNDUP(F287/INDEX(FILTER('warehouse config'!$D:$D,('warehouse config'!$B:$B=C287)*('warehouse config'!$C:$C=D287)*('warehouse config'!$G:$G&lt;=B287)*(('warehouse config'!$H:$H&gt;=B287)+ISBLANK('warehouse config'!$H:$H))),1)),0))"),0.0)</f>
        <v>0</v>
      </c>
      <c r="H287" s="3">
        <f>IFERROR(__xludf.DUMMYFUNCTION("IFERROR(INDEX(FILTER('cost master'!$E:$E,('cost master'!$B:$B=C287)*('cost master'!$D:$D=""Storage cost per pallet / week"")*('cost master'!$G:$G&lt;=B287)*(('cost master'!$H:$H&gt;=B287)+ISBLANK('cost master'!$H:$H))),1),0)"),3.9)</f>
        <v>3.9</v>
      </c>
      <c r="I287" s="3">
        <f t="shared" si="4"/>
        <v>0</v>
      </c>
      <c r="J287" s="27">
        <f t="shared" si="5"/>
        <v>45704</v>
      </c>
      <c r="K287" s="27">
        <f t="shared" si="6"/>
        <v>45731</v>
      </c>
    </row>
    <row r="288" hidden="1">
      <c r="A288" s="3" t="str">
        <f t="shared" si="3"/>
        <v>SL-20250303-FMC-CS 007-11</v>
      </c>
      <c r="B288" s="2">
        <f t="array" ref="B288">INDEX(helper!$A$3:$A3996,ROUNDUP((ROW()-1)/COUNTA(helper!$D$3:$D3996),0))</f>
        <v>45719</v>
      </c>
      <c r="C288" s="5" t="str">
        <f t="array" ref="C288">IF(B288="","",INDEX(helper!$D$3:$D3996,MOD(ROW()-2,COUNTA(helper!$D$3:$D3996))+1))</f>
        <v>FMC</v>
      </c>
      <c r="D288" s="3" t="str">
        <f t="array" ref="D288">IF(B288="","",INDEX(helper!$E$3:$E3996,MOD(ROW()-2,COUNTA(helper!$D$3:$D3996))+1))</f>
        <v>CS 007</v>
      </c>
      <c r="E288" s="3">
        <f t="array" ref="E288">IF(B288="","",INDEX(helper!$F$3:$F3996,MOD(ROW()-2,COUNTA(helper!$D$3:$D3996))+1))</f>
        <v>11</v>
      </c>
      <c r="F288" s="3">
        <f>IF(B288="","",SUMIFS('inventory ledger'!$H:$H,'inventory ledger'!$C:$C,C288,'inventory ledger'!$D:$D,D288,'inventory ledger'!$E:$E,E288,'inventory ledger'!$A:$A,"&lt;="&amp;B288+TIME(23,59,59))-SUMIFS('inventory ledger'!$I:$I,'inventory ledger'!$C:$C,C288,'inventory ledger'!$D:$D,D288,'inventory ledger'!$E:$E,E288,'inventory ledger'!$A:$A,"&lt;="&amp;B288+TIME(23,59,59)))</f>
        <v>0</v>
      </c>
      <c r="G288" s="3">
        <f>IFERROR(__xludf.DUMMYFUNCTION("IF(F288&lt;=0,0,IFERROR(ROUNDUP(F288/INDEX(FILTER('warehouse config'!$D:$D,('warehouse config'!$B:$B=C288)*('warehouse config'!$C:$C=D288)*('warehouse config'!$G:$G&lt;=B288)*(('warehouse config'!$H:$H&gt;=B288)+ISBLANK('warehouse config'!$H:$H))),1)),0))"),0.0)</f>
        <v>0</v>
      </c>
      <c r="H288" s="3">
        <f>IFERROR(__xludf.DUMMYFUNCTION("IFERROR(INDEX(FILTER('cost master'!$E:$E,('cost master'!$B:$B=C288)*('cost master'!$D:$D=""Storage cost per pallet / week"")*('cost master'!$G:$G&lt;=B288)*(('cost master'!$H:$H&gt;=B288)+ISBLANK('cost master'!$H:$H))),1),0)"),3.9)</f>
        <v>3.9</v>
      </c>
      <c r="I288" s="3">
        <f t="shared" si="4"/>
        <v>0</v>
      </c>
      <c r="J288" s="27">
        <f t="shared" si="5"/>
        <v>45704</v>
      </c>
      <c r="K288" s="27">
        <f t="shared" si="6"/>
        <v>45731</v>
      </c>
    </row>
    <row r="289" hidden="1">
      <c r="A289" s="3" t="str">
        <f t="shared" si="3"/>
        <v>SL-20250303-FMC-CS 009-11</v>
      </c>
      <c r="B289" s="2">
        <f t="array" ref="B289">INDEX(helper!$A$3:$A3996,ROUNDUP((ROW()-1)/COUNTA(helper!$D$3:$D3996),0))</f>
        <v>45719</v>
      </c>
      <c r="C289" s="5" t="str">
        <f t="array" ref="C289">IF(B289="","",INDEX(helper!$D$3:$D3996,MOD(ROW()-2,COUNTA(helper!$D$3:$D3996))+1))</f>
        <v>FMC</v>
      </c>
      <c r="D289" s="3" t="str">
        <f t="array" ref="D289">IF(B289="","",INDEX(helper!$E$3:$E3996,MOD(ROW()-2,COUNTA(helper!$D$3:$D3996))+1))</f>
        <v>CS 009</v>
      </c>
      <c r="E289" s="3">
        <f t="array" ref="E289">IF(B289="","",INDEX(helper!$F$3:$F3996,MOD(ROW()-2,COUNTA(helper!$D$3:$D3996))+1))</f>
        <v>11</v>
      </c>
      <c r="F289" s="3">
        <f>IF(B289="","",SUMIFS('inventory ledger'!$H:$H,'inventory ledger'!$C:$C,C289,'inventory ledger'!$D:$D,D289,'inventory ledger'!$E:$E,E289,'inventory ledger'!$A:$A,"&lt;="&amp;B289+TIME(23,59,59))-SUMIFS('inventory ledger'!$I:$I,'inventory ledger'!$C:$C,C289,'inventory ledger'!$D:$D,D289,'inventory ledger'!$E:$E,E289,'inventory ledger'!$A:$A,"&lt;="&amp;B289+TIME(23,59,59)))</f>
        <v>0</v>
      </c>
      <c r="G289" s="3">
        <f>IFERROR(__xludf.DUMMYFUNCTION("IF(F289&lt;=0,0,IFERROR(ROUNDUP(F289/INDEX(FILTER('warehouse config'!$D:$D,('warehouse config'!$B:$B=C289)*('warehouse config'!$C:$C=D289)*('warehouse config'!$G:$G&lt;=B289)*(('warehouse config'!$H:$H&gt;=B289)+ISBLANK('warehouse config'!$H:$H))),1)),0))"),0.0)</f>
        <v>0</v>
      </c>
      <c r="H289" s="3">
        <f>IFERROR(__xludf.DUMMYFUNCTION("IFERROR(INDEX(FILTER('cost master'!$E:$E,('cost master'!$B:$B=C289)*('cost master'!$D:$D=""Storage cost per pallet / week"")*('cost master'!$G:$G&lt;=B289)*(('cost master'!$H:$H&gt;=B289)+ISBLANK('cost master'!$H:$H))),1),0)"),3.9)</f>
        <v>3.9</v>
      </c>
      <c r="I289" s="3">
        <f t="shared" si="4"/>
        <v>0</v>
      </c>
      <c r="J289" s="27">
        <f t="shared" si="5"/>
        <v>45704</v>
      </c>
      <c r="K289" s="27">
        <f t="shared" si="6"/>
        <v>45731</v>
      </c>
    </row>
    <row r="290" hidden="1">
      <c r="A290" s="3" t="str">
        <f t="shared" si="3"/>
        <v>SL-20250303-FMC-CS 010-11</v>
      </c>
      <c r="B290" s="2">
        <f t="array" ref="B290">INDEX(helper!$A$3:$A3996,ROUNDUP((ROW()-1)/COUNTA(helper!$D$3:$D3996),0))</f>
        <v>45719</v>
      </c>
      <c r="C290" s="5" t="str">
        <f t="array" ref="C290">IF(B290="","",INDEX(helper!$D$3:$D3996,MOD(ROW()-2,COUNTA(helper!$D$3:$D3996))+1))</f>
        <v>FMC</v>
      </c>
      <c r="D290" s="3" t="str">
        <f t="array" ref="D290">IF(B290="","",INDEX(helper!$E$3:$E3996,MOD(ROW()-2,COUNTA(helper!$D$3:$D3996))+1))</f>
        <v>CS 010</v>
      </c>
      <c r="E290" s="3">
        <f t="array" ref="E290">IF(B290="","",INDEX(helper!$F$3:$F3996,MOD(ROW()-2,COUNTA(helper!$D$3:$D3996))+1))</f>
        <v>11</v>
      </c>
      <c r="F290" s="3">
        <f>IF(B290="","",SUMIFS('inventory ledger'!$H:$H,'inventory ledger'!$C:$C,C290,'inventory ledger'!$D:$D,D290,'inventory ledger'!$E:$E,E290,'inventory ledger'!$A:$A,"&lt;="&amp;B290+TIME(23,59,59))-SUMIFS('inventory ledger'!$I:$I,'inventory ledger'!$C:$C,C290,'inventory ledger'!$D:$D,D290,'inventory ledger'!$E:$E,E290,'inventory ledger'!$A:$A,"&lt;="&amp;B290+TIME(23,59,59)))</f>
        <v>46</v>
      </c>
      <c r="G290" s="3">
        <f>IFERROR(__xludf.DUMMYFUNCTION("IF(F290&lt;=0,0,IFERROR(ROUNDUP(F290/INDEX(FILTER('warehouse config'!$D:$D,('warehouse config'!$B:$B=C290)*('warehouse config'!$C:$C=D290)*('warehouse config'!$G:$G&lt;=B290)*(('warehouse config'!$H:$H&gt;=B290)+ISBLANK('warehouse config'!$H:$H))),1)),0))"),2.0)</f>
        <v>2</v>
      </c>
      <c r="H290" s="3">
        <f>IFERROR(__xludf.DUMMYFUNCTION("IFERROR(INDEX(FILTER('cost master'!$E:$E,('cost master'!$B:$B=C290)*('cost master'!$D:$D=""Storage cost per pallet / week"")*('cost master'!$G:$G&lt;=B290)*(('cost master'!$H:$H&gt;=B290)+ISBLANK('cost master'!$H:$H))),1),0)"),3.9)</f>
        <v>3.9</v>
      </c>
      <c r="I290" s="3">
        <f t="shared" si="4"/>
        <v>7.8</v>
      </c>
      <c r="J290" s="27">
        <f t="shared" si="5"/>
        <v>45704</v>
      </c>
      <c r="K290" s="27">
        <f t="shared" si="6"/>
        <v>45731</v>
      </c>
    </row>
    <row r="291" hidden="1">
      <c r="A291" s="3" t="str">
        <f t="shared" si="3"/>
        <v>SL-20250303-Vglobal-CS 007-12</v>
      </c>
      <c r="B291" s="2">
        <f t="array" ref="B291">INDEX(helper!$A$3:$A3996,ROUNDUP((ROW()-1)/COUNTA(helper!$D$3:$D3996),0))</f>
        <v>45719</v>
      </c>
      <c r="C291" s="5" t="str">
        <f t="array" ref="C291">IF(B291="","",INDEX(helper!$D$3:$D3996,MOD(ROW()-2,COUNTA(helper!$D$3:$D3996))+1))</f>
        <v>Vglobal</v>
      </c>
      <c r="D291" s="3" t="str">
        <f t="array" ref="D291">IF(B291="","",INDEX(helper!$E$3:$E3996,MOD(ROW()-2,COUNTA(helper!$D$3:$D3996))+1))</f>
        <v>CS 007</v>
      </c>
      <c r="E291" s="3">
        <f t="array" ref="E291">IF(B291="","",INDEX(helper!$F$3:$F3996,MOD(ROW()-2,COUNTA(helper!$D$3:$D3996))+1))</f>
        <v>12</v>
      </c>
      <c r="F291" s="3">
        <f>IF(B291="","",SUMIFS('inventory ledger'!$H:$H,'inventory ledger'!$C:$C,C291,'inventory ledger'!$D:$D,D291,'inventory ledger'!$E:$E,E291,'inventory ledger'!$A:$A,"&lt;="&amp;B291+TIME(23,59,59))-SUMIFS('inventory ledger'!$I:$I,'inventory ledger'!$C:$C,C291,'inventory ledger'!$D:$D,D291,'inventory ledger'!$E:$E,E291,'inventory ledger'!$A:$A,"&lt;="&amp;B291+TIME(23,59,59)))</f>
        <v>66</v>
      </c>
      <c r="G291" s="3">
        <f>IFERROR(__xludf.DUMMYFUNCTION("IF(F291&lt;=0,0,IFERROR(ROUNDUP(F291/INDEX(FILTER('warehouse config'!$D:$D,('warehouse config'!$B:$B=C291)*('warehouse config'!$C:$C=D291)*('warehouse config'!$G:$G&lt;=B291)*(('warehouse config'!$H:$H&gt;=B291)+ISBLANK('warehouse config'!$H:$H))),1)),0))"),5.0)</f>
        <v>5</v>
      </c>
      <c r="H291" s="3">
        <f>IFERROR(__xludf.DUMMYFUNCTION("IFERROR(INDEX(FILTER('cost master'!$E:$E,('cost master'!$B:$B=C291)*('cost master'!$D:$D=""Storage cost per pallet / week"")*('cost master'!$G:$G&lt;=B291)*(('cost master'!$H:$H&gt;=B291)+ISBLANK('cost master'!$H:$H))),1),0)"),2.6)</f>
        <v>2.6</v>
      </c>
      <c r="I291" s="3">
        <f t="shared" si="4"/>
        <v>13</v>
      </c>
      <c r="J291" s="27">
        <f t="shared" si="5"/>
        <v>45704</v>
      </c>
      <c r="K291" s="27">
        <f t="shared" si="6"/>
        <v>45731</v>
      </c>
    </row>
    <row r="292" hidden="1">
      <c r="A292" s="3" t="str">
        <f t="shared" si="3"/>
        <v>SL-20250303-Vglobal-CS 011-12</v>
      </c>
      <c r="B292" s="2">
        <f t="array" ref="B292">INDEX(helper!$A$3:$A3996,ROUNDUP((ROW()-1)/COUNTA(helper!$D$3:$D3996),0))</f>
        <v>45719</v>
      </c>
      <c r="C292" s="5" t="str">
        <f t="array" ref="C292">IF(B292="","",INDEX(helper!$D$3:$D3996,MOD(ROW()-2,COUNTA(helper!$D$3:$D3996))+1))</f>
        <v>Vglobal</v>
      </c>
      <c r="D292" s="3" t="str">
        <f t="array" ref="D292">IF(B292="","",INDEX(helper!$E$3:$E3996,MOD(ROW()-2,COUNTA(helper!$D$3:$D3996))+1))</f>
        <v>CS 011</v>
      </c>
      <c r="E292" s="3">
        <f t="array" ref="E292">IF(B292="","",INDEX(helper!$F$3:$F3996,MOD(ROW()-2,COUNTA(helper!$D$3:$D3996))+1))</f>
        <v>12</v>
      </c>
      <c r="F292" s="3">
        <f>IF(B292="","",SUMIFS('inventory ledger'!$H:$H,'inventory ledger'!$C:$C,C292,'inventory ledger'!$D:$D,D292,'inventory ledger'!$E:$E,E292,'inventory ledger'!$A:$A,"&lt;="&amp;B292+TIME(23,59,59))-SUMIFS('inventory ledger'!$I:$I,'inventory ledger'!$C:$C,C292,'inventory ledger'!$D:$D,D292,'inventory ledger'!$E:$E,E292,'inventory ledger'!$A:$A,"&lt;="&amp;B292+TIME(23,59,59)))</f>
        <v>0</v>
      </c>
      <c r="G292" s="3">
        <f>IFERROR(__xludf.DUMMYFUNCTION("IF(F292&lt;=0,0,IFERROR(ROUNDUP(F292/INDEX(FILTER('warehouse config'!$D:$D,('warehouse config'!$B:$B=C292)*('warehouse config'!$C:$C=D292)*('warehouse config'!$G:$G&lt;=B292)*(('warehouse config'!$H:$H&gt;=B292)+ISBLANK('warehouse config'!$H:$H))),1)),0))"),0.0)</f>
        <v>0</v>
      </c>
      <c r="H292" s="3">
        <f>IFERROR(__xludf.DUMMYFUNCTION("IFERROR(INDEX(FILTER('cost master'!$E:$E,('cost master'!$B:$B=C292)*('cost master'!$D:$D=""Storage cost per pallet / week"")*('cost master'!$G:$G&lt;=B292)*(('cost master'!$H:$H&gt;=B292)+ISBLANK('cost master'!$H:$H))),1),0)"),2.6)</f>
        <v>2.6</v>
      </c>
      <c r="I292" s="3">
        <f t="shared" si="4"/>
        <v>0</v>
      </c>
      <c r="J292" s="27">
        <f t="shared" si="5"/>
        <v>45704</v>
      </c>
      <c r="K292" s="27">
        <f t="shared" si="6"/>
        <v>45731</v>
      </c>
    </row>
    <row r="293" hidden="1">
      <c r="A293" s="3" t="str">
        <f t="shared" si="3"/>
        <v>SL-20250303-Vglobal-CS 008-12</v>
      </c>
      <c r="B293" s="2">
        <f t="array" ref="B293">INDEX(helper!$A$3:$A3996,ROUNDUP((ROW()-1)/COUNTA(helper!$D$3:$D3996),0))</f>
        <v>45719</v>
      </c>
      <c r="C293" s="5" t="str">
        <f t="array" ref="C293">IF(B293="","",INDEX(helper!$D$3:$D3996,MOD(ROW()-2,COUNTA(helper!$D$3:$D3996))+1))</f>
        <v>Vglobal</v>
      </c>
      <c r="D293" s="3" t="str">
        <f t="array" ref="D293">IF(B293="","",INDEX(helper!$E$3:$E3996,MOD(ROW()-2,COUNTA(helper!$D$3:$D3996))+1))</f>
        <v>CS 008</v>
      </c>
      <c r="E293" s="3">
        <f t="array" ref="E293">IF(B293="","",INDEX(helper!$F$3:$F3996,MOD(ROW()-2,COUNTA(helper!$D$3:$D3996))+1))</f>
        <v>12</v>
      </c>
      <c r="F293" s="3">
        <f>IF(B293="","",SUMIFS('inventory ledger'!$H:$H,'inventory ledger'!$C:$C,C293,'inventory ledger'!$D:$D,D293,'inventory ledger'!$E:$E,E293,'inventory ledger'!$A:$A,"&lt;="&amp;B293+TIME(23,59,59))-SUMIFS('inventory ledger'!$I:$I,'inventory ledger'!$C:$C,C293,'inventory ledger'!$D:$D,D293,'inventory ledger'!$E:$E,E293,'inventory ledger'!$A:$A,"&lt;="&amp;B293+TIME(23,59,59)))</f>
        <v>8</v>
      </c>
      <c r="G293" s="3">
        <f>IFERROR(__xludf.DUMMYFUNCTION("IF(F293&lt;=0,0,IFERROR(ROUNDUP(F293/INDEX(FILTER('warehouse config'!$D:$D,('warehouse config'!$B:$B=C293)*('warehouse config'!$C:$C=D293)*('warehouse config'!$G:$G&lt;=B293)*(('warehouse config'!$H:$H&gt;=B293)+ISBLANK('warehouse config'!$H:$H))),1)),0))"),1.0)</f>
        <v>1</v>
      </c>
      <c r="H293" s="3">
        <f>IFERROR(__xludf.DUMMYFUNCTION("IFERROR(INDEX(FILTER('cost master'!$E:$E,('cost master'!$B:$B=C293)*('cost master'!$D:$D=""Storage cost per pallet / week"")*('cost master'!$G:$G&lt;=B293)*(('cost master'!$H:$H&gt;=B293)+ISBLANK('cost master'!$H:$H))),1),0)"),2.6)</f>
        <v>2.6</v>
      </c>
      <c r="I293" s="3">
        <f t="shared" si="4"/>
        <v>2.6</v>
      </c>
      <c r="J293" s="27">
        <f t="shared" si="5"/>
        <v>45704</v>
      </c>
      <c r="K293" s="27">
        <f t="shared" si="6"/>
        <v>45731</v>
      </c>
    </row>
    <row r="294" hidden="1">
      <c r="A294" s="3" t="str">
        <f t="shared" si="3"/>
        <v>SL-20250303-Vglobal-CS 010-12</v>
      </c>
      <c r="B294" s="2">
        <f t="array" ref="B294">INDEX(helper!$A$3:$A3996,ROUNDUP((ROW()-1)/COUNTA(helper!$D$3:$D3996),0))</f>
        <v>45719</v>
      </c>
      <c r="C294" s="5" t="str">
        <f t="array" ref="C294">IF(B294="","",INDEX(helper!$D$3:$D3996,MOD(ROW()-2,COUNTA(helper!$D$3:$D3996))+1))</f>
        <v>Vglobal</v>
      </c>
      <c r="D294" s="3" t="str">
        <f t="array" ref="D294">IF(B294="","",INDEX(helper!$E$3:$E3996,MOD(ROW()-2,COUNTA(helper!$D$3:$D3996))+1))</f>
        <v>CS 010</v>
      </c>
      <c r="E294" s="3">
        <f t="array" ref="E294">IF(B294="","",INDEX(helper!$F$3:$F3996,MOD(ROW()-2,COUNTA(helper!$D$3:$D3996))+1))</f>
        <v>12</v>
      </c>
      <c r="F294" s="3">
        <f>IF(B294="","",SUMIFS('inventory ledger'!$H:$H,'inventory ledger'!$C:$C,C294,'inventory ledger'!$D:$D,D294,'inventory ledger'!$E:$E,E294,'inventory ledger'!$A:$A,"&lt;="&amp;B294+TIME(23,59,59))-SUMIFS('inventory ledger'!$I:$I,'inventory ledger'!$C:$C,C294,'inventory ledger'!$D:$D,D294,'inventory ledger'!$E:$E,E294,'inventory ledger'!$A:$A,"&lt;="&amp;B294+TIME(23,59,59)))</f>
        <v>70</v>
      </c>
      <c r="G294" s="3">
        <f>IFERROR(__xludf.DUMMYFUNCTION("IF(F294&lt;=0,0,IFERROR(ROUNDUP(F294/INDEX(FILTER('warehouse config'!$D:$D,('warehouse config'!$B:$B=C294)*('warehouse config'!$C:$C=D294)*('warehouse config'!$G:$G&lt;=B294)*(('warehouse config'!$H:$H&gt;=B294)+ISBLANK('warehouse config'!$H:$H))),1)),0))"),3.0)</f>
        <v>3</v>
      </c>
      <c r="H294" s="3">
        <f>IFERROR(__xludf.DUMMYFUNCTION("IFERROR(INDEX(FILTER('cost master'!$E:$E,('cost master'!$B:$B=C294)*('cost master'!$D:$D=""Storage cost per pallet / week"")*('cost master'!$G:$G&lt;=B294)*(('cost master'!$H:$H&gt;=B294)+ISBLANK('cost master'!$H:$H))),1),0)"),2.6)</f>
        <v>2.6</v>
      </c>
      <c r="I294" s="3">
        <f t="shared" si="4"/>
        <v>7.8</v>
      </c>
      <c r="J294" s="27">
        <f t="shared" si="5"/>
        <v>45704</v>
      </c>
      <c r="K294" s="27">
        <f t="shared" si="6"/>
        <v>45731</v>
      </c>
    </row>
    <row r="295" hidden="1">
      <c r="A295" s="3" t="str">
        <f t="shared" si="3"/>
        <v>SL-20250303-Vglobal-CS 009-12</v>
      </c>
      <c r="B295" s="2">
        <f t="array" ref="B295">INDEX(helper!$A$3:$A3996,ROUNDUP((ROW()-1)/COUNTA(helper!$D$3:$D3996),0))</f>
        <v>45719</v>
      </c>
      <c r="C295" s="5" t="str">
        <f t="array" ref="C295">IF(B295="","",INDEX(helper!$D$3:$D3996,MOD(ROW()-2,COUNTA(helper!$D$3:$D3996))+1))</f>
        <v>Vglobal</v>
      </c>
      <c r="D295" s="3" t="str">
        <f t="array" ref="D295">IF(B295="","",INDEX(helper!$E$3:$E3996,MOD(ROW()-2,COUNTA(helper!$D$3:$D3996))+1))</f>
        <v>CS 009</v>
      </c>
      <c r="E295" s="3">
        <f t="array" ref="E295">IF(B295="","",INDEX(helper!$F$3:$F3996,MOD(ROW()-2,COUNTA(helper!$D$3:$D3996))+1))</f>
        <v>12</v>
      </c>
      <c r="F295" s="3">
        <f>IF(B295="","",SUMIFS('inventory ledger'!$H:$H,'inventory ledger'!$C:$C,C295,'inventory ledger'!$D:$D,D295,'inventory ledger'!$E:$E,E295,'inventory ledger'!$A:$A,"&lt;="&amp;B295+TIME(23,59,59))-SUMIFS('inventory ledger'!$I:$I,'inventory ledger'!$C:$C,C295,'inventory ledger'!$D:$D,D295,'inventory ledger'!$E:$E,E295,'inventory ledger'!$A:$A,"&lt;="&amp;B295+TIME(23,59,59)))</f>
        <v>0</v>
      </c>
      <c r="G295" s="3">
        <f>IFERROR(__xludf.DUMMYFUNCTION("IF(F295&lt;=0,0,IFERROR(ROUNDUP(F295/INDEX(FILTER('warehouse config'!$D:$D,('warehouse config'!$B:$B=C295)*('warehouse config'!$C:$C=D295)*('warehouse config'!$G:$G&lt;=B295)*(('warehouse config'!$H:$H&gt;=B295)+ISBLANK('warehouse config'!$H:$H))),1)),0))"),0.0)</f>
        <v>0</v>
      </c>
      <c r="H295" s="3">
        <f>IFERROR(__xludf.DUMMYFUNCTION("IFERROR(INDEX(FILTER('cost master'!$E:$E,('cost master'!$B:$B=C295)*('cost master'!$D:$D=""Storage cost per pallet / week"")*('cost master'!$G:$G&lt;=B295)*(('cost master'!$H:$H&gt;=B295)+ISBLANK('cost master'!$H:$H))),1),0)"),2.6)</f>
        <v>2.6</v>
      </c>
      <c r="I295" s="3">
        <f t="shared" si="4"/>
        <v>0</v>
      </c>
      <c r="J295" s="27">
        <f t="shared" si="5"/>
        <v>45704</v>
      </c>
      <c r="K295" s="27">
        <f t="shared" si="6"/>
        <v>45731</v>
      </c>
    </row>
    <row r="296" hidden="1">
      <c r="A296" s="3" t="str">
        <f t="shared" si="3"/>
        <v>SL-20250303-Vglobal-CS 012-12</v>
      </c>
      <c r="B296" s="2">
        <f t="array" ref="B296">INDEX(helper!$A$3:$A3996,ROUNDUP((ROW()-1)/COUNTA(helper!$D$3:$D3996),0))</f>
        <v>45719</v>
      </c>
      <c r="C296" s="5" t="str">
        <f t="array" ref="C296">IF(B296="","",INDEX(helper!$D$3:$D3996,MOD(ROW()-2,COUNTA(helper!$D$3:$D3996))+1))</f>
        <v>Vglobal</v>
      </c>
      <c r="D296" s="3" t="str">
        <f t="array" ref="D296">IF(B296="","",INDEX(helper!$E$3:$E3996,MOD(ROW()-2,COUNTA(helper!$D$3:$D3996))+1))</f>
        <v>CS 012</v>
      </c>
      <c r="E296" s="3">
        <f t="array" ref="E296">IF(B296="","",INDEX(helper!$F$3:$F3996,MOD(ROW()-2,COUNTA(helper!$D$3:$D3996))+1))</f>
        <v>12</v>
      </c>
      <c r="F296" s="3">
        <f>IF(B296="","",SUMIFS('inventory ledger'!$H:$H,'inventory ledger'!$C:$C,C296,'inventory ledger'!$D:$D,D296,'inventory ledger'!$E:$E,E296,'inventory ledger'!$A:$A,"&lt;="&amp;B296+TIME(23,59,59))-SUMIFS('inventory ledger'!$I:$I,'inventory ledger'!$C:$C,C296,'inventory ledger'!$D:$D,D296,'inventory ledger'!$E:$E,E296,'inventory ledger'!$A:$A,"&lt;="&amp;B296+TIME(23,59,59)))</f>
        <v>0</v>
      </c>
      <c r="G296" s="3">
        <f>IFERROR(__xludf.DUMMYFUNCTION("IF(F296&lt;=0,0,IFERROR(ROUNDUP(F296/INDEX(FILTER('warehouse config'!$D:$D,('warehouse config'!$B:$B=C296)*('warehouse config'!$C:$C=D296)*('warehouse config'!$G:$G&lt;=B296)*(('warehouse config'!$H:$H&gt;=B296)+ISBLANK('warehouse config'!$H:$H))),1)),0))"),0.0)</f>
        <v>0</v>
      </c>
      <c r="H296" s="3">
        <f>IFERROR(__xludf.DUMMYFUNCTION("IFERROR(INDEX(FILTER('cost master'!$E:$E,('cost master'!$B:$B=C296)*('cost master'!$D:$D=""Storage cost per pallet / week"")*('cost master'!$G:$G&lt;=B296)*(('cost master'!$H:$H&gt;=B296)+ISBLANK('cost master'!$H:$H))),1),0)"),2.6)</f>
        <v>2.6</v>
      </c>
      <c r="I296" s="3">
        <f t="shared" si="4"/>
        <v>0</v>
      </c>
      <c r="J296" s="27">
        <f t="shared" si="5"/>
        <v>45704</v>
      </c>
      <c r="K296" s="27">
        <f t="shared" si="6"/>
        <v>45731</v>
      </c>
    </row>
    <row r="297" hidden="1">
      <c r="A297" s="3" t="str">
        <f t="shared" si="3"/>
        <v>SL-20250303-Vglobal-CS-CDS-001-3</v>
      </c>
      <c r="B297" s="2">
        <f t="array" ref="B297">INDEX(helper!$A$3:$A3996,ROUNDUP((ROW()-1)/COUNTA(helper!$D$3:$D3996),0))</f>
        <v>45719</v>
      </c>
      <c r="C297" s="5" t="str">
        <f t="array" ref="C297">IF(B297="","",INDEX(helper!$D$3:$D3996,MOD(ROW()-2,COUNTA(helper!$D$3:$D3996))+1))</f>
        <v>Vglobal</v>
      </c>
      <c r="D297" s="3" t="str">
        <f t="array" ref="D297">IF(B297="","",INDEX(helper!$E$3:$E3996,MOD(ROW()-2,COUNTA(helper!$D$3:$D3996))+1))</f>
        <v>CS-CDS-001</v>
      </c>
      <c r="E297" s="3">
        <f t="array" ref="E297">IF(B297="","",INDEX(helper!$F$3:$F3996,MOD(ROW()-2,COUNTA(helper!$D$3:$D3996))+1))</f>
        <v>3</v>
      </c>
      <c r="F297" s="3">
        <f>IF(B297="","",SUMIFS('inventory ledger'!$H:$H,'inventory ledger'!$C:$C,C297,'inventory ledger'!$D:$D,D297,'inventory ledger'!$E:$E,E297,'inventory ledger'!$A:$A,"&lt;="&amp;B297+TIME(23,59,59))-SUMIFS('inventory ledger'!$I:$I,'inventory ledger'!$C:$C,C297,'inventory ledger'!$D:$D,D297,'inventory ledger'!$E:$E,E297,'inventory ledger'!$A:$A,"&lt;="&amp;B297+TIME(23,59,59)))</f>
        <v>1</v>
      </c>
      <c r="G297" s="3">
        <f>IFERROR(__xludf.DUMMYFUNCTION("IF(F297&lt;=0,0,IFERROR(ROUNDUP(F297/INDEX(FILTER('warehouse config'!$D:$D,('warehouse config'!$B:$B=C297)*('warehouse config'!$C:$C=D297)*('warehouse config'!$G:$G&lt;=B297)*(('warehouse config'!$H:$H&gt;=B297)+ISBLANK('warehouse config'!$H:$H))),1)),0))"),1.0)</f>
        <v>1</v>
      </c>
      <c r="H297" s="3">
        <f>IFERROR(__xludf.DUMMYFUNCTION("IFERROR(INDEX(FILTER('cost master'!$E:$E,('cost master'!$B:$B=C297)*('cost master'!$D:$D=""Storage cost per pallet / week"")*('cost master'!$G:$G&lt;=B297)*(('cost master'!$H:$H&gt;=B297)+ISBLANK('cost master'!$H:$H))),1),0)"),2.6)</f>
        <v>2.6</v>
      </c>
      <c r="I297" s="3">
        <f t="shared" si="4"/>
        <v>2.6</v>
      </c>
      <c r="J297" s="27">
        <f t="shared" si="5"/>
        <v>45704</v>
      </c>
      <c r="K297" s="27">
        <f t="shared" si="6"/>
        <v>45731</v>
      </c>
    </row>
    <row r="298" hidden="1">
      <c r="A298" s="3" t="str">
        <f t="shared" si="3"/>
        <v>SL-20250303-Vglobal-CS-CDS-002-3</v>
      </c>
      <c r="B298" s="2">
        <f t="array" ref="B298">INDEX(helper!$A$3:$A3996,ROUNDUP((ROW()-1)/COUNTA(helper!$D$3:$D3996),0))</f>
        <v>45719</v>
      </c>
      <c r="C298" s="5" t="str">
        <f t="array" ref="C298">IF(B298="","",INDEX(helper!$D$3:$D3996,MOD(ROW()-2,COUNTA(helper!$D$3:$D3996))+1))</f>
        <v>Vglobal</v>
      </c>
      <c r="D298" s="3" t="str">
        <f t="array" ref="D298">IF(B298="","",INDEX(helper!$E$3:$E3996,MOD(ROW()-2,COUNTA(helper!$D$3:$D3996))+1))</f>
        <v>CS-CDS-002</v>
      </c>
      <c r="E298" s="3">
        <f t="array" ref="E298">IF(B298="","",INDEX(helper!$F$3:$F3996,MOD(ROW()-2,COUNTA(helper!$D$3:$D3996))+1))</f>
        <v>3</v>
      </c>
      <c r="F298" s="3">
        <f>IF(B298="","",SUMIFS('inventory ledger'!$H:$H,'inventory ledger'!$C:$C,C298,'inventory ledger'!$D:$D,D298,'inventory ledger'!$E:$E,E298,'inventory ledger'!$A:$A,"&lt;="&amp;B298+TIME(23,59,59))-SUMIFS('inventory ledger'!$I:$I,'inventory ledger'!$C:$C,C298,'inventory ledger'!$D:$D,D298,'inventory ledger'!$E:$E,E298,'inventory ledger'!$A:$A,"&lt;="&amp;B298+TIME(23,59,59)))</f>
        <v>0</v>
      </c>
      <c r="G298" s="3">
        <f>IFERROR(__xludf.DUMMYFUNCTION("IF(F298&lt;=0,0,IFERROR(ROUNDUP(F298/INDEX(FILTER('warehouse config'!$D:$D,('warehouse config'!$B:$B=C298)*('warehouse config'!$C:$C=D298)*('warehouse config'!$G:$G&lt;=B298)*(('warehouse config'!$H:$H&gt;=B298)+ISBLANK('warehouse config'!$H:$H))),1)),0))"),0.0)</f>
        <v>0</v>
      </c>
      <c r="H298" s="3">
        <f>IFERROR(__xludf.DUMMYFUNCTION("IFERROR(INDEX(FILTER('cost master'!$E:$E,('cost master'!$B:$B=C298)*('cost master'!$D:$D=""Storage cost per pallet / week"")*('cost master'!$G:$G&lt;=B298)*(('cost master'!$H:$H&gt;=B298)+ISBLANK('cost master'!$H:$H))),1),0)"),2.6)</f>
        <v>2.6</v>
      </c>
      <c r="I298" s="3">
        <f t="shared" si="4"/>
        <v>0</v>
      </c>
      <c r="J298" s="27">
        <f t="shared" si="5"/>
        <v>45704</v>
      </c>
      <c r="K298" s="27">
        <f t="shared" si="6"/>
        <v>45731</v>
      </c>
    </row>
    <row r="299" hidden="1">
      <c r="A299" s="3" t="str">
        <f t="shared" si="3"/>
        <v>SL-20250303-4as-CS-CDS-001-4</v>
      </c>
      <c r="B299" s="2">
        <f t="array" ref="B299">INDEX(helper!$A$3:$A3996,ROUNDUP((ROW()-1)/COUNTA(helper!$D$3:$D3996),0))</f>
        <v>45719</v>
      </c>
      <c r="C299" s="5" t="str">
        <f t="array" ref="C299">IF(B299="","",INDEX(helper!$D$3:$D3996,MOD(ROW()-2,COUNTA(helper!$D$3:$D3996))+1))</f>
        <v>4as</v>
      </c>
      <c r="D299" s="3" t="str">
        <f t="array" ref="D299">IF(B299="","",INDEX(helper!$E$3:$E3996,MOD(ROW()-2,COUNTA(helper!$D$3:$D3996))+1))</f>
        <v>CS-CDS-001</v>
      </c>
      <c r="E299" s="3">
        <f t="array" ref="E299">IF(B299="","",INDEX(helper!$F$3:$F3996,MOD(ROW()-2,COUNTA(helper!$D$3:$D3996))+1))</f>
        <v>4</v>
      </c>
      <c r="F299" s="3">
        <f>IF(B299="","",SUMIFS('inventory ledger'!$H:$H,'inventory ledger'!$C:$C,C299,'inventory ledger'!$D:$D,D299,'inventory ledger'!$E:$E,E299,'inventory ledger'!$A:$A,"&lt;="&amp;B299+TIME(23,59,59))-SUMIFS('inventory ledger'!$I:$I,'inventory ledger'!$C:$C,C299,'inventory ledger'!$D:$D,D299,'inventory ledger'!$E:$E,E299,'inventory ledger'!$A:$A,"&lt;="&amp;B299+TIME(23,59,59)))</f>
        <v>64</v>
      </c>
      <c r="G299" s="3">
        <f>IFERROR(__xludf.DUMMYFUNCTION("IF(F299&lt;=0,0,IFERROR(ROUNDUP(F299/INDEX(FILTER('warehouse config'!$D:$D,('warehouse config'!$B:$B=C299)*('warehouse config'!$C:$C=D299)*('warehouse config'!$G:$G&lt;=B299)*(('warehouse config'!$H:$H&gt;=B299)+ISBLANK('warehouse config'!$H:$H))),1)),0))"),4.0)</f>
        <v>4</v>
      </c>
      <c r="H299" s="3">
        <f>IFERROR(__xludf.DUMMYFUNCTION("IFERROR(INDEX(FILTER('cost master'!$E:$E,('cost master'!$B:$B=C299)*('cost master'!$D:$D=""Storage cost per pallet / week"")*('cost master'!$G:$G&lt;=B299)*(('cost master'!$H:$H&gt;=B299)+ISBLANK('cost master'!$H:$H))),1),0)"),9.0)</f>
        <v>9</v>
      </c>
      <c r="I299" s="3">
        <f t="shared" si="4"/>
        <v>36</v>
      </c>
      <c r="J299" s="27">
        <f t="shared" si="5"/>
        <v>45704</v>
      </c>
      <c r="K299" s="27">
        <f t="shared" si="6"/>
        <v>45731</v>
      </c>
    </row>
    <row r="300" hidden="1">
      <c r="A300" s="3" t="str">
        <f t="shared" si="3"/>
        <v>SL-20250303-4as-CS-CDS-002-4</v>
      </c>
      <c r="B300" s="2">
        <f t="array" ref="B300">INDEX(helper!$A$3:$A3996,ROUNDUP((ROW()-1)/COUNTA(helper!$D$3:$D3996),0))</f>
        <v>45719</v>
      </c>
      <c r="C300" s="5" t="str">
        <f t="array" ref="C300">IF(B300="","",INDEX(helper!$D$3:$D3996,MOD(ROW()-2,COUNTA(helper!$D$3:$D3996))+1))</f>
        <v>4as</v>
      </c>
      <c r="D300" s="3" t="str">
        <f t="array" ref="D300">IF(B300="","",INDEX(helper!$E$3:$E3996,MOD(ROW()-2,COUNTA(helper!$D$3:$D3996))+1))</f>
        <v>CS-CDS-002</v>
      </c>
      <c r="E300" s="3">
        <f t="array" ref="E300">IF(B300="","",INDEX(helper!$F$3:$F3996,MOD(ROW()-2,COUNTA(helper!$D$3:$D3996))+1))</f>
        <v>4</v>
      </c>
      <c r="F300" s="3">
        <f>IF(B300="","",SUMIFS('inventory ledger'!$H:$H,'inventory ledger'!$C:$C,C300,'inventory ledger'!$D:$D,D300,'inventory ledger'!$E:$E,E300,'inventory ledger'!$A:$A,"&lt;="&amp;B300+TIME(23,59,59))-SUMIFS('inventory ledger'!$I:$I,'inventory ledger'!$C:$C,C300,'inventory ledger'!$D:$D,D300,'inventory ledger'!$E:$E,E300,'inventory ledger'!$A:$A,"&lt;="&amp;B300+TIME(23,59,59)))</f>
        <v>109</v>
      </c>
      <c r="G300" s="3">
        <f>IFERROR(__xludf.DUMMYFUNCTION("IF(F300&lt;=0,0,IFERROR(ROUNDUP(F300/INDEX(FILTER('warehouse config'!$D:$D,('warehouse config'!$B:$B=C300)*('warehouse config'!$C:$C=D300)*('warehouse config'!$G:$G&lt;=B300)*(('warehouse config'!$H:$H&gt;=B300)+ISBLANK('warehouse config'!$H:$H))),1)),0))"),6.0)</f>
        <v>6</v>
      </c>
      <c r="H300" s="3">
        <f>IFERROR(__xludf.DUMMYFUNCTION("IFERROR(INDEX(FILTER('cost master'!$E:$E,('cost master'!$B:$B=C300)*('cost master'!$D:$D=""Storage cost per pallet / week"")*('cost master'!$G:$G&lt;=B300)*(('cost master'!$H:$H&gt;=B300)+ISBLANK('cost master'!$H:$H))),1),0)"),9.0)</f>
        <v>9</v>
      </c>
      <c r="I300" s="3">
        <f t="shared" si="4"/>
        <v>54</v>
      </c>
      <c r="J300" s="27">
        <f t="shared" si="5"/>
        <v>45704</v>
      </c>
      <c r="K300" s="27">
        <f t="shared" si="6"/>
        <v>45731</v>
      </c>
    </row>
    <row r="301" hidden="1">
      <c r="A301" s="3" t="str">
        <f t="shared" si="3"/>
        <v>SL-20250303-Vglobal-CS 007-13</v>
      </c>
      <c r="B301" s="2">
        <f t="array" ref="B301">INDEX(helper!$A$3:$A3996,ROUNDUP((ROW()-1)/COUNTA(helper!$D$3:$D3996),0))</f>
        <v>45719</v>
      </c>
      <c r="C301" s="5" t="str">
        <f t="array" ref="C301">IF(B301="","",INDEX(helper!$D$3:$D3996,MOD(ROW()-2,COUNTA(helper!$D$3:$D3996))+1))</f>
        <v>Vglobal</v>
      </c>
      <c r="D301" s="3" t="str">
        <f t="array" ref="D301">IF(B301="","",INDEX(helper!$E$3:$E3996,MOD(ROW()-2,COUNTA(helper!$D$3:$D3996))+1))</f>
        <v>CS 007</v>
      </c>
      <c r="E301" s="3">
        <f t="array" ref="E301">IF(B301="","",INDEX(helper!$F$3:$F3996,MOD(ROW()-2,COUNTA(helper!$D$3:$D3996))+1))</f>
        <v>13</v>
      </c>
      <c r="F301" s="3">
        <f>IF(B301="","",SUMIFS('inventory ledger'!$H:$H,'inventory ledger'!$C:$C,C301,'inventory ledger'!$D:$D,D301,'inventory ledger'!$E:$E,E301,'inventory ledger'!$A:$A,"&lt;="&amp;B301+TIME(23,59,59))-SUMIFS('inventory ledger'!$I:$I,'inventory ledger'!$C:$C,C301,'inventory ledger'!$D:$D,D301,'inventory ledger'!$E:$E,E301,'inventory ledger'!$A:$A,"&lt;="&amp;B301+TIME(23,59,59)))</f>
        <v>285</v>
      </c>
      <c r="G301" s="3">
        <f>IFERROR(__xludf.DUMMYFUNCTION("IF(F301&lt;=0,0,IFERROR(ROUNDUP(F301/INDEX(FILTER('warehouse config'!$D:$D,('warehouse config'!$B:$B=C301)*('warehouse config'!$C:$C=D301)*('warehouse config'!$G:$G&lt;=B301)*(('warehouse config'!$H:$H&gt;=B301)+ISBLANK('warehouse config'!$H:$H))),1)),0))"),18.0)</f>
        <v>18</v>
      </c>
      <c r="H301" s="3">
        <f>IFERROR(__xludf.DUMMYFUNCTION("IFERROR(INDEX(FILTER('cost master'!$E:$E,('cost master'!$B:$B=C301)*('cost master'!$D:$D=""Storage cost per pallet / week"")*('cost master'!$G:$G&lt;=B301)*(('cost master'!$H:$H&gt;=B301)+ISBLANK('cost master'!$H:$H))),1),0)"),2.6)</f>
        <v>2.6</v>
      </c>
      <c r="I301" s="3">
        <f t="shared" si="4"/>
        <v>46.8</v>
      </c>
      <c r="J301" s="27">
        <f t="shared" si="5"/>
        <v>45704</v>
      </c>
      <c r="K301" s="27">
        <f t="shared" si="6"/>
        <v>45731</v>
      </c>
    </row>
    <row r="302" hidden="1">
      <c r="A302" s="3" t="str">
        <f t="shared" si="3"/>
        <v>SL-20250303-Vglobal-CS 011-13</v>
      </c>
      <c r="B302" s="2">
        <f t="array" ref="B302">INDEX(helper!$A$3:$A3996,ROUNDUP((ROW()-1)/COUNTA(helper!$D$3:$D3996),0))</f>
        <v>45719</v>
      </c>
      <c r="C302" s="5" t="str">
        <f t="array" ref="C302">IF(B302="","",INDEX(helper!$D$3:$D3996,MOD(ROW()-2,COUNTA(helper!$D$3:$D3996))+1))</f>
        <v>Vglobal</v>
      </c>
      <c r="D302" s="3" t="str">
        <f t="array" ref="D302">IF(B302="","",INDEX(helper!$E$3:$E3996,MOD(ROW()-2,COUNTA(helper!$D$3:$D3996))+1))</f>
        <v>CS 011</v>
      </c>
      <c r="E302" s="3">
        <f t="array" ref="E302">IF(B302="","",INDEX(helper!$F$3:$F3996,MOD(ROW()-2,COUNTA(helper!$D$3:$D3996))+1))</f>
        <v>13</v>
      </c>
      <c r="F302" s="3">
        <f>IF(B302="","",SUMIFS('inventory ledger'!$H:$H,'inventory ledger'!$C:$C,C302,'inventory ledger'!$D:$D,D302,'inventory ledger'!$E:$E,E302,'inventory ledger'!$A:$A,"&lt;="&amp;B302+TIME(23,59,59))-SUMIFS('inventory ledger'!$I:$I,'inventory ledger'!$C:$C,C302,'inventory ledger'!$D:$D,D302,'inventory ledger'!$E:$E,E302,'inventory ledger'!$A:$A,"&lt;="&amp;B302+TIME(23,59,59)))</f>
        <v>136</v>
      </c>
      <c r="G302" s="3">
        <f>IFERROR(__xludf.DUMMYFUNCTION("IF(F302&lt;=0,0,IFERROR(ROUNDUP(F302/INDEX(FILTER('warehouse config'!$D:$D,('warehouse config'!$B:$B=C302)*('warehouse config'!$C:$C=D302)*('warehouse config'!$G:$G&lt;=B302)*(('warehouse config'!$H:$H&gt;=B302)+ISBLANK('warehouse config'!$H:$H))),1)),0))"),7.0)</f>
        <v>7</v>
      </c>
      <c r="H302" s="3">
        <f>IFERROR(__xludf.DUMMYFUNCTION("IFERROR(INDEX(FILTER('cost master'!$E:$E,('cost master'!$B:$B=C302)*('cost master'!$D:$D=""Storage cost per pallet / week"")*('cost master'!$G:$G&lt;=B302)*(('cost master'!$H:$H&gt;=B302)+ISBLANK('cost master'!$H:$H))),1),0)"),2.6)</f>
        <v>2.6</v>
      </c>
      <c r="I302" s="3">
        <f t="shared" si="4"/>
        <v>18.2</v>
      </c>
      <c r="J302" s="27">
        <f t="shared" si="5"/>
        <v>45704</v>
      </c>
      <c r="K302" s="27">
        <f t="shared" si="6"/>
        <v>45731</v>
      </c>
    </row>
    <row r="303" hidden="1">
      <c r="A303" s="3" t="str">
        <f t="shared" si="3"/>
        <v>SL-20250303-Vglobal-CS 008-13</v>
      </c>
      <c r="B303" s="2">
        <f t="array" ref="B303">INDEX(helper!$A$3:$A3996,ROUNDUP((ROW()-1)/COUNTA(helper!$D$3:$D3996),0))</f>
        <v>45719</v>
      </c>
      <c r="C303" s="5" t="str">
        <f t="array" ref="C303">IF(B303="","",INDEX(helper!$D$3:$D3996,MOD(ROW()-2,COUNTA(helper!$D$3:$D3996))+1))</f>
        <v>Vglobal</v>
      </c>
      <c r="D303" s="3" t="str">
        <f t="array" ref="D303">IF(B303="","",INDEX(helper!$E$3:$E3996,MOD(ROW()-2,COUNTA(helper!$D$3:$D3996))+1))</f>
        <v>CS 008</v>
      </c>
      <c r="E303" s="3">
        <f t="array" ref="E303">IF(B303="","",INDEX(helper!$F$3:$F3996,MOD(ROW()-2,COUNTA(helper!$D$3:$D3996))+1))</f>
        <v>13</v>
      </c>
      <c r="F303" s="3">
        <f>IF(B303="","",SUMIFS('inventory ledger'!$H:$H,'inventory ledger'!$C:$C,C303,'inventory ledger'!$D:$D,D303,'inventory ledger'!$E:$E,E303,'inventory ledger'!$A:$A,"&lt;="&amp;B303+TIME(23,59,59))-SUMIFS('inventory ledger'!$I:$I,'inventory ledger'!$C:$C,C303,'inventory ledger'!$D:$D,D303,'inventory ledger'!$E:$E,E303,'inventory ledger'!$A:$A,"&lt;="&amp;B303+TIME(23,59,59)))</f>
        <v>20</v>
      </c>
      <c r="G303" s="3">
        <f>IFERROR(__xludf.DUMMYFUNCTION("IF(F303&lt;=0,0,IFERROR(ROUNDUP(F303/INDEX(FILTER('warehouse config'!$D:$D,('warehouse config'!$B:$B=C303)*('warehouse config'!$C:$C=D303)*('warehouse config'!$G:$G&lt;=B303)*(('warehouse config'!$H:$H&gt;=B303)+ISBLANK('warehouse config'!$H:$H))),1)),0))"),1.0)</f>
        <v>1</v>
      </c>
      <c r="H303" s="3">
        <f>IFERROR(__xludf.DUMMYFUNCTION("IFERROR(INDEX(FILTER('cost master'!$E:$E,('cost master'!$B:$B=C303)*('cost master'!$D:$D=""Storage cost per pallet / week"")*('cost master'!$G:$G&lt;=B303)*(('cost master'!$H:$H&gt;=B303)+ISBLANK('cost master'!$H:$H))),1),0)"),2.6)</f>
        <v>2.6</v>
      </c>
      <c r="I303" s="3">
        <f t="shared" si="4"/>
        <v>2.6</v>
      </c>
      <c r="J303" s="27">
        <f t="shared" si="5"/>
        <v>45704</v>
      </c>
      <c r="K303" s="27">
        <f t="shared" si="6"/>
        <v>45731</v>
      </c>
    </row>
    <row r="304" hidden="1">
      <c r="A304" s="3" t="str">
        <f t="shared" si="3"/>
        <v>SL-20250303-Vglobal-CS 010-13</v>
      </c>
      <c r="B304" s="2">
        <f t="array" ref="B304">INDEX(helper!$A$3:$A3996,ROUNDUP((ROW()-1)/COUNTA(helper!$D$3:$D3996),0))</f>
        <v>45719</v>
      </c>
      <c r="C304" s="5" t="str">
        <f t="array" ref="C304">IF(B304="","",INDEX(helper!$D$3:$D3996,MOD(ROW()-2,COUNTA(helper!$D$3:$D3996))+1))</f>
        <v>Vglobal</v>
      </c>
      <c r="D304" s="3" t="str">
        <f t="array" ref="D304">IF(B304="","",INDEX(helper!$E$3:$E3996,MOD(ROW()-2,COUNTA(helper!$D$3:$D3996))+1))</f>
        <v>CS 010</v>
      </c>
      <c r="E304" s="3">
        <f t="array" ref="E304">IF(B304="","",INDEX(helper!$F$3:$F3996,MOD(ROW()-2,COUNTA(helper!$D$3:$D3996))+1))</f>
        <v>13</v>
      </c>
      <c r="F304" s="3">
        <f>IF(B304="","",SUMIFS('inventory ledger'!$H:$H,'inventory ledger'!$C:$C,C304,'inventory ledger'!$D:$D,D304,'inventory ledger'!$E:$E,E304,'inventory ledger'!$A:$A,"&lt;="&amp;B304+TIME(23,59,59))-SUMIFS('inventory ledger'!$I:$I,'inventory ledger'!$C:$C,C304,'inventory ledger'!$D:$D,D304,'inventory ledger'!$E:$E,E304,'inventory ledger'!$A:$A,"&lt;="&amp;B304+TIME(23,59,59)))</f>
        <v>80</v>
      </c>
      <c r="G304" s="3">
        <f>IFERROR(__xludf.DUMMYFUNCTION("IF(F304&lt;=0,0,IFERROR(ROUNDUP(F304/INDEX(FILTER('warehouse config'!$D:$D,('warehouse config'!$B:$B=C304)*('warehouse config'!$C:$C=D304)*('warehouse config'!$G:$G&lt;=B304)*(('warehouse config'!$H:$H&gt;=B304)+ISBLANK('warehouse config'!$H:$H))),1)),0))"),4.0)</f>
        <v>4</v>
      </c>
      <c r="H304" s="3">
        <f>IFERROR(__xludf.DUMMYFUNCTION("IFERROR(INDEX(FILTER('cost master'!$E:$E,('cost master'!$B:$B=C304)*('cost master'!$D:$D=""Storage cost per pallet / week"")*('cost master'!$G:$G&lt;=B304)*(('cost master'!$H:$H&gt;=B304)+ISBLANK('cost master'!$H:$H))),1),0)"),2.6)</f>
        <v>2.6</v>
      </c>
      <c r="I304" s="3">
        <f t="shared" si="4"/>
        <v>10.4</v>
      </c>
      <c r="J304" s="27">
        <f t="shared" si="5"/>
        <v>45704</v>
      </c>
      <c r="K304" s="27">
        <f t="shared" si="6"/>
        <v>45731</v>
      </c>
    </row>
    <row r="305" hidden="1">
      <c r="A305" s="3" t="str">
        <f t="shared" si="3"/>
        <v>SL-20250303-Vglobal-CS 009-13</v>
      </c>
      <c r="B305" s="2">
        <f t="array" ref="B305">INDEX(helper!$A$3:$A3996,ROUNDUP((ROW()-1)/COUNTA(helper!$D$3:$D3996),0))</f>
        <v>45719</v>
      </c>
      <c r="C305" s="5" t="str">
        <f t="array" ref="C305">IF(B305="","",INDEX(helper!$D$3:$D3996,MOD(ROW()-2,COUNTA(helper!$D$3:$D3996))+1))</f>
        <v>Vglobal</v>
      </c>
      <c r="D305" s="3" t="str">
        <f t="array" ref="D305">IF(B305="","",INDEX(helper!$E$3:$E3996,MOD(ROW()-2,COUNTA(helper!$D$3:$D3996))+1))</f>
        <v>CS 009</v>
      </c>
      <c r="E305" s="3">
        <f t="array" ref="E305">IF(B305="","",INDEX(helper!$F$3:$F3996,MOD(ROW()-2,COUNTA(helper!$D$3:$D3996))+1))</f>
        <v>13</v>
      </c>
      <c r="F305" s="3">
        <f>IF(B305="","",SUMIFS('inventory ledger'!$H:$H,'inventory ledger'!$C:$C,C305,'inventory ledger'!$D:$D,D305,'inventory ledger'!$E:$E,E305,'inventory ledger'!$A:$A,"&lt;="&amp;B305+TIME(23,59,59))-SUMIFS('inventory ledger'!$I:$I,'inventory ledger'!$C:$C,C305,'inventory ledger'!$D:$D,D305,'inventory ledger'!$E:$E,E305,'inventory ledger'!$A:$A,"&lt;="&amp;B305+TIME(23,59,59)))</f>
        <v>12</v>
      </c>
      <c r="G305" s="3">
        <f>IFERROR(__xludf.DUMMYFUNCTION("IF(F305&lt;=0,0,IFERROR(ROUNDUP(F305/INDEX(FILTER('warehouse config'!$D:$D,('warehouse config'!$B:$B=C305)*('warehouse config'!$C:$C=D305)*('warehouse config'!$G:$G&lt;=B305)*(('warehouse config'!$H:$H&gt;=B305)+ISBLANK('warehouse config'!$H:$H))),1)),0))"),1.0)</f>
        <v>1</v>
      </c>
      <c r="H305" s="3">
        <f>IFERROR(__xludf.DUMMYFUNCTION("IFERROR(INDEX(FILTER('cost master'!$E:$E,('cost master'!$B:$B=C305)*('cost master'!$D:$D=""Storage cost per pallet / week"")*('cost master'!$G:$G&lt;=B305)*(('cost master'!$H:$H&gt;=B305)+ISBLANK('cost master'!$H:$H))),1),0)"),2.6)</f>
        <v>2.6</v>
      </c>
      <c r="I305" s="3">
        <f t="shared" si="4"/>
        <v>2.6</v>
      </c>
      <c r="J305" s="27">
        <f t="shared" si="5"/>
        <v>45704</v>
      </c>
      <c r="K305" s="27">
        <f t="shared" si="6"/>
        <v>45731</v>
      </c>
    </row>
    <row r="306" hidden="1">
      <c r="A306" s="3" t="str">
        <f t="shared" si="3"/>
        <v>SL-20250303-Vglobal-CS 012-13</v>
      </c>
      <c r="B306" s="2">
        <f t="array" ref="B306">INDEX(helper!$A$3:$A3996,ROUNDUP((ROW()-1)/COUNTA(helper!$D$3:$D3996),0))</f>
        <v>45719</v>
      </c>
      <c r="C306" s="5" t="str">
        <f t="array" ref="C306">IF(B306="","",INDEX(helper!$D$3:$D3996,MOD(ROW()-2,COUNTA(helper!$D$3:$D3996))+1))</f>
        <v>Vglobal</v>
      </c>
      <c r="D306" s="3" t="str">
        <f t="array" ref="D306">IF(B306="","",INDEX(helper!$E$3:$E3996,MOD(ROW()-2,COUNTA(helper!$D$3:$D3996))+1))</f>
        <v>CS 012</v>
      </c>
      <c r="E306" s="3">
        <f t="array" ref="E306">IF(B306="","",INDEX(helper!$F$3:$F3996,MOD(ROW()-2,COUNTA(helper!$D$3:$D3996))+1))</f>
        <v>13</v>
      </c>
      <c r="F306" s="3">
        <f>IF(B306="","",SUMIFS('inventory ledger'!$H:$H,'inventory ledger'!$C:$C,C306,'inventory ledger'!$D:$D,D306,'inventory ledger'!$E:$E,E306,'inventory ledger'!$A:$A,"&lt;="&amp;B306+TIME(23,59,59))-SUMIFS('inventory ledger'!$I:$I,'inventory ledger'!$C:$C,C306,'inventory ledger'!$D:$D,D306,'inventory ledger'!$E:$E,E306,'inventory ledger'!$A:$A,"&lt;="&amp;B306+TIME(23,59,59)))</f>
        <v>0</v>
      </c>
      <c r="G306" s="3">
        <f>IFERROR(__xludf.DUMMYFUNCTION("IF(F306&lt;=0,0,IFERROR(ROUNDUP(F306/INDEX(FILTER('warehouse config'!$D:$D,('warehouse config'!$B:$B=C306)*('warehouse config'!$C:$C=D306)*('warehouse config'!$G:$G&lt;=B306)*(('warehouse config'!$H:$H&gt;=B306)+ISBLANK('warehouse config'!$H:$H))),1)),0))"),0.0)</f>
        <v>0</v>
      </c>
      <c r="H306" s="3">
        <f>IFERROR(__xludf.DUMMYFUNCTION("IFERROR(INDEX(FILTER('cost master'!$E:$E,('cost master'!$B:$B=C306)*('cost master'!$D:$D=""Storage cost per pallet / week"")*('cost master'!$G:$G&lt;=B306)*(('cost master'!$H:$H&gt;=B306)+ISBLANK('cost master'!$H:$H))),1),0)"),2.6)</f>
        <v>2.6</v>
      </c>
      <c r="I306" s="3">
        <f t="shared" si="4"/>
        <v>0</v>
      </c>
      <c r="J306" s="27">
        <f t="shared" si="5"/>
        <v>45704</v>
      </c>
      <c r="K306" s="27">
        <f t="shared" si="6"/>
        <v>45731</v>
      </c>
    </row>
    <row r="307" hidden="1">
      <c r="A307" s="3" t="str">
        <f t="shared" si="3"/>
        <v>SL-20250303-FMC-CS 008-11</v>
      </c>
      <c r="B307" s="2">
        <f t="array" ref="B307">INDEX(helper!$A$3:$A3996,ROUNDUP((ROW()-1)/COUNTA(helper!$D$3:$D3996),0))</f>
        <v>45719</v>
      </c>
      <c r="C307" s="5" t="str">
        <f t="array" ref="C307">IF(B307="","",INDEX(helper!$D$3:$D3996,MOD(ROW()-2,COUNTA(helper!$D$3:$D3996))+1))</f>
        <v>FMC</v>
      </c>
      <c r="D307" s="3" t="str">
        <f t="array" ref="D307">IF(B307="","",INDEX(helper!$E$3:$E3996,MOD(ROW()-2,COUNTA(helper!$D$3:$D3996))+1))</f>
        <v>CS 008</v>
      </c>
      <c r="E307" s="3">
        <f t="array" ref="E307">IF(B307="","",INDEX(helper!$F$3:$F3996,MOD(ROW()-2,COUNTA(helper!$D$3:$D3996))+1))</f>
        <v>11</v>
      </c>
      <c r="F307" s="3">
        <f>IF(B307="","",SUMIFS('inventory ledger'!$H:$H,'inventory ledger'!$C:$C,C307,'inventory ledger'!$D:$D,D307,'inventory ledger'!$E:$E,E307,'inventory ledger'!$A:$A,"&lt;="&amp;B307+TIME(23,59,59))-SUMIFS('inventory ledger'!$I:$I,'inventory ledger'!$C:$C,C307,'inventory ledger'!$D:$D,D307,'inventory ledger'!$E:$E,E307,'inventory ledger'!$A:$A,"&lt;="&amp;B307+TIME(23,59,59)))</f>
        <v>0</v>
      </c>
      <c r="G307" s="3">
        <f>IFERROR(__xludf.DUMMYFUNCTION("IF(F307&lt;=0,0,IFERROR(ROUNDUP(F307/INDEX(FILTER('warehouse config'!$D:$D,('warehouse config'!$B:$B=C307)*('warehouse config'!$C:$C=D307)*('warehouse config'!$G:$G&lt;=B307)*(('warehouse config'!$H:$H&gt;=B307)+ISBLANK('warehouse config'!$H:$H))),1)),0))"),0.0)</f>
        <v>0</v>
      </c>
      <c r="H307" s="3">
        <f>IFERROR(__xludf.DUMMYFUNCTION("IFERROR(INDEX(FILTER('cost master'!$E:$E,('cost master'!$B:$B=C307)*('cost master'!$D:$D=""Storage cost per pallet / week"")*('cost master'!$G:$G&lt;=B307)*(('cost master'!$H:$H&gt;=B307)+ISBLANK('cost master'!$H:$H))),1),0)"),3.9)</f>
        <v>3.9</v>
      </c>
      <c r="I307" s="3">
        <f t="shared" si="4"/>
        <v>0</v>
      </c>
      <c r="J307" s="27">
        <f t="shared" si="5"/>
        <v>45704</v>
      </c>
      <c r="K307" s="27">
        <f t="shared" si="6"/>
        <v>45731</v>
      </c>
    </row>
    <row r="308" hidden="1">
      <c r="A308" s="3" t="str">
        <f t="shared" si="3"/>
        <v>SL-20250310-FMC-CS 007-8</v>
      </c>
      <c r="B308" s="2">
        <f t="array" ref="B308">INDEX(helper!$A$3:$A3996,ROUNDUP((ROW()-1)/COUNTA(helper!$D$3:$D3996),0))</f>
        <v>45726</v>
      </c>
      <c r="C308" s="5" t="str">
        <f t="array" ref="C308">IF(B308="","",INDEX(helper!$D$3:$D3996,MOD(ROW()-2,COUNTA(helper!$D$3:$D3996))+1))</f>
        <v>FMC</v>
      </c>
      <c r="D308" s="3" t="str">
        <f t="array" ref="D308">IF(B308="","",INDEX(helper!$E$3:$E3996,MOD(ROW()-2,COUNTA(helper!$D$3:$D3996))+1))</f>
        <v>CS 007</v>
      </c>
      <c r="E308" s="3">
        <f t="array" ref="E308">IF(B308="","",INDEX(helper!$F$3:$F3996,MOD(ROW()-2,COUNTA(helper!$D$3:$D3996))+1))</f>
        <v>8</v>
      </c>
      <c r="F308" s="3">
        <f>IF(B308="","",SUMIFS('inventory ledger'!$H:$H,'inventory ledger'!$C:$C,C308,'inventory ledger'!$D:$D,D308,'inventory ledger'!$E:$E,E308,'inventory ledger'!$A:$A,"&lt;="&amp;B308+TIME(23,59,59))-SUMIFS('inventory ledger'!$I:$I,'inventory ledger'!$C:$C,C308,'inventory ledger'!$D:$D,D308,'inventory ledger'!$E:$E,E308,'inventory ledger'!$A:$A,"&lt;="&amp;B308+TIME(23,59,59)))</f>
        <v>0</v>
      </c>
      <c r="G308" s="3">
        <f>IFERROR(__xludf.DUMMYFUNCTION("IF(F308&lt;=0,0,IFERROR(ROUNDUP(F308/INDEX(FILTER('warehouse config'!$D:$D,('warehouse config'!$B:$B=C308)*('warehouse config'!$C:$C=D308)*('warehouse config'!$G:$G&lt;=B308)*(('warehouse config'!$H:$H&gt;=B308)+ISBLANK('warehouse config'!$H:$H))),1)),0))"),0.0)</f>
        <v>0</v>
      </c>
      <c r="H308" s="3">
        <f>IFERROR(__xludf.DUMMYFUNCTION("IFERROR(INDEX(FILTER('cost master'!$E:$E,('cost master'!$B:$B=C308)*('cost master'!$D:$D=""Storage cost per pallet / week"")*('cost master'!$G:$G&lt;=B308)*(('cost master'!$H:$H&gt;=B308)+ISBLANK('cost master'!$H:$H))),1),0)"),3.9)</f>
        <v>3.9</v>
      </c>
      <c r="I308" s="3">
        <f t="shared" si="4"/>
        <v>0</v>
      </c>
      <c r="J308" s="27">
        <f t="shared" si="5"/>
        <v>45704</v>
      </c>
      <c r="K308" s="27">
        <f t="shared" si="6"/>
        <v>45731</v>
      </c>
    </row>
    <row r="309" hidden="1">
      <c r="A309" s="3" t="str">
        <f t="shared" si="3"/>
        <v>SL-20250310-FMC-CS 008-8</v>
      </c>
      <c r="B309" s="2">
        <f t="array" ref="B309">INDEX(helper!$A$3:$A3996,ROUNDUP((ROW()-1)/COUNTA(helper!$D$3:$D3996),0))</f>
        <v>45726</v>
      </c>
      <c r="C309" s="5" t="str">
        <f t="array" ref="C309">IF(B309="","",INDEX(helper!$D$3:$D3996,MOD(ROW()-2,COUNTA(helper!$D$3:$D3996))+1))</f>
        <v>FMC</v>
      </c>
      <c r="D309" s="3" t="str">
        <f t="array" ref="D309">IF(B309="","",INDEX(helper!$E$3:$E3996,MOD(ROW()-2,COUNTA(helper!$D$3:$D3996))+1))</f>
        <v>CS 008</v>
      </c>
      <c r="E309" s="3">
        <f t="array" ref="E309">IF(B309="","",INDEX(helper!$F$3:$F3996,MOD(ROW()-2,COUNTA(helper!$D$3:$D3996))+1))</f>
        <v>8</v>
      </c>
      <c r="F309" s="3">
        <f>IF(B309="","",SUMIFS('inventory ledger'!$H:$H,'inventory ledger'!$C:$C,C309,'inventory ledger'!$D:$D,D309,'inventory ledger'!$E:$E,E309,'inventory ledger'!$A:$A,"&lt;="&amp;B309+TIME(23,59,59))-SUMIFS('inventory ledger'!$I:$I,'inventory ledger'!$C:$C,C309,'inventory ledger'!$D:$D,D309,'inventory ledger'!$E:$E,E309,'inventory ledger'!$A:$A,"&lt;="&amp;B309+TIME(23,59,59)))</f>
        <v>0</v>
      </c>
      <c r="G309" s="3">
        <f>IFERROR(__xludf.DUMMYFUNCTION("IF(F309&lt;=0,0,IFERROR(ROUNDUP(F309/INDEX(FILTER('warehouse config'!$D:$D,('warehouse config'!$B:$B=C309)*('warehouse config'!$C:$C=D309)*('warehouse config'!$G:$G&lt;=B309)*(('warehouse config'!$H:$H&gt;=B309)+ISBLANK('warehouse config'!$H:$H))),1)),0))"),0.0)</f>
        <v>0</v>
      </c>
      <c r="H309" s="3">
        <f>IFERROR(__xludf.DUMMYFUNCTION("IFERROR(INDEX(FILTER('cost master'!$E:$E,('cost master'!$B:$B=C309)*('cost master'!$D:$D=""Storage cost per pallet / week"")*('cost master'!$G:$G&lt;=B309)*(('cost master'!$H:$H&gt;=B309)+ISBLANK('cost master'!$H:$H))),1),0)"),3.9)</f>
        <v>3.9</v>
      </c>
      <c r="I309" s="3">
        <f t="shared" si="4"/>
        <v>0</v>
      </c>
      <c r="J309" s="27">
        <f t="shared" si="5"/>
        <v>45704</v>
      </c>
      <c r="K309" s="27">
        <f t="shared" si="6"/>
        <v>45731</v>
      </c>
    </row>
    <row r="310" hidden="1">
      <c r="A310" s="3" t="str">
        <f t="shared" si="3"/>
        <v>SL-20250310-FMC-CS 009-8</v>
      </c>
      <c r="B310" s="2">
        <f t="array" ref="B310">INDEX(helper!$A$3:$A3996,ROUNDUP((ROW()-1)/COUNTA(helper!$D$3:$D3996),0))</f>
        <v>45726</v>
      </c>
      <c r="C310" s="5" t="str">
        <f t="array" ref="C310">IF(B310="","",INDEX(helper!$D$3:$D3996,MOD(ROW()-2,COUNTA(helper!$D$3:$D3996))+1))</f>
        <v>FMC</v>
      </c>
      <c r="D310" s="3" t="str">
        <f t="array" ref="D310">IF(B310="","",INDEX(helper!$E$3:$E3996,MOD(ROW()-2,COUNTA(helper!$D$3:$D3996))+1))</f>
        <v>CS 009</v>
      </c>
      <c r="E310" s="3">
        <f t="array" ref="E310">IF(B310="","",INDEX(helper!$F$3:$F3996,MOD(ROW()-2,COUNTA(helper!$D$3:$D3996))+1))</f>
        <v>8</v>
      </c>
      <c r="F310" s="3">
        <f>IF(B310="","",SUMIFS('inventory ledger'!$H:$H,'inventory ledger'!$C:$C,C310,'inventory ledger'!$D:$D,D310,'inventory ledger'!$E:$E,E310,'inventory ledger'!$A:$A,"&lt;="&amp;B310+TIME(23,59,59))-SUMIFS('inventory ledger'!$I:$I,'inventory ledger'!$C:$C,C310,'inventory ledger'!$D:$D,D310,'inventory ledger'!$E:$E,E310,'inventory ledger'!$A:$A,"&lt;="&amp;B310+TIME(23,59,59)))</f>
        <v>0</v>
      </c>
      <c r="G310" s="3">
        <f>IFERROR(__xludf.DUMMYFUNCTION("IF(F310&lt;=0,0,IFERROR(ROUNDUP(F310/INDEX(FILTER('warehouse config'!$D:$D,('warehouse config'!$B:$B=C310)*('warehouse config'!$C:$C=D310)*('warehouse config'!$G:$G&lt;=B310)*(('warehouse config'!$H:$H&gt;=B310)+ISBLANK('warehouse config'!$H:$H))),1)),0))"),0.0)</f>
        <v>0</v>
      </c>
      <c r="H310" s="3">
        <f>IFERROR(__xludf.DUMMYFUNCTION("IFERROR(INDEX(FILTER('cost master'!$E:$E,('cost master'!$B:$B=C310)*('cost master'!$D:$D=""Storage cost per pallet / week"")*('cost master'!$G:$G&lt;=B310)*(('cost master'!$H:$H&gt;=B310)+ISBLANK('cost master'!$H:$H))),1),0)"),3.9)</f>
        <v>3.9</v>
      </c>
      <c r="I310" s="3">
        <f t="shared" si="4"/>
        <v>0</v>
      </c>
      <c r="J310" s="27">
        <f t="shared" si="5"/>
        <v>45704</v>
      </c>
      <c r="K310" s="27">
        <f t="shared" si="6"/>
        <v>45731</v>
      </c>
    </row>
    <row r="311" hidden="1">
      <c r="A311" s="3" t="str">
        <f t="shared" si="3"/>
        <v>SL-20250310-FMC-CS 010-8</v>
      </c>
      <c r="B311" s="2">
        <f t="array" ref="B311">INDEX(helper!$A$3:$A3996,ROUNDUP((ROW()-1)/COUNTA(helper!$D$3:$D3996),0))</f>
        <v>45726</v>
      </c>
      <c r="C311" s="5" t="str">
        <f t="array" ref="C311">IF(B311="","",INDEX(helper!$D$3:$D3996,MOD(ROW()-2,COUNTA(helper!$D$3:$D3996))+1))</f>
        <v>FMC</v>
      </c>
      <c r="D311" s="3" t="str">
        <f t="array" ref="D311">IF(B311="","",INDEX(helper!$E$3:$E3996,MOD(ROW()-2,COUNTA(helper!$D$3:$D3996))+1))</f>
        <v>CS 010</v>
      </c>
      <c r="E311" s="3">
        <f t="array" ref="E311">IF(B311="","",INDEX(helper!$F$3:$F3996,MOD(ROW()-2,COUNTA(helper!$D$3:$D3996))+1))</f>
        <v>8</v>
      </c>
      <c r="F311" s="3">
        <f>IF(B311="","",SUMIFS('inventory ledger'!$H:$H,'inventory ledger'!$C:$C,C311,'inventory ledger'!$D:$D,D311,'inventory ledger'!$E:$E,E311,'inventory ledger'!$A:$A,"&lt;="&amp;B311+TIME(23,59,59))-SUMIFS('inventory ledger'!$I:$I,'inventory ledger'!$C:$C,C311,'inventory ledger'!$D:$D,D311,'inventory ledger'!$E:$E,E311,'inventory ledger'!$A:$A,"&lt;="&amp;B311+TIME(23,59,59)))</f>
        <v>0</v>
      </c>
      <c r="G311" s="3">
        <f>IFERROR(__xludf.DUMMYFUNCTION("IF(F311&lt;=0,0,IFERROR(ROUNDUP(F311/INDEX(FILTER('warehouse config'!$D:$D,('warehouse config'!$B:$B=C311)*('warehouse config'!$C:$C=D311)*('warehouse config'!$G:$G&lt;=B311)*(('warehouse config'!$H:$H&gt;=B311)+ISBLANK('warehouse config'!$H:$H))),1)),0))"),0.0)</f>
        <v>0</v>
      </c>
      <c r="H311" s="3">
        <f>IFERROR(__xludf.DUMMYFUNCTION("IFERROR(INDEX(FILTER('cost master'!$E:$E,('cost master'!$B:$B=C311)*('cost master'!$D:$D=""Storage cost per pallet / week"")*('cost master'!$G:$G&lt;=B311)*(('cost master'!$H:$H&gt;=B311)+ISBLANK('cost master'!$H:$H))),1),0)"),3.9)</f>
        <v>3.9</v>
      </c>
      <c r="I311" s="3">
        <f t="shared" si="4"/>
        <v>0</v>
      </c>
      <c r="J311" s="27">
        <f t="shared" si="5"/>
        <v>45704</v>
      </c>
      <c r="K311" s="27">
        <f t="shared" si="6"/>
        <v>45731</v>
      </c>
    </row>
    <row r="312" hidden="1">
      <c r="A312" s="3" t="str">
        <f t="shared" si="3"/>
        <v>SL-20250310-FMC-CS 007-9</v>
      </c>
      <c r="B312" s="2">
        <f t="array" ref="B312">INDEX(helper!$A$3:$A3996,ROUNDUP((ROW()-1)/COUNTA(helper!$D$3:$D3996),0))</f>
        <v>45726</v>
      </c>
      <c r="C312" s="5" t="str">
        <f t="array" ref="C312">IF(B312="","",INDEX(helper!$D$3:$D3996,MOD(ROW()-2,COUNTA(helper!$D$3:$D3996))+1))</f>
        <v>FMC</v>
      </c>
      <c r="D312" s="3" t="str">
        <f t="array" ref="D312">IF(B312="","",INDEX(helper!$E$3:$E3996,MOD(ROW()-2,COUNTA(helper!$D$3:$D3996))+1))</f>
        <v>CS 007</v>
      </c>
      <c r="E312" s="3">
        <f t="array" ref="E312">IF(B312="","",INDEX(helper!$F$3:$F3996,MOD(ROW()-2,COUNTA(helper!$D$3:$D3996))+1))</f>
        <v>9</v>
      </c>
      <c r="F312" s="3">
        <f>IF(B312="","",SUMIFS('inventory ledger'!$H:$H,'inventory ledger'!$C:$C,C312,'inventory ledger'!$D:$D,D312,'inventory ledger'!$E:$E,E312,'inventory ledger'!$A:$A,"&lt;="&amp;B312+TIME(23,59,59))-SUMIFS('inventory ledger'!$I:$I,'inventory ledger'!$C:$C,C312,'inventory ledger'!$D:$D,D312,'inventory ledger'!$E:$E,E312,'inventory ledger'!$A:$A,"&lt;="&amp;B312+TIME(23,59,59)))</f>
        <v>0</v>
      </c>
      <c r="G312" s="3">
        <f>IFERROR(__xludf.DUMMYFUNCTION("IF(F312&lt;=0,0,IFERROR(ROUNDUP(F312/INDEX(FILTER('warehouse config'!$D:$D,('warehouse config'!$B:$B=C312)*('warehouse config'!$C:$C=D312)*('warehouse config'!$G:$G&lt;=B312)*(('warehouse config'!$H:$H&gt;=B312)+ISBLANK('warehouse config'!$H:$H))),1)),0))"),0.0)</f>
        <v>0</v>
      </c>
      <c r="H312" s="3">
        <f>IFERROR(__xludf.DUMMYFUNCTION("IFERROR(INDEX(FILTER('cost master'!$E:$E,('cost master'!$B:$B=C312)*('cost master'!$D:$D=""Storage cost per pallet / week"")*('cost master'!$G:$G&lt;=B312)*(('cost master'!$H:$H&gt;=B312)+ISBLANK('cost master'!$H:$H))),1),0)"),3.9)</f>
        <v>3.9</v>
      </c>
      <c r="I312" s="3">
        <f t="shared" si="4"/>
        <v>0</v>
      </c>
      <c r="J312" s="27">
        <f t="shared" si="5"/>
        <v>45704</v>
      </c>
      <c r="K312" s="27">
        <f t="shared" si="6"/>
        <v>45731</v>
      </c>
    </row>
    <row r="313" hidden="1">
      <c r="A313" s="3" t="str">
        <f t="shared" si="3"/>
        <v>SL-20250310-FMC-CS 008-9</v>
      </c>
      <c r="B313" s="2">
        <f t="array" ref="B313">INDEX(helper!$A$3:$A3996,ROUNDUP((ROW()-1)/COUNTA(helper!$D$3:$D3996),0))</f>
        <v>45726</v>
      </c>
      <c r="C313" s="5" t="str">
        <f t="array" ref="C313">IF(B313="","",INDEX(helper!$D$3:$D3996,MOD(ROW()-2,COUNTA(helper!$D$3:$D3996))+1))</f>
        <v>FMC</v>
      </c>
      <c r="D313" s="3" t="str">
        <f t="array" ref="D313">IF(B313="","",INDEX(helper!$E$3:$E3996,MOD(ROW()-2,COUNTA(helper!$D$3:$D3996))+1))</f>
        <v>CS 008</v>
      </c>
      <c r="E313" s="3">
        <f t="array" ref="E313">IF(B313="","",INDEX(helper!$F$3:$F3996,MOD(ROW()-2,COUNTA(helper!$D$3:$D3996))+1))</f>
        <v>9</v>
      </c>
      <c r="F313" s="3">
        <f>IF(B313="","",SUMIFS('inventory ledger'!$H:$H,'inventory ledger'!$C:$C,C313,'inventory ledger'!$D:$D,D313,'inventory ledger'!$E:$E,E313,'inventory ledger'!$A:$A,"&lt;="&amp;B313+TIME(23,59,59))-SUMIFS('inventory ledger'!$I:$I,'inventory ledger'!$C:$C,C313,'inventory ledger'!$D:$D,D313,'inventory ledger'!$E:$E,E313,'inventory ledger'!$A:$A,"&lt;="&amp;B313+TIME(23,59,59)))</f>
        <v>14</v>
      </c>
      <c r="G313" s="3">
        <f>IFERROR(__xludf.DUMMYFUNCTION("IF(F313&lt;=0,0,IFERROR(ROUNDUP(F313/INDEX(FILTER('warehouse config'!$D:$D,('warehouse config'!$B:$B=C313)*('warehouse config'!$C:$C=D313)*('warehouse config'!$G:$G&lt;=B313)*(('warehouse config'!$H:$H&gt;=B313)+ISBLANK('warehouse config'!$H:$H))),1)),0))"),1.0)</f>
        <v>1</v>
      </c>
      <c r="H313" s="3">
        <f>IFERROR(__xludf.DUMMYFUNCTION("IFERROR(INDEX(FILTER('cost master'!$E:$E,('cost master'!$B:$B=C313)*('cost master'!$D:$D=""Storage cost per pallet / week"")*('cost master'!$G:$G&lt;=B313)*(('cost master'!$H:$H&gt;=B313)+ISBLANK('cost master'!$H:$H))),1),0)"),3.9)</f>
        <v>3.9</v>
      </c>
      <c r="I313" s="3">
        <f t="shared" si="4"/>
        <v>3.9</v>
      </c>
      <c r="J313" s="27">
        <f t="shared" si="5"/>
        <v>45704</v>
      </c>
      <c r="K313" s="27">
        <f t="shared" si="6"/>
        <v>45731</v>
      </c>
    </row>
    <row r="314" hidden="1">
      <c r="A314" s="3" t="str">
        <f t="shared" si="3"/>
        <v>SL-20250310-FMC-CS 009-9</v>
      </c>
      <c r="B314" s="2">
        <f t="array" ref="B314">INDEX(helper!$A$3:$A3996,ROUNDUP((ROW()-1)/COUNTA(helper!$D$3:$D3996),0))</f>
        <v>45726</v>
      </c>
      <c r="C314" s="5" t="str">
        <f t="array" ref="C314">IF(B314="","",INDEX(helper!$D$3:$D3996,MOD(ROW()-2,COUNTA(helper!$D$3:$D3996))+1))</f>
        <v>FMC</v>
      </c>
      <c r="D314" s="3" t="str">
        <f t="array" ref="D314">IF(B314="","",INDEX(helper!$E$3:$E3996,MOD(ROW()-2,COUNTA(helper!$D$3:$D3996))+1))</f>
        <v>CS 009</v>
      </c>
      <c r="E314" s="3">
        <f t="array" ref="E314">IF(B314="","",INDEX(helper!$F$3:$F3996,MOD(ROW()-2,COUNTA(helper!$D$3:$D3996))+1))</f>
        <v>9</v>
      </c>
      <c r="F314" s="3">
        <f>IF(B314="","",SUMIFS('inventory ledger'!$H:$H,'inventory ledger'!$C:$C,C314,'inventory ledger'!$D:$D,D314,'inventory ledger'!$E:$E,E314,'inventory ledger'!$A:$A,"&lt;="&amp;B314+TIME(23,59,59))-SUMIFS('inventory ledger'!$I:$I,'inventory ledger'!$C:$C,C314,'inventory ledger'!$D:$D,D314,'inventory ledger'!$E:$E,E314,'inventory ledger'!$A:$A,"&lt;="&amp;B314+TIME(23,59,59)))</f>
        <v>0</v>
      </c>
      <c r="G314" s="3">
        <f>IFERROR(__xludf.DUMMYFUNCTION("IF(F314&lt;=0,0,IFERROR(ROUNDUP(F314/INDEX(FILTER('warehouse config'!$D:$D,('warehouse config'!$B:$B=C314)*('warehouse config'!$C:$C=D314)*('warehouse config'!$G:$G&lt;=B314)*(('warehouse config'!$H:$H&gt;=B314)+ISBLANK('warehouse config'!$H:$H))),1)),0))"),0.0)</f>
        <v>0</v>
      </c>
      <c r="H314" s="3">
        <f>IFERROR(__xludf.DUMMYFUNCTION("IFERROR(INDEX(FILTER('cost master'!$E:$E,('cost master'!$B:$B=C314)*('cost master'!$D:$D=""Storage cost per pallet / week"")*('cost master'!$G:$G&lt;=B314)*(('cost master'!$H:$H&gt;=B314)+ISBLANK('cost master'!$H:$H))),1),0)"),3.9)</f>
        <v>3.9</v>
      </c>
      <c r="I314" s="3">
        <f t="shared" si="4"/>
        <v>0</v>
      </c>
      <c r="J314" s="27">
        <f t="shared" si="5"/>
        <v>45704</v>
      </c>
      <c r="K314" s="27">
        <f t="shared" si="6"/>
        <v>45731</v>
      </c>
    </row>
    <row r="315" hidden="1">
      <c r="A315" s="3" t="str">
        <f t="shared" si="3"/>
        <v>SL-20250310-FMC-CS 010-9</v>
      </c>
      <c r="B315" s="2">
        <f t="array" ref="B315">INDEX(helper!$A$3:$A3996,ROUNDUP((ROW()-1)/COUNTA(helper!$D$3:$D3996),0))</f>
        <v>45726</v>
      </c>
      <c r="C315" s="5" t="str">
        <f t="array" ref="C315">IF(B315="","",INDEX(helper!$D$3:$D3996,MOD(ROW()-2,COUNTA(helper!$D$3:$D3996))+1))</f>
        <v>FMC</v>
      </c>
      <c r="D315" s="3" t="str">
        <f t="array" ref="D315">IF(B315="","",INDEX(helper!$E$3:$E3996,MOD(ROW()-2,COUNTA(helper!$D$3:$D3996))+1))</f>
        <v>CS 010</v>
      </c>
      <c r="E315" s="3">
        <f t="array" ref="E315">IF(B315="","",INDEX(helper!$F$3:$F3996,MOD(ROW()-2,COUNTA(helper!$D$3:$D3996))+1))</f>
        <v>9</v>
      </c>
      <c r="F315" s="3">
        <f>IF(B315="","",SUMIFS('inventory ledger'!$H:$H,'inventory ledger'!$C:$C,C315,'inventory ledger'!$D:$D,D315,'inventory ledger'!$E:$E,E315,'inventory ledger'!$A:$A,"&lt;="&amp;B315+TIME(23,59,59))-SUMIFS('inventory ledger'!$I:$I,'inventory ledger'!$C:$C,C315,'inventory ledger'!$D:$D,D315,'inventory ledger'!$E:$E,E315,'inventory ledger'!$A:$A,"&lt;="&amp;B315+TIME(23,59,59)))</f>
        <v>0</v>
      </c>
      <c r="G315" s="3">
        <f>IFERROR(__xludf.DUMMYFUNCTION("IF(F315&lt;=0,0,IFERROR(ROUNDUP(F315/INDEX(FILTER('warehouse config'!$D:$D,('warehouse config'!$B:$B=C315)*('warehouse config'!$C:$C=D315)*('warehouse config'!$G:$G&lt;=B315)*(('warehouse config'!$H:$H&gt;=B315)+ISBLANK('warehouse config'!$H:$H))),1)),0))"),0.0)</f>
        <v>0</v>
      </c>
      <c r="H315" s="3">
        <f>IFERROR(__xludf.DUMMYFUNCTION("IFERROR(INDEX(FILTER('cost master'!$E:$E,('cost master'!$B:$B=C315)*('cost master'!$D:$D=""Storage cost per pallet / week"")*('cost master'!$G:$G&lt;=B315)*(('cost master'!$H:$H&gt;=B315)+ISBLANK('cost master'!$H:$H))),1),0)"),3.9)</f>
        <v>3.9</v>
      </c>
      <c r="I315" s="3">
        <f t="shared" si="4"/>
        <v>0</v>
      </c>
      <c r="J315" s="27">
        <f t="shared" si="5"/>
        <v>45704</v>
      </c>
      <c r="K315" s="27">
        <f t="shared" si="6"/>
        <v>45731</v>
      </c>
    </row>
    <row r="316" hidden="1">
      <c r="A316" s="3" t="str">
        <f t="shared" si="3"/>
        <v>SL-20250310-FMC-CS-CDS-001-9</v>
      </c>
      <c r="B316" s="2">
        <f t="array" ref="B316">INDEX(helper!$A$3:$A3996,ROUNDUP((ROW()-1)/COUNTA(helper!$D$3:$D3996),0))</f>
        <v>45726</v>
      </c>
      <c r="C316" s="5" t="str">
        <f t="array" ref="C316">IF(B316="","",INDEX(helper!$D$3:$D3996,MOD(ROW()-2,COUNTA(helper!$D$3:$D3996))+1))</f>
        <v>FMC</v>
      </c>
      <c r="D316" s="3" t="str">
        <f t="array" ref="D316">IF(B316="","",INDEX(helper!$E$3:$E3996,MOD(ROW()-2,COUNTA(helper!$D$3:$D3996))+1))</f>
        <v>CS-CDS-001</v>
      </c>
      <c r="E316" s="3">
        <f t="array" ref="E316">IF(B316="","",INDEX(helper!$F$3:$F3996,MOD(ROW()-2,COUNTA(helper!$D$3:$D3996))+1))</f>
        <v>9</v>
      </c>
      <c r="F316" s="3">
        <f>IF(B316="","",SUMIFS('inventory ledger'!$H:$H,'inventory ledger'!$C:$C,C316,'inventory ledger'!$D:$D,D316,'inventory ledger'!$E:$E,E316,'inventory ledger'!$A:$A,"&lt;="&amp;B316+TIME(23,59,59))-SUMIFS('inventory ledger'!$I:$I,'inventory ledger'!$C:$C,C316,'inventory ledger'!$D:$D,D316,'inventory ledger'!$E:$E,E316,'inventory ledger'!$A:$A,"&lt;="&amp;B316+TIME(23,59,59)))</f>
        <v>0</v>
      </c>
      <c r="G316" s="3">
        <f>IFERROR(__xludf.DUMMYFUNCTION("IF(F316&lt;=0,0,IFERROR(ROUNDUP(F316/INDEX(FILTER('warehouse config'!$D:$D,('warehouse config'!$B:$B=C316)*('warehouse config'!$C:$C=D316)*('warehouse config'!$G:$G&lt;=B316)*(('warehouse config'!$H:$H&gt;=B316)+ISBLANK('warehouse config'!$H:$H))),1)),0))"),0.0)</f>
        <v>0</v>
      </c>
      <c r="H316" s="3">
        <f>IFERROR(__xludf.DUMMYFUNCTION("IFERROR(INDEX(FILTER('cost master'!$E:$E,('cost master'!$B:$B=C316)*('cost master'!$D:$D=""Storage cost per pallet / week"")*('cost master'!$G:$G&lt;=B316)*(('cost master'!$H:$H&gt;=B316)+ISBLANK('cost master'!$H:$H))),1),0)"),3.9)</f>
        <v>3.9</v>
      </c>
      <c r="I316" s="3">
        <f t="shared" si="4"/>
        <v>0</v>
      </c>
      <c r="J316" s="27">
        <f t="shared" si="5"/>
        <v>45704</v>
      </c>
      <c r="K316" s="27">
        <f t="shared" si="6"/>
        <v>45731</v>
      </c>
    </row>
    <row r="317" hidden="1">
      <c r="A317" s="3" t="str">
        <f t="shared" si="3"/>
        <v>SL-20250310-FMC-CS-CDS-002-9</v>
      </c>
      <c r="B317" s="2">
        <f t="array" ref="B317">INDEX(helper!$A$3:$A3996,ROUNDUP((ROW()-1)/COUNTA(helper!$D$3:$D3996),0))</f>
        <v>45726</v>
      </c>
      <c r="C317" s="5" t="str">
        <f t="array" ref="C317">IF(B317="","",INDEX(helper!$D$3:$D3996,MOD(ROW()-2,COUNTA(helper!$D$3:$D3996))+1))</f>
        <v>FMC</v>
      </c>
      <c r="D317" s="3" t="str">
        <f t="array" ref="D317">IF(B317="","",INDEX(helper!$E$3:$E3996,MOD(ROW()-2,COUNTA(helper!$D$3:$D3996))+1))</f>
        <v>CS-CDS-002</v>
      </c>
      <c r="E317" s="3">
        <f t="array" ref="E317">IF(B317="","",INDEX(helper!$F$3:$F3996,MOD(ROW()-2,COUNTA(helper!$D$3:$D3996))+1))</f>
        <v>9</v>
      </c>
      <c r="F317" s="3">
        <f>IF(B317="","",SUMIFS('inventory ledger'!$H:$H,'inventory ledger'!$C:$C,C317,'inventory ledger'!$D:$D,D317,'inventory ledger'!$E:$E,E317,'inventory ledger'!$A:$A,"&lt;="&amp;B317+TIME(23,59,59))-SUMIFS('inventory ledger'!$I:$I,'inventory ledger'!$C:$C,C317,'inventory ledger'!$D:$D,D317,'inventory ledger'!$E:$E,E317,'inventory ledger'!$A:$A,"&lt;="&amp;B317+TIME(23,59,59)))</f>
        <v>0</v>
      </c>
      <c r="G317" s="3">
        <f>IFERROR(__xludf.DUMMYFUNCTION("IF(F317&lt;=0,0,IFERROR(ROUNDUP(F317/INDEX(FILTER('warehouse config'!$D:$D,('warehouse config'!$B:$B=C317)*('warehouse config'!$C:$C=D317)*('warehouse config'!$G:$G&lt;=B317)*(('warehouse config'!$H:$H&gt;=B317)+ISBLANK('warehouse config'!$H:$H))),1)),0))"),0.0)</f>
        <v>0</v>
      </c>
      <c r="H317" s="3">
        <f>IFERROR(__xludf.DUMMYFUNCTION("IFERROR(INDEX(FILTER('cost master'!$E:$E,('cost master'!$B:$B=C317)*('cost master'!$D:$D=""Storage cost per pallet / week"")*('cost master'!$G:$G&lt;=B317)*(('cost master'!$H:$H&gt;=B317)+ISBLANK('cost master'!$H:$H))),1),0)"),3.9)</f>
        <v>3.9</v>
      </c>
      <c r="I317" s="3">
        <f t="shared" si="4"/>
        <v>0</v>
      </c>
      <c r="J317" s="27">
        <f t="shared" si="5"/>
        <v>45704</v>
      </c>
      <c r="K317" s="27">
        <f t="shared" si="6"/>
        <v>45731</v>
      </c>
    </row>
    <row r="318" hidden="1">
      <c r="A318" s="3" t="str">
        <f t="shared" si="3"/>
        <v>SL-20250310-FMC-CS 007-10</v>
      </c>
      <c r="B318" s="2">
        <f t="array" ref="B318">INDEX(helper!$A$3:$A3996,ROUNDUP((ROW()-1)/COUNTA(helper!$D$3:$D3996),0))</f>
        <v>45726</v>
      </c>
      <c r="C318" s="5" t="str">
        <f t="array" ref="C318">IF(B318="","",INDEX(helper!$D$3:$D3996,MOD(ROW()-2,COUNTA(helper!$D$3:$D3996))+1))</f>
        <v>FMC</v>
      </c>
      <c r="D318" s="3" t="str">
        <f t="array" ref="D318">IF(B318="","",INDEX(helper!$E$3:$E3996,MOD(ROW()-2,COUNTA(helper!$D$3:$D3996))+1))</f>
        <v>CS 007</v>
      </c>
      <c r="E318" s="3">
        <f t="array" ref="E318">IF(B318="","",INDEX(helper!$F$3:$F3996,MOD(ROW()-2,COUNTA(helper!$D$3:$D3996))+1))</f>
        <v>10</v>
      </c>
      <c r="F318" s="3">
        <f>IF(B318="","",SUMIFS('inventory ledger'!$H:$H,'inventory ledger'!$C:$C,C318,'inventory ledger'!$D:$D,D318,'inventory ledger'!$E:$E,E318,'inventory ledger'!$A:$A,"&lt;="&amp;B318+TIME(23,59,59))-SUMIFS('inventory ledger'!$I:$I,'inventory ledger'!$C:$C,C318,'inventory ledger'!$D:$D,D318,'inventory ledger'!$E:$E,E318,'inventory ledger'!$A:$A,"&lt;="&amp;B318+TIME(23,59,59)))</f>
        <v>0</v>
      </c>
      <c r="G318" s="3">
        <f>IFERROR(__xludf.DUMMYFUNCTION("IF(F318&lt;=0,0,IFERROR(ROUNDUP(F318/INDEX(FILTER('warehouse config'!$D:$D,('warehouse config'!$B:$B=C318)*('warehouse config'!$C:$C=D318)*('warehouse config'!$G:$G&lt;=B318)*(('warehouse config'!$H:$H&gt;=B318)+ISBLANK('warehouse config'!$H:$H))),1)),0))"),0.0)</f>
        <v>0</v>
      </c>
      <c r="H318" s="3">
        <f>IFERROR(__xludf.DUMMYFUNCTION("IFERROR(INDEX(FILTER('cost master'!$E:$E,('cost master'!$B:$B=C318)*('cost master'!$D:$D=""Storage cost per pallet / week"")*('cost master'!$G:$G&lt;=B318)*(('cost master'!$H:$H&gt;=B318)+ISBLANK('cost master'!$H:$H))),1),0)"),3.9)</f>
        <v>3.9</v>
      </c>
      <c r="I318" s="3">
        <f t="shared" si="4"/>
        <v>0</v>
      </c>
      <c r="J318" s="27">
        <f t="shared" si="5"/>
        <v>45704</v>
      </c>
      <c r="K318" s="27">
        <f t="shared" si="6"/>
        <v>45731</v>
      </c>
    </row>
    <row r="319" hidden="1">
      <c r="A319" s="3" t="str">
        <f t="shared" si="3"/>
        <v>SL-20250310-FMC-CS 009-10</v>
      </c>
      <c r="B319" s="2">
        <f t="array" ref="B319">INDEX(helper!$A$3:$A3996,ROUNDUP((ROW()-1)/COUNTA(helper!$D$3:$D3996),0))</f>
        <v>45726</v>
      </c>
      <c r="C319" s="5" t="str">
        <f t="array" ref="C319">IF(B319="","",INDEX(helper!$D$3:$D3996,MOD(ROW()-2,COUNTA(helper!$D$3:$D3996))+1))</f>
        <v>FMC</v>
      </c>
      <c r="D319" s="3" t="str">
        <f t="array" ref="D319">IF(B319="","",INDEX(helper!$E$3:$E3996,MOD(ROW()-2,COUNTA(helper!$D$3:$D3996))+1))</f>
        <v>CS 009</v>
      </c>
      <c r="E319" s="3">
        <f t="array" ref="E319">IF(B319="","",INDEX(helper!$F$3:$F3996,MOD(ROW()-2,COUNTA(helper!$D$3:$D3996))+1))</f>
        <v>10</v>
      </c>
      <c r="F319" s="3">
        <f>IF(B319="","",SUMIFS('inventory ledger'!$H:$H,'inventory ledger'!$C:$C,C319,'inventory ledger'!$D:$D,D319,'inventory ledger'!$E:$E,E319,'inventory ledger'!$A:$A,"&lt;="&amp;B319+TIME(23,59,59))-SUMIFS('inventory ledger'!$I:$I,'inventory ledger'!$C:$C,C319,'inventory ledger'!$D:$D,D319,'inventory ledger'!$E:$E,E319,'inventory ledger'!$A:$A,"&lt;="&amp;B319+TIME(23,59,59)))</f>
        <v>0</v>
      </c>
      <c r="G319" s="3">
        <f>IFERROR(__xludf.DUMMYFUNCTION("IF(F319&lt;=0,0,IFERROR(ROUNDUP(F319/INDEX(FILTER('warehouse config'!$D:$D,('warehouse config'!$B:$B=C319)*('warehouse config'!$C:$C=D319)*('warehouse config'!$G:$G&lt;=B319)*(('warehouse config'!$H:$H&gt;=B319)+ISBLANK('warehouse config'!$H:$H))),1)),0))"),0.0)</f>
        <v>0</v>
      </c>
      <c r="H319" s="3">
        <f>IFERROR(__xludf.DUMMYFUNCTION("IFERROR(INDEX(FILTER('cost master'!$E:$E,('cost master'!$B:$B=C319)*('cost master'!$D:$D=""Storage cost per pallet / week"")*('cost master'!$G:$G&lt;=B319)*(('cost master'!$H:$H&gt;=B319)+ISBLANK('cost master'!$H:$H))),1),0)"),3.9)</f>
        <v>3.9</v>
      </c>
      <c r="I319" s="3">
        <f t="shared" si="4"/>
        <v>0</v>
      </c>
      <c r="J319" s="27">
        <f t="shared" si="5"/>
        <v>45704</v>
      </c>
      <c r="K319" s="27">
        <f t="shared" si="6"/>
        <v>45731</v>
      </c>
    </row>
    <row r="320" hidden="1">
      <c r="A320" s="3" t="str">
        <f t="shared" si="3"/>
        <v>SL-20250310-FMC-CS 010-10</v>
      </c>
      <c r="B320" s="2">
        <f t="array" ref="B320">INDEX(helper!$A$3:$A3996,ROUNDUP((ROW()-1)/COUNTA(helper!$D$3:$D3996),0))</f>
        <v>45726</v>
      </c>
      <c r="C320" s="5" t="str">
        <f t="array" ref="C320">IF(B320="","",INDEX(helper!$D$3:$D3996,MOD(ROW()-2,COUNTA(helper!$D$3:$D3996))+1))</f>
        <v>FMC</v>
      </c>
      <c r="D320" s="3" t="str">
        <f t="array" ref="D320">IF(B320="","",INDEX(helper!$E$3:$E3996,MOD(ROW()-2,COUNTA(helper!$D$3:$D3996))+1))</f>
        <v>CS 010</v>
      </c>
      <c r="E320" s="3">
        <f t="array" ref="E320">IF(B320="","",INDEX(helper!$F$3:$F3996,MOD(ROW()-2,COUNTA(helper!$D$3:$D3996))+1))</f>
        <v>10</v>
      </c>
      <c r="F320" s="3">
        <f>IF(B320="","",SUMIFS('inventory ledger'!$H:$H,'inventory ledger'!$C:$C,C320,'inventory ledger'!$D:$D,D320,'inventory ledger'!$E:$E,E320,'inventory ledger'!$A:$A,"&lt;="&amp;B320+TIME(23,59,59))-SUMIFS('inventory ledger'!$I:$I,'inventory ledger'!$C:$C,C320,'inventory ledger'!$D:$D,D320,'inventory ledger'!$E:$E,E320,'inventory ledger'!$A:$A,"&lt;="&amp;B320+TIME(23,59,59)))</f>
        <v>26</v>
      </c>
      <c r="G320" s="3">
        <f>IFERROR(__xludf.DUMMYFUNCTION("IF(F320&lt;=0,0,IFERROR(ROUNDUP(F320/INDEX(FILTER('warehouse config'!$D:$D,('warehouse config'!$B:$B=C320)*('warehouse config'!$C:$C=D320)*('warehouse config'!$G:$G&lt;=B320)*(('warehouse config'!$H:$H&gt;=B320)+ISBLANK('warehouse config'!$H:$H))),1)),0))"),1.0)</f>
        <v>1</v>
      </c>
      <c r="H320" s="3">
        <f>IFERROR(__xludf.DUMMYFUNCTION("IFERROR(INDEX(FILTER('cost master'!$E:$E,('cost master'!$B:$B=C320)*('cost master'!$D:$D=""Storage cost per pallet / week"")*('cost master'!$G:$G&lt;=B320)*(('cost master'!$H:$H&gt;=B320)+ISBLANK('cost master'!$H:$H))),1),0)"),3.9)</f>
        <v>3.9</v>
      </c>
      <c r="I320" s="3">
        <f t="shared" si="4"/>
        <v>3.9</v>
      </c>
      <c r="J320" s="27">
        <f t="shared" si="5"/>
        <v>45704</v>
      </c>
      <c r="K320" s="27">
        <f t="shared" si="6"/>
        <v>45731</v>
      </c>
    </row>
    <row r="321" hidden="1">
      <c r="A321" s="3" t="str">
        <f t="shared" si="3"/>
        <v>SL-20250310-FMC-CS-CDS-001-10</v>
      </c>
      <c r="B321" s="2">
        <f t="array" ref="B321">INDEX(helper!$A$3:$A3996,ROUNDUP((ROW()-1)/COUNTA(helper!$D$3:$D3996),0))</f>
        <v>45726</v>
      </c>
      <c r="C321" s="5" t="str">
        <f t="array" ref="C321">IF(B321="","",INDEX(helper!$D$3:$D3996,MOD(ROW()-2,COUNTA(helper!$D$3:$D3996))+1))</f>
        <v>FMC</v>
      </c>
      <c r="D321" s="3" t="str">
        <f t="array" ref="D321">IF(B321="","",INDEX(helper!$E$3:$E3996,MOD(ROW()-2,COUNTA(helper!$D$3:$D3996))+1))</f>
        <v>CS-CDS-001</v>
      </c>
      <c r="E321" s="3">
        <f t="array" ref="E321">IF(B321="","",INDEX(helper!$F$3:$F3996,MOD(ROW()-2,COUNTA(helper!$D$3:$D3996))+1))</f>
        <v>10</v>
      </c>
      <c r="F321" s="3">
        <f>IF(B321="","",SUMIFS('inventory ledger'!$H:$H,'inventory ledger'!$C:$C,C321,'inventory ledger'!$D:$D,D321,'inventory ledger'!$E:$E,E321,'inventory ledger'!$A:$A,"&lt;="&amp;B321+TIME(23,59,59))-SUMIFS('inventory ledger'!$I:$I,'inventory ledger'!$C:$C,C321,'inventory ledger'!$D:$D,D321,'inventory ledger'!$E:$E,E321,'inventory ledger'!$A:$A,"&lt;="&amp;B321+TIME(23,59,59)))</f>
        <v>0</v>
      </c>
      <c r="G321" s="3">
        <f>IFERROR(__xludf.DUMMYFUNCTION("IF(F321&lt;=0,0,IFERROR(ROUNDUP(F321/INDEX(FILTER('warehouse config'!$D:$D,('warehouse config'!$B:$B=C321)*('warehouse config'!$C:$C=D321)*('warehouse config'!$G:$G&lt;=B321)*(('warehouse config'!$H:$H&gt;=B321)+ISBLANK('warehouse config'!$H:$H))),1)),0))"),0.0)</f>
        <v>0</v>
      </c>
      <c r="H321" s="3">
        <f>IFERROR(__xludf.DUMMYFUNCTION("IFERROR(INDEX(FILTER('cost master'!$E:$E,('cost master'!$B:$B=C321)*('cost master'!$D:$D=""Storage cost per pallet / week"")*('cost master'!$G:$G&lt;=B321)*(('cost master'!$H:$H&gt;=B321)+ISBLANK('cost master'!$H:$H))),1),0)"),3.9)</f>
        <v>3.9</v>
      </c>
      <c r="I321" s="3">
        <f t="shared" si="4"/>
        <v>0</v>
      </c>
      <c r="J321" s="27">
        <f t="shared" si="5"/>
        <v>45704</v>
      </c>
      <c r="K321" s="27">
        <f t="shared" si="6"/>
        <v>45731</v>
      </c>
    </row>
    <row r="322" hidden="1">
      <c r="A322" s="3" t="str">
        <f t="shared" si="3"/>
        <v>SL-20250310-FMC-CS 007-11</v>
      </c>
      <c r="B322" s="2">
        <f t="array" ref="B322">INDEX(helper!$A$3:$A3996,ROUNDUP((ROW()-1)/COUNTA(helper!$D$3:$D3996),0))</f>
        <v>45726</v>
      </c>
      <c r="C322" s="5" t="str">
        <f t="array" ref="C322">IF(B322="","",INDEX(helper!$D$3:$D3996,MOD(ROW()-2,COUNTA(helper!$D$3:$D3996))+1))</f>
        <v>FMC</v>
      </c>
      <c r="D322" s="3" t="str">
        <f t="array" ref="D322">IF(B322="","",INDEX(helper!$E$3:$E3996,MOD(ROW()-2,COUNTA(helper!$D$3:$D3996))+1))</f>
        <v>CS 007</v>
      </c>
      <c r="E322" s="3">
        <f t="array" ref="E322">IF(B322="","",INDEX(helper!$F$3:$F3996,MOD(ROW()-2,COUNTA(helper!$D$3:$D3996))+1))</f>
        <v>11</v>
      </c>
      <c r="F322" s="3">
        <f>IF(B322="","",SUMIFS('inventory ledger'!$H:$H,'inventory ledger'!$C:$C,C322,'inventory ledger'!$D:$D,D322,'inventory ledger'!$E:$E,E322,'inventory ledger'!$A:$A,"&lt;="&amp;B322+TIME(23,59,59))-SUMIFS('inventory ledger'!$I:$I,'inventory ledger'!$C:$C,C322,'inventory ledger'!$D:$D,D322,'inventory ledger'!$E:$E,E322,'inventory ledger'!$A:$A,"&lt;="&amp;B322+TIME(23,59,59)))</f>
        <v>0</v>
      </c>
      <c r="G322" s="3">
        <f>IFERROR(__xludf.DUMMYFUNCTION("IF(F322&lt;=0,0,IFERROR(ROUNDUP(F322/INDEX(FILTER('warehouse config'!$D:$D,('warehouse config'!$B:$B=C322)*('warehouse config'!$C:$C=D322)*('warehouse config'!$G:$G&lt;=B322)*(('warehouse config'!$H:$H&gt;=B322)+ISBLANK('warehouse config'!$H:$H))),1)),0))"),0.0)</f>
        <v>0</v>
      </c>
      <c r="H322" s="3">
        <f>IFERROR(__xludf.DUMMYFUNCTION("IFERROR(INDEX(FILTER('cost master'!$E:$E,('cost master'!$B:$B=C322)*('cost master'!$D:$D=""Storage cost per pallet / week"")*('cost master'!$G:$G&lt;=B322)*(('cost master'!$H:$H&gt;=B322)+ISBLANK('cost master'!$H:$H))),1),0)"),3.9)</f>
        <v>3.9</v>
      </c>
      <c r="I322" s="3">
        <f t="shared" si="4"/>
        <v>0</v>
      </c>
      <c r="J322" s="27">
        <f t="shared" si="5"/>
        <v>45704</v>
      </c>
      <c r="K322" s="27">
        <f t="shared" si="6"/>
        <v>45731</v>
      </c>
    </row>
    <row r="323" hidden="1">
      <c r="A323" s="3" t="str">
        <f t="shared" si="3"/>
        <v>SL-20250310-FMC-CS 009-11</v>
      </c>
      <c r="B323" s="2">
        <f t="array" ref="B323">INDEX(helper!$A$3:$A3996,ROUNDUP((ROW()-1)/COUNTA(helper!$D$3:$D3996),0))</f>
        <v>45726</v>
      </c>
      <c r="C323" s="5" t="str">
        <f t="array" ref="C323">IF(B323="","",INDEX(helper!$D$3:$D3996,MOD(ROW()-2,COUNTA(helper!$D$3:$D3996))+1))</f>
        <v>FMC</v>
      </c>
      <c r="D323" s="3" t="str">
        <f t="array" ref="D323">IF(B323="","",INDEX(helper!$E$3:$E3996,MOD(ROW()-2,COUNTA(helper!$D$3:$D3996))+1))</f>
        <v>CS 009</v>
      </c>
      <c r="E323" s="3">
        <f t="array" ref="E323">IF(B323="","",INDEX(helper!$F$3:$F3996,MOD(ROW()-2,COUNTA(helper!$D$3:$D3996))+1))</f>
        <v>11</v>
      </c>
      <c r="F323" s="3">
        <f>IF(B323="","",SUMIFS('inventory ledger'!$H:$H,'inventory ledger'!$C:$C,C323,'inventory ledger'!$D:$D,D323,'inventory ledger'!$E:$E,E323,'inventory ledger'!$A:$A,"&lt;="&amp;B323+TIME(23,59,59))-SUMIFS('inventory ledger'!$I:$I,'inventory ledger'!$C:$C,C323,'inventory ledger'!$D:$D,D323,'inventory ledger'!$E:$E,E323,'inventory ledger'!$A:$A,"&lt;="&amp;B323+TIME(23,59,59)))</f>
        <v>0</v>
      </c>
      <c r="G323" s="3">
        <f>IFERROR(__xludf.DUMMYFUNCTION("IF(F323&lt;=0,0,IFERROR(ROUNDUP(F323/INDEX(FILTER('warehouse config'!$D:$D,('warehouse config'!$B:$B=C323)*('warehouse config'!$C:$C=D323)*('warehouse config'!$G:$G&lt;=B323)*(('warehouse config'!$H:$H&gt;=B323)+ISBLANK('warehouse config'!$H:$H))),1)),0))"),0.0)</f>
        <v>0</v>
      </c>
      <c r="H323" s="3">
        <f>IFERROR(__xludf.DUMMYFUNCTION("IFERROR(INDEX(FILTER('cost master'!$E:$E,('cost master'!$B:$B=C323)*('cost master'!$D:$D=""Storage cost per pallet / week"")*('cost master'!$G:$G&lt;=B323)*(('cost master'!$H:$H&gt;=B323)+ISBLANK('cost master'!$H:$H))),1),0)"),3.9)</f>
        <v>3.9</v>
      </c>
      <c r="I323" s="3">
        <f t="shared" si="4"/>
        <v>0</v>
      </c>
      <c r="J323" s="27">
        <f t="shared" si="5"/>
        <v>45704</v>
      </c>
      <c r="K323" s="27">
        <f t="shared" si="6"/>
        <v>45731</v>
      </c>
    </row>
    <row r="324" hidden="1">
      <c r="A324" s="3" t="str">
        <f t="shared" si="3"/>
        <v>SL-20250310-FMC-CS 010-11</v>
      </c>
      <c r="B324" s="2">
        <f t="array" ref="B324">INDEX(helper!$A$3:$A3996,ROUNDUP((ROW()-1)/COUNTA(helper!$D$3:$D3996),0))</f>
        <v>45726</v>
      </c>
      <c r="C324" s="5" t="str">
        <f t="array" ref="C324">IF(B324="","",INDEX(helper!$D$3:$D3996,MOD(ROW()-2,COUNTA(helper!$D$3:$D3996))+1))</f>
        <v>FMC</v>
      </c>
      <c r="D324" s="3" t="str">
        <f t="array" ref="D324">IF(B324="","",INDEX(helper!$E$3:$E3996,MOD(ROW()-2,COUNTA(helper!$D$3:$D3996))+1))</f>
        <v>CS 010</v>
      </c>
      <c r="E324" s="3">
        <f t="array" ref="E324">IF(B324="","",INDEX(helper!$F$3:$F3996,MOD(ROW()-2,COUNTA(helper!$D$3:$D3996))+1))</f>
        <v>11</v>
      </c>
      <c r="F324" s="3">
        <f>IF(B324="","",SUMIFS('inventory ledger'!$H:$H,'inventory ledger'!$C:$C,C324,'inventory ledger'!$D:$D,D324,'inventory ledger'!$E:$E,E324,'inventory ledger'!$A:$A,"&lt;="&amp;B324+TIME(23,59,59))-SUMIFS('inventory ledger'!$I:$I,'inventory ledger'!$C:$C,C324,'inventory ledger'!$D:$D,D324,'inventory ledger'!$E:$E,E324,'inventory ledger'!$A:$A,"&lt;="&amp;B324+TIME(23,59,59)))</f>
        <v>46</v>
      </c>
      <c r="G324" s="3">
        <f>IFERROR(__xludf.DUMMYFUNCTION("IF(F324&lt;=0,0,IFERROR(ROUNDUP(F324/INDEX(FILTER('warehouse config'!$D:$D,('warehouse config'!$B:$B=C324)*('warehouse config'!$C:$C=D324)*('warehouse config'!$G:$G&lt;=B324)*(('warehouse config'!$H:$H&gt;=B324)+ISBLANK('warehouse config'!$H:$H))),1)),0))"),2.0)</f>
        <v>2</v>
      </c>
      <c r="H324" s="3">
        <f>IFERROR(__xludf.DUMMYFUNCTION("IFERROR(INDEX(FILTER('cost master'!$E:$E,('cost master'!$B:$B=C324)*('cost master'!$D:$D=""Storage cost per pallet / week"")*('cost master'!$G:$G&lt;=B324)*(('cost master'!$H:$H&gt;=B324)+ISBLANK('cost master'!$H:$H))),1),0)"),3.9)</f>
        <v>3.9</v>
      </c>
      <c r="I324" s="3">
        <f t="shared" si="4"/>
        <v>7.8</v>
      </c>
      <c r="J324" s="27">
        <f t="shared" si="5"/>
        <v>45704</v>
      </c>
      <c r="K324" s="27">
        <f t="shared" si="6"/>
        <v>45731</v>
      </c>
    </row>
    <row r="325" hidden="1">
      <c r="A325" s="3" t="str">
        <f t="shared" si="3"/>
        <v>SL-20250310-Vglobal-CS 007-12</v>
      </c>
      <c r="B325" s="2">
        <f t="array" ref="B325">INDEX(helper!$A$3:$A3996,ROUNDUP((ROW()-1)/COUNTA(helper!$D$3:$D3996),0))</f>
        <v>45726</v>
      </c>
      <c r="C325" s="5" t="str">
        <f t="array" ref="C325">IF(B325="","",INDEX(helper!$D$3:$D3996,MOD(ROW()-2,COUNTA(helper!$D$3:$D3996))+1))</f>
        <v>Vglobal</v>
      </c>
      <c r="D325" s="3" t="str">
        <f t="array" ref="D325">IF(B325="","",INDEX(helper!$E$3:$E3996,MOD(ROW()-2,COUNTA(helper!$D$3:$D3996))+1))</f>
        <v>CS 007</v>
      </c>
      <c r="E325" s="3">
        <f t="array" ref="E325">IF(B325="","",INDEX(helper!$F$3:$F3996,MOD(ROW()-2,COUNTA(helper!$D$3:$D3996))+1))</f>
        <v>12</v>
      </c>
      <c r="F325" s="3">
        <f>IF(B325="","",SUMIFS('inventory ledger'!$H:$H,'inventory ledger'!$C:$C,C325,'inventory ledger'!$D:$D,D325,'inventory ledger'!$E:$E,E325,'inventory ledger'!$A:$A,"&lt;="&amp;B325+TIME(23,59,59))-SUMIFS('inventory ledger'!$I:$I,'inventory ledger'!$C:$C,C325,'inventory ledger'!$D:$D,D325,'inventory ledger'!$E:$E,E325,'inventory ledger'!$A:$A,"&lt;="&amp;B325+TIME(23,59,59)))</f>
        <v>66</v>
      </c>
      <c r="G325" s="3">
        <f>IFERROR(__xludf.DUMMYFUNCTION("IF(F325&lt;=0,0,IFERROR(ROUNDUP(F325/INDEX(FILTER('warehouse config'!$D:$D,('warehouse config'!$B:$B=C325)*('warehouse config'!$C:$C=D325)*('warehouse config'!$G:$G&lt;=B325)*(('warehouse config'!$H:$H&gt;=B325)+ISBLANK('warehouse config'!$H:$H))),1)),0))"),5.0)</f>
        <v>5</v>
      </c>
      <c r="H325" s="3">
        <f>IFERROR(__xludf.DUMMYFUNCTION("IFERROR(INDEX(FILTER('cost master'!$E:$E,('cost master'!$B:$B=C325)*('cost master'!$D:$D=""Storage cost per pallet / week"")*('cost master'!$G:$G&lt;=B325)*(('cost master'!$H:$H&gt;=B325)+ISBLANK('cost master'!$H:$H))),1),0)"),2.6)</f>
        <v>2.6</v>
      </c>
      <c r="I325" s="3">
        <f t="shared" si="4"/>
        <v>13</v>
      </c>
      <c r="J325" s="27">
        <f t="shared" si="5"/>
        <v>45704</v>
      </c>
      <c r="K325" s="27">
        <f t="shared" si="6"/>
        <v>45731</v>
      </c>
    </row>
    <row r="326" hidden="1">
      <c r="A326" s="3" t="str">
        <f t="shared" si="3"/>
        <v>SL-20250310-Vglobal-CS 011-12</v>
      </c>
      <c r="B326" s="2">
        <f t="array" ref="B326">INDEX(helper!$A$3:$A3996,ROUNDUP((ROW()-1)/COUNTA(helper!$D$3:$D3996),0))</f>
        <v>45726</v>
      </c>
      <c r="C326" s="5" t="str">
        <f t="array" ref="C326">IF(B326="","",INDEX(helper!$D$3:$D3996,MOD(ROW()-2,COUNTA(helper!$D$3:$D3996))+1))</f>
        <v>Vglobal</v>
      </c>
      <c r="D326" s="3" t="str">
        <f t="array" ref="D326">IF(B326="","",INDEX(helper!$E$3:$E3996,MOD(ROW()-2,COUNTA(helper!$D$3:$D3996))+1))</f>
        <v>CS 011</v>
      </c>
      <c r="E326" s="3">
        <f t="array" ref="E326">IF(B326="","",INDEX(helper!$F$3:$F3996,MOD(ROW()-2,COUNTA(helper!$D$3:$D3996))+1))</f>
        <v>12</v>
      </c>
      <c r="F326" s="3">
        <f>IF(B326="","",SUMIFS('inventory ledger'!$H:$H,'inventory ledger'!$C:$C,C326,'inventory ledger'!$D:$D,D326,'inventory ledger'!$E:$E,E326,'inventory ledger'!$A:$A,"&lt;="&amp;B326+TIME(23,59,59))-SUMIFS('inventory ledger'!$I:$I,'inventory ledger'!$C:$C,C326,'inventory ledger'!$D:$D,D326,'inventory ledger'!$E:$E,E326,'inventory ledger'!$A:$A,"&lt;="&amp;B326+TIME(23,59,59)))</f>
        <v>0</v>
      </c>
      <c r="G326" s="3">
        <f>IFERROR(__xludf.DUMMYFUNCTION("IF(F326&lt;=0,0,IFERROR(ROUNDUP(F326/INDEX(FILTER('warehouse config'!$D:$D,('warehouse config'!$B:$B=C326)*('warehouse config'!$C:$C=D326)*('warehouse config'!$G:$G&lt;=B326)*(('warehouse config'!$H:$H&gt;=B326)+ISBLANK('warehouse config'!$H:$H))),1)),0))"),0.0)</f>
        <v>0</v>
      </c>
      <c r="H326" s="3">
        <f>IFERROR(__xludf.DUMMYFUNCTION("IFERROR(INDEX(FILTER('cost master'!$E:$E,('cost master'!$B:$B=C326)*('cost master'!$D:$D=""Storage cost per pallet / week"")*('cost master'!$G:$G&lt;=B326)*(('cost master'!$H:$H&gt;=B326)+ISBLANK('cost master'!$H:$H))),1),0)"),2.6)</f>
        <v>2.6</v>
      </c>
      <c r="I326" s="3">
        <f t="shared" si="4"/>
        <v>0</v>
      </c>
      <c r="J326" s="27">
        <f t="shared" si="5"/>
        <v>45704</v>
      </c>
      <c r="K326" s="27">
        <f t="shared" si="6"/>
        <v>45731</v>
      </c>
    </row>
    <row r="327" hidden="1">
      <c r="A327" s="3" t="str">
        <f t="shared" si="3"/>
        <v>SL-20250310-Vglobal-CS 008-12</v>
      </c>
      <c r="B327" s="2">
        <f t="array" ref="B327">INDEX(helper!$A$3:$A3996,ROUNDUP((ROW()-1)/COUNTA(helper!$D$3:$D3996),0))</f>
        <v>45726</v>
      </c>
      <c r="C327" s="5" t="str">
        <f t="array" ref="C327">IF(B327="","",INDEX(helper!$D$3:$D3996,MOD(ROW()-2,COUNTA(helper!$D$3:$D3996))+1))</f>
        <v>Vglobal</v>
      </c>
      <c r="D327" s="3" t="str">
        <f t="array" ref="D327">IF(B327="","",INDEX(helper!$E$3:$E3996,MOD(ROW()-2,COUNTA(helper!$D$3:$D3996))+1))</f>
        <v>CS 008</v>
      </c>
      <c r="E327" s="3">
        <f t="array" ref="E327">IF(B327="","",INDEX(helper!$F$3:$F3996,MOD(ROW()-2,COUNTA(helper!$D$3:$D3996))+1))</f>
        <v>12</v>
      </c>
      <c r="F327" s="3">
        <f>IF(B327="","",SUMIFS('inventory ledger'!$H:$H,'inventory ledger'!$C:$C,C327,'inventory ledger'!$D:$D,D327,'inventory ledger'!$E:$E,E327,'inventory ledger'!$A:$A,"&lt;="&amp;B327+TIME(23,59,59))-SUMIFS('inventory ledger'!$I:$I,'inventory ledger'!$C:$C,C327,'inventory ledger'!$D:$D,D327,'inventory ledger'!$E:$E,E327,'inventory ledger'!$A:$A,"&lt;="&amp;B327+TIME(23,59,59)))</f>
        <v>8</v>
      </c>
      <c r="G327" s="3">
        <f>IFERROR(__xludf.DUMMYFUNCTION("IF(F327&lt;=0,0,IFERROR(ROUNDUP(F327/INDEX(FILTER('warehouse config'!$D:$D,('warehouse config'!$B:$B=C327)*('warehouse config'!$C:$C=D327)*('warehouse config'!$G:$G&lt;=B327)*(('warehouse config'!$H:$H&gt;=B327)+ISBLANK('warehouse config'!$H:$H))),1)),0))"),1.0)</f>
        <v>1</v>
      </c>
      <c r="H327" s="3">
        <f>IFERROR(__xludf.DUMMYFUNCTION("IFERROR(INDEX(FILTER('cost master'!$E:$E,('cost master'!$B:$B=C327)*('cost master'!$D:$D=""Storage cost per pallet / week"")*('cost master'!$G:$G&lt;=B327)*(('cost master'!$H:$H&gt;=B327)+ISBLANK('cost master'!$H:$H))),1),0)"),2.6)</f>
        <v>2.6</v>
      </c>
      <c r="I327" s="3">
        <f t="shared" si="4"/>
        <v>2.6</v>
      </c>
      <c r="J327" s="27">
        <f t="shared" si="5"/>
        <v>45704</v>
      </c>
      <c r="K327" s="27">
        <f t="shared" si="6"/>
        <v>45731</v>
      </c>
    </row>
    <row r="328" hidden="1">
      <c r="A328" s="3" t="str">
        <f t="shared" si="3"/>
        <v>SL-20250310-Vglobal-CS 010-12</v>
      </c>
      <c r="B328" s="2">
        <f t="array" ref="B328">INDEX(helper!$A$3:$A3996,ROUNDUP((ROW()-1)/COUNTA(helper!$D$3:$D3996),0))</f>
        <v>45726</v>
      </c>
      <c r="C328" s="5" t="str">
        <f t="array" ref="C328">IF(B328="","",INDEX(helper!$D$3:$D3996,MOD(ROW()-2,COUNTA(helper!$D$3:$D3996))+1))</f>
        <v>Vglobal</v>
      </c>
      <c r="D328" s="3" t="str">
        <f t="array" ref="D328">IF(B328="","",INDEX(helper!$E$3:$E3996,MOD(ROW()-2,COUNTA(helper!$D$3:$D3996))+1))</f>
        <v>CS 010</v>
      </c>
      <c r="E328" s="3">
        <f t="array" ref="E328">IF(B328="","",INDEX(helper!$F$3:$F3996,MOD(ROW()-2,COUNTA(helper!$D$3:$D3996))+1))</f>
        <v>12</v>
      </c>
      <c r="F328" s="3">
        <f>IF(B328="","",SUMIFS('inventory ledger'!$H:$H,'inventory ledger'!$C:$C,C328,'inventory ledger'!$D:$D,D328,'inventory ledger'!$E:$E,E328,'inventory ledger'!$A:$A,"&lt;="&amp;B328+TIME(23,59,59))-SUMIFS('inventory ledger'!$I:$I,'inventory ledger'!$C:$C,C328,'inventory ledger'!$D:$D,D328,'inventory ledger'!$E:$E,E328,'inventory ledger'!$A:$A,"&lt;="&amp;B328+TIME(23,59,59)))</f>
        <v>70</v>
      </c>
      <c r="G328" s="3">
        <f>IFERROR(__xludf.DUMMYFUNCTION("IF(F328&lt;=0,0,IFERROR(ROUNDUP(F328/INDEX(FILTER('warehouse config'!$D:$D,('warehouse config'!$B:$B=C328)*('warehouse config'!$C:$C=D328)*('warehouse config'!$G:$G&lt;=B328)*(('warehouse config'!$H:$H&gt;=B328)+ISBLANK('warehouse config'!$H:$H))),1)),0))"),3.0)</f>
        <v>3</v>
      </c>
      <c r="H328" s="3">
        <f>IFERROR(__xludf.DUMMYFUNCTION("IFERROR(INDEX(FILTER('cost master'!$E:$E,('cost master'!$B:$B=C328)*('cost master'!$D:$D=""Storage cost per pallet / week"")*('cost master'!$G:$G&lt;=B328)*(('cost master'!$H:$H&gt;=B328)+ISBLANK('cost master'!$H:$H))),1),0)"),2.6)</f>
        <v>2.6</v>
      </c>
      <c r="I328" s="3">
        <f t="shared" si="4"/>
        <v>7.8</v>
      </c>
      <c r="J328" s="27">
        <f t="shared" si="5"/>
        <v>45704</v>
      </c>
      <c r="K328" s="27">
        <f t="shared" si="6"/>
        <v>45731</v>
      </c>
    </row>
    <row r="329" hidden="1">
      <c r="A329" s="3" t="str">
        <f t="shared" si="3"/>
        <v>SL-20250310-Vglobal-CS 009-12</v>
      </c>
      <c r="B329" s="2">
        <f t="array" ref="B329">INDEX(helper!$A$3:$A3996,ROUNDUP((ROW()-1)/COUNTA(helper!$D$3:$D3996),0))</f>
        <v>45726</v>
      </c>
      <c r="C329" s="5" t="str">
        <f t="array" ref="C329">IF(B329="","",INDEX(helper!$D$3:$D3996,MOD(ROW()-2,COUNTA(helper!$D$3:$D3996))+1))</f>
        <v>Vglobal</v>
      </c>
      <c r="D329" s="3" t="str">
        <f t="array" ref="D329">IF(B329="","",INDEX(helper!$E$3:$E3996,MOD(ROW()-2,COUNTA(helper!$D$3:$D3996))+1))</f>
        <v>CS 009</v>
      </c>
      <c r="E329" s="3">
        <f t="array" ref="E329">IF(B329="","",INDEX(helper!$F$3:$F3996,MOD(ROW()-2,COUNTA(helper!$D$3:$D3996))+1))</f>
        <v>12</v>
      </c>
      <c r="F329" s="3">
        <f>IF(B329="","",SUMIFS('inventory ledger'!$H:$H,'inventory ledger'!$C:$C,C329,'inventory ledger'!$D:$D,D329,'inventory ledger'!$E:$E,E329,'inventory ledger'!$A:$A,"&lt;="&amp;B329+TIME(23,59,59))-SUMIFS('inventory ledger'!$I:$I,'inventory ledger'!$C:$C,C329,'inventory ledger'!$D:$D,D329,'inventory ledger'!$E:$E,E329,'inventory ledger'!$A:$A,"&lt;="&amp;B329+TIME(23,59,59)))</f>
        <v>0</v>
      </c>
      <c r="G329" s="3">
        <f>IFERROR(__xludf.DUMMYFUNCTION("IF(F329&lt;=0,0,IFERROR(ROUNDUP(F329/INDEX(FILTER('warehouse config'!$D:$D,('warehouse config'!$B:$B=C329)*('warehouse config'!$C:$C=D329)*('warehouse config'!$G:$G&lt;=B329)*(('warehouse config'!$H:$H&gt;=B329)+ISBLANK('warehouse config'!$H:$H))),1)),0))"),0.0)</f>
        <v>0</v>
      </c>
      <c r="H329" s="3">
        <f>IFERROR(__xludf.DUMMYFUNCTION("IFERROR(INDEX(FILTER('cost master'!$E:$E,('cost master'!$B:$B=C329)*('cost master'!$D:$D=""Storage cost per pallet / week"")*('cost master'!$G:$G&lt;=B329)*(('cost master'!$H:$H&gt;=B329)+ISBLANK('cost master'!$H:$H))),1),0)"),2.6)</f>
        <v>2.6</v>
      </c>
      <c r="I329" s="3">
        <f t="shared" si="4"/>
        <v>0</v>
      </c>
      <c r="J329" s="27">
        <f t="shared" si="5"/>
        <v>45704</v>
      </c>
      <c r="K329" s="27">
        <f t="shared" si="6"/>
        <v>45731</v>
      </c>
    </row>
    <row r="330" hidden="1">
      <c r="A330" s="3" t="str">
        <f t="shared" si="3"/>
        <v>SL-20250310-Vglobal-CS 012-12</v>
      </c>
      <c r="B330" s="2">
        <f t="array" ref="B330">INDEX(helper!$A$3:$A3996,ROUNDUP((ROW()-1)/COUNTA(helper!$D$3:$D3996),0))</f>
        <v>45726</v>
      </c>
      <c r="C330" s="5" t="str">
        <f t="array" ref="C330">IF(B330="","",INDEX(helper!$D$3:$D3996,MOD(ROW()-2,COUNTA(helper!$D$3:$D3996))+1))</f>
        <v>Vglobal</v>
      </c>
      <c r="D330" s="3" t="str">
        <f t="array" ref="D330">IF(B330="","",INDEX(helper!$E$3:$E3996,MOD(ROW()-2,COUNTA(helper!$D$3:$D3996))+1))</f>
        <v>CS 012</v>
      </c>
      <c r="E330" s="3">
        <f t="array" ref="E330">IF(B330="","",INDEX(helper!$F$3:$F3996,MOD(ROW()-2,COUNTA(helper!$D$3:$D3996))+1))</f>
        <v>12</v>
      </c>
      <c r="F330" s="3">
        <f>IF(B330="","",SUMIFS('inventory ledger'!$H:$H,'inventory ledger'!$C:$C,C330,'inventory ledger'!$D:$D,D330,'inventory ledger'!$E:$E,E330,'inventory ledger'!$A:$A,"&lt;="&amp;B330+TIME(23,59,59))-SUMIFS('inventory ledger'!$I:$I,'inventory ledger'!$C:$C,C330,'inventory ledger'!$D:$D,D330,'inventory ledger'!$E:$E,E330,'inventory ledger'!$A:$A,"&lt;="&amp;B330+TIME(23,59,59)))</f>
        <v>0</v>
      </c>
      <c r="G330" s="3">
        <f>IFERROR(__xludf.DUMMYFUNCTION("IF(F330&lt;=0,0,IFERROR(ROUNDUP(F330/INDEX(FILTER('warehouse config'!$D:$D,('warehouse config'!$B:$B=C330)*('warehouse config'!$C:$C=D330)*('warehouse config'!$G:$G&lt;=B330)*(('warehouse config'!$H:$H&gt;=B330)+ISBLANK('warehouse config'!$H:$H))),1)),0))"),0.0)</f>
        <v>0</v>
      </c>
      <c r="H330" s="3">
        <f>IFERROR(__xludf.DUMMYFUNCTION("IFERROR(INDEX(FILTER('cost master'!$E:$E,('cost master'!$B:$B=C330)*('cost master'!$D:$D=""Storage cost per pallet / week"")*('cost master'!$G:$G&lt;=B330)*(('cost master'!$H:$H&gt;=B330)+ISBLANK('cost master'!$H:$H))),1),0)"),2.6)</f>
        <v>2.6</v>
      </c>
      <c r="I330" s="3">
        <f t="shared" si="4"/>
        <v>0</v>
      </c>
      <c r="J330" s="27">
        <f t="shared" si="5"/>
        <v>45704</v>
      </c>
      <c r="K330" s="27">
        <f t="shared" si="6"/>
        <v>45731</v>
      </c>
    </row>
    <row r="331" hidden="1">
      <c r="A331" s="3" t="str">
        <f t="shared" si="3"/>
        <v>SL-20250310-Vglobal-CS-CDS-001-3</v>
      </c>
      <c r="B331" s="2">
        <f t="array" ref="B331">INDEX(helper!$A$3:$A3996,ROUNDUP((ROW()-1)/COUNTA(helper!$D$3:$D3996),0))</f>
        <v>45726</v>
      </c>
      <c r="C331" s="5" t="str">
        <f t="array" ref="C331">IF(B331="","",INDEX(helper!$D$3:$D3996,MOD(ROW()-2,COUNTA(helper!$D$3:$D3996))+1))</f>
        <v>Vglobal</v>
      </c>
      <c r="D331" s="3" t="str">
        <f t="array" ref="D331">IF(B331="","",INDEX(helper!$E$3:$E3996,MOD(ROW()-2,COUNTA(helper!$D$3:$D3996))+1))</f>
        <v>CS-CDS-001</v>
      </c>
      <c r="E331" s="3">
        <f t="array" ref="E331">IF(B331="","",INDEX(helper!$F$3:$F3996,MOD(ROW()-2,COUNTA(helper!$D$3:$D3996))+1))</f>
        <v>3</v>
      </c>
      <c r="F331" s="3">
        <f>IF(B331="","",SUMIFS('inventory ledger'!$H:$H,'inventory ledger'!$C:$C,C331,'inventory ledger'!$D:$D,D331,'inventory ledger'!$E:$E,E331,'inventory ledger'!$A:$A,"&lt;="&amp;B331+TIME(23,59,59))-SUMIFS('inventory ledger'!$I:$I,'inventory ledger'!$C:$C,C331,'inventory ledger'!$D:$D,D331,'inventory ledger'!$E:$E,E331,'inventory ledger'!$A:$A,"&lt;="&amp;B331+TIME(23,59,59)))</f>
        <v>1</v>
      </c>
      <c r="G331" s="3">
        <f>IFERROR(__xludf.DUMMYFUNCTION("IF(F331&lt;=0,0,IFERROR(ROUNDUP(F331/INDEX(FILTER('warehouse config'!$D:$D,('warehouse config'!$B:$B=C331)*('warehouse config'!$C:$C=D331)*('warehouse config'!$G:$G&lt;=B331)*(('warehouse config'!$H:$H&gt;=B331)+ISBLANK('warehouse config'!$H:$H))),1)),0))"),1.0)</f>
        <v>1</v>
      </c>
      <c r="H331" s="3">
        <f>IFERROR(__xludf.DUMMYFUNCTION("IFERROR(INDEX(FILTER('cost master'!$E:$E,('cost master'!$B:$B=C331)*('cost master'!$D:$D=""Storage cost per pallet / week"")*('cost master'!$G:$G&lt;=B331)*(('cost master'!$H:$H&gt;=B331)+ISBLANK('cost master'!$H:$H))),1),0)"),2.6)</f>
        <v>2.6</v>
      </c>
      <c r="I331" s="3">
        <f t="shared" si="4"/>
        <v>2.6</v>
      </c>
      <c r="J331" s="27">
        <f t="shared" si="5"/>
        <v>45704</v>
      </c>
      <c r="K331" s="27">
        <f t="shared" si="6"/>
        <v>45731</v>
      </c>
    </row>
    <row r="332" hidden="1">
      <c r="A332" s="3" t="str">
        <f t="shared" si="3"/>
        <v>SL-20250310-Vglobal-CS-CDS-002-3</v>
      </c>
      <c r="B332" s="2">
        <f t="array" ref="B332">INDEX(helper!$A$3:$A3996,ROUNDUP((ROW()-1)/COUNTA(helper!$D$3:$D3996),0))</f>
        <v>45726</v>
      </c>
      <c r="C332" s="5" t="str">
        <f t="array" ref="C332">IF(B332="","",INDEX(helper!$D$3:$D3996,MOD(ROW()-2,COUNTA(helper!$D$3:$D3996))+1))</f>
        <v>Vglobal</v>
      </c>
      <c r="D332" s="3" t="str">
        <f t="array" ref="D332">IF(B332="","",INDEX(helper!$E$3:$E3996,MOD(ROW()-2,COUNTA(helper!$D$3:$D3996))+1))</f>
        <v>CS-CDS-002</v>
      </c>
      <c r="E332" s="3">
        <f t="array" ref="E332">IF(B332="","",INDEX(helper!$F$3:$F3996,MOD(ROW()-2,COUNTA(helper!$D$3:$D3996))+1))</f>
        <v>3</v>
      </c>
      <c r="F332" s="3">
        <f>IF(B332="","",SUMIFS('inventory ledger'!$H:$H,'inventory ledger'!$C:$C,C332,'inventory ledger'!$D:$D,D332,'inventory ledger'!$E:$E,E332,'inventory ledger'!$A:$A,"&lt;="&amp;B332+TIME(23,59,59))-SUMIFS('inventory ledger'!$I:$I,'inventory ledger'!$C:$C,C332,'inventory ledger'!$D:$D,D332,'inventory ledger'!$E:$E,E332,'inventory ledger'!$A:$A,"&lt;="&amp;B332+TIME(23,59,59)))</f>
        <v>0</v>
      </c>
      <c r="G332" s="3">
        <f>IFERROR(__xludf.DUMMYFUNCTION("IF(F332&lt;=0,0,IFERROR(ROUNDUP(F332/INDEX(FILTER('warehouse config'!$D:$D,('warehouse config'!$B:$B=C332)*('warehouse config'!$C:$C=D332)*('warehouse config'!$G:$G&lt;=B332)*(('warehouse config'!$H:$H&gt;=B332)+ISBLANK('warehouse config'!$H:$H))),1)),0))"),0.0)</f>
        <v>0</v>
      </c>
      <c r="H332" s="3">
        <f>IFERROR(__xludf.DUMMYFUNCTION("IFERROR(INDEX(FILTER('cost master'!$E:$E,('cost master'!$B:$B=C332)*('cost master'!$D:$D=""Storage cost per pallet / week"")*('cost master'!$G:$G&lt;=B332)*(('cost master'!$H:$H&gt;=B332)+ISBLANK('cost master'!$H:$H))),1),0)"),2.6)</f>
        <v>2.6</v>
      </c>
      <c r="I332" s="3">
        <f t="shared" si="4"/>
        <v>0</v>
      </c>
      <c r="J332" s="27">
        <f t="shared" si="5"/>
        <v>45704</v>
      </c>
      <c r="K332" s="27">
        <f t="shared" si="6"/>
        <v>45731</v>
      </c>
    </row>
    <row r="333" hidden="1">
      <c r="A333" s="3" t="str">
        <f t="shared" si="3"/>
        <v>SL-20250310-4as-CS-CDS-001-4</v>
      </c>
      <c r="B333" s="2">
        <f t="array" ref="B333">INDEX(helper!$A$3:$A3996,ROUNDUP((ROW()-1)/COUNTA(helper!$D$3:$D3996),0))</f>
        <v>45726</v>
      </c>
      <c r="C333" s="5" t="str">
        <f t="array" ref="C333">IF(B333="","",INDEX(helper!$D$3:$D3996,MOD(ROW()-2,COUNTA(helper!$D$3:$D3996))+1))</f>
        <v>4as</v>
      </c>
      <c r="D333" s="3" t="str">
        <f t="array" ref="D333">IF(B333="","",INDEX(helper!$E$3:$E3996,MOD(ROW()-2,COUNTA(helper!$D$3:$D3996))+1))</f>
        <v>CS-CDS-001</v>
      </c>
      <c r="E333" s="3">
        <f t="array" ref="E333">IF(B333="","",INDEX(helper!$F$3:$F3996,MOD(ROW()-2,COUNTA(helper!$D$3:$D3996))+1))</f>
        <v>4</v>
      </c>
      <c r="F333" s="3">
        <f>IF(B333="","",SUMIFS('inventory ledger'!$H:$H,'inventory ledger'!$C:$C,C333,'inventory ledger'!$D:$D,D333,'inventory ledger'!$E:$E,E333,'inventory ledger'!$A:$A,"&lt;="&amp;B333+TIME(23,59,59))-SUMIFS('inventory ledger'!$I:$I,'inventory ledger'!$C:$C,C333,'inventory ledger'!$D:$D,D333,'inventory ledger'!$E:$E,E333,'inventory ledger'!$A:$A,"&lt;="&amp;B333+TIME(23,59,59)))</f>
        <v>64</v>
      </c>
      <c r="G333" s="3">
        <f>IFERROR(__xludf.DUMMYFUNCTION("IF(F333&lt;=0,0,IFERROR(ROUNDUP(F333/INDEX(FILTER('warehouse config'!$D:$D,('warehouse config'!$B:$B=C333)*('warehouse config'!$C:$C=D333)*('warehouse config'!$G:$G&lt;=B333)*(('warehouse config'!$H:$H&gt;=B333)+ISBLANK('warehouse config'!$H:$H))),1)),0))"),4.0)</f>
        <v>4</v>
      </c>
      <c r="H333" s="3">
        <f>IFERROR(__xludf.DUMMYFUNCTION("IFERROR(INDEX(FILTER('cost master'!$E:$E,('cost master'!$B:$B=C333)*('cost master'!$D:$D=""Storage cost per pallet / week"")*('cost master'!$G:$G&lt;=B333)*(('cost master'!$H:$H&gt;=B333)+ISBLANK('cost master'!$H:$H))),1),0)"),9.0)</f>
        <v>9</v>
      </c>
      <c r="I333" s="3">
        <f t="shared" si="4"/>
        <v>36</v>
      </c>
      <c r="J333" s="27">
        <f t="shared" si="5"/>
        <v>45704</v>
      </c>
      <c r="K333" s="27">
        <f t="shared" si="6"/>
        <v>45731</v>
      </c>
    </row>
    <row r="334" hidden="1">
      <c r="A334" s="3" t="str">
        <f t="shared" si="3"/>
        <v>SL-20250310-4as-CS-CDS-002-4</v>
      </c>
      <c r="B334" s="2">
        <f t="array" ref="B334">INDEX(helper!$A$3:$A3996,ROUNDUP((ROW()-1)/COUNTA(helper!$D$3:$D3996),0))</f>
        <v>45726</v>
      </c>
      <c r="C334" s="5" t="str">
        <f t="array" ref="C334">IF(B334="","",INDEX(helper!$D$3:$D3996,MOD(ROW()-2,COUNTA(helper!$D$3:$D3996))+1))</f>
        <v>4as</v>
      </c>
      <c r="D334" s="3" t="str">
        <f t="array" ref="D334">IF(B334="","",INDEX(helper!$E$3:$E3996,MOD(ROW()-2,COUNTA(helper!$D$3:$D3996))+1))</f>
        <v>CS-CDS-002</v>
      </c>
      <c r="E334" s="3">
        <f t="array" ref="E334">IF(B334="","",INDEX(helper!$F$3:$F3996,MOD(ROW()-2,COUNTA(helper!$D$3:$D3996))+1))</f>
        <v>4</v>
      </c>
      <c r="F334" s="3">
        <f>IF(B334="","",SUMIFS('inventory ledger'!$H:$H,'inventory ledger'!$C:$C,C334,'inventory ledger'!$D:$D,D334,'inventory ledger'!$E:$E,E334,'inventory ledger'!$A:$A,"&lt;="&amp;B334+TIME(23,59,59))-SUMIFS('inventory ledger'!$I:$I,'inventory ledger'!$C:$C,C334,'inventory ledger'!$D:$D,D334,'inventory ledger'!$E:$E,E334,'inventory ledger'!$A:$A,"&lt;="&amp;B334+TIME(23,59,59)))</f>
        <v>109</v>
      </c>
      <c r="G334" s="3">
        <f>IFERROR(__xludf.DUMMYFUNCTION("IF(F334&lt;=0,0,IFERROR(ROUNDUP(F334/INDEX(FILTER('warehouse config'!$D:$D,('warehouse config'!$B:$B=C334)*('warehouse config'!$C:$C=D334)*('warehouse config'!$G:$G&lt;=B334)*(('warehouse config'!$H:$H&gt;=B334)+ISBLANK('warehouse config'!$H:$H))),1)),0))"),6.0)</f>
        <v>6</v>
      </c>
      <c r="H334" s="3">
        <f>IFERROR(__xludf.DUMMYFUNCTION("IFERROR(INDEX(FILTER('cost master'!$E:$E,('cost master'!$B:$B=C334)*('cost master'!$D:$D=""Storage cost per pallet / week"")*('cost master'!$G:$G&lt;=B334)*(('cost master'!$H:$H&gt;=B334)+ISBLANK('cost master'!$H:$H))),1),0)"),9.0)</f>
        <v>9</v>
      </c>
      <c r="I334" s="3">
        <f t="shared" si="4"/>
        <v>54</v>
      </c>
      <c r="J334" s="27">
        <f t="shared" si="5"/>
        <v>45704</v>
      </c>
      <c r="K334" s="27">
        <f t="shared" si="6"/>
        <v>45731</v>
      </c>
    </row>
    <row r="335" hidden="1">
      <c r="A335" s="3" t="str">
        <f t="shared" si="3"/>
        <v>SL-20250310-Vglobal-CS 007-13</v>
      </c>
      <c r="B335" s="2">
        <f t="array" ref="B335">INDEX(helper!$A$3:$A3996,ROUNDUP((ROW()-1)/COUNTA(helper!$D$3:$D3996),0))</f>
        <v>45726</v>
      </c>
      <c r="C335" s="5" t="str">
        <f t="array" ref="C335">IF(B335="","",INDEX(helper!$D$3:$D3996,MOD(ROW()-2,COUNTA(helper!$D$3:$D3996))+1))</f>
        <v>Vglobal</v>
      </c>
      <c r="D335" s="3" t="str">
        <f t="array" ref="D335">IF(B335="","",INDEX(helper!$E$3:$E3996,MOD(ROW()-2,COUNTA(helper!$D$3:$D3996))+1))</f>
        <v>CS 007</v>
      </c>
      <c r="E335" s="3">
        <f t="array" ref="E335">IF(B335="","",INDEX(helper!$F$3:$F3996,MOD(ROW()-2,COUNTA(helper!$D$3:$D3996))+1))</f>
        <v>13</v>
      </c>
      <c r="F335" s="3">
        <f>IF(B335="","",SUMIFS('inventory ledger'!$H:$H,'inventory ledger'!$C:$C,C335,'inventory ledger'!$D:$D,D335,'inventory ledger'!$E:$E,E335,'inventory ledger'!$A:$A,"&lt;="&amp;B335+TIME(23,59,59))-SUMIFS('inventory ledger'!$I:$I,'inventory ledger'!$C:$C,C335,'inventory ledger'!$D:$D,D335,'inventory ledger'!$E:$E,E335,'inventory ledger'!$A:$A,"&lt;="&amp;B335+TIME(23,59,59)))</f>
        <v>285</v>
      </c>
      <c r="G335" s="3">
        <f>IFERROR(__xludf.DUMMYFUNCTION("IF(F335&lt;=0,0,IFERROR(ROUNDUP(F335/INDEX(FILTER('warehouse config'!$D:$D,('warehouse config'!$B:$B=C335)*('warehouse config'!$C:$C=D335)*('warehouse config'!$G:$G&lt;=B335)*(('warehouse config'!$H:$H&gt;=B335)+ISBLANK('warehouse config'!$H:$H))),1)),0))"),18.0)</f>
        <v>18</v>
      </c>
      <c r="H335" s="3">
        <f>IFERROR(__xludf.DUMMYFUNCTION("IFERROR(INDEX(FILTER('cost master'!$E:$E,('cost master'!$B:$B=C335)*('cost master'!$D:$D=""Storage cost per pallet / week"")*('cost master'!$G:$G&lt;=B335)*(('cost master'!$H:$H&gt;=B335)+ISBLANK('cost master'!$H:$H))),1),0)"),2.6)</f>
        <v>2.6</v>
      </c>
      <c r="I335" s="3">
        <f t="shared" si="4"/>
        <v>46.8</v>
      </c>
      <c r="J335" s="27">
        <f t="shared" si="5"/>
        <v>45704</v>
      </c>
      <c r="K335" s="27">
        <f t="shared" si="6"/>
        <v>45731</v>
      </c>
    </row>
    <row r="336" hidden="1">
      <c r="A336" s="3" t="str">
        <f t="shared" si="3"/>
        <v>SL-20250310-Vglobal-CS 011-13</v>
      </c>
      <c r="B336" s="2">
        <f t="array" ref="B336">INDEX(helper!$A$3:$A3996,ROUNDUP((ROW()-1)/COUNTA(helper!$D$3:$D3996),0))</f>
        <v>45726</v>
      </c>
      <c r="C336" s="5" t="str">
        <f t="array" ref="C336">IF(B336="","",INDEX(helper!$D$3:$D3996,MOD(ROW()-2,COUNTA(helper!$D$3:$D3996))+1))</f>
        <v>Vglobal</v>
      </c>
      <c r="D336" s="3" t="str">
        <f t="array" ref="D336">IF(B336="","",INDEX(helper!$E$3:$E3996,MOD(ROW()-2,COUNTA(helper!$D$3:$D3996))+1))</f>
        <v>CS 011</v>
      </c>
      <c r="E336" s="3">
        <f t="array" ref="E336">IF(B336="","",INDEX(helper!$F$3:$F3996,MOD(ROW()-2,COUNTA(helper!$D$3:$D3996))+1))</f>
        <v>13</v>
      </c>
      <c r="F336" s="3">
        <f>IF(B336="","",SUMIFS('inventory ledger'!$H:$H,'inventory ledger'!$C:$C,C336,'inventory ledger'!$D:$D,D336,'inventory ledger'!$E:$E,E336,'inventory ledger'!$A:$A,"&lt;="&amp;B336+TIME(23,59,59))-SUMIFS('inventory ledger'!$I:$I,'inventory ledger'!$C:$C,C336,'inventory ledger'!$D:$D,D336,'inventory ledger'!$E:$E,E336,'inventory ledger'!$A:$A,"&lt;="&amp;B336+TIME(23,59,59)))</f>
        <v>136</v>
      </c>
      <c r="G336" s="3">
        <f>IFERROR(__xludf.DUMMYFUNCTION("IF(F336&lt;=0,0,IFERROR(ROUNDUP(F336/INDEX(FILTER('warehouse config'!$D:$D,('warehouse config'!$B:$B=C336)*('warehouse config'!$C:$C=D336)*('warehouse config'!$G:$G&lt;=B336)*(('warehouse config'!$H:$H&gt;=B336)+ISBLANK('warehouse config'!$H:$H))),1)),0))"),7.0)</f>
        <v>7</v>
      </c>
      <c r="H336" s="3">
        <f>IFERROR(__xludf.DUMMYFUNCTION("IFERROR(INDEX(FILTER('cost master'!$E:$E,('cost master'!$B:$B=C336)*('cost master'!$D:$D=""Storage cost per pallet / week"")*('cost master'!$G:$G&lt;=B336)*(('cost master'!$H:$H&gt;=B336)+ISBLANK('cost master'!$H:$H))),1),0)"),2.6)</f>
        <v>2.6</v>
      </c>
      <c r="I336" s="3">
        <f t="shared" si="4"/>
        <v>18.2</v>
      </c>
      <c r="J336" s="27">
        <f t="shared" si="5"/>
        <v>45704</v>
      </c>
      <c r="K336" s="27">
        <f t="shared" si="6"/>
        <v>45731</v>
      </c>
    </row>
    <row r="337" hidden="1">
      <c r="A337" s="3" t="str">
        <f t="shared" si="3"/>
        <v>SL-20250310-Vglobal-CS 008-13</v>
      </c>
      <c r="B337" s="2">
        <f t="array" ref="B337">INDEX(helper!$A$3:$A3996,ROUNDUP((ROW()-1)/COUNTA(helper!$D$3:$D3996),0))</f>
        <v>45726</v>
      </c>
      <c r="C337" s="5" t="str">
        <f t="array" ref="C337">IF(B337="","",INDEX(helper!$D$3:$D3996,MOD(ROW()-2,COUNTA(helper!$D$3:$D3996))+1))</f>
        <v>Vglobal</v>
      </c>
      <c r="D337" s="3" t="str">
        <f t="array" ref="D337">IF(B337="","",INDEX(helper!$E$3:$E3996,MOD(ROW()-2,COUNTA(helper!$D$3:$D3996))+1))</f>
        <v>CS 008</v>
      </c>
      <c r="E337" s="3">
        <f t="array" ref="E337">IF(B337="","",INDEX(helper!$F$3:$F3996,MOD(ROW()-2,COUNTA(helper!$D$3:$D3996))+1))</f>
        <v>13</v>
      </c>
      <c r="F337" s="3">
        <f>IF(B337="","",SUMIFS('inventory ledger'!$H:$H,'inventory ledger'!$C:$C,C337,'inventory ledger'!$D:$D,D337,'inventory ledger'!$E:$E,E337,'inventory ledger'!$A:$A,"&lt;="&amp;B337+TIME(23,59,59))-SUMIFS('inventory ledger'!$I:$I,'inventory ledger'!$C:$C,C337,'inventory ledger'!$D:$D,D337,'inventory ledger'!$E:$E,E337,'inventory ledger'!$A:$A,"&lt;="&amp;B337+TIME(23,59,59)))</f>
        <v>20</v>
      </c>
      <c r="G337" s="3">
        <f>IFERROR(__xludf.DUMMYFUNCTION("IF(F337&lt;=0,0,IFERROR(ROUNDUP(F337/INDEX(FILTER('warehouse config'!$D:$D,('warehouse config'!$B:$B=C337)*('warehouse config'!$C:$C=D337)*('warehouse config'!$G:$G&lt;=B337)*(('warehouse config'!$H:$H&gt;=B337)+ISBLANK('warehouse config'!$H:$H))),1)),0))"),1.0)</f>
        <v>1</v>
      </c>
      <c r="H337" s="3">
        <f>IFERROR(__xludf.DUMMYFUNCTION("IFERROR(INDEX(FILTER('cost master'!$E:$E,('cost master'!$B:$B=C337)*('cost master'!$D:$D=""Storage cost per pallet / week"")*('cost master'!$G:$G&lt;=B337)*(('cost master'!$H:$H&gt;=B337)+ISBLANK('cost master'!$H:$H))),1),0)"),2.6)</f>
        <v>2.6</v>
      </c>
      <c r="I337" s="3">
        <f t="shared" si="4"/>
        <v>2.6</v>
      </c>
      <c r="J337" s="27">
        <f t="shared" si="5"/>
        <v>45704</v>
      </c>
      <c r="K337" s="27">
        <f t="shared" si="6"/>
        <v>45731</v>
      </c>
    </row>
    <row r="338" hidden="1">
      <c r="A338" s="3" t="str">
        <f t="shared" si="3"/>
        <v>SL-20250310-Vglobal-CS 010-13</v>
      </c>
      <c r="B338" s="2">
        <f t="array" ref="B338">INDEX(helper!$A$3:$A3996,ROUNDUP((ROW()-1)/COUNTA(helper!$D$3:$D3996),0))</f>
        <v>45726</v>
      </c>
      <c r="C338" s="5" t="str">
        <f t="array" ref="C338">IF(B338="","",INDEX(helper!$D$3:$D3996,MOD(ROW()-2,COUNTA(helper!$D$3:$D3996))+1))</f>
        <v>Vglobal</v>
      </c>
      <c r="D338" s="3" t="str">
        <f t="array" ref="D338">IF(B338="","",INDEX(helper!$E$3:$E3996,MOD(ROW()-2,COUNTA(helper!$D$3:$D3996))+1))</f>
        <v>CS 010</v>
      </c>
      <c r="E338" s="3">
        <f t="array" ref="E338">IF(B338="","",INDEX(helper!$F$3:$F3996,MOD(ROW()-2,COUNTA(helper!$D$3:$D3996))+1))</f>
        <v>13</v>
      </c>
      <c r="F338" s="3">
        <f>IF(B338="","",SUMIFS('inventory ledger'!$H:$H,'inventory ledger'!$C:$C,C338,'inventory ledger'!$D:$D,D338,'inventory ledger'!$E:$E,E338,'inventory ledger'!$A:$A,"&lt;="&amp;B338+TIME(23,59,59))-SUMIFS('inventory ledger'!$I:$I,'inventory ledger'!$C:$C,C338,'inventory ledger'!$D:$D,D338,'inventory ledger'!$E:$E,E338,'inventory ledger'!$A:$A,"&lt;="&amp;B338+TIME(23,59,59)))</f>
        <v>80</v>
      </c>
      <c r="G338" s="3">
        <f>IFERROR(__xludf.DUMMYFUNCTION("IF(F338&lt;=0,0,IFERROR(ROUNDUP(F338/INDEX(FILTER('warehouse config'!$D:$D,('warehouse config'!$B:$B=C338)*('warehouse config'!$C:$C=D338)*('warehouse config'!$G:$G&lt;=B338)*(('warehouse config'!$H:$H&gt;=B338)+ISBLANK('warehouse config'!$H:$H))),1)),0))"),4.0)</f>
        <v>4</v>
      </c>
      <c r="H338" s="3">
        <f>IFERROR(__xludf.DUMMYFUNCTION("IFERROR(INDEX(FILTER('cost master'!$E:$E,('cost master'!$B:$B=C338)*('cost master'!$D:$D=""Storage cost per pallet / week"")*('cost master'!$G:$G&lt;=B338)*(('cost master'!$H:$H&gt;=B338)+ISBLANK('cost master'!$H:$H))),1),0)"),2.6)</f>
        <v>2.6</v>
      </c>
      <c r="I338" s="3">
        <f t="shared" si="4"/>
        <v>10.4</v>
      </c>
      <c r="J338" s="27">
        <f t="shared" si="5"/>
        <v>45704</v>
      </c>
      <c r="K338" s="27">
        <f t="shared" si="6"/>
        <v>45731</v>
      </c>
    </row>
    <row r="339" hidden="1">
      <c r="A339" s="3" t="str">
        <f t="shared" si="3"/>
        <v>SL-20250310-Vglobal-CS 009-13</v>
      </c>
      <c r="B339" s="2">
        <f t="array" ref="B339">INDEX(helper!$A$3:$A3996,ROUNDUP((ROW()-1)/COUNTA(helper!$D$3:$D3996),0))</f>
        <v>45726</v>
      </c>
      <c r="C339" s="5" t="str">
        <f t="array" ref="C339">IF(B339="","",INDEX(helper!$D$3:$D3996,MOD(ROW()-2,COUNTA(helper!$D$3:$D3996))+1))</f>
        <v>Vglobal</v>
      </c>
      <c r="D339" s="3" t="str">
        <f t="array" ref="D339">IF(B339="","",INDEX(helper!$E$3:$E3996,MOD(ROW()-2,COUNTA(helper!$D$3:$D3996))+1))</f>
        <v>CS 009</v>
      </c>
      <c r="E339" s="3">
        <f t="array" ref="E339">IF(B339="","",INDEX(helper!$F$3:$F3996,MOD(ROW()-2,COUNTA(helper!$D$3:$D3996))+1))</f>
        <v>13</v>
      </c>
      <c r="F339" s="3">
        <f>IF(B339="","",SUMIFS('inventory ledger'!$H:$H,'inventory ledger'!$C:$C,C339,'inventory ledger'!$D:$D,D339,'inventory ledger'!$E:$E,E339,'inventory ledger'!$A:$A,"&lt;="&amp;B339+TIME(23,59,59))-SUMIFS('inventory ledger'!$I:$I,'inventory ledger'!$C:$C,C339,'inventory ledger'!$D:$D,D339,'inventory ledger'!$E:$E,E339,'inventory ledger'!$A:$A,"&lt;="&amp;B339+TIME(23,59,59)))</f>
        <v>12</v>
      </c>
      <c r="G339" s="3">
        <f>IFERROR(__xludf.DUMMYFUNCTION("IF(F339&lt;=0,0,IFERROR(ROUNDUP(F339/INDEX(FILTER('warehouse config'!$D:$D,('warehouse config'!$B:$B=C339)*('warehouse config'!$C:$C=D339)*('warehouse config'!$G:$G&lt;=B339)*(('warehouse config'!$H:$H&gt;=B339)+ISBLANK('warehouse config'!$H:$H))),1)),0))"),1.0)</f>
        <v>1</v>
      </c>
      <c r="H339" s="3">
        <f>IFERROR(__xludf.DUMMYFUNCTION("IFERROR(INDEX(FILTER('cost master'!$E:$E,('cost master'!$B:$B=C339)*('cost master'!$D:$D=""Storage cost per pallet / week"")*('cost master'!$G:$G&lt;=B339)*(('cost master'!$H:$H&gt;=B339)+ISBLANK('cost master'!$H:$H))),1),0)"),2.6)</f>
        <v>2.6</v>
      </c>
      <c r="I339" s="3">
        <f t="shared" si="4"/>
        <v>2.6</v>
      </c>
      <c r="J339" s="27">
        <f t="shared" si="5"/>
        <v>45704</v>
      </c>
      <c r="K339" s="27">
        <f t="shared" si="6"/>
        <v>45731</v>
      </c>
    </row>
    <row r="340" hidden="1">
      <c r="A340" s="3" t="str">
        <f t="shared" si="3"/>
        <v>SL-20250310-Vglobal-CS 012-13</v>
      </c>
      <c r="B340" s="2">
        <f t="array" ref="B340">INDEX(helper!$A$3:$A3996,ROUNDUP((ROW()-1)/COUNTA(helper!$D$3:$D3996),0))</f>
        <v>45726</v>
      </c>
      <c r="C340" s="5" t="str">
        <f t="array" ref="C340">IF(B340="","",INDEX(helper!$D$3:$D3996,MOD(ROW()-2,COUNTA(helper!$D$3:$D3996))+1))</f>
        <v>Vglobal</v>
      </c>
      <c r="D340" s="3" t="str">
        <f t="array" ref="D340">IF(B340="","",INDEX(helper!$E$3:$E3996,MOD(ROW()-2,COUNTA(helper!$D$3:$D3996))+1))</f>
        <v>CS 012</v>
      </c>
      <c r="E340" s="3">
        <f t="array" ref="E340">IF(B340="","",INDEX(helper!$F$3:$F3996,MOD(ROW()-2,COUNTA(helper!$D$3:$D3996))+1))</f>
        <v>13</v>
      </c>
      <c r="F340" s="3">
        <f>IF(B340="","",SUMIFS('inventory ledger'!$H:$H,'inventory ledger'!$C:$C,C340,'inventory ledger'!$D:$D,D340,'inventory ledger'!$E:$E,E340,'inventory ledger'!$A:$A,"&lt;="&amp;B340+TIME(23,59,59))-SUMIFS('inventory ledger'!$I:$I,'inventory ledger'!$C:$C,C340,'inventory ledger'!$D:$D,D340,'inventory ledger'!$E:$E,E340,'inventory ledger'!$A:$A,"&lt;="&amp;B340+TIME(23,59,59)))</f>
        <v>0</v>
      </c>
      <c r="G340" s="3">
        <f>IFERROR(__xludf.DUMMYFUNCTION("IF(F340&lt;=0,0,IFERROR(ROUNDUP(F340/INDEX(FILTER('warehouse config'!$D:$D,('warehouse config'!$B:$B=C340)*('warehouse config'!$C:$C=D340)*('warehouse config'!$G:$G&lt;=B340)*(('warehouse config'!$H:$H&gt;=B340)+ISBLANK('warehouse config'!$H:$H))),1)),0))"),0.0)</f>
        <v>0</v>
      </c>
      <c r="H340" s="3">
        <f>IFERROR(__xludf.DUMMYFUNCTION("IFERROR(INDEX(FILTER('cost master'!$E:$E,('cost master'!$B:$B=C340)*('cost master'!$D:$D=""Storage cost per pallet / week"")*('cost master'!$G:$G&lt;=B340)*(('cost master'!$H:$H&gt;=B340)+ISBLANK('cost master'!$H:$H))),1),0)"),2.6)</f>
        <v>2.6</v>
      </c>
      <c r="I340" s="3">
        <f t="shared" si="4"/>
        <v>0</v>
      </c>
      <c r="J340" s="27">
        <f t="shared" si="5"/>
        <v>45704</v>
      </c>
      <c r="K340" s="27">
        <f t="shared" si="6"/>
        <v>45731</v>
      </c>
    </row>
    <row r="341" hidden="1">
      <c r="A341" s="3" t="str">
        <f t="shared" si="3"/>
        <v>SL-20250310-FMC-CS 008-11</v>
      </c>
      <c r="B341" s="2">
        <f t="array" ref="B341">INDEX(helper!$A$3:$A3996,ROUNDUP((ROW()-1)/COUNTA(helper!$D$3:$D3996),0))</f>
        <v>45726</v>
      </c>
      <c r="C341" s="5" t="str">
        <f t="array" ref="C341">IF(B341="","",INDEX(helper!$D$3:$D3996,MOD(ROW()-2,COUNTA(helper!$D$3:$D3996))+1))</f>
        <v>FMC</v>
      </c>
      <c r="D341" s="3" t="str">
        <f t="array" ref="D341">IF(B341="","",INDEX(helper!$E$3:$E3996,MOD(ROW()-2,COUNTA(helper!$D$3:$D3996))+1))</f>
        <v>CS 008</v>
      </c>
      <c r="E341" s="3">
        <f t="array" ref="E341">IF(B341="","",INDEX(helper!$F$3:$F3996,MOD(ROW()-2,COUNTA(helper!$D$3:$D3996))+1))</f>
        <v>11</v>
      </c>
      <c r="F341" s="3">
        <f>IF(B341="","",SUMIFS('inventory ledger'!$H:$H,'inventory ledger'!$C:$C,C341,'inventory ledger'!$D:$D,D341,'inventory ledger'!$E:$E,E341,'inventory ledger'!$A:$A,"&lt;="&amp;B341+TIME(23,59,59))-SUMIFS('inventory ledger'!$I:$I,'inventory ledger'!$C:$C,C341,'inventory ledger'!$D:$D,D341,'inventory ledger'!$E:$E,E341,'inventory ledger'!$A:$A,"&lt;="&amp;B341+TIME(23,59,59)))</f>
        <v>0</v>
      </c>
      <c r="G341" s="3">
        <f>IFERROR(__xludf.DUMMYFUNCTION("IF(F341&lt;=0,0,IFERROR(ROUNDUP(F341/INDEX(FILTER('warehouse config'!$D:$D,('warehouse config'!$B:$B=C341)*('warehouse config'!$C:$C=D341)*('warehouse config'!$G:$G&lt;=B341)*(('warehouse config'!$H:$H&gt;=B341)+ISBLANK('warehouse config'!$H:$H))),1)),0))"),0.0)</f>
        <v>0</v>
      </c>
      <c r="H341" s="3">
        <f>IFERROR(__xludf.DUMMYFUNCTION("IFERROR(INDEX(FILTER('cost master'!$E:$E,('cost master'!$B:$B=C341)*('cost master'!$D:$D=""Storage cost per pallet / week"")*('cost master'!$G:$G&lt;=B341)*(('cost master'!$H:$H&gt;=B341)+ISBLANK('cost master'!$H:$H))),1),0)"),3.9)</f>
        <v>3.9</v>
      </c>
      <c r="I341" s="3">
        <f t="shared" si="4"/>
        <v>0</v>
      </c>
      <c r="J341" s="27">
        <f t="shared" si="5"/>
        <v>45704</v>
      </c>
      <c r="K341" s="27">
        <f t="shared" si="6"/>
        <v>45731</v>
      </c>
    </row>
    <row r="342" hidden="1">
      <c r="A342" s="3" t="str">
        <f t="shared" si="3"/>
        <v>SL-20250317-FMC-CS 007-8</v>
      </c>
      <c r="B342" s="2">
        <f t="array" ref="B342">INDEX(helper!$A$3:$A3996,ROUNDUP((ROW()-1)/COUNTA(helper!$D$3:$D3996),0))</f>
        <v>45733</v>
      </c>
      <c r="C342" s="5" t="str">
        <f t="array" ref="C342">IF(B342="","",INDEX(helper!$D$3:$D3996,MOD(ROW()-2,COUNTA(helper!$D$3:$D3996))+1))</f>
        <v>FMC</v>
      </c>
      <c r="D342" s="3" t="str">
        <f t="array" ref="D342">IF(B342="","",INDEX(helper!$E$3:$E3996,MOD(ROW()-2,COUNTA(helper!$D$3:$D3996))+1))</f>
        <v>CS 007</v>
      </c>
      <c r="E342" s="3">
        <f t="array" ref="E342">IF(B342="","",INDEX(helper!$F$3:$F3996,MOD(ROW()-2,COUNTA(helper!$D$3:$D3996))+1))</f>
        <v>8</v>
      </c>
      <c r="F342" s="3">
        <f>IF(B342="","",SUMIFS('inventory ledger'!$H:$H,'inventory ledger'!$C:$C,C342,'inventory ledger'!$D:$D,D342,'inventory ledger'!$E:$E,E342,'inventory ledger'!$A:$A,"&lt;="&amp;B342+TIME(23,59,59))-SUMIFS('inventory ledger'!$I:$I,'inventory ledger'!$C:$C,C342,'inventory ledger'!$D:$D,D342,'inventory ledger'!$E:$E,E342,'inventory ledger'!$A:$A,"&lt;="&amp;B342+TIME(23,59,59)))</f>
        <v>0</v>
      </c>
      <c r="G342" s="3">
        <f>IFERROR(__xludf.DUMMYFUNCTION("IF(F342&lt;=0,0,IFERROR(ROUNDUP(F342/INDEX(FILTER('warehouse config'!$D:$D,('warehouse config'!$B:$B=C342)*('warehouse config'!$C:$C=D342)*('warehouse config'!$G:$G&lt;=B342)*(('warehouse config'!$H:$H&gt;=B342)+ISBLANK('warehouse config'!$H:$H))),1)),0))"),0.0)</f>
        <v>0</v>
      </c>
      <c r="H342" s="3">
        <f>IFERROR(__xludf.DUMMYFUNCTION("IFERROR(INDEX(FILTER('cost master'!$E:$E,('cost master'!$B:$B=C342)*('cost master'!$D:$D=""Storage cost per pallet / week"")*('cost master'!$G:$G&lt;=B342)*(('cost master'!$H:$H&gt;=B342)+ISBLANK('cost master'!$H:$H))),1),0)"),3.9)</f>
        <v>3.9</v>
      </c>
      <c r="I342" s="3">
        <f t="shared" si="4"/>
        <v>0</v>
      </c>
      <c r="J342" s="27">
        <f t="shared" si="5"/>
        <v>45732</v>
      </c>
      <c r="K342" s="27">
        <f t="shared" si="6"/>
        <v>45762</v>
      </c>
    </row>
    <row r="343" hidden="1">
      <c r="A343" s="3" t="str">
        <f t="shared" si="3"/>
        <v>SL-20250317-FMC-CS 008-8</v>
      </c>
      <c r="B343" s="2">
        <f t="array" ref="B343">INDEX(helper!$A$3:$A3996,ROUNDUP((ROW()-1)/COUNTA(helper!$D$3:$D3996),0))</f>
        <v>45733</v>
      </c>
      <c r="C343" s="5" t="str">
        <f t="array" ref="C343">IF(B343="","",INDEX(helper!$D$3:$D3996,MOD(ROW()-2,COUNTA(helper!$D$3:$D3996))+1))</f>
        <v>FMC</v>
      </c>
      <c r="D343" s="3" t="str">
        <f t="array" ref="D343">IF(B343="","",INDEX(helper!$E$3:$E3996,MOD(ROW()-2,COUNTA(helper!$D$3:$D3996))+1))</f>
        <v>CS 008</v>
      </c>
      <c r="E343" s="3">
        <f t="array" ref="E343">IF(B343="","",INDEX(helper!$F$3:$F3996,MOD(ROW()-2,COUNTA(helper!$D$3:$D3996))+1))</f>
        <v>8</v>
      </c>
      <c r="F343" s="3">
        <f>IF(B343="","",SUMIFS('inventory ledger'!$H:$H,'inventory ledger'!$C:$C,C343,'inventory ledger'!$D:$D,D343,'inventory ledger'!$E:$E,E343,'inventory ledger'!$A:$A,"&lt;="&amp;B343+TIME(23,59,59))-SUMIFS('inventory ledger'!$I:$I,'inventory ledger'!$C:$C,C343,'inventory ledger'!$D:$D,D343,'inventory ledger'!$E:$E,E343,'inventory ledger'!$A:$A,"&lt;="&amp;B343+TIME(23,59,59)))</f>
        <v>0</v>
      </c>
      <c r="G343" s="3">
        <f>IFERROR(__xludf.DUMMYFUNCTION("IF(F343&lt;=0,0,IFERROR(ROUNDUP(F343/INDEX(FILTER('warehouse config'!$D:$D,('warehouse config'!$B:$B=C343)*('warehouse config'!$C:$C=D343)*('warehouse config'!$G:$G&lt;=B343)*(('warehouse config'!$H:$H&gt;=B343)+ISBLANK('warehouse config'!$H:$H))),1)),0))"),0.0)</f>
        <v>0</v>
      </c>
      <c r="H343" s="3">
        <f>IFERROR(__xludf.DUMMYFUNCTION("IFERROR(INDEX(FILTER('cost master'!$E:$E,('cost master'!$B:$B=C343)*('cost master'!$D:$D=""Storage cost per pallet / week"")*('cost master'!$G:$G&lt;=B343)*(('cost master'!$H:$H&gt;=B343)+ISBLANK('cost master'!$H:$H))),1),0)"),3.9)</f>
        <v>3.9</v>
      </c>
      <c r="I343" s="3">
        <f t="shared" si="4"/>
        <v>0</v>
      </c>
      <c r="J343" s="27">
        <f t="shared" si="5"/>
        <v>45732</v>
      </c>
      <c r="K343" s="27">
        <f t="shared" si="6"/>
        <v>45762</v>
      </c>
    </row>
    <row r="344" hidden="1">
      <c r="A344" s="3" t="str">
        <f t="shared" si="3"/>
        <v>SL-20250317-FMC-CS 009-8</v>
      </c>
      <c r="B344" s="2">
        <f t="array" ref="B344">INDEX(helper!$A$3:$A3996,ROUNDUP((ROW()-1)/COUNTA(helper!$D$3:$D3996),0))</f>
        <v>45733</v>
      </c>
      <c r="C344" s="5" t="str">
        <f t="array" ref="C344">IF(B344="","",INDEX(helper!$D$3:$D3996,MOD(ROW()-2,COUNTA(helper!$D$3:$D3996))+1))</f>
        <v>FMC</v>
      </c>
      <c r="D344" s="3" t="str">
        <f t="array" ref="D344">IF(B344="","",INDEX(helper!$E$3:$E3996,MOD(ROW()-2,COUNTA(helper!$D$3:$D3996))+1))</f>
        <v>CS 009</v>
      </c>
      <c r="E344" s="3">
        <f t="array" ref="E344">IF(B344="","",INDEX(helper!$F$3:$F3996,MOD(ROW()-2,COUNTA(helper!$D$3:$D3996))+1))</f>
        <v>8</v>
      </c>
      <c r="F344" s="3">
        <f>IF(B344="","",SUMIFS('inventory ledger'!$H:$H,'inventory ledger'!$C:$C,C344,'inventory ledger'!$D:$D,D344,'inventory ledger'!$E:$E,E344,'inventory ledger'!$A:$A,"&lt;="&amp;B344+TIME(23,59,59))-SUMIFS('inventory ledger'!$I:$I,'inventory ledger'!$C:$C,C344,'inventory ledger'!$D:$D,D344,'inventory ledger'!$E:$E,E344,'inventory ledger'!$A:$A,"&lt;="&amp;B344+TIME(23,59,59)))</f>
        <v>0</v>
      </c>
      <c r="G344" s="3">
        <f>IFERROR(__xludf.DUMMYFUNCTION("IF(F344&lt;=0,0,IFERROR(ROUNDUP(F344/INDEX(FILTER('warehouse config'!$D:$D,('warehouse config'!$B:$B=C344)*('warehouse config'!$C:$C=D344)*('warehouse config'!$G:$G&lt;=B344)*(('warehouse config'!$H:$H&gt;=B344)+ISBLANK('warehouse config'!$H:$H))),1)),0))"),0.0)</f>
        <v>0</v>
      </c>
      <c r="H344" s="3">
        <f>IFERROR(__xludf.DUMMYFUNCTION("IFERROR(INDEX(FILTER('cost master'!$E:$E,('cost master'!$B:$B=C344)*('cost master'!$D:$D=""Storage cost per pallet / week"")*('cost master'!$G:$G&lt;=B344)*(('cost master'!$H:$H&gt;=B344)+ISBLANK('cost master'!$H:$H))),1),0)"),3.9)</f>
        <v>3.9</v>
      </c>
      <c r="I344" s="3">
        <f t="shared" si="4"/>
        <v>0</v>
      </c>
      <c r="J344" s="27">
        <f t="shared" si="5"/>
        <v>45732</v>
      </c>
      <c r="K344" s="27">
        <f t="shared" si="6"/>
        <v>45762</v>
      </c>
    </row>
    <row r="345" hidden="1">
      <c r="A345" s="3" t="str">
        <f t="shared" si="3"/>
        <v>SL-20250317-FMC-CS 010-8</v>
      </c>
      <c r="B345" s="2">
        <f t="array" ref="B345">INDEX(helper!$A$3:$A3996,ROUNDUP((ROW()-1)/COUNTA(helper!$D$3:$D3996),0))</f>
        <v>45733</v>
      </c>
      <c r="C345" s="5" t="str">
        <f t="array" ref="C345">IF(B345="","",INDEX(helper!$D$3:$D3996,MOD(ROW()-2,COUNTA(helper!$D$3:$D3996))+1))</f>
        <v>FMC</v>
      </c>
      <c r="D345" s="3" t="str">
        <f t="array" ref="D345">IF(B345="","",INDEX(helper!$E$3:$E3996,MOD(ROW()-2,COUNTA(helper!$D$3:$D3996))+1))</f>
        <v>CS 010</v>
      </c>
      <c r="E345" s="3">
        <f t="array" ref="E345">IF(B345="","",INDEX(helper!$F$3:$F3996,MOD(ROW()-2,COUNTA(helper!$D$3:$D3996))+1))</f>
        <v>8</v>
      </c>
      <c r="F345" s="3">
        <f>IF(B345="","",SUMIFS('inventory ledger'!$H:$H,'inventory ledger'!$C:$C,C345,'inventory ledger'!$D:$D,D345,'inventory ledger'!$E:$E,E345,'inventory ledger'!$A:$A,"&lt;="&amp;B345+TIME(23,59,59))-SUMIFS('inventory ledger'!$I:$I,'inventory ledger'!$C:$C,C345,'inventory ledger'!$D:$D,D345,'inventory ledger'!$E:$E,E345,'inventory ledger'!$A:$A,"&lt;="&amp;B345+TIME(23,59,59)))</f>
        <v>0</v>
      </c>
      <c r="G345" s="3">
        <f>IFERROR(__xludf.DUMMYFUNCTION("IF(F345&lt;=0,0,IFERROR(ROUNDUP(F345/INDEX(FILTER('warehouse config'!$D:$D,('warehouse config'!$B:$B=C345)*('warehouse config'!$C:$C=D345)*('warehouse config'!$G:$G&lt;=B345)*(('warehouse config'!$H:$H&gt;=B345)+ISBLANK('warehouse config'!$H:$H))),1)),0))"),0.0)</f>
        <v>0</v>
      </c>
      <c r="H345" s="3">
        <f>IFERROR(__xludf.DUMMYFUNCTION("IFERROR(INDEX(FILTER('cost master'!$E:$E,('cost master'!$B:$B=C345)*('cost master'!$D:$D=""Storage cost per pallet / week"")*('cost master'!$G:$G&lt;=B345)*(('cost master'!$H:$H&gt;=B345)+ISBLANK('cost master'!$H:$H))),1),0)"),3.9)</f>
        <v>3.9</v>
      </c>
      <c r="I345" s="3">
        <f t="shared" si="4"/>
        <v>0</v>
      </c>
      <c r="J345" s="27">
        <f t="shared" si="5"/>
        <v>45732</v>
      </c>
      <c r="K345" s="27">
        <f t="shared" si="6"/>
        <v>45762</v>
      </c>
    </row>
    <row r="346" hidden="1">
      <c r="A346" s="3" t="str">
        <f t="shared" si="3"/>
        <v>SL-20250317-FMC-CS 007-9</v>
      </c>
      <c r="B346" s="2">
        <f t="array" ref="B346">INDEX(helper!$A$3:$A3996,ROUNDUP((ROW()-1)/COUNTA(helper!$D$3:$D3996),0))</f>
        <v>45733</v>
      </c>
      <c r="C346" s="5" t="str">
        <f t="array" ref="C346">IF(B346="","",INDEX(helper!$D$3:$D3996,MOD(ROW()-2,COUNTA(helper!$D$3:$D3996))+1))</f>
        <v>FMC</v>
      </c>
      <c r="D346" s="3" t="str">
        <f t="array" ref="D346">IF(B346="","",INDEX(helper!$E$3:$E3996,MOD(ROW()-2,COUNTA(helper!$D$3:$D3996))+1))</f>
        <v>CS 007</v>
      </c>
      <c r="E346" s="3">
        <f t="array" ref="E346">IF(B346="","",INDEX(helper!$F$3:$F3996,MOD(ROW()-2,COUNTA(helper!$D$3:$D3996))+1))</f>
        <v>9</v>
      </c>
      <c r="F346" s="3">
        <f>IF(B346="","",SUMIFS('inventory ledger'!$H:$H,'inventory ledger'!$C:$C,C346,'inventory ledger'!$D:$D,D346,'inventory ledger'!$E:$E,E346,'inventory ledger'!$A:$A,"&lt;="&amp;B346+TIME(23,59,59))-SUMIFS('inventory ledger'!$I:$I,'inventory ledger'!$C:$C,C346,'inventory ledger'!$D:$D,D346,'inventory ledger'!$E:$E,E346,'inventory ledger'!$A:$A,"&lt;="&amp;B346+TIME(23,59,59)))</f>
        <v>0</v>
      </c>
      <c r="G346" s="3">
        <f>IFERROR(__xludf.DUMMYFUNCTION("IF(F346&lt;=0,0,IFERROR(ROUNDUP(F346/INDEX(FILTER('warehouse config'!$D:$D,('warehouse config'!$B:$B=C346)*('warehouse config'!$C:$C=D346)*('warehouse config'!$G:$G&lt;=B346)*(('warehouse config'!$H:$H&gt;=B346)+ISBLANK('warehouse config'!$H:$H))),1)),0))"),0.0)</f>
        <v>0</v>
      </c>
      <c r="H346" s="3">
        <f>IFERROR(__xludf.DUMMYFUNCTION("IFERROR(INDEX(FILTER('cost master'!$E:$E,('cost master'!$B:$B=C346)*('cost master'!$D:$D=""Storage cost per pallet / week"")*('cost master'!$G:$G&lt;=B346)*(('cost master'!$H:$H&gt;=B346)+ISBLANK('cost master'!$H:$H))),1),0)"),3.9)</f>
        <v>3.9</v>
      </c>
      <c r="I346" s="3">
        <f t="shared" si="4"/>
        <v>0</v>
      </c>
      <c r="J346" s="27">
        <f t="shared" si="5"/>
        <v>45732</v>
      </c>
      <c r="K346" s="27">
        <f t="shared" si="6"/>
        <v>45762</v>
      </c>
    </row>
    <row r="347" hidden="1">
      <c r="A347" s="3" t="str">
        <f t="shared" si="3"/>
        <v>SL-20250317-FMC-CS 008-9</v>
      </c>
      <c r="B347" s="2">
        <f t="array" ref="B347">INDEX(helper!$A$3:$A3996,ROUNDUP((ROW()-1)/COUNTA(helper!$D$3:$D3996),0))</f>
        <v>45733</v>
      </c>
      <c r="C347" s="5" t="str">
        <f t="array" ref="C347">IF(B347="","",INDEX(helper!$D$3:$D3996,MOD(ROW()-2,COUNTA(helper!$D$3:$D3996))+1))</f>
        <v>FMC</v>
      </c>
      <c r="D347" s="3" t="str">
        <f t="array" ref="D347">IF(B347="","",INDEX(helper!$E$3:$E3996,MOD(ROW()-2,COUNTA(helper!$D$3:$D3996))+1))</f>
        <v>CS 008</v>
      </c>
      <c r="E347" s="3">
        <f t="array" ref="E347">IF(B347="","",INDEX(helper!$F$3:$F3996,MOD(ROW()-2,COUNTA(helper!$D$3:$D3996))+1))</f>
        <v>9</v>
      </c>
      <c r="F347" s="3">
        <f>IF(B347="","",SUMIFS('inventory ledger'!$H:$H,'inventory ledger'!$C:$C,C347,'inventory ledger'!$D:$D,D347,'inventory ledger'!$E:$E,E347,'inventory ledger'!$A:$A,"&lt;="&amp;B347+TIME(23,59,59))-SUMIFS('inventory ledger'!$I:$I,'inventory ledger'!$C:$C,C347,'inventory ledger'!$D:$D,D347,'inventory ledger'!$E:$E,E347,'inventory ledger'!$A:$A,"&lt;="&amp;B347+TIME(23,59,59)))</f>
        <v>14</v>
      </c>
      <c r="G347" s="3">
        <f>IFERROR(__xludf.DUMMYFUNCTION("IF(F347&lt;=0,0,IFERROR(ROUNDUP(F347/INDEX(FILTER('warehouse config'!$D:$D,('warehouse config'!$B:$B=C347)*('warehouse config'!$C:$C=D347)*('warehouse config'!$G:$G&lt;=B347)*(('warehouse config'!$H:$H&gt;=B347)+ISBLANK('warehouse config'!$H:$H))),1)),0))"),1.0)</f>
        <v>1</v>
      </c>
      <c r="H347" s="3">
        <f>IFERROR(__xludf.DUMMYFUNCTION("IFERROR(INDEX(FILTER('cost master'!$E:$E,('cost master'!$B:$B=C347)*('cost master'!$D:$D=""Storage cost per pallet / week"")*('cost master'!$G:$G&lt;=B347)*(('cost master'!$H:$H&gt;=B347)+ISBLANK('cost master'!$H:$H))),1),0)"),3.9)</f>
        <v>3.9</v>
      </c>
      <c r="I347" s="3">
        <f t="shared" si="4"/>
        <v>3.9</v>
      </c>
      <c r="J347" s="27">
        <f t="shared" si="5"/>
        <v>45732</v>
      </c>
      <c r="K347" s="27">
        <f t="shared" si="6"/>
        <v>45762</v>
      </c>
    </row>
    <row r="348" hidden="1">
      <c r="A348" s="3" t="str">
        <f t="shared" si="3"/>
        <v>SL-20250317-FMC-CS 009-9</v>
      </c>
      <c r="B348" s="2">
        <f t="array" ref="B348">INDEX(helper!$A$3:$A3996,ROUNDUP((ROW()-1)/COUNTA(helper!$D$3:$D3996),0))</f>
        <v>45733</v>
      </c>
      <c r="C348" s="5" t="str">
        <f t="array" ref="C348">IF(B348="","",INDEX(helper!$D$3:$D3996,MOD(ROW()-2,COUNTA(helper!$D$3:$D3996))+1))</f>
        <v>FMC</v>
      </c>
      <c r="D348" s="3" t="str">
        <f t="array" ref="D348">IF(B348="","",INDEX(helper!$E$3:$E3996,MOD(ROW()-2,COUNTA(helper!$D$3:$D3996))+1))</f>
        <v>CS 009</v>
      </c>
      <c r="E348" s="3">
        <f t="array" ref="E348">IF(B348="","",INDEX(helper!$F$3:$F3996,MOD(ROW()-2,COUNTA(helper!$D$3:$D3996))+1))</f>
        <v>9</v>
      </c>
      <c r="F348" s="3">
        <f>IF(B348="","",SUMIFS('inventory ledger'!$H:$H,'inventory ledger'!$C:$C,C348,'inventory ledger'!$D:$D,D348,'inventory ledger'!$E:$E,E348,'inventory ledger'!$A:$A,"&lt;="&amp;B348+TIME(23,59,59))-SUMIFS('inventory ledger'!$I:$I,'inventory ledger'!$C:$C,C348,'inventory ledger'!$D:$D,D348,'inventory ledger'!$E:$E,E348,'inventory ledger'!$A:$A,"&lt;="&amp;B348+TIME(23,59,59)))</f>
        <v>0</v>
      </c>
      <c r="G348" s="3">
        <f>IFERROR(__xludf.DUMMYFUNCTION("IF(F348&lt;=0,0,IFERROR(ROUNDUP(F348/INDEX(FILTER('warehouse config'!$D:$D,('warehouse config'!$B:$B=C348)*('warehouse config'!$C:$C=D348)*('warehouse config'!$G:$G&lt;=B348)*(('warehouse config'!$H:$H&gt;=B348)+ISBLANK('warehouse config'!$H:$H))),1)),0))"),0.0)</f>
        <v>0</v>
      </c>
      <c r="H348" s="3">
        <f>IFERROR(__xludf.DUMMYFUNCTION("IFERROR(INDEX(FILTER('cost master'!$E:$E,('cost master'!$B:$B=C348)*('cost master'!$D:$D=""Storage cost per pallet / week"")*('cost master'!$G:$G&lt;=B348)*(('cost master'!$H:$H&gt;=B348)+ISBLANK('cost master'!$H:$H))),1),0)"),3.9)</f>
        <v>3.9</v>
      </c>
      <c r="I348" s="3">
        <f t="shared" si="4"/>
        <v>0</v>
      </c>
      <c r="J348" s="27">
        <f t="shared" si="5"/>
        <v>45732</v>
      </c>
      <c r="K348" s="27">
        <f t="shared" si="6"/>
        <v>45762</v>
      </c>
    </row>
    <row r="349" hidden="1">
      <c r="A349" s="3" t="str">
        <f t="shared" si="3"/>
        <v>SL-20250317-FMC-CS 010-9</v>
      </c>
      <c r="B349" s="2">
        <f t="array" ref="B349">INDEX(helper!$A$3:$A3996,ROUNDUP((ROW()-1)/COUNTA(helper!$D$3:$D3996),0))</f>
        <v>45733</v>
      </c>
      <c r="C349" s="5" t="str">
        <f t="array" ref="C349">IF(B349="","",INDEX(helper!$D$3:$D3996,MOD(ROW()-2,COUNTA(helper!$D$3:$D3996))+1))</f>
        <v>FMC</v>
      </c>
      <c r="D349" s="3" t="str">
        <f t="array" ref="D349">IF(B349="","",INDEX(helper!$E$3:$E3996,MOD(ROW()-2,COUNTA(helper!$D$3:$D3996))+1))</f>
        <v>CS 010</v>
      </c>
      <c r="E349" s="3">
        <f t="array" ref="E349">IF(B349="","",INDEX(helper!$F$3:$F3996,MOD(ROW()-2,COUNTA(helper!$D$3:$D3996))+1))</f>
        <v>9</v>
      </c>
      <c r="F349" s="3">
        <f>IF(B349="","",SUMIFS('inventory ledger'!$H:$H,'inventory ledger'!$C:$C,C349,'inventory ledger'!$D:$D,D349,'inventory ledger'!$E:$E,E349,'inventory ledger'!$A:$A,"&lt;="&amp;B349+TIME(23,59,59))-SUMIFS('inventory ledger'!$I:$I,'inventory ledger'!$C:$C,C349,'inventory ledger'!$D:$D,D349,'inventory ledger'!$E:$E,E349,'inventory ledger'!$A:$A,"&lt;="&amp;B349+TIME(23,59,59)))</f>
        <v>0</v>
      </c>
      <c r="G349" s="3">
        <f>IFERROR(__xludf.DUMMYFUNCTION("IF(F349&lt;=0,0,IFERROR(ROUNDUP(F349/INDEX(FILTER('warehouse config'!$D:$D,('warehouse config'!$B:$B=C349)*('warehouse config'!$C:$C=D349)*('warehouse config'!$G:$G&lt;=B349)*(('warehouse config'!$H:$H&gt;=B349)+ISBLANK('warehouse config'!$H:$H))),1)),0))"),0.0)</f>
        <v>0</v>
      </c>
      <c r="H349" s="3">
        <f>IFERROR(__xludf.DUMMYFUNCTION("IFERROR(INDEX(FILTER('cost master'!$E:$E,('cost master'!$B:$B=C349)*('cost master'!$D:$D=""Storage cost per pallet / week"")*('cost master'!$G:$G&lt;=B349)*(('cost master'!$H:$H&gt;=B349)+ISBLANK('cost master'!$H:$H))),1),0)"),3.9)</f>
        <v>3.9</v>
      </c>
      <c r="I349" s="3">
        <f t="shared" si="4"/>
        <v>0</v>
      </c>
      <c r="J349" s="27">
        <f t="shared" si="5"/>
        <v>45732</v>
      </c>
      <c r="K349" s="27">
        <f t="shared" si="6"/>
        <v>45762</v>
      </c>
    </row>
    <row r="350" hidden="1">
      <c r="A350" s="3" t="str">
        <f t="shared" si="3"/>
        <v>SL-20250317-FMC-CS-CDS-001-9</v>
      </c>
      <c r="B350" s="2">
        <f t="array" ref="B350">INDEX(helper!$A$3:$A3996,ROUNDUP((ROW()-1)/COUNTA(helper!$D$3:$D3996),0))</f>
        <v>45733</v>
      </c>
      <c r="C350" s="5" t="str">
        <f t="array" ref="C350">IF(B350="","",INDEX(helper!$D$3:$D3996,MOD(ROW()-2,COUNTA(helper!$D$3:$D3996))+1))</f>
        <v>FMC</v>
      </c>
      <c r="D350" s="3" t="str">
        <f t="array" ref="D350">IF(B350="","",INDEX(helper!$E$3:$E3996,MOD(ROW()-2,COUNTA(helper!$D$3:$D3996))+1))</f>
        <v>CS-CDS-001</v>
      </c>
      <c r="E350" s="3">
        <f t="array" ref="E350">IF(B350="","",INDEX(helper!$F$3:$F3996,MOD(ROW()-2,COUNTA(helper!$D$3:$D3996))+1))</f>
        <v>9</v>
      </c>
      <c r="F350" s="3">
        <f>IF(B350="","",SUMIFS('inventory ledger'!$H:$H,'inventory ledger'!$C:$C,C350,'inventory ledger'!$D:$D,D350,'inventory ledger'!$E:$E,E350,'inventory ledger'!$A:$A,"&lt;="&amp;B350+TIME(23,59,59))-SUMIFS('inventory ledger'!$I:$I,'inventory ledger'!$C:$C,C350,'inventory ledger'!$D:$D,D350,'inventory ledger'!$E:$E,E350,'inventory ledger'!$A:$A,"&lt;="&amp;B350+TIME(23,59,59)))</f>
        <v>0</v>
      </c>
      <c r="G350" s="3">
        <f>IFERROR(__xludf.DUMMYFUNCTION("IF(F350&lt;=0,0,IFERROR(ROUNDUP(F350/INDEX(FILTER('warehouse config'!$D:$D,('warehouse config'!$B:$B=C350)*('warehouse config'!$C:$C=D350)*('warehouse config'!$G:$G&lt;=B350)*(('warehouse config'!$H:$H&gt;=B350)+ISBLANK('warehouse config'!$H:$H))),1)),0))"),0.0)</f>
        <v>0</v>
      </c>
      <c r="H350" s="3">
        <f>IFERROR(__xludf.DUMMYFUNCTION("IFERROR(INDEX(FILTER('cost master'!$E:$E,('cost master'!$B:$B=C350)*('cost master'!$D:$D=""Storage cost per pallet / week"")*('cost master'!$G:$G&lt;=B350)*(('cost master'!$H:$H&gt;=B350)+ISBLANK('cost master'!$H:$H))),1),0)"),3.9)</f>
        <v>3.9</v>
      </c>
      <c r="I350" s="3">
        <f t="shared" si="4"/>
        <v>0</v>
      </c>
      <c r="J350" s="27">
        <f t="shared" si="5"/>
        <v>45732</v>
      </c>
      <c r="K350" s="27">
        <f t="shared" si="6"/>
        <v>45762</v>
      </c>
    </row>
    <row r="351" hidden="1">
      <c r="A351" s="3" t="str">
        <f t="shared" si="3"/>
        <v>SL-20250317-FMC-CS-CDS-002-9</v>
      </c>
      <c r="B351" s="2">
        <f t="array" ref="B351">INDEX(helper!$A$3:$A3996,ROUNDUP((ROW()-1)/COUNTA(helper!$D$3:$D3996),0))</f>
        <v>45733</v>
      </c>
      <c r="C351" s="5" t="str">
        <f t="array" ref="C351">IF(B351="","",INDEX(helper!$D$3:$D3996,MOD(ROW()-2,COUNTA(helper!$D$3:$D3996))+1))</f>
        <v>FMC</v>
      </c>
      <c r="D351" s="3" t="str">
        <f t="array" ref="D351">IF(B351="","",INDEX(helper!$E$3:$E3996,MOD(ROW()-2,COUNTA(helper!$D$3:$D3996))+1))</f>
        <v>CS-CDS-002</v>
      </c>
      <c r="E351" s="3">
        <f t="array" ref="E351">IF(B351="","",INDEX(helper!$F$3:$F3996,MOD(ROW()-2,COUNTA(helper!$D$3:$D3996))+1))</f>
        <v>9</v>
      </c>
      <c r="F351" s="3">
        <f>IF(B351="","",SUMIFS('inventory ledger'!$H:$H,'inventory ledger'!$C:$C,C351,'inventory ledger'!$D:$D,D351,'inventory ledger'!$E:$E,E351,'inventory ledger'!$A:$A,"&lt;="&amp;B351+TIME(23,59,59))-SUMIFS('inventory ledger'!$I:$I,'inventory ledger'!$C:$C,C351,'inventory ledger'!$D:$D,D351,'inventory ledger'!$E:$E,E351,'inventory ledger'!$A:$A,"&lt;="&amp;B351+TIME(23,59,59)))</f>
        <v>0</v>
      </c>
      <c r="G351" s="3">
        <f>IFERROR(__xludf.DUMMYFUNCTION("IF(F351&lt;=0,0,IFERROR(ROUNDUP(F351/INDEX(FILTER('warehouse config'!$D:$D,('warehouse config'!$B:$B=C351)*('warehouse config'!$C:$C=D351)*('warehouse config'!$G:$G&lt;=B351)*(('warehouse config'!$H:$H&gt;=B351)+ISBLANK('warehouse config'!$H:$H))),1)),0))"),0.0)</f>
        <v>0</v>
      </c>
      <c r="H351" s="3">
        <f>IFERROR(__xludf.DUMMYFUNCTION("IFERROR(INDEX(FILTER('cost master'!$E:$E,('cost master'!$B:$B=C351)*('cost master'!$D:$D=""Storage cost per pallet / week"")*('cost master'!$G:$G&lt;=B351)*(('cost master'!$H:$H&gt;=B351)+ISBLANK('cost master'!$H:$H))),1),0)"),3.9)</f>
        <v>3.9</v>
      </c>
      <c r="I351" s="3">
        <f t="shared" si="4"/>
        <v>0</v>
      </c>
      <c r="J351" s="27">
        <f t="shared" si="5"/>
        <v>45732</v>
      </c>
      <c r="K351" s="27">
        <f t="shared" si="6"/>
        <v>45762</v>
      </c>
    </row>
    <row r="352" hidden="1">
      <c r="A352" s="3" t="str">
        <f t="shared" si="3"/>
        <v>SL-20250317-FMC-CS 007-10</v>
      </c>
      <c r="B352" s="2">
        <f t="array" ref="B352">INDEX(helper!$A$3:$A3996,ROUNDUP((ROW()-1)/COUNTA(helper!$D$3:$D3996),0))</f>
        <v>45733</v>
      </c>
      <c r="C352" s="5" t="str">
        <f t="array" ref="C352">IF(B352="","",INDEX(helper!$D$3:$D3996,MOD(ROW()-2,COUNTA(helper!$D$3:$D3996))+1))</f>
        <v>FMC</v>
      </c>
      <c r="D352" s="3" t="str">
        <f t="array" ref="D352">IF(B352="","",INDEX(helper!$E$3:$E3996,MOD(ROW()-2,COUNTA(helper!$D$3:$D3996))+1))</f>
        <v>CS 007</v>
      </c>
      <c r="E352" s="3">
        <f t="array" ref="E352">IF(B352="","",INDEX(helper!$F$3:$F3996,MOD(ROW()-2,COUNTA(helper!$D$3:$D3996))+1))</f>
        <v>10</v>
      </c>
      <c r="F352" s="3">
        <f>IF(B352="","",SUMIFS('inventory ledger'!$H:$H,'inventory ledger'!$C:$C,C352,'inventory ledger'!$D:$D,D352,'inventory ledger'!$E:$E,E352,'inventory ledger'!$A:$A,"&lt;="&amp;B352+TIME(23,59,59))-SUMIFS('inventory ledger'!$I:$I,'inventory ledger'!$C:$C,C352,'inventory ledger'!$D:$D,D352,'inventory ledger'!$E:$E,E352,'inventory ledger'!$A:$A,"&lt;="&amp;B352+TIME(23,59,59)))</f>
        <v>0</v>
      </c>
      <c r="G352" s="3">
        <f>IFERROR(__xludf.DUMMYFUNCTION("IF(F352&lt;=0,0,IFERROR(ROUNDUP(F352/INDEX(FILTER('warehouse config'!$D:$D,('warehouse config'!$B:$B=C352)*('warehouse config'!$C:$C=D352)*('warehouse config'!$G:$G&lt;=B352)*(('warehouse config'!$H:$H&gt;=B352)+ISBLANK('warehouse config'!$H:$H))),1)),0))"),0.0)</f>
        <v>0</v>
      </c>
      <c r="H352" s="3">
        <f>IFERROR(__xludf.DUMMYFUNCTION("IFERROR(INDEX(FILTER('cost master'!$E:$E,('cost master'!$B:$B=C352)*('cost master'!$D:$D=""Storage cost per pallet / week"")*('cost master'!$G:$G&lt;=B352)*(('cost master'!$H:$H&gt;=B352)+ISBLANK('cost master'!$H:$H))),1),0)"),3.9)</f>
        <v>3.9</v>
      </c>
      <c r="I352" s="3">
        <f t="shared" si="4"/>
        <v>0</v>
      </c>
      <c r="J352" s="27">
        <f t="shared" si="5"/>
        <v>45732</v>
      </c>
      <c r="K352" s="27">
        <f t="shared" si="6"/>
        <v>45762</v>
      </c>
    </row>
    <row r="353" hidden="1">
      <c r="A353" s="3" t="str">
        <f t="shared" si="3"/>
        <v>SL-20250317-FMC-CS 009-10</v>
      </c>
      <c r="B353" s="2">
        <f t="array" ref="B353">INDEX(helper!$A$3:$A3996,ROUNDUP((ROW()-1)/COUNTA(helper!$D$3:$D3996),0))</f>
        <v>45733</v>
      </c>
      <c r="C353" s="5" t="str">
        <f t="array" ref="C353">IF(B353="","",INDEX(helper!$D$3:$D3996,MOD(ROW()-2,COUNTA(helper!$D$3:$D3996))+1))</f>
        <v>FMC</v>
      </c>
      <c r="D353" s="3" t="str">
        <f t="array" ref="D353">IF(B353="","",INDEX(helper!$E$3:$E3996,MOD(ROW()-2,COUNTA(helper!$D$3:$D3996))+1))</f>
        <v>CS 009</v>
      </c>
      <c r="E353" s="3">
        <f t="array" ref="E353">IF(B353="","",INDEX(helper!$F$3:$F3996,MOD(ROW()-2,COUNTA(helper!$D$3:$D3996))+1))</f>
        <v>10</v>
      </c>
      <c r="F353" s="3">
        <f>IF(B353="","",SUMIFS('inventory ledger'!$H:$H,'inventory ledger'!$C:$C,C353,'inventory ledger'!$D:$D,D353,'inventory ledger'!$E:$E,E353,'inventory ledger'!$A:$A,"&lt;="&amp;B353+TIME(23,59,59))-SUMIFS('inventory ledger'!$I:$I,'inventory ledger'!$C:$C,C353,'inventory ledger'!$D:$D,D353,'inventory ledger'!$E:$E,E353,'inventory ledger'!$A:$A,"&lt;="&amp;B353+TIME(23,59,59)))</f>
        <v>0</v>
      </c>
      <c r="G353" s="3">
        <f>IFERROR(__xludf.DUMMYFUNCTION("IF(F353&lt;=0,0,IFERROR(ROUNDUP(F353/INDEX(FILTER('warehouse config'!$D:$D,('warehouse config'!$B:$B=C353)*('warehouse config'!$C:$C=D353)*('warehouse config'!$G:$G&lt;=B353)*(('warehouse config'!$H:$H&gt;=B353)+ISBLANK('warehouse config'!$H:$H))),1)),0))"),0.0)</f>
        <v>0</v>
      </c>
      <c r="H353" s="3">
        <f>IFERROR(__xludf.DUMMYFUNCTION("IFERROR(INDEX(FILTER('cost master'!$E:$E,('cost master'!$B:$B=C353)*('cost master'!$D:$D=""Storage cost per pallet / week"")*('cost master'!$G:$G&lt;=B353)*(('cost master'!$H:$H&gt;=B353)+ISBLANK('cost master'!$H:$H))),1),0)"),3.9)</f>
        <v>3.9</v>
      </c>
      <c r="I353" s="3">
        <f t="shared" si="4"/>
        <v>0</v>
      </c>
      <c r="J353" s="27">
        <f t="shared" si="5"/>
        <v>45732</v>
      </c>
      <c r="K353" s="27">
        <f t="shared" si="6"/>
        <v>45762</v>
      </c>
    </row>
    <row r="354" hidden="1">
      <c r="A354" s="3" t="str">
        <f t="shared" si="3"/>
        <v>SL-20250317-FMC-CS 010-10</v>
      </c>
      <c r="B354" s="2">
        <f t="array" ref="B354">INDEX(helper!$A$3:$A3996,ROUNDUP((ROW()-1)/COUNTA(helper!$D$3:$D3996),0))</f>
        <v>45733</v>
      </c>
      <c r="C354" s="5" t="str">
        <f t="array" ref="C354">IF(B354="","",INDEX(helper!$D$3:$D3996,MOD(ROW()-2,COUNTA(helper!$D$3:$D3996))+1))</f>
        <v>FMC</v>
      </c>
      <c r="D354" s="3" t="str">
        <f t="array" ref="D354">IF(B354="","",INDEX(helper!$E$3:$E3996,MOD(ROW()-2,COUNTA(helper!$D$3:$D3996))+1))</f>
        <v>CS 010</v>
      </c>
      <c r="E354" s="3">
        <f t="array" ref="E354">IF(B354="","",INDEX(helper!$F$3:$F3996,MOD(ROW()-2,COUNTA(helper!$D$3:$D3996))+1))</f>
        <v>10</v>
      </c>
      <c r="F354" s="3">
        <f>IF(B354="","",SUMIFS('inventory ledger'!$H:$H,'inventory ledger'!$C:$C,C354,'inventory ledger'!$D:$D,D354,'inventory ledger'!$E:$E,E354,'inventory ledger'!$A:$A,"&lt;="&amp;B354+TIME(23,59,59))-SUMIFS('inventory ledger'!$I:$I,'inventory ledger'!$C:$C,C354,'inventory ledger'!$D:$D,D354,'inventory ledger'!$E:$E,E354,'inventory ledger'!$A:$A,"&lt;="&amp;B354+TIME(23,59,59)))</f>
        <v>26</v>
      </c>
      <c r="G354" s="3">
        <f>IFERROR(__xludf.DUMMYFUNCTION("IF(F354&lt;=0,0,IFERROR(ROUNDUP(F354/INDEX(FILTER('warehouse config'!$D:$D,('warehouse config'!$B:$B=C354)*('warehouse config'!$C:$C=D354)*('warehouse config'!$G:$G&lt;=B354)*(('warehouse config'!$H:$H&gt;=B354)+ISBLANK('warehouse config'!$H:$H))),1)),0))"),1.0)</f>
        <v>1</v>
      </c>
      <c r="H354" s="3">
        <f>IFERROR(__xludf.DUMMYFUNCTION("IFERROR(INDEX(FILTER('cost master'!$E:$E,('cost master'!$B:$B=C354)*('cost master'!$D:$D=""Storage cost per pallet / week"")*('cost master'!$G:$G&lt;=B354)*(('cost master'!$H:$H&gt;=B354)+ISBLANK('cost master'!$H:$H))),1),0)"),3.9)</f>
        <v>3.9</v>
      </c>
      <c r="I354" s="3">
        <f t="shared" si="4"/>
        <v>3.9</v>
      </c>
      <c r="J354" s="27">
        <f t="shared" si="5"/>
        <v>45732</v>
      </c>
      <c r="K354" s="27">
        <f t="shared" si="6"/>
        <v>45762</v>
      </c>
    </row>
    <row r="355" hidden="1">
      <c r="A355" s="3" t="str">
        <f t="shared" si="3"/>
        <v>SL-20250317-FMC-CS-CDS-001-10</v>
      </c>
      <c r="B355" s="2">
        <f t="array" ref="B355">INDEX(helper!$A$3:$A3996,ROUNDUP((ROW()-1)/COUNTA(helper!$D$3:$D3996),0))</f>
        <v>45733</v>
      </c>
      <c r="C355" s="5" t="str">
        <f t="array" ref="C355">IF(B355="","",INDEX(helper!$D$3:$D3996,MOD(ROW()-2,COUNTA(helper!$D$3:$D3996))+1))</f>
        <v>FMC</v>
      </c>
      <c r="D355" s="3" t="str">
        <f t="array" ref="D355">IF(B355="","",INDEX(helper!$E$3:$E3996,MOD(ROW()-2,COUNTA(helper!$D$3:$D3996))+1))</f>
        <v>CS-CDS-001</v>
      </c>
      <c r="E355" s="3">
        <f t="array" ref="E355">IF(B355="","",INDEX(helper!$F$3:$F3996,MOD(ROW()-2,COUNTA(helper!$D$3:$D3996))+1))</f>
        <v>10</v>
      </c>
      <c r="F355" s="3">
        <f>IF(B355="","",SUMIFS('inventory ledger'!$H:$H,'inventory ledger'!$C:$C,C355,'inventory ledger'!$D:$D,D355,'inventory ledger'!$E:$E,E355,'inventory ledger'!$A:$A,"&lt;="&amp;B355+TIME(23,59,59))-SUMIFS('inventory ledger'!$I:$I,'inventory ledger'!$C:$C,C355,'inventory ledger'!$D:$D,D355,'inventory ledger'!$E:$E,E355,'inventory ledger'!$A:$A,"&lt;="&amp;B355+TIME(23,59,59)))</f>
        <v>0</v>
      </c>
      <c r="G355" s="3">
        <f>IFERROR(__xludf.DUMMYFUNCTION("IF(F355&lt;=0,0,IFERROR(ROUNDUP(F355/INDEX(FILTER('warehouse config'!$D:$D,('warehouse config'!$B:$B=C355)*('warehouse config'!$C:$C=D355)*('warehouse config'!$G:$G&lt;=B355)*(('warehouse config'!$H:$H&gt;=B355)+ISBLANK('warehouse config'!$H:$H))),1)),0))"),0.0)</f>
        <v>0</v>
      </c>
      <c r="H355" s="3">
        <f>IFERROR(__xludf.DUMMYFUNCTION("IFERROR(INDEX(FILTER('cost master'!$E:$E,('cost master'!$B:$B=C355)*('cost master'!$D:$D=""Storage cost per pallet / week"")*('cost master'!$G:$G&lt;=B355)*(('cost master'!$H:$H&gt;=B355)+ISBLANK('cost master'!$H:$H))),1),0)"),3.9)</f>
        <v>3.9</v>
      </c>
      <c r="I355" s="3">
        <f t="shared" si="4"/>
        <v>0</v>
      </c>
      <c r="J355" s="27">
        <f t="shared" si="5"/>
        <v>45732</v>
      </c>
      <c r="K355" s="27">
        <f t="shared" si="6"/>
        <v>45762</v>
      </c>
    </row>
    <row r="356" hidden="1">
      <c r="A356" s="3" t="str">
        <f t="shared" si="3"/>
        <v>SL-20250317-FMC-CS 007-11</v>
      </c>
      <c r="B356" s="2">
        <f t="array" ref="B356">INDEX(helper!$A$3:$A3996,ROUNDUP((ROW()-1)/COUNTA(helper!$D$3:$D3996),0))</f>
        <v>45733</v>
      </c>
      <c r="C356" s="5" t="str">
        <f t="array" ref="C356">IF(B356="","",INDEX(helper!$D$3:$D3996,MOD(ROW()-2,COUNTA(helper!$D$3:$D3996))+1))</f>
        <v>FMC</v>
      </c>
      <c r="D356" s="3" t="str">
        <f t="array" ref="D356">IF(B356="","",INDEX(helper!$E$3:$E3996,MOD(ROW()-2,COUNTA(helper!$D$3:$D3996))+1))</f>
        <v>CS 007</v>
      </c>
      <c r="E356" s="3">
        <f t="array" ref="E356">IF(B356="","",INDEX(helper!$F$3:$F3996,MOD(ROW()-2,COUNTA(helper!$D$3:$D3996))+1))</f>
        <v>11</v>
      </c>
      <c r="F356" s="3">
        <f>IF(B356="","",SUMIFS('inventory ledger'!$H:$H,'inventory ledger'!$C:$C,C356,'inventory ledger'!$D:$D,D356,'inventory ledger'!$E:$E,E356,'inventory ledger'!$A:$A,"&lt;="&amp;B356+TIME(23,59,59))-SUMIFS('inventory ledger'!$I:$I,'inventory ledger'!$C:$C,C356,'inventory ledger'!$D:$D,D356,'inventory ledger'!$E:$E,E356,'inventory ledger'!$A:$A,"&lt;="&amp;B356+TIME(23,59,59)))</f>
        <v>0</v>
      </c>
      <c r="G356" s="3">
        <f>IFERROR(__xludf.DUMMYFUNCTION("IF(F356&lt;=0,0,IFERROR(ROUNDUP(F356/INDEX(FILTER('warehouse config'!$D:$D,('warehouse config'!$B:$B=C356)*('warehouse config'!$C:$C=D356)*('warehouse config'!$G:$G&lt;=B356)*(('warehouse config'!$H:$H&gt;=B356)+ISBLANK('warehouse config'!$H:$H))),1)),0))"),0.0)</f>
        <v>0</v>
      </c>
      <c r="H356" s="3">
        <f>IFERROR(__xludf.DUMMYFUNCTION("IFERROR(INDEX(FILTER('cost master'!$E:$E,('cost master'!$B:$B=C356)*('cost master'!$D:$D=""Storage cost per pallet / week"")*('cost master'!$G:$G&lt;=B356)*(('cost master'!$H:$H&gt;=B356)+ISBLANK('cost master'!$H:$H))),1),0)"),3.9)</f>
        <v>3.9</v>
      </c>
      <c r="I356" s="3">
        <f t="shared" si="4"/>
        <v>0</v>
      </c>
      <c r="J356" s="27">
        <f t="shared" si="5"/>
        <v>45732</v>
      </c>
      <c r="K356" s="27">
        <f t="shared" si="6"/>
        <v>45762</v>
      </c>
    </row>
    <row r="357" hidden="1">
      <c r="A357" s="3" t="str">
        <f t="shared" si="3"/>
        <v>SL-20250317-FMC-CS 009-11</v>
      </c>
      <c r="B357" s="2">
        <f t="array" ref="B357">INDEX(helper!$A$3:$A3996,ROUNDUP((ROW()-1)/COUNTA(helper!$D$3:$D3996),0))</f>
        <v>45733</v>
      </c>
      <c r="C357" s="5" t="str">
        <f t="array" ref="C357">IF(B357="","",INDEX(helper!$D$3:$D3996,MOD(ROW()-2,COUNTA(helper!$D$3:$D3996))+1))</f>
        <v>FMC</v>
      </c>
      <c r="D357" s="3" t="str">
        <f t="array" ref="D357">IF(B357="","",INDEX(helper!$E$3:$E3996,MOD(ROW()-2,COUNTA(helper!$D$3:$D3996))+1))</f>
        <v>CS 009</v>
      </c>
      <c r="E357" s="3">
        <f t="array" ref="E357">IF(B357="","",INDEX(helper!$F$3:$F3996,MOD(ROW()-2,COUNTA(helper!$D$3:$D3996))+1))</f>
        <v>11</v>
      </c>
      <c r="F357" s="3">
        <f>IF(B357="","",SUMIFS('inventory ledger'!$H:$H,'inventory ledger'!$C:$C,C357,'inventory ledger'!$D:$D,D357,'inventory ledger'!$E:$E,E357,'inventory ledger'!$A:$A,"&lt;="&amp;B357+TIME(23,59,59))-SUMIFS('inventory ledger'!$I:$I,'inventory ledger'!$C:$C,C357,'inventory ledger'!$D:$D,D357,'inventory ledger'!$E:$E,E357,'inventory ledger'!$A:$A,"&lt;="&amp;B357+TIME(23,59,59)))</f>
        <v>0</v>
      </c>
      <c r="G357" s="3">
        <f>IFERROR(__xludf.DUMMYFUNCTION("IF(F357&lt;=0,0,IFERROR(ROUNDUP(F357/INDEX(FILTER('warehouse config'!$D:$D,('warehouse config'!$B:$B=C357)*('warehouse config'!$C:$C=D357)*('warehouse config'!$G:$G&lt;=B357)*(('warehouse config'!$H:$H&gt;=B357)+ISBLANK('warehouse config'!$H:$H))),1)),0))"),0.0)</f>
        <v>0</v>
      </c>
      <c r="H357" s="3">
        <f>IFERROR(__xludf.DUMMYFUNCTION("IFERROR(INDEX(FILTER('cost master'!$E:$E,('cost master'!$B:$B=C357)*('cost master'!$D:$D=""Storage cost per pallet / week"")*('cost master'!$G:$G&lt;=B357)*(('cost master'!$H:$H&gt;=B357)+ISBLANK('cost master'!$H:$H))),1),0)"),3.9)</f>
        <v>3.9</v>
      </c>
      <c r="I357" s="3">
        <f t="shared" si="4"/>
        <v>0</v>
      </c>
      <c r="J357" s="27">
        <f t="shared" si="5"/>
        <v>45732</v>
      </c>
      <c r="K357" s="27">
        <f t="shared" si="6"/>
        <v>45762</v>
      </c>
    </row>
    <row r="358" hidden="1">
      <c r="A358" s="3" t="str">
        <f t="shared" si="3"/>
        <v>SL-20250317-FMC-CS 010-11</v>
      </c>
      <c r="B358" s="2">
        <f t="array" ref="B358">INDEX(helper!$A$3:$A3996,ROUNDUP((ROW()-1)/COUNTA(helper!$D$3:$D3996),0))</f>
        <v>45733</v>
      </c>
      <c r="C358" s="5" t="str">
        <f t="array" ref="C358">IF(B358="","",INDEX(helper!$D$3:$D3996,MOD(ROW()-2,COUNTA(helper!$D$3:$D3996))+1))</f>
        <v>FMC</v>
      </c>
      <c r="D358" s="3" t="str">
        <f t="array" ref="D358">IF(B358="","",INDEX(helper!$E$3:$E3996,MOD(ROW()-2,COUNTA(helper!$D$3:$D3996))+1))</f>
        <v>CS 010</v>
      </c>
      <c r="E358" s="3">
        <f t="array" ref="E358">IF(B358="","",INDEX(helper!$F$3:$F3996,MOD(ROW()-2,COUNTA(helper!$D$3:$D3996))+1))</f>
        <v>11</v>
      </c>
      <c r="F358" s="3">
        <f>IF(B358="","",SUMIFS('inventory ledger'!$H:$H,'inventory ledger'!$C:$C,C358,'inventory ledger'!$D:$D,D358,'inventory ledger'!$E:$E,E358,'inventory ledger'!$A:$A,"&lt;="&amp;B358+TIME(23,59,59))-SUMIFS('inventory ledger'!$I:$I,'inventory ledger'!$C:$C,C358,'inventory ledger'!$D:$D,D358,'inventory ledger'!$E:$E,E358,'inventory ledger'!$A:$A,"&lt;="&amp;B358+TIME(23,59,59)))</f>
        <v>46</v>
      </c>
      <c r="G358" s="3">
        <f>IFERROR(__xludf.DUMMYFUNCTION("IF(F358&lt;=0,0,IFERROR(ROUNDUP(F358/INDEX(FILTER('warehouse config'!$D:$D,('warehouse config'!$B:$B=C358)*('warehouse config'!$C:$C=D358)*('warehouse config'!$G:$G&lt;=B358)*(('warehouse config'!$H:$H&gt;=B358)+ISBLANK('warehouse config'!$H:$H))),1)),0))"),2.0)</f>
        <v>2</v>
      </c>
      <c r="H358" s="3">
        <f>IFERROR(__xludf.DUMMYFUNCTION("IFERROR(INDEX(FILTER('cost master'!$E:$E,('cost master'!$B:$B=C358)*('cost master'!$D:$D=""Storage cost per pallet / week"")*('cost master'!$G:$G&lt;=B358)*(('cost master'!$H:$H&gt;=B358)+ISBLANK('cost master'!$H:$H))),1),0)"),3.9)</f>
        <v>3.9</v>
      </c>
      <c r="I358" s="3">
        <f t="shared" si="4"/>
        <v>7.8</v>
      </c>
      <c r="J358" s="27">
        <f t="shared" si="5"/>
        <v>45732</v>
      </c>
      <c r="K358" s="27">
        <f t="shared" si="6"/>
        <v>45762</v>
      </c>
    </row>
    <row r="359" hidden="1">
      <c r="A359" s="3" t="str">
        <f t="shared" si="3"/>
        <v>SL-20250317-Vglobal-CS 007-12</v>
      </c>
      <c r="B359" s="2">
        <f t="array" ref="B359">INDEX(helper!$A$3:$A3996,ROUNDUP((ROW()-1)/COUNTA(helper!$D$3:$D3996),0))</f>
        <v>45733</v>
      </c>
      <c r="C359" s="5" t="str">
        <f t="array" ref="C359">IF(B359="","",INDEX(helper!$D$3:$D3996,MOD(ROW()-2,COUNTA(helper!$D$3:$D3996))+1))</f>
        <v>Vglobal</v>
      </c>
      <c r="D359" s="3" t="str">
        <f t="array" ref="D359">IF(B359="","",INDEX(helper!$E$3:$E3996,MOD(ROW()-2,COUNTA(helper!$D$3:$D3996))+1))</f>
        <v>CS 007</v>
      </c>
      <c r="E359" s="3">
        <f t="array" ref="E359">IF(B359="","",INDEX(helper!$F$3:$F3996,MOD(ROW()-2,COUNTA(helper!$D$3:$D3996))+1))</f>
        <v>12</v>
      </c>
      <c r="F359" s="3">
        <f>IF(B359="","",SUMIFS('inventory ledger'!$H:$H,'inventory ledger'!$C:$C,C359,'inventory ledger'!$D:$D,D359,'inventory ledger'!$E:$E,E359,'inventory ledger'!$A:$A,"&lt;="&amp;B359+TIME(23,59,59))-SUMIFS('inventory ledger'!$I:$I,'inventory ledger'!$C:$C,C359,'inventory ledger'!$D:$D,D359,'inventory ledger'!$E:$E,E359,'inventory ledger'!$A:$A,"&lt;="&amp;B359+TIME(23,59,59)))</f>
        <v>66</v>
      </c>
      <c r="G359" s="3">
        <f>IFERROR(__xludf.DUMMYFUNCTION("IF(F359&lt;=0,0,IFERROR(ROUNDUP(F359/INDEX(FILTER('warehouse config'!$D:$D,('warehouse config'!$B:$B=C359)*('warehouse config'!$C:$C=D359)*('warehouse config'!$G:$G&lt;=B359)*(('warehouse config'!$H:$H&gt;=B359)+ISBLANK('warehouse config'!$H:$H))),1)),0))"),5.0)</f>
        <v>5</v>
      </c>
      <c r="H359" s="3">
        <f>IFERROR(__xludf.DUMMYFUNCTION("IFERROR(INDEX(FILTER('cost master'!$E:$E,('cost master'!$B:$B=C359)*('cost master'!$D:$D=""Storage cost per pallet / week"")*('cost master'!$G:$G&lt;=B359)*(('cost master'!$H:$H&gt;=B359)+ISBLANK('cost master'!$H:$H))),1),0)"),2.6)</f>
        <v>2.6</v>
      </c>
      <c r="I359" s="3">
        <f t="shared" si="4"/>
        <v>13</v>
      </c>
      <c r="J359" s="27">
        <f t="shared" si="5"/>
        <v>45732</v>
      </c>
      <c r="K359" s="27">
        <f t="shared" si="6"/>
        <v>45762</v>
      </c>
    </row>
    <row r="360" hidden="1">
      <c r="A360" s="3" t="str">
        <f t="shared" si="3"/>
        <v>SL-20250317-Vglobal-CS 011-12</v>
      </c>
      <c r="B360" s="2">
        <f t="array" ref="B360">INDEX(helper!$A$3:$A3996,ROUNDUP((ROW()-1)/COUNTA(helper!$D$3:$D3996),0))</f>
        <v>45733</v>
      </c>
      <c r="C360" s="5" t="str">
        <f t="array" ref="C360">IF(B360="","",INDEX(helper!$D$3:$D3996,MOD(ROW()-2,COUNTA(helper!$D$3:$D3996))+1))</f>
        <v>Vglobal</v>
      </c>
      <c r="D360" s="3" t="str">
        <f t="array" ref="D360">IF(B360="","",INDEX(helper!$E$3:$E3996,MOD(ROW()-2,COUNTA(helper!$D$3:$D3996))+1))</f>
        <v>CS 011</v>
      </c>
      <c r="E360" s="3">
        <f t="array" ref="E360">IF(B360="","",INDEX(helper!$F$3:$F3996,MOD(ROW()-2,COUNTA(helper!$D$3:$D3996))+1))</f>
        <v>12</v>
      </c>
      <c r="F360" s="3">
        <f>IF(B360="","",SUMIFS('inventory ledger'!$H:$H,'inventory ledger'!$C:$C,C360,'inventory ledger'!$D:$D,D360,'inventory ledger'!$E:$E,E360,'inventory ledger'!$A:$A,"&lt;="&amp;B360+TIME(23,59,59))-SUMIFS('inventory ledger'!$I:$I,'inventory ledger'!$C:$C,C360,'inventory ledger'!$D:$D,D360,'inventory ledger'!$E:$E,E360,'inventory ledger'!$A:$A,"&lt;="&amp;B360+TIME(23,59,59)))</f>
        <v>0</v>
      </c>
      <c r="G360" s="3">
        <f>IFERROR(__xludf.DUMMYFUNCTION("IF(F360&lt;=0,0,IFERROR(ROUNDUP(F360/INDEX(FILTER('warehouse config'!$D:$D,('warehouse config'!$B:$B=C360)*('warehouse config'!$C:$C=D360)*('warehouse config'!$G:$G&lt;=B360)*(('warehouse config'!$H:$H&gt;=B360)+ISBLANK('warehouse config'!$H:$H))),1)),0))"),0.0)</f>
        <v>0</v>
      </c>
      <c r="H360" s="3">
        <f>IFERROR(__xludf.DUMMYFUNCTION("IFERROR(INDEX(FILTER('cost master'!$E:$E,('cost master'!$B:$B=C360)*('cost master'!$D:$D=""Storage cost per pallet / week"")*('cost master'!$G:$G&lt;=B360)*(('cost master'!$H:$H&gt;=B360)+ISBLANK('cost master'!$H:$H))),1),0)"),2.6)</f>
        <v>2.6</v>
      </c>
      <c r="I360" s="3">
        <f t="shared" si="4"/>
        <v>0</v>
      </c>
      <c r="J360" s="27">
        <f t="shared" si="5"/>
        <v>45732</v>
      </c>
      <c r="K360" s="27">
        <f t="shared" si="6"/>
        <v>45762</v>
      </c>
    </row>
    <row r="361" hidden="1">
      <c r="A361" s="3" t="str">
        <f t="shared" si="3"/>
        <v>SL-20250317-Vglobal-CS 008-12</v>
      </c>
      <c r="B361" s="2">
        <f t="array" ref="B361">INDEX(helper!$A$3:$A3996,ROUNDUP((ROW()-1)/COUNTA(helper!$D$3:$D3996),0))</f>
        <v>45733</v>
      </c>
      <c r="C361" s="5" t="str">
        <f t="array" ref="C361">IF(B361="","",INDEX(helper!$D$3:$D3996,MOD(ROW()-2,COUNTA(helper!$D$3:$D3996))+1))</f>
        <v>Vglobal</v>
      </c>
      <c r="D361" s="3" t="str">
        <f t="array" ref="D361">IF(B361="","",INDEX(helper!$E$3:$E3996,MOD(ROW()-2,COUNTA(helper!$D$3:$D3996))+1))</f>
        <v>CS 008</v>
      </c>
      <c r="E361" s="3">
        <f t="array" ref="E361">IF(B361="","",INDEX(helper!$F$3:$F3996,MOD(ROW()-2,COUNTA(helper!$D$3:$D3996))+1))</f>
        <v>12</v>
      </c>
      <c r="F361" s="3">
        <f>IF(B361="","",SUMIFS('inventory ledger'!$H:$H,'inventory ledger'!$C:$C,C361,'inventory ledger'!$D:$D,D361,'inventory ledger'!$E:$E,E361,'inventory ledger'!$A:$A,"&lt;="&amp;B361+TIME(23,59,59))-SUMIFS('inventory ledger'!$I:$I,'inventory ledger'!$C:$C,C361,'inventory ledger'!$D:$D,D361,'inventory ledger'!$E:$E,E361,'inventory ledger'!$A:$A,"&lt;="&amp;B361+TIME(23,59,59)))</f>
        <v>8</v>
      </c>
      <c r="G361" s="3">
        <f>IFERROR(__xludf.DUMMYFUNCTION("IF(F361&lt;=0,0,IFERROR(ROUNDUP(F361/INDEX(FILTER('warehouse config'!$D:$D,('warehouse config'!$B:$B=C361)*('warehouse config'!$C:$C=D361)*('warehouse config'!$G:$G&lt;=B361)*(('warehouse config'!$H:$H&gt;=B361)+ISBLANK('warehouse config'!$H:$H))),1)),0))"),1.0)</f>
        <v>1</v>
      </c>
      <c r="H361" s="3">
        <f>IFERROR(__xludf.DUMMYFUNCTION("IFERROR(INDEX(FILTER('cost master'!$E:$E,('cost master'!$B:$B=C361)*('cost master'!$D:$D=""Storage cost per pallet / week"")*('cost master'!$G:$G&lt;=B361)*(('cost master'!$H:$H&gt;=B361)+ISBLANK('cost master'!$H:$H))),1),0)"),2.6)</f>
        <v>2.6</v>
      </c>
      <c r="I361" s="3">
        <f t="shared" si="4"/>
        <v>2.6</v>
      </c>
      <c r="J361" s="27">
        <f t="shared" si="5"/>
        <v>45732</v>
      </c>
      <c r="K361" s="27">
        <f t="shared" si="6"/>
        <v>45762</v>
      </c>
    </row>
    <row r="362" hidden="1">
      <c r="A362" s="3" t="str">
        <f t="shared" si="3"/>
        <v>SL-20250317-Vglobal-CS 010-12</v>
      </c>
      <c r="B362" s="2">
        <f t="array" ref="B362">INDEX(helper!$A$3:$A3996,ROUNDUP((ROW()-1)/COUNTA(helper!$D$3:$D3996),0))</f>
        <v>45733</v>
      </c>
      <c r="C362" s="5" t="str">
        <f t="array" ref="C362">IF(B362="","",INDEX(helper!$D$3:$D3996,MOD(ROW()-2,COUNTA(helper!$D$3:$D3996))+1))</f>
        <v>Vglobal</v>
      </c>
      <c r="D362" s="3" t="str">
        <f t="array" ref="D362">IF(B362="","",INDEX(helper!$E$3:$E3996,MOD(ROW()-2,COUNTA(helper!$D$3:$D3996))+1))</f>
        <v>CS 010</v>
      </c>
      <c r="E362" s="3">
        <f t="array" ref="E362">IF(B362="","",INDEX(helper!$F$3:$F3996,MOD(ROW()-2,COUNTA(helper!$D$3:$D3996))+1))</f>
        <v>12</v>
      </c>
      <c r="F362" s="3">
        <f>IF(B362="","",SUMIFS('inventory ledger'!$H:$H,'inventory ledger'!$C:$C,C362,'inventory ledger'!$D:$D,D362,'inventory ledger'!$E:$E,E362,'inventory ledger'!$A:$A,"&lt;="&amp;B362+TIME(23,59,59))-SUMIFS('inventory ledger'!$I:$I,'inventory ledger'!$C:$C,C362,'inventory ledger'!$D:$D,D362,'inventory ledger'!$E:$E,E362,'inventory ledger'!$A:$A,"&lt;="&amp;B362+TIME(23,59,59)))</f>
        <v>70</v>
      </c>
      <c r="G362" s="3">
        <f>IFERROR(__xludf.DUMMYFUNCTION("IF(F362&lt;=0,0,IFERROR(ROUNDUP(F362/INDEX(FILTER('warehouse config'!$D:$D,('warehouse config'!$B:$B=C362)*('warehouse config'!$C:$C=D362)*('warehouse config'!$G:$G&lt;=B362)*(('warehouse config'!$H:$H&gt;=B362)+ISBLANK('warehouse config'!$H:$H))),1)),0))"),3.0)</f>
        <v>3</v>
      </c>
      <c r="H362" s="3">
        <f>IFERROR(__xludf.DUMMYFUNCTION("IFERROR(INDEX(FILTER('cost master'!$E:$E,('cost master'!$B:$B=C362)*('cost master'!$D:$D=""Storage cost per pallet / week"")*('cost master'!$G:$G&lt;=B362)*(('cost master'!$H:$H&gt;=B362)+ISBLANK('cost master'!$H:$H))),1),0)"),2.6)</f>
        <v>2.6</v>
      </c>
      <c r="I362" s="3">
        <f t="shared" si="4"/>
        <v>7.8</v>
      </c>
      <c r="J362" s="27">
        <f t="shared" si="5"/>
        <v>45732</v>
      </c>
      <c r="K362" s="27">
        <f t="shared" si="6"/>
        <v>45762</v>
      </c>
    </row>
    <row r="363" hidden="1">
      <c r="A363" s="3" t="str">
        <f t="shared" si="3"/>
        <v>SL-20250317-Vglobal-CS 009-12</v>
      </c>
      <c r="B363" s="2">
        <f t="array" ref="B363">INDEX(helper!$A$3:$A3996,ROUNDUP((ROW()-1)/COUNTA(helper!$D$3:$D3996),0))</f>
        <v>45733</v>
      </c>
      <c r="C363" s="5" t="str">
        <f t="array" ref="C363">IF(B363="","",INDEX(helper!$D$3:$D3996,MOD(ROW()-2,COUNTA(helper!$D$3:$D3996))+1))</f>
        <v>Vglobal</v>
      </c>
      <c r="D363" s="3" t="str">
        <f t="array" ref="D363">IF(B363="","",INDEX(helper!$E$3:$E3996,MOD(ROW()-2,COUNTA(helper!$D$3:$D3996))+1))</f>
        <v>CS 009</v>
      </c>
      <c r="E363" s="3">
        <f t="array" ref="E363">IF(B363="","",INDEX(helper!$F$3:$F3996,MOD(ROW()-2,COUNTA(helper!$D$3:$D3996))+1))</f>
        <v>12</v>
      </c>
      <c r="F363" s="3">
        <f>IF(B363="","",SUMIFS('inventory ledger'!$H:$H,'inventory ledger'!$C:$C,C363,'inventory ledger'!$D:$D,D363,'inventory ledger'!$E:$E,E363,'inventory ledger'!$A:$A,"&lt;="&amp;B363+TIME(23,59,59))-SUMIFS('inventory ledger'!$I:$I,'inventory ledger'!$C:$C,C363,'inventory ledger'!$D:$D,D363,'inventory ledger'!$E:$E,E363,'inventory ledger'!$A:$A,"&lt;="&amp;B363+TIME(23,59,59)))</f>
        <v>0</v>
      </c>
      <c r="G363" s="3">
        <f>IFERROR(__xludf.DUMMYFUNCTION("IF(F363&lt;=0,0,IFERROR(ROUNDUP(F363/INDEX(FILTER('warehouse config'!$D:$D,('warehouse config'!$B:$B=C363)*('warehouse config'!$C:$C=D363)*('warehouse config'!$G:$G&lt;=B363)*(('warehouse config'!$H:$H&gt;=B363)+ISBLANK('warehouse config'!$H:$H))),1)),0))"),0.0)</f>
        <v>0</v>
      </c>
      <c r="H363" s="3">
        <f>IFERROR(__xludf.DUMMYFUNCTION("IFERROR(INDEX(FILTER('cost master'!$E:$E,('cost master'!$B:$B=C363)*('cost master'!$D:$D=""Storage cost per pallet / week"")*('cost master'!$G:$G&lt;=B363)*(('cost master'!$H:$H&gt;=B363)+ISBLANK('cost master'!$H:$H))),1),0)"),2.6)</f>
        <v>2.6</v>
      </c>
      <c r="I363" s="3">
        <f t="shared" si="4"/>
        <v>0</v>
      </c>
      <c r="J363" s="27">
        <f t="shared" si="5"/>
        <v>45732</v>
      </c>
      <c r="K363" s="27">
        <f t="shared" si="6"/>
        <v>45762</v>
      </c>
    </row>
    <row r="364" hidden="1">
      <c r="A364" s="3" t="str">
        <f t="shared" si="3"/>
        <v>SL-20250317-Vglobal-CS 012-12</v>
      </c>
      <c r="B364" s="2">
        <f t="array" ref="B364">INDEX(helper!$A$3:$A3996,ROUNDUP((ROW()-1)/COUNTA(helper!$D$3:$D3996),0))</f>
        <v>45733</v>
      </c>
      <c r="C364" s="5" t="str">
        <f t="array" ref="C364">IF(B364="","",INDEX(helper!$D$3:$D3996,MOD(ROW()-2,COUNTA(helper!$D$3:$D3996))+1))</f>
        <v>Vglobal</v>
      </c>
      <c r="D364" s="3" t="str">
        <f t="array" ref="D364">IF(B364="","",INDEX(helper!$E$3:$E3996,MOD(ROW()-2,COUNTA(helper!$D$3:$D3996))+1))</f>
        <v>CS 012</v>
      </c>
      <c r="E364" s="3">
        <f t="array" ref="E364">IF(B364="","",INDEX(helper!$F$3:$F3996,MOD(ROW()-2,COUNTA(helper!$D$3:$D3996))+1))</f>
        <v>12</v>
      </c>
      <c r="F364" s="3">
        <f>IF(B364="","",SUMIFS('inventory ledger'!$H:$H,'inventory ledger'!$C:$C,C364,'inventory ledger'!$D:$D,D364,'inventory ledger'!$E:$E,E364,'inventory ledger'!$A:$A,"&lt;="&amp;B364+TIME(23,59,59))-SUMIFS('inventory ledger'!$I:$I,'inventory ledger'!$C:$C,C364,'inventory ledger'!$D:$D,D364,'inventory ledger'!$E:$E,E364,'inventory ledger'!$A:$A,"&lt;="&amp;B364+TIME(23,59,59)))</f>
        <v>0</v>
      </c>
      <c r="G364" s="3">
        <f>IFERROR(__xludf.DUMMYFUNCTION("IF(F364&lt;=0,0,IFERROR(ROUNDUP(F364/INDEX(FILTER('warehouse config'!$D:$D,('warehouse config'!$B:$B=C364)*('warehouse config'!$C:$C=D364)*('warehouse config'!$G:$G&lt;=B364)*(('warehouse config'!$H:$H&gt;=B364)+ISBLANK('warehouse config'!$H:$H))),1)),0))"),0.0)</f>
        <v>0</v>
      </c>
      <c r="H364" s="3">
        <f>IFERROR(__xludf.DUMMYFUNCTION("IFERROR(INDEX(FILTER('cost master'!$E:$E,('cost master'!$B:$B=C364)*('cost master'!$D:$D=""Storage cost per pallet / week"")*('cost master'!$G:$G&lt;=B364)*(('cost master'!$H:$H&gt;=B364)+ISBLANK('cost master'!$H:$H))),1),0)"),2.6)</f>
        <v>2.6</v>
      </c>
      <c r="I364" s="3">
        <f t="shared" si="4"/>
        <v>0</v>
      </c>
      <c r="J364" s="27">
        <f t="shared" si="5"/>
        <v>45732</v>
      </c>
      <c r="K364" s="27">
        <f t="shared" si="6"/>
        <v>45762</v>
      </c>
    </row>
    <row r="365" hidden="1">
      <c r="A365" s="3" t="str">
        <f t="shared" si="3"/>
        <v>SL-20250317-Vglobal-CS-CDS-001-3</v>
      </c>
      <c r="B365" s="2">
        <f t="array" ref="B365">INDEX(helper!$A$3:$A3996,ROUNDUP((ROW()-1)/COUNTA(helper!$D$3:$D3996),0))</f>
        <v>45733</v>
      </c>
      <c r="C365" s="5" t="str">
        <f t="array" ref="C365">IF(B365="","",INDEX(helper!$D$3:$D3996,MOD(ROW()-2,COUNTA(helper!$D$3:$D3996))+1))</f>
        <v>Vglobal</v>
      </c>
      <c r="D365" s="3" t="str">
        <f t="array" ref="D365">IF(B365="","",INDEX(helper!$E$3:$E3996,MOD(ROW()-2,COUNTA(helper!$D$3:$D3996))+1))</f>
        <v>CS-CDS-001</v>
      </c>
      <c r="E365" s="3">
        <f t="array" ref="E365">IF(B365="","",INDEX(helper!$F$3:$F3996,MOD(ROW()-2,COUNTA(helper!$D$3:$D3996))+1))</f>
        <v>3</v>
      </c>
      <c r="F365" s="3">
        <f>IF(B365="","",SUMIFS('inventory ledger'!$H:$H,'inventory ledger'!$C:$C,C365,'inventory ledger'!$D:$D,D365,'inventory ledger'!$E:$E,E365,'inventory ledger'!$A:$A,"&lt;="&amp;B365+TIME(23,59,59))-SUMIFS('inventory ledger'!$I:$I,'inventory ledger'!$C:$C,C365,'inventory ledger'!$D:$D,D365,'inventory ledger'!$E:$E,E365,'inventory ledger'!$A:$A,"&lt;="&amp;B365+TIME(23,59,59)))</f>
        <v>1</v>
      </c>
      <c r="G365" s="3">
        <f>IFERROR(__xludf.DUMMYFUNCTION("IF(F365&lt;=0,0,IFERROR(ROUNDUP(F365/INDEX(FILTER('warehouse config'!$D:$D,('warehouse config'!$B:$B=C365)*('warehouse config'!$C:$C=D365)*('warehouse config'!$G:$G&lt;=B365)*(('warehouse config'!$H:$H&gt;=B365)+ISBLANK('warehouse config'!$H:$H))),1)),0))"),1.0)</f>
        <v>1</v>
      </c>
      <c r="H365" s="3">
        <f>IFERROR(__xludf.DUMMYFUNCTION("IFERROR(INDEX(FILTER('cost master'!$E:$E,('cost master'!$B:$B=C365)*('cost master'!$D:$D=""Storage cost per pallet / week"")*('cost master'!$G:$G&lt;=B365)*(('cost master'!$H:$H&gt;=B365)+ISBLANK('cost master'!$H:$H))),1),0)"),2.6)</f>
        <v>2.6</v>
      </c>
      <c r="I365" s="3">
        <f t="shared" si="4"/>
        <v>2.6</v>
      </c>
      <c r="J365" s="27">
        <f t="shared" si="5"/>
        <v>45732</v>
      </c>
      <c r="K365" s="27">
        <f t="shared" si="6"/>
        <v>45762</v>
      </c>
    </row>
    <row r="366" hidden="1">
      <c r="A366" s="3" t="str">
        <f t="shared" si="3"/>
        <v>SL-20250317-Vglobal-CS-CDS-002-3</v>
      </c>
      <c r="B366" s="2">
        <f t="array" ref="B366">INDEX(helper!$A$3:$A3996,ROUNDUP((ROW()-1)/COUNTA(helper!$D$3:$D3996),0))</f>
        <v>45733</v>
      </c>
      <c r="C366" s="5" t="str">
        <f t="array" ref="C366">IF(B366="","",INDEX(helper!$D$3:$D3996,MOD(ROW()-2,COUNTA(helper!$D$3:$D3996))+1))</f>
        <v>Vglobal</v>
      </c>
      <c r="D366" s="3" t="str">
        <f t="array" ref="D366">IF(B366="","",INDEX(helper!$E$3:$E3996,MOD(ROW()-2,COUNTA(helper!$D$3:$D3996))+1))</f>
        <v>CS-CDS-002</v>
      </c>
      <c r="E366" s="3">
        <f t="array" ref="E366">IF(B366="","",INDEX(helper!$F$3:$F3996,MOD(ROW()-2,COUNTA(helper!$D$3:$D3996))+1))</f>
        <v>3</v>
      </c>
      <c r="F366" s="3">
        <f>IF(B366="","",SUMIFS('inventory ledger'!$H:$H,'inventory ledger'!$C:$C,C366,'inventory ledger'!$D:$D,D366,'inventory ledger'!$E:$E,E366,'inventory ledger'!$A:$A,"&lt;="&amp;B366+TIME(23,59,59))-SUMIFS('inventory ledger'!$I:$I,'inventory ledger'!$C:$C,C366,'inventory ledger'!$D:$D,D366,'inventory ledger'!$E:$E,E366,'inventory ledger'!$A:$A,"&lt;="&amp;B366+TIME(23,59,59)))</f>
        <v>0</v>
      </c>
      <c r="G366" s="3">
        <f>IFERROR(__xludf.DUMMYFUNCTION("IF(F366&lt;=0,0,IFERROR(ROUNDUP(F366/INDEX(FILTER('warehouse config'!$D:$D,('warehouse config'!$B:$B=C366)*('warehouse config'!$C:$C=D366)*('warehouse config'!$G:$G&lt;=B366)*(('warehouse config'!$H:$H&gt;=B366)+ISBLANK('warehouse config'!$H:$H))),1)),0))"),0.0)</f>
        <v>0</v>
      </c>
      <c r="H366" s="3">
        <f>IFERROR(__xludf.DUMMYFUNCTION("IFERROR(INDEX(FILTER('cost master'!$E:$E,('cost master'!$B:$B=C366)*('cost master'!$D:$D=""Storage cost per pallet / week"")*('cost master'!$G:$G&lt;=B366)*(('cost master'!$H:$H&gt;=B366)+ISBLANK('cost master'!$H:$H))),1),0)"),2.6)</f>
        <v>2.6</v>
      </c>
      <c r="I366" s="3">
        <f t="shared" si="4"/>
        <v>0</v>
      </c>
      <c r="J366" s="27">
        <f t="shared" si="5"/>
        <v>45732</v>
      </c>
      <c r="K366" s="27">
        <f t="shared" si="6"/>
        <v>45762</v>
      </c>
    </row>
    <row r="367" hidden="1">
      <c r="A367" s="3" t="str">
        <f t="shared" si="3"/>
        <v>SL-20250317-4as-CS-CDS-001-4</v>
      </c>
      <c r="B367" s="2">
        <f t="array" ref="B367">INDEX(helper!$A$3:$A3996,ROUNDUP((ROW()-1)/COUNTA(helper!$D$3:$D3996),0))</f>
        <v>45733</v>
      </c>
      <c r="C367" s="5" t="str">
        <f t="array" ref="C367">IF(B367="","",INDEX(helper!$D$3:$D3996,MOD(ROW()-2,COUNTA(helper!$D$3:$D3996))+1))</f>
        <v>4as</v>
      </c>
      <c r="D367" s="3" t="str">
        <f t="array" ref="D367">IF(B367="","",INDEX(helper!$E$3:$E3996,MOD(ROW()-2,COUNTA(helper!$D$3:$D3996))+1))</f>
        <v>CS-CDS-001</v>
      </c>
      <c r="E367" s="3">
        <f t="array" ref="E367">IF(B367="","",INDEX(helper!$F$3:$F3996,MOD(ROW()-2,COUNTA(helper!$D$3:$D3996))+1))</f>
        <v>4</v>
      </c>
      <c r="F367" s="3">
        <f>IF(B367="","",SUMIFS('inventory ledger'!$H:$H,'inventory ledger'!$C:$C,C367,'inventory ledger'!$D:$D,D367,'inventory ledger'!$E:$E,E367,'inventory ledger'!$A:$A,"&lt;="&amp;B367+TIME(23,59,59))-SUMIFS('inventory ledger'!$I:$I,'inventory ledger'!$C:$C,C367,'inventory ledger'!$D:$D,D367,'inventory ledger'!$E:$E,E367,'inventory ledger'!$A:$A,"&lt;="&amp;B367+TIME(23,59,59)))</f>
        <v>64</v>
      </c>
      <c r="G367" s="3">
        <f>IFERROR(__xludf.DUMMYFUNCTION("IF(F367&lt;=0,0,IFERROR(ROUNDUP(F367/INDEX(FILTER('warehouse config'!$D:$D,('warehouse config'!$B:$B=C367)*('warehouse config'!$C:$C=D367)*('warehouse config'!$G:$G&lt;=B367)*(('warehouse config'!$H:$H&gt;=B367)+ISBLANK('warehouse config'!$H:$H))),1)),0))"),4.0)</f>
        <v>4</v>
      </c>
      <c r="H367" s="3">
        <f>IFERROR(__xludf.DUMMYFUNCTION("IFERROR(INDEX(FILTER('cost master'!$E:$E,('cost master'!$B:$B=C367)*('cost master'!$D:$D=""Storage cost per pallet / week"")*('cost master'!$G:$G&lt;=B367)*(('cost master'!$H:$H&gt;=B367)+ISBLANK('cost master'!$H:$H))),1),0)"),9.0)</f>
        <v>9</v>
      </c>
      <c r="I367" s="3">
        <f t="shared" si="4"/>
        <v>36</v>
      </c>
      <c r="J367" s="27">
        <f t="shared" si="5"/>
        <v>45732</v>
      </c>
      <c r="K367" s="27">
        <f t="shared" si="6"/>
        <v>45762</v>
      </c>
    </row>
    <row r="368" hidden="1">
      <c r="A368" s="3" t="str">
        <f t="shared" si="3"/>
        <v>SL-20250317-4as-CS-CDS-002-4</v>
      </c>
      <c r="B368" s="2">
        <f t="array" ref="B368">INDEX(helper!$A$3:$A3996,ROUNDUP((ROW()-1)/COUNTA(helper!$D$3:$D3996),0))</f>
        <v>45733</v>
      </c>
      <c r="C368" s="5" t="str">
        <f t="array" ref="C368">IF(B368="","",INDEX(helper!$D$3:$D3996,MOD(ROW()-2,COUNTA(helper!$D$3:$D3996))+1))</f>
        <v>4as</v>
      </c>
      <c r="D368" s="3" t="str">
        <f t="array" ref="D368">IF(B368="","",INDEX(helper!$E$3:$E3996,MOD(ROW()-2,COUNTA(helper!$D$3:$D3996))+1))</f>
        <v>CS-CDS-002</v>
      </c>
      <c r="E368" s="3">
        <f t="array" ref="E368">IF(B368="","",INDEX(helper!$F$3:$F3996,MOD(ROW()-2,COUNTA(helper!$D$3:$D3996))+1))</f>
        <v>4</v>
      </c>
      <c r="F368" s="3">
        <f>IF(B368="","",SUMIFS('inventory ledger'!$H:$H,'inventory ledger'!$C:$C,C368,'inventory ledger'!$D:$D,D368,'inventory ledger'!$E:$E,E368,'inventory ledger'!$A:$A,"&lt;="&amp;B368+TIME(23,59,59))-SUMIFS('inventory ledger'!$I:$I,'inventory ledger'!$C:$C,C368,'inventory ledger'!$D:$D,D368,'inventory ledger'!$E:$E,E368,'inventory ledger'!$A:$A,"&lt;="&amp;B368+TIME(23,59,59)))</f>
        <v>29</v>
      </c>
      <c r="G368" s="3">
        <f>IFERROR(__xludf.DUMMYFUNCTION("IF(F368&lt;=0,0,IFERROR(ROUNDUP(F368/INDEX(FILTER('warehouse config'!$D:$D,('warehouse config'!$B:$B=C368)*('warehouse config'!$C:$C=D368)*('warehouse config'!$G:$G&lt;=B368)*(('warehouse config'!$H:$H&gt;=B368)+ISBLANK('warehouse config'!$H:$H))),1)),0))"),2.0)</f>
        <v>2</v>
      </c>
      <c r="H368" s="3">
        <f>IFERROR(__xludf.DUMMYFUNCTION("IFERROR(INDEX(FILTER('cost master'!$E:$E,('cost master'!$B:$B=C368)*('cost master'!$D:$D=""Storage cost per pallet / week"")*('cost master'!$G:$G&lt;=B368)*(('cost master'!$H:$H&gt;=B368)+ISBLANK('cost master'!$H:$H))),1),0)"),9.0)</f>
        <v>9</v>
      </c>
      <c r="I368" s="3">
        <f t="shared" si="4"/>
        <v>18</v>
      </c>
      <c r="J368" s="27">
        <f t="shared" si="5"/>
        <v>45732</v>
      </c>
      <c r="K368" s="27">
        <f t="shared" si="6"/>
        <v>45762</v>
      </c>
    </row>
    <row r="369" hidden="1">
      <c r="A369" s="3" t="str">
        <f t="shared" si="3"/>
        <v>SL-20250317-Vglobal-CS 007-13</v>
      </c>
      <c r="B369" s="2">
        <f t="array" ref="B369">INDEX(helper!$A$3:$A3996,ROUNDUP((ROW()-1)/COUNTA(helper!$D$3:$D3996),0))</f>
        <v>45733</v>
      </c>
      <c r="C369" s="5" t="str">
        <f t="array" ref="C369">IF(B369="","",INDEX(helper!$D$3:$D3996,MOD(ROW()-2,COUNTA(helper!$D$3:$D3996))+1))</f>
        <v>Vglobal</v>
      </c>
      <c r="D369" s="3" t="str">
        <f t="array" ref="D369">IF(B369="","",INDEX(helper!$E$3:$E3996,MOD(ROW()-2,COUNTA(helper!$D$3:$D3996))+1))</f>
        <v>CS 007</v>
      </c>
      <c r="E369" s="3">
        <f t="array" ref="E369">IF(B369="","",INDEX(helper!$F$3:$F3996,MOD(ROW()-2,COUNTA(helper!$D$3:$D3996))+1))</f>
        <v>13</v>
      </c>
      <c r="F369" s="3">
        <f>IF(B369="","",SUMIFS('inventory ledger'!$H:$H,'inventory ledger'!$C:$C,C369,'inventory ledger'!$D:$D,D369,'inventory ledger'!$E:$E,E369,'inventory ledger'!$A:$A,"&lt;="&amp;B369+TIME(23,59,59))-SUMIFS('inventory ledger'!$I:$I,'inventory ledger'!$C:$C,C369,'inventory ledger'!$D:$D,D369,'inventory ledger'!$E:$E,E369,'inventory ledger'!$A:$A,"&lt;="&amp;B369+TIME(23,59,59)))</f>
        <v>285</v>
      </c>
      <c r="G369" s="3">
        <f>IFERROR(__xludf.DUMMYFUNCTION("IF(F369&lt;=0,0,IFERROR(ROUNDUP(F369/INDEX(FILTER('warehouse config'!$D:$D,('warehouse config'!$B:$B=C369)*('warehouse config'!$C:$C=D369)*('warehouse config'!$G:$G&lt;=B369)*(('warehouse config'!$H:$H&gt;=B369)+ISBLANK('warehouse config'!$H:$H))),1)),0))"),18.0)</f>
        <v>18</v>
      </c>
      <c r="H369" s="3">
        <f>IFERROR(__xludf.DUMMYFUNCTION("IFERROR(INDEX(FILTER('cost master'!$E:$E,('cost master'!$B:$B=C369)*('cost master'!$D:$D=""Storage cost per pallet / week"")*('cost master'!$G:$G&lt;=B369)*(('cost master'!$H:$H&gt;=B369)+ISBLANK('cost master'!$H:$H))),1),0)"),2.6)</f>
        <v>2.6</v>
      </c>
      <c r="I369" s="3">
        <f t="shared" si="4"/>
        <v>46.8</v>
      </c>
      <c r="J369" s="27">
        <f t="shared" si="5"/>
        <v>45732</v>
      </c>
      <c r="K369" s="27">
        <f t="shared" si="6"/>
        <v>45762</v>
      </c>
    </row>
    <row r="370" hidden="1">
      <c r="A370" s="3" t="str">
        <f t="shared" si="3"/>
        <v>SL-20250317-Vglobal-CS 011-13</v>
      </c>
      <c r="B370" s="2">
        <f t="array" ref="B370">INDEX(helper!$A$3:$A3996,ROUNDUP((ROW()-1)/COUNTA(helper!$D$3:$D3996),0))</f>
        <v>45733</v>
      </c>
      <c r="C370" s="5" t="str">
        <f t="array" ref="C370">IF(B370="","",INDEX(helper!$D$3:$D3996,MOD(ROW()-2,COUNTA(helper!$D$3:$D3996))+1))</f>
        <v>Vglobal</v>
      </c>
      <c r="D370" s="3" t="str">
        <f t="array" ref="D370">IF(B370="","",INDEX(helper!$E$3:$E3996,MOD(ROW()-2,COUNTA(helper!$D$3:$D3996))+1))</f>
        <v>CS 011</v>
      </c>
      <c r="E370" s="3">
        <f t="array" ref="E370">IF(B370="","",INDEX(helper!$F$3:$F3996,MOD(ROW()-2,COUNTA(helper!$D$3:$D3996))+1))</f>
        <v>13</v>
      </c>
      <c r="F370" s="3">
        <f>IF(B370="","",SUMIFS('inventory ledger'!$H:$H,'inventory ledger'!$C:$C,C370,'inventory ledger'!$D:$D,D370,'inventory ledger'!$E:$E,E370,'inventory ledger'!$A:$A,"&lt;="&amp;B370+TIME(23,59,59))-SUMIFS('inventory ledger'!$I:$I,'inventory ledger'!$C:$C,C370,'inventory ledger'!$D:$D,D370,'inventory ledger'!$E:$E,E370,'inventory ledger'!$A:$A,"&lt;="&amp;B370+TIME(23,59,59)))</f>
        <v>136</v>
      </c>
      <c r="G370" s="3">
        <f>IFERROR(__xludf.DUMMYFUNCTION("IF(F370&lt;=0,0,IFERROR(ROUNDUP(F370/INDEX(FILTER('warehouse config'!$D:$D,('warehouse config'!$B:$B=C370)*('warehouse config'!$C:$C=D370)*('warehouse config'!$G:$G&lt;=B370)*(('warehouse config'!$H:$H&gt;=B370)+ISBLANK('warehouse config'!$H:$H))),1)),0))"),7.0)</f>
        <v>7</v>
      </c>
      <c r="H370" s="3">
        <f>IFERROR(__xludf.DUMMYFUNCTION("IFERROR(INDEX(FILTER('cost master'!$E:$E,('cost master'!$B:$B=C370)*('cost master'!$D:$D=""Storage cost per pallet / week"")*('cost master'!$G:$G&lt;=B370)*(('cost master'!$H:$H&gt;=B370)+ISBLANK('cost master'!$H:$H))),1),0)"),2.6)</f>
        <v>2.6</v>
      </c>
      <c r="I370" s="3">
        <f t="shared" si="4"/>
        <v>18.2</v>
      </c>
      <c r="J370" s="27">
        <f t="shared" si="5"/>
        <v>45732</v>
      </c>
      <c r="K370" s="27">
        <f t="shared" si="6"/>
        <v>45762</v>
      </c>
    </row>
    <row r="371" hidden="1">
      <c r="A371" s="3" t="str">
        <f t="shared" si="3"/>
        <v>SL-20250317-Vglobal-CS 008-13</v>
      </c>
      <c r="B371" s="2">
        <f t="array" ref="B371">INDEX(helper!$A$3:$A3996,ROUNDUP((ROW()-1)/COUNTA(helper!$D$3:$D3996),0))</f>
        <v>45733</v>
      </c>
      <c r="C371" s="5" t="str">
        <f t="array" ref="C371">IF(B371="","",INDEX(helper!$D$3:$D3996,MOD(ROW()-2,COUNTA(helper!$D$3:$D3996))+1))</f>
        <v>Vglobal</v>
      </c>
      <c r="D371" s="3" t="str">
        <f t="array" ref="D371">IF(B371="","",INDEX(helper!$E$3:$E3996,MOD(ROW()-2,COUNTA(helper!$D$3:$D3996))+1))</f>
        <v>CS 008</v>
      </c>
      <c r="E371" s="3">
        <f t="array" ref="E371">IF(B371="","",INDEX(helper!$F$3:$F3996,MOD(ROW()-2,COUNTA(helper!$D$3:$D3996))+1))</f>
        <v>13</v>
      </c>
      <c r="F371" s="3">
        <f>IF(B371="","",SUMIFS('inventory ledger'!$H:$H,'inventory ledger'!$C:$C,C371,'inventory ledger'!$D:$D,D371,'inventory ledger'!$E:$E,E371,'inventory ledger'!$A:$A,"&lt;="&amp;B371+TIME(23,59,59))-SUMIFS('inventory ledger'!$I:$I,'inventory ledger'!$C:$C,C371,'inventory ledger'!$D:$D,D371,'inventory ledger'!$E:$E,E371,'inventory ledger'!$A:$A,"&lt;="&amp;B371+TIME(23,59,59)))</f>
        <v>20</v>
      </c>
      <c r="G371" s="3">
        <f>IFERROR(__xludf.DUMMYFUNCTION("IF(F371&lt;=0,0,IFERROR(ROUNDUP(F371/INDEX(FILTER('warehouse config'!$D:$D,('warehouse config'!$B:$B=C371)*('warehouse config'!$C:$C=D371)*('warehouse config'!$G:$G&lt;=B371)*(('warehouse config'!$H:$H&gt;=B371)+ISBLANK('warehouse config'!$H:$H))),1)),0))"),1.0)</f>
        <v>1</v>
      </c>
      <c r="H371" s="3">
        <f>IFERROR(__xludf.DUMMYFUNCTION("IFERROR(INDEX(FILTER('cost master'!$E:$E,('cost master'!$B:$B=C371)*('cost master'!$D:$D=""Storage cost per pallet / week"")*('cost master'!$G:$G&lt;=B371)*(('cost master'!$H:$H&gt;=B371)+ISBLANK('cost master'!$H:$H))),1),0)"),2.6)</f>
        <v>2.6</v>
      </c>
      <c r="I371" s="3">
        <f t="shared" si="4"/>
        <v>2.6</v>
      </c>
      <c r="J371" s="27">
        <f t="shared" si="5"/>
        <v>45732</v>
      </c>
      <c r="K371" s="27">
        <f t="shared" si="6"/>
        <v>45762</v>
      </c>
    </row>
    <row r="372" hidden="1">
      <c r="A372" s="3" t="str">
        <f t="shared" si="3"/>
        <v>SL-20250317-Vglobal-CS 010-13</v>
      </c>
      <c r="B372" s="2">
        <f t="array" ref="B372">INDEX(helper!$A$3:$A3996,ROUNDUP((ROW()-1)/COUNTA(helper!$D$3:$D3996),0))</f>
        <v>45733</v>
      </c>
      <c r="C372" s="5" t="str">
        <f t="array" ref="C372">IF(B372="","",INDEX(helper!$D$3:$D3996,MOD(ROW()-2,COUNTA(helper!$D$3:$D3996))+1))</f>
        <v>Vglobal</v>
      </c>
      <c r="D372" s="3" t="str">
        <f t="array" ref="D372">IF(B372="","",INDEX(helper!$E$3:$E3996,MOD(ROW()-2,COUNTA(helper!$D$3:$D3996))+1))</f>
        <v>CS 010</v>
      </c>
      <c r="E372" s="3">
        <f t="array" ref="E372">IF(B372="","",INDEX(helper!$F$3:$F3996,MOD(ROW()-2,COUNTA(helper!$D$3:$D3996))+1))</f>
        <v>13</v>
      </c>
      <c r="F372" s="3">
        <f>IF(B372="","",SUMIFS('inventory ledger'!$H:$H,'inventory ledger'!$C:$C,C372,'inventory ledger'!$D:$D,D372,'inventory ledger'!$E:$E,E372,'inventory ledger'!$A:$A,"&lt;="&amp;B372+TIME(23,59,59))-SUMIFS('inventory ledger'!$I:$I,'inventory ledger'!$C:$C,C372,'inventory ledger'!$D:$D,D372,'inventory ledger'!$E:$E,E372,'inventory ledger'!$A:$A,"&lt;="&amp;B372+TIME(23,59,59)))</f>
        <v>80</v>
      </c>
      <c r="G372" s="3">
        <f>IFERROR(__xludf.DUMMYFUNCTION("IF(F372&lt;=0,0,IFERROR(ROUNDUP(F372/INDEX(FILTER('warehouse config'!$D:$D,('warehouse config'!$B:$B=C372)*('warehouse config'!$C:$C=D372)*('warehouse config'!$G:$G&lt;=B372)*(('warehouse config'!$H:$H&gt;=B372)+ISBLANK('warehouse config'!$H:$H))),1)),0))"),4.0)</f>
        <v>4</v>
      </c>
      <c r="H372" s="3">
        <f>IFERROR(__xludf.DUMMYFUNCTION("IFERROR(INDEX(FILTER('cost master'!$E:$E,('cost master'!$B:$B=C372)*('cost master'!$D:$D=""Storage cost per pallet / week"")*('cost master'!$G:$G&lt;=B372)*(('cost master'!$H:$H&gt;=B372)+ISBLANK('cost master'!$H:$H))),1),0)"),2.6)</f>
        <v>2.6</v>
      </c>
      <c r="I372" s="3">
        <f t="shared" si="4"/>
        <v>10.4</v>
      </c>
      <c r="J372" s="27">
        <f t="shared" si="5"/>
        <v>45732</v>
      </c>
      <c r="K372" s="27">
        <f t="shared" si="6"/>
        <v>45762</v>
      </c>
    </row>
    <row r="373" hidden="1">
      <c r="A373" s="3" t="str">
        <f t="shared" si="3"/>
        <v>SL-20250317-Vglobal-CS 009-13</v>
      </c>
      <c r="B373" s="2">
        <f t="array" ref="B373">INDEX(helper!$A$3:$A3996,ROUNDUP((ROW()-1)/COUNTA(helper!$D$3:$D3996),0))</f>
        <v>45733</v>
      </c>
      <c r="C373" s="5" t="str">
        <f t="array" ref="C373">IF(B373="","",INDEX(helper!$D$3:$D3996,MOD(ROW()-2,COUNTA(helper!$D$3:$D3996))+1))</f>
        <v>Vglobal</v>
      </c>
      <c r="D373" s="3" t="str">
        <f t="array" ref="D373">IF(B373="","",INDEX(helper!$E$3:$E3996,MOD(ROW()-2,COUNTA(helper!$D$3:$D3996))+1))</f>
        <v>CS 009</v>
      </c>
      <c r="E373" s="3">
        <f t="array" ref="E373">IF(B373="","",INDEX(helper!$F$3:$F3996,MOD(ROW()-2,COUNTA(helper!$D$3:$D3996))+1))</f>
        <v>13</v>
      </c>
      <c r="F373" s="3">
        <f>IF(B373="","",SUMIFS('inventory ledger'!$H:$H,'inventory ledger'!$C:$C,C373,'inventory ledger'!$D:$D,D373,'inventory ledger'!$E:$E,E373,'inventory ledger'!$A:$A,"&lt;="&amp;B373+TIME(23,59,59))-SUMIFS('inventory ledger'!$I:$I,'inventory ledger'!$C:$C,C373,'inventory ledger'!$D:$D,D373,'inventory ledger'!$E:$E,E373,'inventory ledger'!$A:$A,"&lt;="&amp;B373+TIME(23,59,59)))</f>
        <v>12</v>
      </c>
      <c r="G373" s="3">
        <f>IFERROR(__xludf.DUMMYFUNCTION("IF(F373&lt;=0,0,IFERROR(ROUNDUP(F373/INDEX(FILTER('warehouse config'!$D:$D,('warehouse config'!$B:$B=C373)*('warehouse config'!$C:$C=D373)*('warehouse config'!$G:$G&lt;=B373)*(('warehouse config'!$H:$H&gt;=B373)+ISBLANK('warehouse config'!$H:$H))),1)),0))"),1.0)</f>
        <v>1</v>
      </c>
      <c r="H373" s="3">
        <f>IFERROR(__xludf.DUMMYFUNCTION("IFERROR(INDEX(FILTER('cost master'!$E:$E,('cost master'!$B:$B=C373)*('cost master'!$D:$D=""Storage cost per pallet / week"")*('cost master'!$G:$G&lt;=B373)*(('cost master'!$H:$H&gt;=B373)+ISBLANK('cost master'!$H:$H))),1),0)"),2.6)</f>
        <v>2.6</v>
      </c>
      <c r="I373" s="3">
        <f t="shared" si="4"/>
        <v>2.6</v>
      </c>
      <c r="J373" s="27">
        <f t="shared" si="5"/>
        <v>45732</v>
      </c>
      <c r="K373" s="27">
        <f t="shared" si="6"/>
        <v>45762</v>
      </c>
    </row>
    <row r="374" hidden="1">
      <c r="A374" s="3" t="str">
        <f t="shared" si="3"/>
        <v>SL-20250317-Vglobal-CS 012-13</v>
      </c>
      <c r="B374" s="2">
        <f t="array" ref="B374">INDEX(helper!$A$3:$A3996,ROUNDUP((ROW()-1)/COUNTA(helper!$D$3:$D3996),0))</f>
        <v>45733</v>
      </c>
      <c r="C374" s="5" t="str">
        <f t="array" ref="C374">IF(B374="","",INDEX(helper!$D$3:$D3996,MOD(ROW()-2,COUNTA(helper!$D$3:$D3996))+1))</f>
        <v>Vglobal</v>
      </c>
      <c r="D374" s="3" t="str">
        <f t="array" ref="D374">IF(B374="","",INDEX(helper!$E$3:$E3996,MOD(ROW()-2,COUNTA(helper!$D$3:$D3996))+1))</f>
        <v>CS 012</v>
      </c>
      <c r="E374" s="3">
        <f t="array" ref="E374">IF(B374="","",INDEX(helper!$F$3:$F3996,MOD(ROW()-2,COUNTA(helper!$D$3:$D3996))+1))</f>
        <v>13</v>
      </c>
      <c r="F374" s="3">
        <f>IF(B374="","",SUMIFS('inventory ledger'!$H:$H,'inventory ledger'!$C:$C,C374,'inventory ledger'!$D:$D,D374,'inventory ledger'!$E:$E,E374,'inventory ledger'!$A:$A,"&lt;="&amp;B374+TIME(23,59,59))-SUMIFS('inventory ledger'!$I:$I,'inventory ledger'!$C:$C,C374,'inventory ledger'!$D:$D,D374,'inventory ledger'!$E:$E,E374,'inventory ledger'!$A:$A,"&lt;="&amp;B374+TIME(23,59,59)))</f>
        <v>0</v>
      </c>
      <c r="G374" s="3">
        <f>IFERROR(__xludf.DUMMYFUNCTION("IF(F374&lt;=0,0,IFERROR(ROUNDUP(F374/INDEX(FILTER('warehouse config'!$D:$D,('warehouse config'!$B:$B=C374)*('warehouse config'!$C:$C=D374)*('warehouse config'!$G:$G&lt;=B374)*(('warehouse config'!$H:$H&gt;=B374)+ISBLANK('warehouse config'!$H:$H))),1)),0))"),0.0)</f>
        <v>0</v>
      </c>
      <c r="H374" s="3">
        <f>IFERROR(__xludf.DUMMYFUNCTION("IFERROR(INDEX(FILTER('cost master'!$E:$E,('cost master'!$B:$B=C374)*('cost master'!$D:$D=""Storage cost per pallet / week"")*('cost master'!$G:$G&lt;=B374)*(('cost master'!$H:$H&gt;=B374)+ISBLANK('cost master'!$H:$H))),1),0)"),2.6)</f>
        <v>2.6</v>
      </c>
      <c r="I374" s="3">
        <f t="shared" si="4"/>
        <v>0</v>
      </c>
      <c r="J374" s="27">
        <f t="shared" si="5"/>
        <v>45732</v>
      </c>
      <c r="K374" s="27">
        <f t="shared" si="6"/>
        <v>45762</v>
      </c>
    </row>
    <row r="375" hidden="1">
      <c r="A375" s="3" t="str">
        <f t="shared" si="3"/>
        <v>SL-20250317-FMC-CS 008-11</v>
      </c>
      <c r="B375" s="2">
        <f t="array" ref="B375">INDEX(helper!$A$3:$A3996,ROUNDUP((ROW()-1)/COUNTA(helper!$D$3:$D3996),0))</f>
        <v>45733</v>
      </c>
      <c r="C375" s="5" t="str">
        <f t="array" ref="C375">IF(B375="","",INDEX(helper!$D$3:$D3996,MOD(ROW()-2,COUNTA(helper!$D$3:$D3996))+1))</f>
        <v>FMC</v>
      </c>
      <c r="D375" s="3" t="str">
        <f t="array" ref="D375">IF(B375="","",INDEX(helper!$E$3:$E3996,MOD(ROW()-2,COUNTA(helper!$D$3:$D3996))+1))</f>
        <v>CS 008</v>
      </c>
      <c r="E375" s="3">
        <f t="array" ref="E375">IF(B375="","",INDEX(helper!$F$3:$F3996,MOD(ROW()-2,COUNTA(helper!$D$3:$D3996))+1))</f>
        <v>11</v>
      </c>
      <c r="F375" s="3">
        <f>IF(B375="","",SUMIFS('inventory ledger'!$H:$H,'inventory ledger'!$C:$C,C375,'inventory ledger'!$D:$D,D375,'inventory ledger'!$E:$E,E375,'inventory ledger'!$A:$A,"&lt;="&amp;B375+TIME(23,59,59))-SUMIFS('inventory ledger'!$I:$I,'inventory ledger'!$C:$C,C375,'inventory ledger'!$D:$D,D375,'inventory ledger'!$E:$E,E375,'inventory ledger'!$A:$A,"&lt;="&amp;B375+TIME(23,59,59)))</f>
        <v>0</v>
      </c>
      <c r="G375" s="3">
        <f>IFERROR(__xludf.DUMMYFUNCTION("IF(F375&lt;=0,0,IFERROR(ROUNDUP(F375/INDEX(FILTER('warehouse config'!$D:$D,('warehouse config'!$B:$B=C375)*('warehouse config'!$C:$C=D375)*('warehouse config'!$G:$G&lt;=B375)*(('warehouse config'!$H:$H&gt;=B375)+ISBLANK('warehouse config'!$H:$H))),1)),0))"),0.0)</f>
        <v>0</v>
      </c>
      <c r="H375" s="3">
        <f>IFERROR(__xludf.DUMMYFUNCTION("IFERROR(INDEX(FILTER('cost master'!$E:$E,('cost master'!$B:$B=C375)*('cost master'!$D:$D=""Storage cost per pallet / week"")*('cost master'!$G:$G&lt;=B375)*(('cost master'!$H:$H&gt;=B375)+ISBLANK('cost master'!$H:$H))),1),0)"),3.9)</f>
        <v>3.9</v>
      </c>
      <c r="I375" s="3">
        <f t="shared" si="4"/>
        <v>0</v>
      </c>
      <c r="J375" s="27">
        <f t="shared" si="5"/>
        <v>45732</v>
      </c>
      <c r="K375" s="27">
        <f t="shared" si="6"/>
        <v>45762</v>
      </c>
    </row>
    <row r="376" hidden="1">
      <c r="A376" s="3" t="str">
        <f t="shared" si="3"/>
        <v>SL-20250324-FMC-CS 007-8</v>
      </c>
      <c r="B376" s="2">
        <f t="array" ref="B376">INDEX(helper!$A$3:$A3996,ROUNDUP((ROW()-1)/COUNTA(helper!$D$3:$D3996),0))</f>
        <v>45740</v>
      </c>
      <c r="C376" s="5" t="str">
        <f t="array" ref="C376">IF(B376="","",INDEX(helper!$D$3:$D3996,MOD(ROW()-2,COUNTA(helper!$D$3:$D3996))+1))</f>
        <v>FMC</v>
      </c>
      <c r="D376" s="3" t="str">
        <f t="array" ref="D376">IF(B376="","",INDEX(helper!$E$3:$E3996,MOD(ROW()-2,COUNTA(helper!$D$3:$D3996))+1))</f>
        <v>CS 007</v>
      </c>
      <c r="E376" s="3">
        <f t="array" ref="E376">IF(B376="","",INDEX(helper!$F$3:$F3996,MOD(ROW()-2,COUNTA(helper!$D$3:$D3996))+1))</f>
        <v>8</v>
      </c>
      <c r="F376" s="3">
        <f>IF(B376="","",SUMIFS('inventory ledger'!$H:$H,'inventory ledger'!$C:$C,C376,'inventory ledger'!$D:$D,D376,'inventory ledger'!$E:$E,E376,'inventory ledger'!$A:$A,"&lt;="&amp;B376+TIME(23,59,59))-SUMIFS('inventory ledger'!$I:$I,'inventory ledger'!$C:$C,C376,'inventory ledger'!$D:$D,D376,'inventory ledger'!$E:$E,E376,'inventory ledger'!$A:$A,"&lt;="&amp;B376+TIME(23,59,59)))</f>
        <v>0</v>
      </c>
      <c r="G376" s="3">
        <f>IFERROR(__xludf.DUMMYFUNCTION("IF(F376&lt;=0,0,IFERROR(ROUNDUP(F376/INDEX(FILTER('warehouse config'!$D:$D,('warehouse config'!$B:$B=C376)*('warehouse config'!$C:$C=D376)*('warehouse config'!$G:$G&lt;=B376)*(('warehouse config'!$H:$H&gt;=B376)+ISBLANK('warehouse config'!$H:$H))),1)),0))"),0.0)</f>
        <v>0</v>
      </c>
      <c r="H376" s="3">
        <f>IFERROR(__xludf.DUMMYFUNCTION("IFERROR(INDEX(FILTER('cost master'!$E:$E,('cost master'!$B:$B=C376)*('cost master'!$D:$D=""Storage cost per pallet / week"")*('cost master'!$G:$G&lt;=B376)*(('cost master'!$H:$H&gt;=B376)+ISBLANK('cost master'!$H:$H))),1),0)"),3.9)</f>
        <v>3.9</v>
      </c>
      <c r="I376" s="3">
        <f t="shared" si="4"/>
        <v>0</v>
      </c>
      <c r="J376" s="27">
        <f t="shared" si="5"/>
        <v>45732</v>
      </c>
      <c r="K376" s="27">
        <f t="shared" si="6"/>
        <v>45762</v>
      </c>
    </row>
    <row r="377" hidden="1">
      <c r="A377" s="3" t="str">
        <f t="shared" si="3"/>
        <v>SL-20250324-FMC-CS 008-8</v>
      </c>
      <c r="B377" s="2">
        <f t="array" ref="B377">INDEX(helper!$A$3:$A3996,ROUNDUP((ROW()-1)/COUNTA(helper!$D$3:$D3996),0))</f>
        <v>45740</v>
      </c>
      <c r="C377" s="5" t="str">
        <f t="array" ref="C377">IF(B377="","",INDEX(helper!$D$3:$D3996,MOD(ROW()-2,COUNTA(helper!$D$3:$D3996))+1))</f>
        <v>FMC</v>
      </c>
      <c r="D377" s="3" t="str">
        <f t="array" ref="D377">IF(B377="","",INDEX(helper!$E$3:$E3996,MOD(ROW()-2,COUNTA(helper!$D$3:$D3996))+1))</f>
        <v>CS 008</v>
      </c>
      <c r="E377" s="3">
        <f t="array" ref="E377">IF(B377="","",INDEX(helper!$F$3:$F3996,MOD(ROW()-2,COUNTA(helper!$D$3:$D3996))+1))</f>
        <v>8</v>
      </c>
      <c r="F377" s="3">
        <f>IF(B377="","",SUMIFS('inventory ledger'!$H:$H,'inventory ledger'!$C:$C,C377,'inventory ledger'!$D:$D,D377,'inventory ledger'!$E:$E,E377,'inventory ledger'!$A:$A,"&lt;="&amp;B377+TIME(23,59,59))-SUMIFS('inventory ledger'!$I:$I,'inventory ledger'!$C:$C,C377,'inventory ledger'!$D:$D,D377,'inventory ledger'!$E:$E,E377,'inventory ledger'!$A:$A,"&lt;="&amp;B377+TIME(23,59,59)))</f>
        <v>0</v>
      </c>
      <c r="G377" s="3">
        <f>IFERROR(__xludf.DUMMYFUNCTION("IF(F377&lt;=0,0,IFERROR(ROUNDUP(F377/INDEX(FILTER('warehouse config'!$D:$D,('warehouse config'!$B:$B=C377)*('warehouse config'!$C:$C=D377)*('warehouse config'!$G:$G&lt;=B377)*(('warehouse config'!$H:$H&gt;=B377)+ISBLANK('warehouse config'!$H:$H))),1)),0))"),0.0)</f>
        <v>0</v>
      </c>
      <c r="H377" s="3">
        <f>IFERROR(__xludf.DUMMYFUNCTION("IFERROR(INDEX(FILTER('cost master'!$E:$E,('cost master'!$B:$B=C377)*('cost master'!$D:$D=""Storage cost per pallet / week"")*('cost master'!$G:$G&lt;=B377)*(('cost master'!$H:$H&gt;=B377)+ISBLANK('cost master'!$H:$H))),1),0)"),3.9)</f>
        <v>3.9</v>
      </c>
      <c r="I377" s="3">
        <f t="shared" si="4"/>
        <v>0</v>
      </c>
      <c r="J377" s="27">
        <f t="shared" si="5"/>
        <v>45732</v>
      </c>
      <c r="K377" s="27">
        <f t="shared" si="6"/>
        <v>45762</v>
      </c>
    </row>
    <row r="378" hidden="1">
      <c r="A378" s="3" t="str">
        <f t="shared" si="3"/>
        <v>SL-20250324-FMC-CS 009-8</v>
      </c>
      <c r="B378" s="2">
        <f t="array" ref="B378">INDEX(helper!$A$3:$A3996,ROUNDUP((ROW()-1)/COUNTA(helper!$D$3:$D3996),0))</f>
        <v>45740</v>
      </c>
      <c r="C378" s="5" t="str">
        <f t="array" ref="C378">IF(B378="","",INDEX(helper!$D$3:$D3996,MOD(ROW()-2,COUNTA(helper!$D$3:$D3996))+1))</f>
        <v>FMC</v>
      </c>
      <c r="D378" s="3" t="str">
        <f t="array" ref="D378">IF(B378="","",INDEX(helper!$E$3:$E3996,MOD(ROW()-2,COUNTA(helper!$D$3:$D3996))+1))</f>
        <v>CS 009</v>
      </c>
      <c r="E378" s="3">
        <f t="array" ref="E378">IF(B378="","",INDEX(helper!$F$3:$F3996,MOD(ROW()-2,COUNTA(helper!$D$3:$D3996))+1))</f>
        <v>8</v>
      </c>
      <c r="F378" s="3">
        <f>IF(B378="","",SUMIFS('inventory ledger'!$H:$H,'inventory ledger'!$C:$C,C378,'inventory ledger'!$D:$D,D378,'inventory ledger'!$E:$E,E378,'inventory ledger'!$A:$A,"&lt;="&amp;B378+TIME(23,59,59))-SUMIFS('inventory ledger'!$I:$I,'inventory ledger'!$C:$C,C378,'inventory ledger'!$D:$D,D378,'inventory ledger'!$E:$E,E378,'inventory ledger'!$A:$A,"&lt;="&amp;B378+TIME(23,59,59)))</f>
        <v>0</v>
      </c>
      <c r="G378" s="3">
        <f>IFERROR(__xludf.DUMMYFUNCTION("IF(F378&lt;=0,0,IFERROR(ROUNDUP(F378/INDEX(FILTER('warehouse config'!$D:$D,('warehouse config'!$B:$B=C378)*('warehouse config'!$C:$C=D378)*('warehouse config'!$G:$G&lt;=B378)*(('warehouse config'!$H:$H&gt;=B378)+ISBLANK('warehouse config'!$H:$H))),1)),0))"),0.0)</f>
        <v>0</v>
      </c>
      <c r="H378" s="3">
        <f>IFERROR(__xludf.DUMMYFUNCTION("IFERROR(INDEX(FILTER('cost master'!$E:$E,('cost master'!$B:$B=C378)*('cost master'!$D:$D=""Storage cost per pallet / week"")*('cost master'!$G:$G&lt;=B378)*(('cost master'!$H:$H&gt;=B378)+ISBLANK('cost master'!$H:$H))),1),0)"),3.9)</f>
        <v>3.9</v>
      </c>
      <c r="I378" s="3">
        <f t="shared" si="4"/>
        <v>0</v>
      </c>
      <c r="J378" s="27">
        <f t="shared" si="5"/>
        <v>45732</v>
      </c>
      <c r="K378" s="27">
        <f t="shared" si="6"/>
        <v>45762</v>
      </c>
    </row>
    <row r="379" hidden="1">
      <c r="A379" s="3" t="str">
        <f t="shared" si="3"/>
        <v>SL-20250324-FMC-CS 010-8</v>
      </c>
      <c r="B379" s="2">
        <f t="array" ref="B379">INDEX(helper!$A$3:$A3996,ROUNDUP((ROW()-1)/COUNTA(helper!$D$3:$D3996),0))</f>
        <v>45740</v>
      </c>
      <c r="C379" s="5" t="str">
        <f t="array" ref="C379">IF(B379="","",INDEX(helper!$D$3:$D3996,MOD(ROW()-2,COUNTA(helper!$D$3:$D3996))+1))</f>
        <v>FMC</v>
      </c>
      <c r="D379" s="3" t="str">
        <f t="array" ref="D379">IF(B379="","",INDEX(helper!$E$3:$E3996,MOD(ROW()-2,COUNTA(helper!$D$3:$D3996))+1))</f>
        <v>CS 010</v>
      </c>
      <c r="E379" s="3">
        <f t="array" ref="E379">IF(B379="","",INDEX(helper!$F$3:$F3996,MOD(ROW()-2,COUNTA(helper!$D$3:$D3996))+1))</f>
        <v>8</v>
      </c>
      <c r="F379" s="3">
        <f>IF(B379="","",SUMIFS('inventory ledger'!$H:$H,'inventory ledger'!$C:$C,C379,'inventory ledger'!$D:$D,D379,'inventory ledger'!$E:$E,E379,'inventory ledger'!$A:$A,"&lt;="&amp;B379+TIME(23,59,59))-SUMIFS('inventory ledger'!$I:$I,'inventory ledger'!$C:$C,C379,'inventory ledger'!$D:$D,D379,'inventory ledger'!$E:$E,E379,'inventory ledger'!$A:$A,"&lt;="&amp;B379+TIME(23,59,59)))</f>
        <v>0</v>
      </c>
      <c r="G379" s="3">
        <f>IFERROR(__xludf.DUMMYFUNCTION("IF(F379&lt;=0,0,IFERROR(ROUNDUP(F379/INDEX(FILTER('warehouse config'!$D:$D,('warehouse config'!$B:$B=C379)*('warehouse config'!$C:$C=D379)*('warehouse config'!$G:$G&lt;=B379)*(('warehouse config'!$H:$H&gt;=B379)+ISBLANK('warehouse config'!$H:$H))),1)),0))"),0.0)</f>
        <v>0</v>
      </c>
      <c r="H379" s="3">
        <f>IFERROR(__xludf.DUMMYFUNCTION("IFERROR(INDEX(FILTER('cost master'!$E:$E,('cost master'!$B:$B=C379)*('cost master'!$D:$D=""Storage cost per pallet / week"")*('cost master'!$G:$G&lt;=B379)*(('cost master'!$H:$H&gt;=B379)+ISBLANK('cost master'!$H:$H))),1),0)"),3.9)</f>
        <v>3.9</v>
      </c>
      <c r="I379" s="3">
        <f t="shared" si="4"/>
        <v>0</v>
      </c>
      <c r="J379" s="27">
        <f t="shared" si="5"/>
        <v>45732</v>
      </c>
      <c r="K379" s="27">
        <f t="shared" si="6"/>
        <v>45762</v>
      </c>
    </row>
    <row r="380" hidden="1">
      <c r="A380" s="3" t="str">
        <f t="shared" si="3"/>
        <v>SL-20250324-FMC-CS 007-9</v>
      </c>
      <c r="B380" s="2">
        <f t="array" ref="B380">INDEX(helper!$A$3:$A3996,ROUNDUP((ROW()-1)/COUNTA(helper!$D$3:$D3996),0))</f>
        <v>45740</v>
      </c>
      <c r="C380" s="5" t="str">
        <f t="array" ref="C380">IF(B380="","",INDEX(helper!$D$3:$D3996,MOD(ROW()-2,COUNTA(helper!$D$3:$D3996))+1))</f>
        <v>FMC</v>
      </c>
      <c r="D380" s="3" t="str">
        <f t="array" ref="D380">IF(B380="","",INDEX(helper!$E$3:$E3996,MOD(ROW()-2,COUNTA(helper!$D$3:$D3996))+1))</f>
        <v>CS 007</v>
      </c>
      <c r="E380" s="3">
        <f t="array" ref="E380">IF(B380="","",INDEX(helper!$F$3:$F3996,MOD(ROW()-2,COUNTA(helper!$D$3:$D3996))+1))</f>
        <v>9</v>
      </c>
      <c r="F380" s="3">
        <f>IF(B380="","",SUMIFS('inventory ledger'!$H:$H,'inventory ledger'!$C:$C,C380,'inventory ledger'!$D:$D,D380,'inventory ledger'!$E:$E,E380,'inventory ledger'!$A:$A,"&lt;="&amp;B380+TIME(23,59,59))-SUMIFS('inventory ledger'!$I:$I,'inventory ledger'!$C:$C,C380,'inventory ledger'!$D:$D,D380,'inventory ledger'!$E:$E,E380,'inventory ledger'!$A:$A,"&lt;="&amp;B380+TIME(23,59,59)))</f>
        <v>0</v>
      </c>
      <c r="G380" s="3">
        <f>IFERROR(__xludf.DUMMYFUNCTION("IF(F380&lt;=0,0,IFERROR(ROUNDUP(F380/INDEX(FILTER('warehouse config'!$D:$D,('warehouse config'!$B:$B=C380)*('warehouse config'!$C:$C=D380)*('warehouse config'!$G:$G&lt;=B380)*(('warehouse config'!$H:$H&gt;=B380)+ISBLANK('warehouse config'!$H:$H))),1)),0))"),0.0)</f>
        <v>0</v>
      </c>
      <c r="H380" s="3">
        <f>IFERROR(__xludf.DUMMYFUNCTION("IFERROR(INDEX(FILTER('cost master'!$E:$E,('cost master'!$B:$B=C380)*('cost master'!$D:$D=""Storage cost per pallet / week"")*('cost master'!$G:$G&lt;=B380)*(('cost master'!$H:$H&gt;=B380)+ISBLANK('cost master'!$H:$H))),1),0)"),3.9)</f>
        <v>3.9</v>
      </c>
      <c r="I380" s="3">
        <f t="shared" si="4"/>
        <v>0</v>
      </c>
      <c r="J380" s="27">
        <f t="shared" si="5"/>
        <v>45732</v>
      </c>
      <c r="K380" s="27">
        <f t="shared" si="6"/>
        <v>45762</v>
      </c>
    </row>
    <row r="381" hidden="1">
      <c r="A381" s="3" t="str">
        <f t="shared" si="3"/>
        <v>SL-20250324-FMC-CS 008-9</v>
      </c>
      <c r="B381" s="2">
        <f t="array" ref="B381">INDEX(helper!$A$3:$A3996,ROUNDUP((ROW()-1)/COUNTA(helper!$D$3:$D3996),0))</f>
        <v>45740</v>
      </c>
      <c r="C381" s="5" t="str">
        <f t="array" ref="C381">IF(B381="","",INDEX(helper!$D$3:$D3996,MOD(ROW()-2,COUNTA(helper!$D$3:$D3996))+1))</f>
        <v>FMC</v>
      </c>
      <c r="D381" s="3" t="str">
        <f t="array" ref="D381">IF(B381="","",INDEX(helper!$E$3:$E3996,MOD(ROW()-2,COUNTA(helper!$D$3:$D3996))+1))</f>
        <v>CS 008</v>
      </c>
      <c r="E381" s="3">
        <f t="array" ref="E381">IF(B381="","",INDEX(helper!$F$3:$F3996,MOD(ROW()-2,COUNTA(helper!$D$3:$D3996))+1))</f>
        <v>9</v>
      </c>
      <c r="F381" s="3">
        <f>IF(B381="","",SUMIFS('inventory ledger'!$H:$H,'inventory ledger'!$C:$C,C381,'inventory ledger'!$D:$D,D381,'inventory ledger'!$E:$E,E381,'inventory ledger'!$A:$A,"&lt;="&amp;B381+TIME(23,59,59))-SUMIFS('inventory ledger'!$I:$I,'inventory ledger'!$C:$C,C381,'inventory ledger'!$D:$D,D381,'inventory ledger'!$E:$E,E381,'inventory ledger'!$A:$A,"&lt;="&amp;B381+TIME(23,59,59)))</f>
        <v>14</v>
      </c>
      <c r="G381" s="3">
        <f>IFERROR(__xludf.DUMMYFUNCTION("IF(F381&lt;=0,0,IFERROR(ROUNDUP(F381/INDEX(FILTER('warehouse config'!$D:$D,('warehouse config'!$B:$B=C381)*('warehouse config'!$C:$C=D381)*('warehouse config'!$G:$G&lt;=B381)*(('warehouse config'!$H:$H&gt;=B381)+ISBLANK('warehouse config'!$H:$H))),1)),0))"),1.0)</f>
        <v>1</v>
      </c>
      <c r="H381" s="3">
        <f>IFERROR(__xludf.DUMMYFUNCTION("IFERROR(INDEX(FILTER('cost master'!$E:$E,('cost master'!$B:$B=C381)*('cost master'!$D:$D=""Storage cost per pallet / week"")*('cost master'!$G:$G&lt;=B381)*(('cost master'!$H:$H&gt;=B381)+ISBLANK('cost master'!$H:$H))),1),0)"),3.9)</f>
        <v>3.9</v>
      </c>
      <c r="I381" s="3">
        <f t="shared" si="4"/>
        <v>3.9</v>
      </c>
      <c r="J381" s="27">
        <f t="shared" si="5"/>
        <v>45732</v>
      </c>
      <c r="K381" s="27">
        <f t="shared" si="6"/>
        <v>45762</v>
      </c>
    </row>
    <row r="382" hidden="1">
      <c r="A382" s="3" t="str">
        <f t="shared" si="3"/>
        <v>SL-20250324-FMC-CS 009-9</v>
      </c>
      <c r="B382" s="2">
        <f t="array" ref="B382">INDEX(helper!$A$3:$A3996,ROUNDUP((ROW()-1)/COUNTA(helper!$D$3:$D3996),0))</f>
        <v>45740</v>
      </c>
      <c r="C382" s="5" t="str">
        <f t="array" ref="C382">IF(B382="","",INDEX(helper!$D$3:$D3996,MOD(ROW()-2,COUNTA(helper!$D$3:$D3996))+1))</f>
        <v>FMC</v>
      </c>
      <c r="D382" s="3" t="str">
        <f t="array" ref="D382">IF(B382="","",INDEX(helper!$E$3:$E3996,MOD(ROW()-2,COUNTA(helper!$D$3:$D3996))+1))</f>
        <v>CS 009</v>
      </c>
      <c r="E382" s="3">
        <f t="array" ref="E382">IF(B382="","",INDEX(helper!$F$3:$F3996,MOD(ROW()-2,COUNTA(helper!$D$3:$D3996))+1))</f>
        <v>9</v>
      </c>
      <c r="F382" s="3">
        <f>IF(B382="","",SUMIFS('inventory ledger'!$H:$H,'inventory ledger'!$C:$C,C382,'inventory ledger'!$D:$D,D382,'inventory ledger'!$E:$E,E382,'inventory ledger'!$A:$A,"&lt;="&amp;B382+TIME(23,59,59))-SUMIFS('inventory ledger'!$I:$I,'inventory ledger'!$C:$C,C382,'inventory ledger'!$D:$D,D382,'inventory ledger'!$E:$E,E382,'inventory ledger'!$A:$A,"&lt;="&amp;B382+TIME(23,59,59)))</f>
        <v>0</v>
      </c>
      <c r="G382" s="3">
        <f>IFERROR(__xludf.DUMMYFUNCTION("IF(F382&lt;=0,0,IFERROR(ROUNDUP(F382/INDEX(FILTER('warehouse config'!$D:$D,('warehouse config'!$B:$B=C382)*('warehouse config'!$C:$C=D382)*('warehouse config'!$G:$G&lt;=B382)*(('warehouse config'!$H:$H&gt;=B382)+ISBLANK('warehouse config'!$H:$H))),1)),0))"),0.0)</f>
        <v>0</v>
      </c>
      <c r="H382" s="3">
        <f>IFERROR(__xludf.DUMMYFUNCTION("IFERROR(INDEX(FILTER('cost master'!$E:$E,('cost master'!$B:$B=C382)*('cost master'!$D:$D=""Storage cost per pallet / week"")*('cost master'!$G:$G&lt;=B382)*(('cost master'!$H:$H&gt;=B382)+ISBLANK('cost master'!$H:$H))),1),0)"),3.9)</f>
        <v>3.9</v>
      </c>
      <c r="I382" s="3">
        <f t="shared" si="4"/>
        <v>0</v>
      </c>
      <c r="J382" s="27">
        <f t="shared" si="5"/>
        <v>45732</v>
      </c>
      <c r="K382" s="27">
        <f t="shared" si="6"/>
        <v>45762</v>
      </c>
    </row>
    <row r="383" hidden="1">
      <c r="A383" s="3" t="str">
        <f t="shared" si="3"/>
        <v>SL-20250324-FMC-CS 010-9</v>
      </c>
      <c r="B383" s="2">
        <f t="array" ref="B383">INDEX(helper!$A$3:$A3996,ROUNDUP((ROW()-1)/COUNTA(helper!$D$3:$D3996),0))</f>
        <v>45740</v>
      </c>
      <c r="C383" s="5" t="str">
        <f t="array" ref="C383">IF(B383="","",INDEX(helper!$D$3:$D3996,MOD(ROW()-2,COUNTA(helper!$D$3:$D3996))+1))</f>
        <v>FMC</v>
      </c>
      <c r="D383" s="3" t="str">
        <f t="array" ref="D383">IF(B383="","",INDEX(helper!$E$3:$E3996,MOD(ROW()-2,COUNTA(helper!$D$3:$D3996))+1))</f>
        <v>CS 010</v>
      </c>
      <c r="E383" s="3">
        <f t="array" ref="E383">IF(B383="","",INDEX(helper!$F$3:$F3996,MOD(ROW()-2,COUNTA(helper!$D$3:$D3996))+1))</f>
        <v>9</v>
      </c>
      <c r="F383" s="3">
        <f>IF(B383="","",SUMIFS('inventory ledger'!$H:$H,'inventory ledger'!$C:$C,C383,'inventory ledger'!$D:$D,D383,'inventory ledger'!$E:$E,E383,'inventory ledger'!$A:$A,"&lt;="&amp;B383+TIME(23,59,59))-SUMIFS('inventory ledger'!$I:$I,'inventory ledger'!$C:$C,C383,'inventory ledger'!$D:$D,D383,'inventory ledger'!$E:$E,E383,'inventory ledger'!$A:$A,"&lt;="&amp;B383+TIME(23,59,59)))</f>
        <v>0</v>
      </c>
      <c r="G383" s="3">
        <f>IFERROR(__xludf.DUMMYFUNCTION("IF(F383&lt;=0,0,IFERROR(ROUNDUP(F383/INDEX(FILTER('warehouse config'!$D:$D,('warehouse config'!$B:$B=C383)*('warehouse config'!$C:$C=D383)*('warehouse config'!$G:$G&lt;=B383)*(('warehouse config'!$H:$H&gt;=B383)+ISBLANK('warehouse config'!$H:$H))),1)),0))"),0.0)</f>
        <v>0</v>
      </c>
      <c r="H383" s="3">
        <f>IFERROR(__xludf.DUMMYFUNCTION("IFERROR(INDEX(FILTER('cost master'!$E:$E,('cost master'!$B:$B=C383)*('cost master'!$D:$D=""Storage cost per pallet / week"")*('cost master'!$G:$G&lt;=B383)*(('cost master'!$H:$H&gt;=B383)+ISBLANK('cost master'!$H:$H))),1),0)"),3.9)</f>
        <v>3.9</v>
      </c>
      <c r="I383" s="3">
        <f t="shared" si="4"/>
        <v>0</v>
      </c>
      <c r="J383" s="27">
        <f t="shared" si="5"/>
        <v>45732</v>
      </c>
      <c r="K383" s="27">
        <f t="shared" si="6"/>
        <v>45762</v>
      </c>
    </row>
    <row r="384" hidden="1">
      <c r="A384" s="3" t="str">
        <f t="shared" si="3"/>
        <v>SL-20250324-FMC-CS-CDS-001-9</v>
      </c>
      <c r="B384" s="2">
        <f t="array" ref="B384">INDEX(helper!$A$3:$A3996,ROUNDUP((ROW()-1)/COUNTA(helper!$D$3:$D3996),0))</f>
        <v>45740</v>
      </c>
      <c r="C384" s="5" t="str">
        <f t="array" ref="C384">IF(B384="","",INDEX(helper!$D$3:$D3996,MOD(ROW()-2,COUNTA(helper!$D$3:$D3996))+1))</f>
        <v>FMC</v>
      </c>
      <c r="D384" s="3" t="str">
        <f t="array" ref="D384">IF(B384="","",INDEX(helper!$E$3:$E3996,MOD(ROW()-2,COUNTA(helper!$D$3:$D3996))+1))</f>
        <v>CS-CDS-001</v>
      </c>
      <c r="E384" s="3">
        <f t="array" ref="E384">IF(B384="","",INDEX(helper!$F$3:$F3996,MOD(ROW()-2,COUNTA(helper!$D$3:$D3996))+1))</f>
        <v>9</v>
      </c>
      <c r="F384" s="3">
        <f>IF(B384="","",SUMIFS('inventory ledger'!$H:$H,'inventory ledger'!$C:$C,C384,'inventory ledger'!$D:$D,D384,'inventory ledger'!$E:$E,E384,'inventory ledger'!$A:$A,"&lt;="&amp;B384+TIME(23,59,59))-SUMIFS('inventory ledger'!$I:$I,'inventory ledger'!$C:$C,C384,'inventory ledger'!$D:$D,D384,'inventory ledger'!$E:$E,E384,'inventory ledger'!$A:$A,"&lt;="&amp;B384+TIME(23,59,59)))</f>
        <v>0</v>
      </c>
      <c r="G384" s="3">
        <f>IFERROR(__xludf.DUMMYFUNCTION("IF(F384&lt;=0,0,IFERROR(ROUNDUP(F384/INDEX(FILTER('warehouse config'!$D:$D,('warehouse config'!$B:$B=C384)*('warehouse config'!$C:$C=D384)*('warehouse config'!$G:$G&lt;=B384)*(('warehouse config'!$H:$H&gt;=B384)+ISBLANK('warehouse config'!$H:$H))),1)),0))"),0.0)</f>
        <v>0</v>
      </c>
      <c r="H384" s="3">
        <f>IFERROR(__xludf.DUMMYFUNCTION("IFERROR(INDEX(FILTER('cost master'!$E:$E,('cost master'!$B:$B=C384)*('cost master'!$D:$D=""Storage cost per pallet / week"")*('cost master'!$G:$G&lt;=B384)*(('cost master'!$H:$H&gt;=B384)+ISBLANK('cost master'!$H:$H))),1),0)"),3.9)</f>
        <v>3.9</v>
      </c>
      <c r="I384" s="3">
        <f t="shared" si="4"/>
        <v>0</v>
      </c>
      <c r="J384" s="27">
        <f t="shared" si="5"/>
        <v>45732</v>
      </c>
      <c r="K384" s="27">
        <f t="shared" si="6"/>
        <v>45762</v>
      </c>
    </row>
    <row r="385" hidden="1">
      <c r="A385" s="3" t="str">
        <f t="shared" si="3"/>
        <v>SL-20250324-FMC-CS-CDS-002-9</v>
      </c>
      <c r="B385" s="2">
        <f t="array" ref="B385">INDEX(helper!$A$3:$A3996,ROUNDUP((ROW()-1)/COUNTA(helper!$D$3:$D3996),0))</f>
        <v>45740</v>
      </c>
      <c r="C385" s="5" t="str">
        <f t="array" ref="C385">IF(B385="","",INDEX(helper!$D$3:$D3996,MOD(ROW()-2,COUNTA(helper!$D$3:$D3996))+1))</f>
        <v>FMC</v>
      </c>
      <c r="D385" s="3" t="str">
        <f t="array" ref="D385">IF(B385="","",INDEX(helper!$E$3:$E3996,MOD(ROW()-2,COUNTA(helper!$D$3:$D3996))+1))</f>
        <v>CS-CDS-002</v>
      </c>
      <c r="E385" s="3">
        <f t="array" ref="E385">IF(B385="","",INDEX(helper!$F$3:$F3996,MOD(ROW()-2,COUNTA(helper!$D$3:$D3996))+1))</f>
        <v>9</v>
      </c>
      <c r="F385" s="3">
        <f>IF(B385="","",SUMIFS('inventory ledger'!$H:$H,'inventory ledger'!$C:$C,C385,'inventory ledger'!$D:$D,D385,'inventory ledger'!$E:$E,E385,'inventory ledger'!$A:$A,"&lt;="&amp;B385+TIME(23,59,59))-SUMIFS('inventory ledger'!$I:$I,'inventory ledger'!$C:$C,C385,'inventory ledger'!$D:$D,D385,'inventory ledger'!$E:$E,E385,'inventory ledger'!$A:$A,"&lt;="&amp;B385+TIME(23,59,59)))</f>
        <v>0</v>
      </c>
      <c r="G385" s="3">
        <f>IFERROR(__xludf.DUMMYFUNCTION("IF(F385&lt;=0,0,IFERROR(ROUNDUP(F385/INDEX(FILTER('warehouse config'!$D:$D,('warehouse config'!$B:$B=C385)*('warehouse config'!$C:$C=D385)*('warehouse config'!$G:$G&lt;=B385)*(('warehouse config'!$H:$H&gt;=B385)+ISBLANK('warehouse config'!$H:$H))),1)),0))"),0.0)</f>
        <v>0</v>
      </c>
      <c r="H385" s="3">
        <f>IFERROR(__xludf.DUMMYFUNCTION("IFERROR(INDEX(FILTER('cost master'!$E:$E,('cost master'!$B:$B=C385)*('cost master'!$D:$D=""Storage cost per pallet / week"")*('cost master'!$G:$G&lt;=B385)*(('cost master'!$H:$H&gt;=B385)+ISBLANK('cost master'!$H:$H))),1),0)"),3.9)</f>
        <v>3.9</v>
      </c>
      <c r="I385" s="3">
        <f t="shared" si="4"/>
        <v>0</v>
      </c>
      <c r="J385" s="27">
        <f t="shared" si="5"/>
        <v>45732</v>
      </c>
      <c r="K385" s="27">
        <f t="shared" si="6"/>
        <v>45762</v>
      </c>
    </row>
    <row r="386" hidden="1">
      <c r="A386" s="3" t="str">
        <f t="shared" si="3"/>
        <v>SL-20250324-FMC-CS 007-10</v>
      </c>
      <c r="B386" s="2">
        <f t="array" ref="B386">INDEX(helper!$A$3:$A3996,ROUNDUP((ROW()-1)/COUNTA(helper!$D$3:$D3996),0))</f>
        <v>45740</v>
      </c>
      <c r="C386" s="5" t="str">
        <f t="array" ref="C386">IF(B386="","",INDEX(helper!$D$3:$D3996,MOD(ROW()-2,COUNTA(helper!$D$3:$D3996))+1))</f>
        <v>FMC</v>
      </c>
      <c r="D386" s="3" t="str">
        <f t="array" ref="D386">IF(B386="","",INDEX(helper!$E$3:$E3996,MOD(ROW()-2,COUNTA(helper!$D$3:$D3996))+1))</f>
        <v>CS 007</v>
      </c>
      <c r="E386" s="3">
        <f t="array" ref="E386">IF(B386="","",INDEX(helper!$F$3:$F3996,MOD(ROW()-2,COUNTA(helper!$D$3:$D3996))+1))</f>
        <v>10</v>
      </c>
      <c r="F386" s="3">
        <f>IF(B386="","",SUMIFS('inventory ledger'!$H:$H,'inventory ledger'!$C:$C,C386,'inventory ledger'!$D:$D,D386,'inventory ledger'!$E:$E,E386,'inventory ledger'!$A:$A,"&lt;="&amp;B386+TIME(23,59,59))-SUMIFS('inventory ledger'!$I:$I,'inventory ledger'!$C:$C,C386,'inventory ledger'!$D:$D,D386,'inventory ledger'!$E:$E,E386,'inventory ledger'!$A:$A,"&lt;="&amp;B386+TIME(23,59,59)))</f>
        <v>0</v>
      </c>
      <c r="G386" s="3">
        <f>IFERROR(__xludf.DUMMYFUNCTION("IF(F386&lt;=0,0,IFERROR(ROUNDUP(F386/INDEX(FILTER('warehouse config'!$D:$D,('warehouse config'!$B:$B=C386)*('warehouse config'!$C:$C=D386)*('warehouse config'!$G:$G&lt;=B386)*(('warehouse config'!$H:$H&gt;=B386)+ISBLANK('warehouse config'!$H:$H))),1)),0))"),0.0)</f>
        <v>0</v>
      </c>
      <c r="H386" s="3">
        <f>IFERROR(__xludf.DUMMYFUNCTION("IFERROR(INDEX(FILTER('cost master'!$E:$E,('cost master'!$B:$B=C386)*('cost master'!$D:$D=""Storage cost per pallet / week"")*('cost master'!$G:$G&lt;=B386)*(('cost master'!$H:$H&gt;=B386)+ISBLANK('cost master'!$H:$H))),1),0)"),3.9)</f>
        <v>3.9</v>
      </c>
      <c r="I386" s="3">
        <f t="shared" si="4"/>
        <v>0</v>
      </c>
      <c r="J386" s="27">
        <f t="shared" si="5"/>
        <v>45732</v>
      </c>
      <c r="K386" s="27">
        <f t="shared" si="6"/>
        <v>45762</v>
      </c>
    </row>
    <row r="387" hidden="1">
      <c r="A387" s="3" t="str">
        <f t="shared" si="3"/>
        <v>SL-20250324-FMC-CS 009-10</v>
      </c>
      <c r="B387" s="2">
        <f t="array" ref="B387">INDEX(helper!$A$3:$A3996,ROUNDUP((ROW()-1)/COUNTA(helper!$D$3:$D3996),0))</f>
        <v>45740</v>
      </c>
      <c r="C387" s="5" t="str">
        <f t="array" ref="C387">IF(B387="","",INDEX(helper!$D$3:$D3996,MOD(ROW()-2,COUNTA(helper!$D$3:$D3996))+1))</f>
        <v>FMC</v>
      </c>
      <c r="D387" s="3" t="str">
        <f t="array" ref="D387">IF(B387="","",INDEX(helper!$E$3:$E3996,MOD(ROW()-2,COUNTA(helper!$D$3:$D3996))+1))</f>
        <v>CS 009</v>
      </c>
      <c r="E387" s="3">
        <f t="array" ref="E387">IF(B387="","",INDEX(helper!$F$3:$F3996,MOD(ROW()-2,COUNTA(helper!$D$3:$D3996))+1))</f>
        <v>10</v>
      </c>
      <c r="F387" s="3">
        <f>IF(B387="","",SUMIFS('inventory ledger'!$H:$H,'inventory ledger'!$C:$C,C387,'inventory ledger'!$D:$D,D387,'inventory ledger'!$E:$E,E387,'inventory ledger'!$A:$A,"&lt;="&amp;B387+TIME(23,59,59))-SUMIFS('inventory ledger'!$I:$I,'inventory ledger'!$C:$C,C387,'inventory ledger'!$D:$D,D387,'inventory ledger'!$E:$E,E387,'inventory ledger'!$A:$A,"&lt;="&amp;B387+TIME(23,59,59)))</f>
        <v>0</v>
      </c>
      <c r="G387" s="3">
        <f>IFERROR(__xludf.DUMMYFUNCTION("IF(F387&lt;=0,0,IFERROR(ROUNDUP(F387/INDEX(FILTER('warehouse config'!$D:$D,('warehouse config'!$B:$B=C387)*('warehouse config'!$C:$C=D387)*('warehouse config'!$G:$G&lt;=B387)*(('warehouse config'!$H:$H&gt;=B387)+ISBLANK('warehouse config'!$H:$H))),1)),0))"),0.0)</f>
        <v>0</v>
      </c>
      <c r="H387" s="3">
        <f>IFERROR(__xludf.DUMMYFUNCTION("IFERROR(INDEX(FILTER('cost master'!$E:$E,('cost master'!$B:$B=C387)*('cost master'!$D:$D=""Storage cost per pallet / week"")*('cost master'!$G:$G&lt;=B387)*(('cost master'!$H:$H&gt;=B387)+ISBLANK('cost master'!$H:$H))),1),0)"),3.9)</f>
        <v>3.9</v>
      </c>
      <c r="I387" s="3">
        <f t="shared" si="4"/>
        <v>0</v>
      </c>
      <c r="J387" s="27">
        <f t="shared" si="5"/>
        <v>45732</v>
      </c>
      <c r="K387" s="27">
        <f t="shared" si="6"/>
        <v>45762</v>
      </c>
    </row>
    <row r="388" hidden="1">
      <c r="A388" s="3" t="str">
        <f t="shared" si="3"/>
        <v>SL-20250324-FMC-CS 010-10</v>
      </c>
      <c r="B388" s="2">
        <f t="array" ref="B388">INDEX(helper!$A$3:$A3996,ROUNDUP((ROW()-1)/COUNTA(helper!$D$3:$D3996),0))</f>
        <v>45740</v>
      </c>
      <c r="C388" s="5" t="str">
        <f t="array" ref="C388">IF(B388="","",INDEX(helper!$D$3:$D3996,MOD(ROW()-2,COUNTA(helper!$D$3:$D3996))+1))</f>
        <v>FMC</v>
      </c>
      <c r="D388" s="3" t="str">
        <f t="array" ref="D388">IF(B388="","",INDEX(helper!$E$3:$E3996,MOD(ROW()-2,COUNTA(helper!$D$3:$D3996))+1))</f>
        <v>CS 010</v>
      </c>
      <c r="E388" s="3">
        <f t="array" ref="E388">IF(B388="","",INDEX(helper!$F$3:$F3996,MOD(ROW()-2,COUNTA(helper!$D$3:$D3996))+1))</f>
        <v>10</v>
      </c>
      <c r="F388" s="3">
        <f>IF(B388="","",SUMIFS('inventory ledger'!$H:$H,'inventory ledger'!$C:$C,C388,'inventory ledger'!$D:$D,D388,'inventory ledger'!$E:$E,E388,'inventory ledger'!$A:$A,"&lt;="&amp;B388+TIME(23,59,59))-SUMIFS('inventory ledger'!$I:$I,'inventory ledger'!$C:$C,C388,'inventory ledger'!$D:$D,D388,'inventory ledger'!$E:$E,E388,'inventory ledger'!$A:$A,"&lt;="&amp;B388+TIME(23,59,59)))</f>
        <v>26</v>
      </c>
      <c r="G388" s="3">
        <f>IFERROR(__xludf.DUMMYFUNCTION("IF(F388&lt;=0,0,IFERROR(ROUNDUP(F388/INDEX(FILTER('warehouse config'!$D:$D,('warehouse config'!$B:$B=C388)*('warehouse config'!$C:$C=D388)*('warehouse config'!$G:$G&lt;=B388)*(('warehouse config'!$H:$H&gt;=B388)+ISBLANK('warehouse config'!$H:$H))),1)),0))"),1.0)</f>
        <v>1</v>
      </c>
      <c r="H388" s="3">
        <f>IFERROR(__xludf.DUMMYFUNCTION("IFERROR(INDEX(FILTER('cost master'!$E:$E,('cost master'!$B:$B=C388)*('cost master'!$D:$D=""Storage cost per pallet / week"")*('cost master'!$G:$G&lt;=B388)*(('cost master'!$H:$H&gt;=B388)+ISBLANK('cost master'!$H:$H))),1),0)"),3.9)</f>
        <v>3.9</v>
      </c>
      <c r="I388" s="3">
        <f t="shared" si="4"/>
        <v>3.9</v>
      </c>
      <c r="J388" s="27">
        <f t="shared" si="5"/>
        <v>45732</v>
      </c>
      <c r="K388" s="27">
        <f t="shared" si="6"/>
        <v>45762</v>
      </c>
    </row>
    <row r="389" hidden="1">
      <c r="A389" s="3" t="str">
        <f t="shared" si="3"/>
        <v>SL-20250324-FMC-CS-CDS-001-10</v>
      </c>
      <c r="B389" s="2">
        <f t="array" ref="B389">INDEX(helper!$A$3:$A3996,ROUNDUP((ROW()-1)/COUNTA(helper!$D$3:$D3996),0))</f>
        <v>45740</v>
      </c>
      <c r="C389" s="5" t="str">
        <f t="array" ref="C389">IF(B389="","",INDEX(helper!$D$3:$D3996,MOD(ROW()-2,COUNTA(helper!$D$3:$D3996))+1))</f>
        <v>FMC</v>
      </c>
      <c r="D389" s="3" t="str">
        <f t="array" ref="D389">IF(B389="","",INDEX(helper!$E$3:$E3996,MOD(ROW()-2,COUNTA(helper!$D$3:$D3996))+1))</f>
        <v>CS-CDS-001</v>
      </c>
      <c r="E389" s="3">
        <f t="array" ref="E389">IF(B389="","",INDEX(helper!$F$3:$F3996,MOD(ROW()-2,COUNTA(helper!$D$3:$D3996))+1))</f>
        <v>10</v>
      </c>
      <c r="F389" s="3">
        <f>IF(B389="","",SUMIFS('inventory ledger'!$H:$H,'inventory ledger'!$C:$C,C389,'inventory ledger'!$D:$D,D389,'inventory ledger'!$E:$E,E389,'inventory ledger'!$A:$A,"&lt;="&amp;B389+TIME(23,59,59))-SUMIFS('inventory ledger'!$I:$I,'inventory ledger'!$C:$C,C389,'inventory ledger'!$D:$D,D389,'inventory ledger'!$E:$E,E389,'inventory ledger'!$A:$A,"&lt;="&amp;B389+TIME(23,59,59)))</f>
        <v>0</v>
      </c>
      <c r="G389" s="3">
        <f>IFERROR(__xludf.DUMMYFUNCTION("IF(F389&lt;=0,0,IFERROR(ROUNDUP(F389/INDEX(FILTER('warehouse config'!$D:$D,('warehouse config'!$B:$B=C389)*('warehouse config'!$C:$C=D389)*('warehouse config'!$G:$G&lt;=B389)*(('warehouse config'!$H:$H&gt;=B389)+ISBLANK('warehouse config'!$H:$H))),1)),0))"),0.0)</f>
        <v>0</v>
      </c>
      <c r="H389" s="3">
        <f>IFERROR(__xludf.DUMMYFUNCTION("IFERROR(INDEX(FILTER('cost master'!$E:$E,('cost master'!$B:$B=C389)*('cost master'!$D:$D=""Storage cost per pallet / week"")*('cost master'!$G:$G&lt;=B389)*(('cost master'!$H:$H&gt;=B389)+ISBLANK('cost master'!$H:$H))),1),0)"),3.9)</f>
        <v>3.9</v>
      </c>
      <c r="I389" s="3">
        <f t="shared" si="4"/>
        <v>0</v>
      </c>
      <c r="J389" s="27">
        <f t="shared" si="5"/>
        <v>45732</v>
      </c>
      <c r="K389" s="27">
        <f t="shared" si="6"/>
        <v>45762</v>
      </c>
    </row>
    <row r="390" hidden="1">
      <c r="A390" s="3" t="str">
        <f t="shared" si="3"/>
        <v>SL-20250324-FMC-CS 007-11</v>
      </c>
      <c r="B390" s="2">
        <f t="array" ref="B390">INDEX(helper!$A$3:$A3996,ROUNDUP((ROW()-1)/COUNTA(helper!$D$3:$D3996),0))</f>
        <v>45740</v>
      </c>
      <c r="C390" s="5" t="str">
        <f t="array" ref="C390">IF(B390="","",INDEX(helper!$D$3:$D3996,MOD(ROW()-2,COUNTA(helper!$D$3:$D3996))+1))</f>
        <v>FMC</v>
      </c>
      <c r="D390" s="3" t="str">
        <f t="array" ref="D390">IF(B390="","",INDEX(helper!$E$3:$E3996,MOD(ROW()-2,COUNTA(helper!$D$3:$D3996))+1))</f>
        <v>CS 007</v>
      </c>
      <c r="E390" s="3">
        <f t="array" ref="E390">IF(B390="","",INDEX(helper!$F$3:$F3996,MOD(ROW()-2,COUNTA(helper!$D$3:$D3996))+1))</f>
        <v>11</v>
      </c>
      <c r="F390" s="3">
        <f>IF(B390="","",SUMIFS('inventory ledger'!$H:$H,'inventory ledger'!$C:$C,C390,'inventory ledger'!$D:$D,D390,'inventory ledger'!$E:$E,E390,'inventory ledger'!$A:$A,"&lt;="&amp;B390+TIME(23,59,59))-SUMIFS('inventory ledger'!$I:$I,'inventory ledger'!$C:$C,C390,'inventory ledger'!$D:$D,D390,'inventory ledger'!$E:$E,E390,'inventory ledger'!$A:$A,"&lt;="&amp;B390+TIME(23,59,59)))</f>
        <v>0</v>
      </c>
      <c r="G390" s="3">
        <f>IFERROR(__xludf.DUMMYFUNCTION("IF(F390&lt;=0,0,IFERROR(ROUNDUP(F390/INDEX(FILTER('warehouse config'!$D:$D,('warehouse config'!$B:$B=C390)*('warehouse config'!$C:$C=D390)*('warehouse config'!$G:$G&lt;=B390)*(('warehouse config'!$H:$H&gt;=B390)+ISBLANK('warehouse config'!$H:$H))),1)),0))"),0.0)</f>
        <v>0</v>
      </c>
      <c r="H390" s="3">
        <f>IFERROR(__xludf.DUMMYFUNCTION("IFERROR(INDEX(FILTER('cost master'!$E:$E,('cost master'!$B:$B=C390)*('cost master'!$D:$D=""Storage cost per pallet / week"")*('cost master'!$G:$G&lt;=B390)*(('cost master'!$H:$H&gt;=B390)+ISBLANK('cost master'!$H:$H))),1),0)"),3.9)</f>
        <v>3.9</v>
      </c>
      <c r="I390" s="3">
        <f t="shared" si="4"/>
        <v>0</v>
      </c>
      <c r="J390" s="27">
        <f t="shared" si="5"/>
        <v>45732</v>
      </c>
      <c r="K390" s="27">
        <f t="shared" si="6"/>
        <v>45762</v>
      </c>
    </row>
    <row r="391" hidden="1">
      <c r="A391" s="3" t="str">
        <f t="shared" si="3"/>
        <v>SL-20250324-FMC-CS 009-11</v>
      </c>
      <c r="B391" s="2">
        <f t="array" ref="B391">INDEX(helper!$A$3:$A3996,ROUNDUP((ROW()-1)/COUNTA(helper!$D$3:$D3996),0))</f>
        <v>45740</v>
      </c>
      <c r="C391" s="5" t="str">
        <f t="array" ref="C391">IF(B391="","",INDEX(helper!$D$3:$D3996,MOD(ROW()-2,COUNTA(helper!$D$3:$D3996))+1))</f>
        <v>FMC</v>
      </c>
      <c r="D391" s="3" t="str">
        <f t="array" ref="D391">IF(B391="","",INDEX(helper!$E$3:$E3996,MOD(ROW()-2,COUNTA(helper!$D$3:$D3996))+1))</f>
        <v>CS 009</v>
      </c>
      <c r="E391" s="3">
        <f t="array" ref="E391">IF(B391="","",INDEX(helper!$F$3:$F3996,MOD(ROW()-2,COUNTA(helper!$D$3:$D3996))+1))</f>
        <v>11</v>
      </c>
      <c r="F391" s="3">
        <f>IF(B391="","",SUMIFS('inventory ledger'!$H:$H,'inventory ledger'!$C:$C,C391,'inventory ledger'!$D:$D,D391,'inventory ledger'!$E:$E,E391,'inventory ledger'!$A:$A,"&lt;="&amp;B391+TIME(23,59,59))-SUMIFS('inventory ledger'!$I:$I,'inventory ledger'!$C:$C,C391,'inventory ledger'!$D:$D,D391,'inventory ledger'!$E:$E,E391,'inventory ledger'!$A:$A,"&lt;="&amp;B391+TIME(23,59,59)))</f>
        <v>0</v>
      </c>
      <c r="G391" s="3">
        <f>IFERROR(__xludf.DUMMYFUNCTION("IF(F391&lt;=0,0,IFERROR(ROUNDUP(F391/INDEX(FILTER('warehouse config'!$D:$D,('warehouse config'!$B:$B=C391)*('warehouse config'!$C:$C=D391)*('warehouse config'!$G:$G&lt;=B391)*(('warehouse config'!$H:$H&gt;=B391)+ISBLANK('warehouse config'!$H:$H))),1)),0))"),0.0)</f>
        <v>0</v>
      </c>
      <c r="H391" s="3">
        <f>IFERROR(__xludf.DUMMYFUNCTION("IFERROR(INDEX(FILTER('cost master'!$E:$E,('cost master'!$B:$B=C391)*('cost master'!$D:$D=""Storage cost per pallet / week"")*('cost master'!$G:$G&lt;=B391)*(('cost master'!$H:$H&gt;=B391)+ISBLANK('cost master'!$H:$H))),1),0)"),3.9)</f>
        <v>3.9</v>
      </c>
      <c r="I391" s="3">
        <f t="shared" si="4"/>
        <v>0</v>
      </c>
      <c r="J391" s="27">
        <f t="shared" si="5"/>
        <v>45732</v>
      </c>
      <c r="K391" s="27">
        <f t="shared" si="6"/>
        <v>45762</v>
      </c>
    </row>
    <row r="392" hidden="1">
      <c r="A392" s="3" t="str">
        <f t="shared" si="3"/>
        <v>SL-20250324-FMC-CS 010-11</v>
      </c>
      <c r="B392" s="2">
        <f t="array" ref="B392">INDEX(helper!$A$3:$A3996,ROUNDUP((ROW()-1)/COUNTA(helper!$D$3:$D3996),0))</f>
        <v>45740</v>
      </c>
      <c r="C392" s="5" t="str">
        <f t="array" ref="C392">IF(B392="","",INDEX(helper!$D$3:$D3996,MOD(ROW()-2,COUNTA(helper!$D$3:$D3996))+1))</f>
        <v>FMC</v>
      </c>
      <c r="D392" s="3" t="str">
        <f t="array" ref="D392">IF(B392="","",INDEX(helper!$E$3:$E3996,MOD(ROW()-2,COUNTA(helper!$D$3:$D3996))+1))</f>
        <v>CS 010</v>
      </c>
      <c r="E392" s="3">
        <f t="array" ref="E392">IF(B392="","",INDEX(helper!$F$3:$F3996,MOD(ROW()-2,COUNTA(helper!$D$3:$D3996))+1))</f>
        <v>11</v>
      </c>
      <c r="F392" s="3">
        <f>IF(B392="","",SUMIFS('inventory ledger'!$H:$H,'inventory ledger'!$C:$C,C392,'inventory ledger'!$D:$D,D392,'inventory ledger'!$E:$E,E392,'inventory ledger'!$A:$A,"&lt;="&amp;B392+TIME(23,59,59))-SUMIFS('inventory ledger'!$I:$I,'inventory ledger'!$C:$C,C392,'inventory ledger'!$D:$D,D392,'inventory ledger'!$E:$E,E392,'inventory ledger'!$A:$A,"&lt;="&amp;B392+TIME(23,59,59)))</f>
        <v>46</v>
      </c>
      <c r="G392" s="3">
        <f>IFERROR(__xludf.DUMMYFUNCTION("IF(F392&lt;=0,0,IFERROR(ROUNDUP(F392/INDEX(FILTER('warehouse config'!$D:$D,('warehouse config'!$B:$B=C392)*('warehouse config'!$C:$C=D392)*('warehouse config'!$G:$G&lt;=B392)*(('warehouse config'!$H:$H&gt;=B392)+ISBLANK('warehouse config'!$H:$H))),1)),0))"),2.0)</f>
        <v>2</v>
      </c>
      <c r="H392" s="3">
        <f>IFERROR(__xludf.DUMMYFUNCTION("IFERROR(INDEX(FILTER('cost master'!$E:$E,('cost master'!$B:$B=C392)*('cost master'!$D:$D=""Storage cost per pallet / week"")*('cost master'!$G:$G&lt;=B392)*(('cost master'!$H:$H&gt;=B392)+ISBLANK('cost master'!$H:$H))),1),0)"),3.9)</f>
        <v>3.9</v>
      </c>
      <c r="I392" s="3">
        <f t="shared" si="4"/>
        <v>7.8</v>
      </c>
      <c r="J392" s="27">
        <f t="shared" si="5"/>
        <v>45732</v>
      </c>
      <c r="K392" s="27">
        <f t="shared" si="6"/>
        <v>45762</v>
      </c>
    </row>
    <row r="393" hidden="1">
      <c r="A393" s="3" t="str">
        <f t="shared" si="3"/>
        <v>SL-20250324-Vglobal-CS 007-12</v>
      </c>
      <c r="B393" s="2">
        <f t="array" ref="B393">INDEX(helper!$A$3:$A3996,ROUNDUP((ROW()-1)/COUNTA(helper!$D$3:$D3996),0))</f>
        <v>45740</v>
      </c>
      <c r="C393" s="5" t="str">
        <f t="array" ref="C393">IF(B393="","",INDEX(helper!$D$3:$D3996,MOD(ROW()-2,COUNTA(helper!$D$3:$D3996))+1))</f>
        <v>Vglobal</v>
      </c>
      <c r="D393" s="3" t="str">
        <f t="array" ref="D393">IF(B393="","",INDEX(helper!$E$3:$E3996,MOD(ROW()-2,COUNTA(helper!$D$3:$D3996))+1))</f>
        <v>CS 007</v>
      </c>
      <c r="E393" s="3">
        <f t="array" ref="E393">IF(B393="","",INDEX(helper!$F$3:$F3996,MOD(ROW()-2,COUNTA(helper!$D$3:$D3996))+1))</f>
        <v>12</v>
      </c>
      <c r="F393" s="3">
        <f>IF(B393="","",SUMIFS('inventory ledger'!$H:$H,'inventory ledger'!$C:$C,C393,'inventory ledger'!$D:$D,D393,'inventory ledger'!$E:$E,E393,'inventory ledger'!$A:$A,"&lt;="&amp;B393+TIME(23,59,59))-SUMIFS('inventory ledger'!$I:$I,'inventory ledger'!$C:$C,C393,'inventory ledger'!$D:$D,D393,'inventory ledger'!$E:$E,E393,'inventory ledger'!$A:$A,"&lt;="&amp;B393+TIME(23,59,59)))</f>
        <v>66</v>
      </c>
      <c r="G393" s="3">
        <f>IFERROR(__xludf.DUMMYFUNCTION("IF(F393&lt;=0,0,IFERROR(ROUNDUP(F393/INDEX(FILTER('warehouse config'!$D:$D,('warehouse config'!$B:$B=C393)*('warehouse config'!$C:$C=D393)*('warehouse config'!$G:$G&lt;=B393)*(('warehouse config'!$H:$H&gt;=B393)+ISBLANK('warehouse config'!$H:$H))),1)),0))"),5.0)</f>
        <v>5</v>
      </c>
      <c r="H393" s="3">
        <f>IFERROR(__xludf.DUMMYFUNCTION("IFERROR(INDEX(FILTER('cost master'!$E:$E,('cost master'!$B:$B=C393)*('cost master'!$D:$D=""Storage cost per pallet / week"")*('cost master'!$G:$G&lt;=B393)*(('cost master'!$H:$H&gt;=B393)+ISBLANK('cost master'!$H:$H))),1),0)"),2.6)</f>
        <v>2.6</v>
      </c>
      <c r="I393" s="3">
        <f t="shared" si="4"/>
        <v>13</v>
      </c>
      <c r="J393" s="27">
        <f t="shared" si="5"/>
        <v>45732</v>
      </c>
      <c r="K393" s="27">
        <f t="shared" si="6"/>
        <v>45762</v>
      </c>
    </row>
    <row r="394" hidden="1">
      <c r="A394" s="3" t="str">
        <f t="shared" si="3"/>
        <v>SL-20250324-Vglobal-CS 011-12</v>
      </c>
      <c r="B394" s="2">
        <f t="array" ref="B394">INDEX(helper!$A$3:$A3996,ROUNDUP((ROW()-1)/COUNTA(helper!$D$3:$D3996),0))</f>
        <v>45740</v>
      </c>
      <c r="C394" s="5" t="str">
        <f t="array" ref="C394">IF(B394="","",INDEX(helper!$D$3:$D3996,MOD(ROW()-2,COUNTA(helper!$D$3:$D3996))+1))</f>
        <v>Vglobal</v>
      </c>
      <c r="D394" s="3" t="str">
        <f t="array" ref="D394">IF(B394="","",INDEX(helper!$E$3:$E3996,MOD(ROW()-2,COUNTA(helper!$D$3:$D3996))+1))</f>
        <v>CS 011</v>
      </c>
      <c r="E394" s="3">
        <f t="array" ref="E394">IF(B394="","",INDEX(helper!$F$3:$F3996,MOD(ROW()-2,COUNTA(helper!$D$3:$D3996))+1))</f>
        <v>12</v>
      </c>
      <c r="F394" s="3">
        <f>IF(B394="","",SUMIFS('inventory ledger'!$H:$H,'inventory ledger'!$C:$C,C394,'inventory ledger'!$D:$D,D394,'inventory ledger'!$E:$E,E394,'inventory ledger'!$A:$A,"&lt;="&amp;B394+TIME(23,59,59))-SUMIFS('inventory ledger'!$I:$I,'inventory ledger'!$C:$C,C394,'inventory ledger'!$D:$D,D394,'inventory ledger'!$E:$E,E394,'inventory ledger'!$A:$A,"&lt;="&amp;B394+TIME(23,59,59)))</f>
        <v>0</v>
      </c>
      <c r="G394" s="3">
        <f>IFERROR(__xludf.DUMMYFUNCTION("IF(F394&lt;=0,0,IFERROR(ROUNDUP(F394/INDEX(FILTER('warehouse config'!$D:$D,('warehouse config'!$B:$B=C394)*('warehouse config'!$C:$C=D394)*('warehouse config'!$G:$G&lt;=B394)*(('warehouse config'!$H:$H&gt;=B394)+ISBLANK('warehouse config'!$H:$H))),1)),0))"),0.0)</f>
        <v>0</v>
      </c>
      <c r="H394" s="3">
        <f>IFERROR(__xludf.DUMMYFUNCTION("IFERROR(INDEX(FILTER('cost master'!$E:$E,('cost master'!$B:$B=C394)*('cost master'!$D:$D=""Storage cost per pallet / week"")*('cost master'!$G:$G&lt;=B394)*(('cost master'!$H:$H&gt;=B394)+ISBLANK('cost master'!$H:$H))),1),0)"),2.6)</f>
        <v>2.6</v>
      </c>
      <c r="I394" s="3">
        <f t="shared" si="4"/>
        <v>0</v>
      </c>
      <c r="J394" s="27">
        <f t="shared" si="5"/>
        <v>45732</v>
      </c>
      <c r="K394" s="27">
        <f t="shared" si="6"/>
        <v>45762</v>
      </c>
    </row>
    <row r="395" hidden="1">
      <c r="A395" s="3" t="str">
        <f t="shared" si="3"/>
        <v>SL-20250324-Vglobal-CS 008-12</v>
      </c>
      <c r="B395" s="2">
        <f t="array" ref="B395">INDEX(helper!$A$3:$A3996,ROUNDUP((ROW()-1)/COUNTA(helper!$D$3:$D3996),0))</f>
        <v>45740</v>
      </c>
      <c r="C395" s="5" t="str">
        <f t="array" ref="C395">IF(B395="","",INDEX(helper!$D$3:$D3996,MOD(ROW()-2,COUNTA(helper!$D$3:$D3996))+1))</f>
        <v>Vglobal</v>
      </c>
      <c r="D395" s="3" t="str">
        <f t="array" ref="D395">IF(B395="","",INDEX(helper!$E$3:$E3996,MOD(ROW()-2,COUNTA(helper!$D$3:$D3996))+1))</f>
        <v>CS 008</v>
      </c>
      <c r="E395" s="3">
        <f t="array" ref="E395">IF(B395="","",INDEX(helper!$F$3:$F3996,MOD(ROW()-2,COUNTA(helper!$D$3:$D3996))+1))</f>
        <v>12</v>
      </c>
      <c r="F395" s="3">
        <f>IF(B395="","",SUMIFS('inventory ledger'!$H:$H,'inventory ledger'!$C:$C,C395,'inventory ledger'!$D:$D,D395,'inventory ledger'!$E:$E,E395,'inventory ledger'!$A:$A,"&lt;="&amp;B395+TIME(23,59,59))-SUMIFS('inventory ledger'!$I:$I,'inventory ledger'!$C:$C,C395,'inventory ledger'!$D:$D,D395,'inventory ledger'!$E:$E,E395,'inventory ledger'!$A:$A,"&lt;="&amp;B395+TIME(23,59,59)))</f>
        <v>0</v>
      </c>
      <c r="G395" s="3">
        <f>IFERROR(__xludf.DUMMYFUNCTION("IF(F395&lt;=0,0,IFERROR(ROUNDUP(F395/INDEX(FILTER('warehouse config'!$D:$D,('warehouse config'!$B:$B=C395)*('warehouse config'!$C:$C=D395)*('warehouse config'!$G:$G&lt;=B395)*(('warehouse config'!$H:$H&gt;=B395)+ISBLANK('warehouse config'!$H:$H))),1)),0))"),0.0)</f>
        <v>0</v>
      </c>
      <c r="H395" s="3">
        <f>IFERROR(__xludf.DUMMYFUNCTION("IFERROR(INDEX(FILTER('cost master'!$E:$E,('cost master'!$B:$B=C395)*('cost master'!$D:$D=""Storage cost per pallet / week"")*('cost master'!$G:$G&lt;=B395)*(('cost master'!$H:$H&gt;=B395)+ISBLANK('cost master'!$H:$H))),1),0)"),2.6)</f>
        <v>2.6</v>
      </c>
      <c r="I395" s="3">
        <f t="shared" si="4"/>
        <v>0</v>
      </c>
      <c r="J395" s="27">
        <f t="shared" si="5"/>
        <v>45732</v>
      </c>
      <c r="K395" s="27">
        <f t="shared" si="6"/>
        <v>45762</v>
      </c>
    </row>
    <row r="396" hidden="1">
      <c r="A396" s="3" t="str">
        <f t="shared" si="3"/>
        <v>SL-20250324-Vglobal-CS 010-12</v>
      </c>
      <c r="B396" s="2">
        <f t="array" ref="B396">INDEX(helper!$A$3:$A3996,ROUNDUP((ROW()-1)/COUNTA(helper!$D$3:$D3996),0))</f>
        <v>45740</v>
      </c>
      <c r="C396" s="5" t="str">
        <f t="array" ref="C396">IF(B396="","",INDEX(helper!$D$3:$D3996,MOD(ROW()-2,COUNTA(helper!$D$3:$D3996))+1))</f>
        <v>Vglobal</v>
      </c>
      <c r="D396" s="3" t="str">
        <f t="array" ref="D396">IF(B396="","",INDEX(helper!$E$3:$E3996,MOD(ROW()-2,COUNTA(helper!$D$3:$D3996))+1))</f>
        <v>CS 010</v>
      </c>
      <c r="E396" s="3">
        <f t="array" ref="E396">IF(B396="","",INDEX(helper!$F$3:$F3996,MOD(ROW()-2,COUNTA(helper!$D$3:$D3996))+1))</f>
        <v>12</v>
      </c>
      <c r="F396" s="3">
        <f>IF(B396="","",SUMIFS('inventory ledger'!$H:$H,'inventory ledger'!$C:$C,C396,'inventory ledger'!$D:$D,D396,'inventory ledger'!$E:$E,E396,'inventory ledger'!$A:$A,"&lt;="&amp;B396+TIME(23,59,59))-SUMIFS('inventory ledger'!$I:$I,'inventory ledger'!$C:$C,C396,'inventory ledger'!$D:$D,D396,'inventory ledger'!$E:$E,E396,'inventory ledger'!$A:$A,"&lt;="&amp;B396+TIME(23,59,59)))</f>
        <v>70</v>
      </c>
      <c r="G396" s="3">
        <f>IFERROR(__xludf.DUMMYFUNCTION("IF(F396&lt;=0,0,IFERROR(ROUNDUP(F396/INDEX(FILTER('warehouse config'!$D:$D,('warehouse config'!$B:$B=C396)*('warehouse config'!$C:$C=D396)*('warehouse config'!$G:$G&lt;=B396)*(('warehouse config'!$H:$H&gt;=B396)+ISBLANK('warehouse config'!$H:$H))),1)),0))"),3.0)</f>
        <v>3</v>
      </c>
      <c r="H396" s="3">
        <f>IFERROR(__xludf.DUMMYFUNCTION("IFERROR(INDEX(FILTER('cost master'!$E:$E,('cost master'!$B:$B=C396)*('cost master'!$D:$D=""Storage cost per pallet / week"")*('cost master'!$G:$G&lt;=B396)*(('cost master'!$H:$H&gt;=B396)+ISBLANK('cost master'!$H:$H))),1),0)"),2.6)</f>
        <v>2.6</v>
      </c>
      <c r="I396" s="3">
        <f t="shared" si="4"/>
        <v>7.8</v>
      </c>
      <c r="J396" s="27">
        <f t="shared" si="5"/>
        <v>45732</v>
      </c>
      <c r="K396" s="27">
        <f t="shared" si="6"/>
        <v>45762</v>
      </c>
    </row>
    <row r="397" hidden="1">
      <c r="A397" s="3" t="str">
        <f t="shared" si="3"/>
        <v>SL-20250324-Vglobal-CS 009-12</v>
      </c>
      <c r="B397" s="2">
        <f t="array" ref="B397">INDEX(helper!$A$3:$A3996,ROUNDUP((ROW()-1)/COUNTA(helper!$D$3:$D3996),0))</f>
        <v>45740</v>
      </c>
      <c r="C397" s="5" t="str">
        <f t="array" ref="C397">IF(B397="","",INDEX(helper!$D$3:$D3996,MOD(ROW()-2,COUNTA(helper!$D$3:$D3996))+1))</f>
        <v>Vglobal</v>
      </c>
      <c r="D397" s="3" t="str">
        <f t="array" ref="D397">IF(B397="","",INDEX(helper!$E$3:$E3996,MOD(ROW()-2,COUNTA(helper!$D$3:$D3996))+1))</f>
        <v>CS 009</v>
      </c>
      <c r="E397" s="3">
        <f t="array" ref="E397">IF(B397="","",INDEX(helper!$F$3:$F3996,MOD(ROW()-2,COUNTA(helper!$D$3:$D3996))+1))</f>
        <v>12</v>
      </c>
      <c r="F397" s="3">
        <f>IF(B397="","",SUMIFS('inventory ledger'!$H:$H,'inventory ledger'!$C:$C,C397,'inventory ledger'!$D:$D,D397,'inventory ledger'!$E:$E,E397,'inventory ledger'!$A:$A,"&lt;="&amp;B397+TIME(23,59,59))-SUMIFS('inventory ledger'!$I:$I,'inventory ledger'!$C:$C,C397,'inventory ledger'!$D:$D,D397,'inventory ledger'!$E:$E,E397,'inventory ledger'!$A:$A,"&lt;="&amp;B397+TIME(23,59,59)))</f>
        <v>0</v>
      </c>
      <c r="G397" s="3">
        <f>IFERROR(__xludf.DUMMYFUNCTION("IF(F397&lt;=0,0,IFERROR(ROUNDUP(F397/INDEX(FILTER('warehouse config'!$D:$D,('warehouse config'!$B:$B=C397)*('warehouse config'!$C:$C=D397)*('warehouse config'!$G:$G&lt;=B397)*(('warehouse config'!$H:$H&gt;=B397)+ISBLANK('warehouse config'!$H:$H))),1)),0))"),0.0)</f>
        <v>0</v>
      </c>
      <c r="H397" s="3">
        <f>IFERROR(__xludf.DUMMYFUNCTION("IFERROR(INDEX(FILTER('cost master'!$E:$E,('cost master'!$B:$B=C397)*('cost master'!$D:$D=""Storage cost per pallet / week"")*('cost master'!$G:$G&lt;=B397)*(('cost master'!$H:$H&gt;=B397)+ISBLANK('cost master'!$H:$H))),1),0)"),2.6)</f>
        <v>2.6</v>
      </c>
      <c r="I397" s="3">
        <f t="shared" si="4"/>
        <v>0</v>
      </c>
      <c r="J397" s="27">
        <f t="shared" si="5"/>
        <v>45732</v>
      </c>
      <c r="K397" s="27">
        <f t="shared" si="6"/>
        <v>45762</v>
      </c>
    </row>
    <row r="398" hidden="1">
      <c r="A398" s="3" t="str">
        <f t="shared" si="3"/>
        <v>SL-20250324-Vglobal-CS 012-12</v>
      </c>
      <c r="B398" s="2">
        <f t="array" ref="B398">INDEX(helper!$A$3:$A3996,ROUNDUP((ROW()-1)/COUNTA(helper!$D$3:$D3996),0))</f>
        <v>45740</v>
      </c>
      <c r="C398" s="5" t="str">
        <f t="array" ref="C398">IF(B398="","",INDEX(helper!$D$3:$D3996,MOD(ROW()-2,COUNTA(helper!$D$3:$D3996))+1))</f>
        <v>Vglobal</v>
      </c>
      <c r="D398" s="3" t="str">
        <f t="array" ref="D398">IF(B398="","",INDEX(helper!$E$3:$E3996,MOD(ROW()-2,COUNTA(helper!$D$3:$D3996))+1))</f>
        <v>CS 012</v>
      </c>
      <c r="E398" s="3">
        <f t="array" ref="E398">IF(B398="","",INDEX(helper!$F$3:$F3996,MOD(ROW()-2,COUNTA(helper!$D$3:$D3996))+1))</f>
        <v>12</v>
      </c>
      <c r="F398" s="3">
        <f>IF(B398="","",SUMIFS('inventory ledger'!$H:$H,'inventory ledger'!$C:$C,C398,'inventory ledger'!$D:$D,D398,'inventory ledger'!$E:$E,E398,'inventory ledger'!$A:$A,"&lt;="&amp;B398+TIME(23,59,59))-SUMIFS('inventory ledger'!$I:$I,'inventory ledger'!$C:$C,C398,'inventory ledger'!$D:$D,D398,'inventory ledger'!$E:$E,E398,'inventory ledger'!$A:$A,"&lt;="&amp;B398+TIME(23,59,59)))</f>
        <v>0</v>
      </c>
      <c r="G398" s="3">
        <f>IFERROR(__xludf.DUMMYFUNCTION("IF(F398&lt;=0,0,IFERROR(ROUNDUP(F398/INDEX(FILTER('warehouse config'!$D:$D,('warehouse config'!$B:$B=C398)*('warehouse config'!$C:$C=D398)*('warehouse config'!$G:$G&lt;=B398)*(('warehouse config'!$H:$H&gt;=B398)+ISBLANK('warehouse config'!$H:$H))),1)),0))"),0.0)</f>
        <v>0</v>
      </c>
      <c r="H398" s="3">
        <f>IFERROR(__xludf.DUMMYFUNCTION("IFERROR(INDEX(FILTER('cost master'!$E:$E,('cost master'!$B:$B=C398)*('cost master'!$D:$D=""Storage cost per pallet / week"")*('cost master'!$G:$G&lt;=B398)*(('cost master'!$H:$H&gt;=B398)+ISBLANK('cost master'!$H:$H))),1),0)"),2.6)</f>
        <v>2.6</v>
      </c>
      <c r="I398" s="3">
        <f t="shared" si="4"/>
        <v>0</v>
      </c>
      <c r="J398" s="27">
        <f t="shared" si="5"/>
        <v>45732</v>
      </c>
      <c r="K398" s="27">
        <f t="shared" si="6"/>
        <v>45762</v>
      </c>
    </row>
    <row r="399" hidden="1">
      <c r="A399" s="3" t="str">
        <f t="shared" si="3"/>
        <v>SL-20250324-Vglobal-CS-CDS-001-3</v>
      </c>
      <c r="B399" s="2">
        <f t="array" ref="B399">INDEX(helper!$A$3:$A3996,ROUNDUP((ROW()-1)/COUNTA(helper!$D$3:$D3996),0))</f>
        <v>45740</v>
      </c>
      <c r="C399" s="5" t="str">
        <f t="array" ref="C399">IF(B399="","",INDEX(helper!$D$3:$D3996,MOD(ROW()-2,COUNTA(helper!$D$3:$D3996))+1))</f>
        <v>Vglobal</v>
      </c>
      <c r="D399" s="3" t="str">
        <f t="array" ref="D399">IF(B399="","",INDEX(helper!$E$3:$E3996,MOD(ROW()-2,COUNTA(helper!$D$3:$D3996))+1))</f>
        <v>CS-CDS-001</v>
      </c>
      <c r="E399" s="3">
        <f t="array" ref="E399">IF(B399="","",INDEX(helper!$F$3:$F3996,MOD(ROW()-2,COUNTA(helper!$D$3:$D3996))+1))</f>
        <v>3</v>
      </c>
      <c r="F399" s="3">
        <f>IF(B399="","",SUMIFS('inventory ledger'!$H:$H,'inventory ledger'!$C:$C,C399,'inventory ledger'!$D:$D,D399,'inventory ledger'!$E:$E,E399,'inventory ledger'!$A:$A,"&lt;="&amp;B399+TIME(23,59,59))-SUMIFS('inventory ledger'!$I:$I,'inventory ledger'!$C:$C,C399,'inventory ledger'!$D:$D,D399,'inventory ledger'!$E:$E,E399,'inventory ledger'!$A:$A,"&lt;="&amp;B399+TIME(23,59,59)))</f>
        <v>1</v>
      </c>
      <c r="G399" s="3">
        <f>IFERROR(__xludf.DUMMYFUNCTION("IF(F399&lt;=0,0,IFERROR(ROUNDUP(F399/INDEX(FILTER('warehouse config'!$D:$D,('warehouse config'!$B:$B=C399)*('warehouse config'!$C:$C=D399)*('warehouse config'!$G:$G&lt;=B399)*(('warehouse config'!$H:$H&gt;=B399)+ISBLANK('warehouse config'!$H:$H))),1)),0))"),1.0)</f>
        <v>1</v>
      </c>
      <c r="H399" s="3">
        <f>IFERROR(__xludf.DUMMYFUNCTION("IFERROR(INDEX(FILTER('cost master'!$E:$E,('cost master'!$B:$B=C399)*('cost master'!$D:$D=""Storage cost per pallet / week"")*('cost master'!$G:$G&lt;=B399)*(('cost master'!$H:$H&gt;=B399)+ISBLANK('cost master'!$H:$H))),1),0)"),2.6)</f>
        <v>2.6</v>
      </c>
      <c r="I399" s="3">
        <f t="shared" si="4"/>
        <v>2.6</v>
      </c>
      <c r="J399" s="27">
        <f t="shared" si="5"/>
        <v>45732</v>
      </c>
      <c r="K399" s="27">
        <f t="shared" si="6"/>
        <v>45762</v>
      </c>
    </row>
    <row r="400" hidden="1">
      <c r="A400" s="3" t="str">
        <f t="shared" si="3"/>
        <v>SL-20250324-Vglobal-CS-CDS-002-3</v>
      </c>
      <c r="B400" s="2">
        <f t="array" ref="B400">INDEX(helper!$A$3:$A3996,ROUNDUP((ROW()-1)/COUNTA(helper!$D$3:$D3996),0))</f>
        <v>45740</v>
      </c>
      <c r="C400" s="5" t="str">
        <f t="array" ref="C400">IF(B400="","",INDEX(helper!$D$3:$D3996,MOD(ROW()-2,COUNTA(helper!$D$3:$D3996))+1))</f>
        <v>Vglobal</v>
      </c>
      <c r="D400" s="3" t="str">
        <f t="array" ref="D400">IF(B400="","",INDEX(helper!$E$3:$E3996,MOD(ROW()-2,COUNTA(helper!$D$3:$D3996))+1))</f>
        <v>CS-CDS-002</v>
      </c>
      <c r="E400" s="3">
        <f t="array" ref="E400">IF(B400="","",INDEX(helper!$F$3:$F3996,MOD(ROW()-2,COUNTA(helper!$D$3:$D3996))+1))</f>
        <v>3</v>
      </c>
      <c r="F400" s="3">
        <f>IF(B400="","",SUMIFS('inventory ledger'!$H:$H,'inventory ledger'!$C:$C,C400,'inventory ledger'!$D:$D,D400,'inventory ledger'!$E:$E,E400,'inventory ledger'!$A:$A,"&lt;="&amp;B400+TIME(23,59,59))-SUMIFS('inventory ledger'!$I:$I,'inventory ledger'!$C:$C,C400,'inventory ledger'!$D:$D,D400,'inventory ledger'!$E:$E,E400,'inventory ledger'!$A:$A,"&lt;="&amp;B400+TIME(23,59,59)))</f>
        <v>0</v>
      </c>
      <c r="G400" s="3">
        <f>IFERROR(__xludf.DUMMYFUNCTION("IF(F400&lt;=0,0,IFERROR(ROUNDUP(F400/INDEX(FILTER('warehouse config'!$D:$D,('warehouse config'!$B:$B=C400)*('warehouse config'!$C:$C=D400)*('warehouse config'!$G:$G&lt;=B400)*(('warehouse config'!$H:$H&gt;=B400)+ISBLANK('warehouse config'!$H:$H))),1)),0))"),0.0)</f>
        <v>0</v>
      </c>
      <c r="H400" s="3">
        <f>IFERROR(__xludf.DUMMYFUNCTION("IFERROR(INDEX(FILTER('cost master'!$E:$E,('cost master'!$B:$B=C400)*('cost master'!$D:$D=""Storage cost per pallet / week"")*('cost master'!$G:$G&lt;=B400)*(('cost master'!$H:$H&gt;=B400)+ISBLANK('cost master'!$H:$H))),1),0)"),2.6)</f>
        <v>2.6</v>
      </c>
      <c r="I400" s="3">
        <f t="shared" si="4"/>
        <v>0</v>
      </c>
      <c r="J400" s="27">
        <f t="shared" si="5"/>
        <v>45732</v>
      </c>
      <c r="K400" s="27">
        <f t="shared" si="6"/>
        <v>45762</v>
      </c>
    </row>
    <row r="401" hidden="1">
      <c r="A401" s="3" t="str">
        <f t="shared" si="3"/>
        <v>SL-20250324-4as-CS-CDS-001-4</v>
      </c>
      <c r="B401" s="2">
        <f t="array" ref="B401">INDEX(helper!$A$3:$A3996,ROUNDUP((ROW()-1)/COUNTA(helper!$D$3:$D3996),0))</f>
        <v>45740</v>
      </c>
      <c r="C401" s="5" t="str">
        <f t="array" ref="C401">IF(B401="","",INDEX(helper!$D$3:$D3996,MOD(ROW()-2,COUNTA(helper!$D$3:$D3996))+1))</f>
        <v>4as</v>
      </c>
      <c r="D401" s="3" t="str">
        <f t="array" ref="D401">IF(B401="","",INDEX(helper!$E$3:$E3996,MOD(ROW()-2,COUNTA(helper!$D$3:$D3996))+1))</f>
        <v>CS-CDS-001</v>
      </c>
      <c r="E401" s="3">
        <f t="array" ref="E401">IF(B401="","",INDEX(helper!$F$3:$F3996,MOD(ROW()-2,COUNTA(helper!$D$3:$D3996))+1))</f>
        <v>4</v>
      </c>
      <c r="F401" s="3">
        <f>IF(B401="","",SUMIFS('inventory ledger'!$H:$H,'inventory ledger'!$C:$C,C401,'inventory ledger'!$D:$D,D401,'inventory ledger'!$E:$E,E401,'inventory ledger'!$A:$A,"&lt;="&amp;B401+TIME(23,59,59))-SUMIFS('inventory ledger'!$I:$I,'inventory ledger'!$C:$C,C401,'inventory ledger'!$D:$D,D401,'inventory ledger'!$E:$E,E401,'inventory ledger'!$A:$A,"&lt;="&amp;B401+TIME(23,59,59)))</f>
        <v>64</v>
      </c>
      <c r="G401" s="3">
        <f>IFERROR(__xludf.DUMMYFUNCTION("IF(F401&lt;=0,0,IFERROR(ROUNDUP(F401/INDEX(FILTER('warehouse config'!$D:$D,('warehouse config'!$B:$B=C401)*('warehouse config'!$C:$C=D401)*('warehouse config'!$G:$G&lt;=B401)*(('warehouse config'!$H:$H&gt;=B401)+ISBLANK('warehouse config'!$H:$H))),1)),0))"),4.0)</f>
        <v>4</v>
      </c>
      <c r="H401" s="3">
        <f>IFERROR(__xludf.DUMMYFUNCTION("IFERROR(INDEX(FILTER('cost master'!$E:$E,('cost master'!$B:$B=C401)*('cost master'!$D:$D=""Storage cost per pallet / week"")*('cost master'!$G:$G&lt;=B401)*(('cost master'!$H:$H&gt;=B401)+ISBLANK('cost master'!$H:$H))),1),0)"),9.0)</f>
        <v>9</v>
      </c>
      <c r="I401" s="3">
        <f t="shared" si="4"/>
        <v>36</v>
      </c>
      <c r="J401" s="27">
        <f t="shared" si="5"/>
        <v>45732</v>
      </c>
      <c r="K401" s="27">
        <f t="shared" si="6"/>
        <v>45762</v>
      </c>
    </row>
    <row r="402" hidden="1">
      <c r="A402" s="3" t="str">
        <f t="shared" si="3"/>
        <v>SL-20250324-4as-CS-CDS-002-4</v>
      </c>
      <c r="B402" s="2">
        <f t="array" ref="B402">INDEX(helper!$A$3:$A3996,ROUNDUP((ROW()-1)/COUNTA(helper!$D$3:$D3996),0))</f>
        <v>45740</v>
      </c>
      <c r="C402" s="5" t="str">
        <f t="array" ref="C402">IF(B402="","",INDEX(helper!$D$3:$D3996,MOD(ROW()-2,COUNTA(helper!$D$3:$D3996))+1))</f>
        <v>4as</v>
      </c>
      <c r="D402" s="3" t="str">
        <f t="array" ref="D402">IF(B402="","",INDEX(helper!$E$3:$E3996,MOD(ROW()-2,COUNTA(helper!$D$3:$D3996))+1))</f>
        <v>CS-CDS-002</v>
      </c>
      <c r="E402" s="3">
        <f t="array" ref="E402">IF(B402="","",INDEX(helper!$F$3:$F3996,MOD(ROW()-2,COUNTA(helper!$D$3:$D3996))+1))</f>
        <v>4</v>
      </c>
      <c r="F402" s="3">
        <f>IF(B402="","",SUMIFS('inventory ledger'!$H:$H,'inventory ledger'!$C:$C,C402,'inventory ledger'!$D:$D,D402,'inventory ledger'!$E:$E,E402,'inventory ledger'!$A:$A,"&lt;="&amp;B402+TIME(23,59,59))-SUMIFS('inventory ledger'!$I:$I,'inventory ledger'!$C:$C,C402,'inventory ledger'!$D:$D,D402,'inventory ledger'!$E:$E,E402,'inventory ledger'!$A:$A,"&lt;="&amp;B402+TIME(23,59,59)))</f>
        <v>29</v>
      </c>
      <c r="G402" s="3">
        <f>IFERROR(__xludf.DUMMYFUNCTION("IF(F402&lt;=0,0,IFERROR(ROUNDUP(F402/INDEX(FILTER('warehouse config'!$D:$D,('warehouse config'!$B:$B=C402)*('warehouse config'!$C:$C=D402)*('warehouse config'!$G:$G&lt;=B402)*(('warehouse config'!$H:$H&gt;=B402)+ISBLANK('warehouse config'!$H:$H))),1)),0))"),2.0)</f>
        <v>2</v>
      </c>
      <c r="H402" s="3">
        <f>IFERROR(__xludf.DUMMYFUNCTION("IFERROR(INDEX(FILTER('cost master'!$E:$E,('cost master'!$B:$B=C402)*('cost master'!$D:$D=""Storage cost per pallet / week"")*('cost master'!$G:$G&lt;=B402)*(('cost master'!$H:$H&gt;=B402)+ISBLANK('cost master'!$H:$H))),1),0)"),9.0)</f>
        <v>9</v>
      </c>
      <c r="I402" s="3">
        <f t="shared" si="4"/>
        <v>18</v>
      </c>
      <c r="J402" s="27">
        <f t="shared" si="5"/>
        <v>45732</v>
      </c>
      <c r="K402" s="27">
        <f t="shared" si="6"/>
        <v>45762</v>
      </c>
    </row>
    <row r="403" hidden="1">
      <c r="A403" s="3" t="str">
        <f t="shared" si="3"/>
        <v>SL-20250324-Vglobal-CS 007-13</v>
      </c>
      <c r="B403" s="2">
        <f t="array" ref="B403">INDEX(helper!$A$3:$A3996,ROUNDUP((ROW()-1)/COUNTA(helper!$D$3:$D3996),0))</f>
        <v>45740</v>
      </c>
      <c r="C403" s="5" t="str">
        <f t="array" ref="C403">IF(B403="","",INDEX(helper!$D$3:$D3996,MOD(ROW()-2,COUNTA(helper!$D$3:$D3996))+1))</f>
        <v>Vglobal</v>
      </c>
      <c r="D403" s="3" t="str">
        <f t="array" ref="D403">IF(B403="","",INDEX(helper!$E$3:$E3996,MOD(ROW()-2,COUNTA(helper!$D$3:$D3996))+1))</f>
        <v>CS 007</v>
      </c>
      <c r="E403" s="3">
        <f t="array" ref="E403">IF(B403="","",INDEX(helper!$F$3:$F3996,MOD(ROW()-2,COUNTA(helper!$D$3:$D3996))+1))</f>
        <v>13</v>
      </c>
      <c r="F403" s="3">
        <f>IF(B403="","",SUMIFS('inventory ledger'!$H:$H,'inventory ledger'!$C:$C,C403,'inventory ledger'!$D:$D,D403,'inventory ledger'!$E:$E,E403,'inventory ledger'!$A:$A,"&lt;="&amp;B403+TIME(23,59,59))-SUMIFS('inventory ledger'!$I:$I,'inventory ledger'!$C:$C,C403,'inventory ledger'!$D:$D,D403,'inventory ledger'!$E:$E,E403,'inventory ledger'!$A:$A,"&lt;="&amp;B403+TIME(23,59,59)))</f>
        <v>285</v>
      </c>
      <c r="G403" s="3">
        <f>IFERROR(__xludf.DUMMYFUNCTION("IF(F403&lt;=0,0,IFERROR(ROUNDUP(F403/INDEX(FILTER('warehouse config'!$D:$D,('warehouse config'!$B:$B=C403)*('warehouse config'!$C:$C=D403)*('warehouse config'!$G:$G&lt;=B403)*(('warehouse config'!$H:$H&gt;=B403)+ISBLANK('warehouse config'!$H:$H))),1)),0))"),18.0)</f>
        <v>18</v>
      </c>
      <c r="H403" s="3">
        <f>IFERROR(__xludf.DUMMYFUNCTION("IFERROR(INDEX(FILTER('cost master'!$E:$E,('cost master'!$B:$B=C403)*('cost master'!$D:$D=""Storage cost per pallet / week"")*('cost master'!$G:$G&lt;=B403)*(('cost master'!$H:$H&gt;=B403)+ISBLANK('cost master'!$H:$H))),1),0)"),2.6)</f>
        <v>2.6</v>
      </c>
      <c r="I403" s="3">
        <f t="shared" si="4"/>
        <v>46.8</v>
      </c>
      <c r="J403" s="27">
        <f t="shared" si="5"/>
        <v>45732</v>
      </c>
      <c r="K403" s="27">
        <f t="shared" si="6"/>
        <v>45762</v>
      </c>
    </row>
    <row r="404" hidden="1">
      <c r="A404" s="3" t="str">
        <f t="shared" si="3"/>
        <v>SL-20250324-Vglobal-CS 011-13</v>
      </c>
      <c r="B404" s="2">
        <f t="array" ref="B404">INDEX(helper!$A$3:$A3996,ROUNDUP((ROW()-1)/COUNTA(helper!$D$3:$D3996),0))</f>
        <v>45740</v>
      </c>
      <c r="C404" s="5" t="str">
        <f t="array" ref="C404">IF(B404="","",INDEX(helper!$D$3:$D3996,MOD(ROW()-2,COUNTA(helper!$D$3:$D3996))+1))</f>
        <v>Vglobal</v>
      </c>
      <c r="D404" s="3" t="str">
        <f t="array" ref="D404">IF(B404="","",INDEX(helper!$E$3:$E3996,MOD(ROW()-2,COUNTA(helper!$D$3:$D3996))+1))</f>
        <v>CS 011</v>
      </c>
      <c r="E404" s="3">
        <f t="array" ref="E404">IF(B404="","",INDEX(helper!$F$3:$F3996,MOD(ROW()-2,COUNTA(helper!$D$3:$D3996))+1))</f>
        <v>13</v>
      </c>
      <c r="F404" s="3">
        <f>IF(B404="","",SUMIFS('inventory ledger'!$H:$H,'inventory ledger'!$C:$C,C404,'inventory ledger'!$D:$D,D404,'inventory ledger'!$E:$E,E404,'inventory ledger'!$A:$A,"&lt;="&amp;B404+TIME(23,59,59))-SUMIFS('inventory ledger'!$I:$I,'inventory ledger'!$C:$C,C404,'inventory ledger'!$D:$D,D404,'inventory ledger'!$E:$E,E404,'inventory ledger'!$A:$A,"&lt;="&amp;B404+TIME(23,59,59)))</f>
        <v>136</v>
      </c>
      <c r="G404" s="3">
        <f>IFERROR(__xludf.DUMMYFUNCTION("IF(F404&lt;=0,0,IFERROR(ROUNDUP(F404/INDEX(FILTER('warehouse config'!$D:$D,('warehouse config'!$B:$B=C404)*('warehouse config'!$C:$C=D404)*('warehouse config'!$G:$G&lt;=B404)*(('warehouse config'!$H:$H&gt;=B404)+ISBLANK('warehouse config'!$H:$H))),1)),0))"),7.0)</f>
        <v>7</v>
      </c>
      <c r="H404" s="3">
        <f>IFERROR(__xludf.DUMMYFUNCTION("IFERROR(INDEX(FILTER('cost master'!$E:$E,('cost master'!$B:$B=C404)*('cost master'!$D:$D=""Storage cost per pallet / week"")*('cost master'!$G:$G&lt;=B404)*(('cost master'!$H:$H&gt;=B404)+ISBLANK('cost master'!$H:$H))),1),0)"),2.6)</f>
        <v>2.6</v>
      </c>
      <c r="I404" s="3">
        <f t="shared" si="4"/>
        <v>18.2</v>
      </c>
      <c r="J404" s="27">
        <f t="shared" si="5"/>
        <v>45732</v>
      </c>
      <c r="K404" s="27">
        <f t="shared" si="6"/>
        <v>45762</v>
      </c>
    </row>
    <row r="405" hidden="1">
      <c r="A405" s="3" t="str">
        <f t="shared" si="3"/>
        <v>SL-20250324-Vglobal-CS 008-13</v>
      </c>
      <c r="B405" s="2">
        <f t="array" ref="B405">INDEX(helper!$A$3:$A3996,ROUNDUP((ROW()-1)/COUNTA(helper!$D$3:$D3996),0))</f>
        <v>45740</v>
      </c>
      <c r="C405" s="5" t="str">
        <f t="array" ref="C405">IF(B405="","",INDEX(helper!$D$3:$D3996,MOD(ROW()-2,COUNTA(helper!$D$3:$D3996))+1))</f>
        <v>Vglobal</v>
      </c>
      <c r="D405" s="3" t="str">
        <f t="array" ref="D405">IF(B405="","",INDEX(helper!$E$3:$E3996,MOD(ROW()-2,COUNTA(helper!$D$3:$D3996))+1))</f>
        <v>CS 008</v>
      </c>
      <c r="E405" s="3">
        <f t="array" ref="E405">IF(B405="","",INDEX(helper!$F$3:$F3996,MOD(ROW()-2,COUNTA(helper!$D$3:$D3996))+1))</f>
        <v>13</v>
      </c>
      <c r="F405" s="3">
        <f>IF(B405="","",SUMIFS('inventory ledger'!$H:$H,'inventory ledger'!$C:$C,C405,'inventory ledger'!$D:$D,D405,'inventory ledger'!$E:$E,E405,'inventory ledger'!$A:$A,"&lt;="&amp;B405+TIME(23,59,59))-SUMIFS('inventory ledger'!$I:$I,'inventory ledger'!$C:$C,C405,'inventory ledger'!$D:$D,D405,'inventory ledger'!$E:$E,E405,'inventory ledger'!$A:$A,"&lt;="&amp;B405+TIME(23,59,59)))</f>
        <v>20</v>
      </c>
      <c r="G405" s="3">
        <f>IFERROR(__xludf.DUMMYFUNCTION("IF(F405&lt;=0,0,IFERROR(ROUNDUP(F405/INDEX(FILTER('warehouse config'!$D:$D,('warehouse config'!$B:$B=C405)*('warehouse config'!$C:$C=D405)*('warehouse config'!$G:$G&lt;=B405)*(('warehouse config'!$H:$H&gt;=B405)+ISBLANK('warehouse config'!$H:$H))),1)),0))"),1.0)</f>
        <v>1</v>
      </c>
      <c r="H405" s="3">
        <f>IFERROR(__xludf.DUMMYFUNCTION("IFERROR(INDEX(FILTER('cost master'!$E:$E,('cost master'!$B:$B=C405)*('cost master'!$D:$D=""Storage cost per pallet / week"")*('cost master'!$G:$G&lt;=B405)*(('cost master'!$H:$H&gt;=B405)+ISBLANK('cost master'!$H:$H))),1),0)"),2.6)</f>
        <v>2.6</v>
      </c>
      <c r="I405" s="3">
        <f t="shared" si="4"/>
        <v>2.6</v>
      </c>
      <c r="J405" s="27">
        <f t="shared" si="5"/>
        <v>45732</v>
      </c>
      <c r="K405" s="27">
        <f t="shared" si="6"/>
        <v>45762</v>
      </c>
    </row>
    <row r="406" hidden="1">
      <c r="A406" s="3" t="str">
        <f t="shared" si="3"/>
        <v>SL-20250324-Vglobal-CS 010-13</v>
      </c>
      <c r="B406" s="2">
        <f t="array" ref="B406">INDEX(helper!$A$3:$A3996,ROUNDUP((ROW()-1)/COUNTA(helper!$D$3:$D3996),0))</f>
        <v>45740</v>
      </c>
      <c r="C406" s="5" t="str">
        <f t="array" ref="C406">IF(B406="","",INDEX(helper!$D$3:$D3996,MOD(ROW()-2,COUNTA(helper!$D$3:$D3996))+1))</f>
        <v>Vglobal</v>
      </c>
      <c r="D406" s="3" t="str">
        <f t="array" ref="D406">IF(B406="","",INDEX(helper!$E$3:$E3996,MOD(ROW()-2,COUNTA(helper!$D$3:$D3996))+1))</f>
        <v>CS 010</v>
      </c>
      <c r="E406" s="3">
        <f t="array" ref="E406">IF(B406="","",INDEX(helper!$F$3:$F3996,MOD(ROW()-2,COUNTA(helper!$D$3:$D3996))+1))</f>
        <v>13</v>
      </c>
      <c r="F406" s="3">
        <f>IF(B406="","",SUMIFS('inventory ledger'!$H:$H,'inventory ledger'!$C:$C,C406,'inventory ledger'!$D:$D,D406,'inventory ledger'!$E:$E,E406,'inventory ledger'!$A:$A,"&lt;="&amp;B406+TIME(23,59,59))-SUMIFS('inventory ledger'!$I:$I,'inventory ledger'!$C:$C,C406,'inventory ledger'!$D:$D,D406,'inventory ledger'!$E:$E,E406,'inventory ledger'!$A:$A,"&lt;="&amp;B406+TIME(23,59,59)))</f>
        <v>80</v>
      </c>
      <c r="G406" s="3">
        <f>IFERROR(__xludf.DUMMYFUNCTION("IF(F406&lt;=0,0,IFERROR(ROUNDUP(F406/INDEX(FILTER('warehouse config'!$D:$D,('warehouse config'!$B:$B=C406)*('warehouse config'!$C:$C=D406)*('warehouse config'!$G:$G&lt;=B406)*(('warehouse config'!$H:$H&gt;=B406)+ISBLANK('warehouse config'!$H:$H))),1)),0))"),4.0)</f>
        <v>4</v>
      </c>
      <c r="H406" s="3">
        <f>IFERROR(__xludf.DUMMYFUNCTION("IFERROR(INDEX(FILTER('cost master'!$E:$E,('cost master'!$B:$B=C406)*('cost master'!$D:$D=""Storage cost per pallet / week"")*('cost master'!$G:$G&lt;=B406)*(('cost master'!$H:$H&gt;=B406)+ISBLANK('cost master'!$H:$H))),1),0)"),2.6)</f>
        <v>2.6</v>
      </c>
      <c r="I406" s="3">
        <f t="shared" si="4"/>
        <v>10.4</v>
      </c>
      <c r="J406" s="27">
        <f t="shared" si="5"/>
        <v>45732</v>
      </c>
      <c r="K406" s="27">
        <f t="shared" si="6"/>
        <v>45762</v>
      </c>
    </row>
    <row r="407" hidden="1">
      <c r="A407" s="3" t="str">
        <f t="shared" si="3"/>
        <v>SL-20250324-Vglobal-CS 009-13</v>
      </c>
      <c r="B407" s="2">
        <f t="array" ref="B407">INDEX(helper!$A$3:$A3996,ROUNDUP((ROW()-1)/COUNTA(helper!$D$3:$D3996),0))</f>
        <v>45740</v>
      </c>
      <c r="C407" s="5" t="str">
        <f t="array" ref="C407">IF(B407="","",INDEX(helper!$D$3:$D3996,MOD(ROW()-2,COUNTA(helper!$D$3:$D3996))+1))</f>
        <v>Vglobal</v>
      </c>
      <c r="D407" s="3" t="str">
        <f t="array" ref="D407">IF(B407="","",INDEX(helper!$E$3:$E3996,MOD(ROW()-2,COUNTA(helper!$D$3:$D3996))+1))</f>
        <v>CS 009</v>
      </c>
      <c r="E407" s="3">
        <f t="array" ref="E407">IF(B407="","",INDEX(helper!$F$3:$F3996,MOD(ROW()-2,COUNTA(helper!$D$3:$D3996))+1))</f>
        <v>13</v>
      </c>
      <c r="F407" s="3">
        <f>IF(B407="","",SUMIFS('inventory ledger'!$H:$H,'inventory ledger'!$C:$C,C407,'inventory ledger'!$D:$D,D407,'inventory ledger'!$E:$E,E407,'inventory ledger'!$A:$A,"&lt;="&amp;B407+TIME(23,59,59))-SUMIFS('inventory ledger'!$I:$I,'inventory ledger'!$C:$C,C407,'inventory ledger'!$D:$D,D407,'inventory ledger'!$E:$E,E407,'inventory ledger'!$A:$A,"&lt;="&amp;B407+TIME(23,59,59)))</f>
        <v>0</v>
      </c>
      <c r="G407" s="3">
        <f>IFERROR(__xludf.DUMMYFUNCTION("IF(F407&lt;=0,0,IFERROR(ROUNDUP(F407/INDEX(FILTER('warehouse config'!$D:$D,('warehouse config'!$B:$B=C407)*('warehouse config'!$C:$C=D407)*('warehouse config'!$G:$G&lt;=B407)*(('warehouse config'!$H:$H&gt;=B407)+ISBLANK('warehouse config'!$H:$H))),1)),0))"),0.0)</f>
        <v>0</v>
      </c>
      <c r="H407" s="3">
        <f>IFERROR(__xludf.DUMMYFUNCTION("IFERROR(INDEX(FILTER('cost master'!$E:$E,('cost master'!$B:$B=C407)*('cost master'!$D:$D=""Storage cost per pallet / week"")*('cost master'!$G:$G&lt;=B407)*(('cost master'!$H:$H&gt;=B407)+ISBLANK('cost master'!$H:$H))),1),0)"),2.6)</f>
        <v>2.6</v>
      </c>
      <c r="I407" s="3">
        <f t="shared" si="4"/>
        <v>0</v>
      </c>
      <c r="J407" s="27">
        <f t="shared" si="5"/>
        <v>45732</v>
      </c>
      <c r="K407" s="27">
        <f t="shared" si="6"/>
        <v>45762</v>
      </c>
    </row>
    <row r="408" hidden="1">
      <c r="A408" s="3" t="str">
        <f t="shared" si="3"/>
        <v>SL-20250324-Vglobal-CS 012-13</v>
      </c>
      <c r="B408" s="2">
        <f t="array" ref="B408">INDEX(helper!$A$3:$A3996,ROUNDUP((ROW()-1)/COUNTA(helper!$D$3:$D3996),0))</f>
        <v>45740</v>
      </c>
      <c r="C408" s="5" t="str">
        <f t="array" ref="C408">IF(B408="","",INDEX(helper!$D$3:$D3996,MOD(ROW()-2,COUNTA(helper!$D$3:$D3996))+1))</f>
        <v>Vglobal</v>
      </c>
      <c r="D408" s="3" t="str">
        <f t="array" ref="D408">IF(B408="","",INDEX(helper!$E$3:$E3996,MOD(ROW()-2,COUNTA(helper!$D$3:$D3996))+1))</f>
        <v>CS 012</v>
      </c>
      <c r="E408" s="3">
        <f t="array" ref="E408">IF(B408="","",INDEX(helper!$F$3:$F3996,MOD(ROW()-2,COUNTA(helper!$D$3:$D3996))+1))</f>
        <v>13</v>
      </c>
      <c r="F408" s="3">
        <f>IF(B408="","",SUMIFS('inventory ledger'!$H:$H,'inventory ledger'!$C:$C,C408,'inventory ledger'!$D:$D,D408,'inventory ledger'!$E:$E,E408,'inventory ledger'!$A:$A,"&lt;="&amp;B408+TIME(23,59,59))-SUMIFS('inventory ledger'!$I:$I,'inventory ledger'!$C:$C,C408,'inventory ledger'!$D:$D,D408,'inventory ledger'!$E:$E,E408,'inventory ledger'!$A:$A,"&lt;="&amp;B408+TIME(23,59,59)))</f>
        <v>0</v>
      </c>
      <c r="G408" s="3">
        <f>IFERROR(__xludf.DUMMYFUNCTION("IF(F408&lt;=0,0,IFERROR(ROUNDUP(F408/INDEX(FILTER('warehouse config'!$D:$D,('warehouse config'!$B:$B=C408)*('warehouse config'!$C:$C=D408)*('warehouse config'!$G:$G&lt;=B408)*(('warehouse config'!$H:$H&gt;=B408)+ISBLANK('warehouse config'!$H:$H))),1)),0))"),0.0)</f>
        <v>0</v>
      </c>
      <c r="H408" s="3">
        <f>IFERROR(__xludf.DUMMYFUNCTION("IFERROR(INDEX(FILTER('cost master'!$E:$E,('cost master'!$B:$B=C408)*('cost master'!$D:$D=""Storage cost per pallet / week"")*('cost master'!$G:$G&lt;=B408)*(('cost master'!$H:$H&gt;=B408)+ISBLANK('cost master'!$H:$H))),1),0)"),2.6)</f>
        <v>2.6</v>
      </c>
      <c r="I408" s="3">
        <f t="shared" si="4"/>
        <v>0</v>
      </c>
      <c r="J408" s="27">
        <f t="shared" si="5"/>
        <v>45732</v>
      </c>
      <c r="K408" s="27">
        <f t="shared" si="6"/>
        <v>45762</v>
      </c>
    </row>
    <row r="409" hidden="1">
      <c r="A409" s="3" t="str">
        <f t="shared" si="3"/>
        <v>SL-20250324-FMC-CS 008-11</v>
      </c>
      <c r="B409" s="2">
        <f t="array" ref="B409">INDEX(helper!$A$3:$A3996,ROUNDUP((ROW()-1)/COUNTA(helper!$D$3:$D3996),0))</f>
        <v>45740</v>
      </c>
      <c r="C409" s="5" t="str">
        <f t="array" ref="C409">IF(B409="","",INDEX(helper!$D$3:$D3996,MOD(ROW()-2,COUNTA(helper!$D$3:$D3996))+1))</f>
        <v>FMC</v>
      </c>
      <c r="D409" s="3" t="str">
        <f t="array" ref="D409">IF(B409="","",INDEX(helper!$E$3:$E3996,MOD(ROW()-2,COUNTA(helper!$D$3:$D3996))+1))</f>
        <v>CS 008</v>
      </c>
      <c r="E409" s="3">
        <f t="array" ref="E409">IF(B409="","",INDEX(helper!$F$3:$F3996,MOD(ROW()-2,COUNTA(helper!$D$3:$D3996))+1))</f>
        <v>11</v>
      </c>
      <c r="F409" s="3">
        <f>IF(B409="","",SUMIFS('inventory ledger'!$H:$H,'inventory ledger'!$C:$C,C409,'inventory ledger'!$D:$D,D409,'inventory ledger'!$E:$E,E409,'inventory ledger'!$A:$A,"&lt;="&amp;B409+TIME(23,59,59))-SUMIFS('inventory ledger'!$I:$I,'inventory ledger'!$C:$C,C409,'inventory ledger'!$D:$D,D409,'inventory ledger'!$E:$E,E409,'inventory ledger'!$A:$A,"&lt;="&amp;B409+TIME(23,59,59)))</f>
        <v>0</v>
      </c>
      <c r="G409" s="3">
        <f>IFERROR(__xludf.DUMMYFUNCTION("IF(F409&lt;=0,0,IFERROR(ROUNDUP(F409/INDEX(FILTER('warehouse config'!$D:$D,('warehouse config'!$B:$B=C409)*('warehouse config'!$C:$C=D409)*('warehouse config'!$G:$G&lt;=B409)*(('warehouse config'!$H:$H&gt;=B409)+ISBLANK('warehouse config'!$H:$H))),1)),0))"),0.0)</f>
        <v>0</v>
      </c>
      <c r="H409" s="3">
        <f>IFERROR(__xludf.DUMMYFUNCTION("IFERROR(INDEX(FILTER('cost master'!$E:$E,('cost master'!$B:$B=C409)*('cost master'!$D:$D=""Storage cost per pallet / week"")*('cost master'!$G:$G&lt;=B409)*(('cost master'!$H:$H&gt;=B409)+ISBLANK('cost master'!$H:$H))),1),0)"),3.9)</f>
        <v>3.9</v>
      </c>
      <c r="I409" s="3">
        <f t="shared" si="4"/>
        <v>0</v>
      </c>
      <c r="J409" s="27">
        <f t="shared" si="5"/>
        <v>45732</v>
      </c>
      <c r="K409" s="27">
        <f t="shared" si="6"/>
        <v>45762</v>
      </c>
    </row>
    <row r="410" hidden="1">
      <c r="A410" s="3" t="str">
        <f t="shared" si="3"/>
        <v>SL-20250331-FMC-CS 007-8</v>
      </c>
      <c r="B410" s="2">
        <f t="array" ref="B410">INDEX(helper!$A$3:$A3996,ROUNDUP((ROW()-1)/COUNTA(helper!$D$3:$D3996),0))</f>
        <v>45747</v>
      </c>
      <c r="C410" s="5" t="str">
        <f t="array" ref="C410">IF(B410="","",INDEX(helper!$D$3:$D3996,MOD(ROW()-2,COUNTA(helper!$D$3:$D3996))+1))</f>
        <v>FMC</v>
      </c>
      <c r="D410" s="3" t="str">
        <f t="array" ref="D410">IF(B410="","",INDEX(helper!$E$3:$E3996,MOD(ROW()-2,COUNTA(helper!$D$3:$D3996))+1))</f>
        <v>CS 007</v>
      </c>
      <c r="E410" s="3">
        <f t="array" ref="E410">IF(B410="","",INDEX(helper!$F$3:$F3996,MOD(ROW()-2,COUNTA(helper!$D$3:$D3996))+1))</f>
        <v>8</v>
      </c>
      <c r="F410" s="3">
        <f>IF(B410="","",SUMIFS('inventory ledger'!$H:$H,'inventory ledger'!$C:$C,C410,'inventory ledger'!$D:$D,D410,'inventory ledger'!$E:$E,E410,'inventory ledger'!$A:$A,"&lt;="&amp;B410+TIME(23,59,59))-SUMIFS('inventory ledger'!$I:$I,'inventory ledger'!$C:$C,C410,'inventory ledger'!$D:$D,D410,'inventory ledger'!$E:$E,E410,'inventory ledger'!$A:$A,"&lt;="&amp;B410+TIME(23,59,59)))</f>
        <v>0</v>
      </c>
      <c r="G410" s="3">
        <f>IFERROR(__xludf.DUMMYFUNCTION("IF(F410&lt;=0,0,IFERROR(ROUNDUP(F410/INDEX(FILTER('warehouse config'!$D:$D,('warehouse config'!$B:$B=C410)*('warehouse config'!$C:$C=D410)*('warehouse config'!$G:$G&lt;=B410)*(('warehouse config'!$H:$H&gt;=B410)+ISBLANK('warehouse config'!$H:$H))),1)),0))"),0.0)</f>
        <v>0</v>
      </c>
      <c r="H410" s="3">
        <f>IFERROR(__xludf.DUMMYFUNCTION("IFERROR(INDEX(FILTER('cost master'!$E:$E,('cost master'!$B:$B=C410)*('cost master'!$D:$D=""Storage cost per pallet / week"")*('cost master'!$G:$G&lt;=B410)*(('cost master'!$H:$H&gt;=B410)+ISBLANK('cost master'!$H:$H))),1),0)"),3.9)</f>
        <v>3.9</v>
      </c>
      <c r="I410" s="3">
        <f t="shared" si="4"/>
        <v>0</v>
      </c>
      <c r="J410" s="27">
        <f t="shared" si="5"/>
        <v>45732</v>
      </c>
      <c r="K410" s="27">
        <f t="shared" si="6"/>
        <v>45762</v>
      </c>
    </row>
    <row r="411" hidden="1">
      <c r="A411" s="3" t="str">
        <f t="shared" si="3"/>
        <v>SL-20250331-FMC-CS 008-8</v>
      </c>
      <c r="B411" s="2">
        <f t="array" ref="B411">INDEX(helper!$A$3:$A3996,ROUNDUP((ROW()-1)/COUNTA(helper!$D$3:$D3996),0))</f>
        <v>45747</v>
      </c>
      <c r="C411" s="5" t="str">
        <f t="array" ref="C411">IF(B411="","",INDEX(helper!$D$3:$D3996,MOD(ROW()-2,COUNTA(helper!$D$3:$D3996))+1))</f>
        <v>FMC</v>
      </c>
      <c r="D411" s="3" t="str">
        <f t="array" ref="D411">IF(B411="","",INDEX(helper!$E$3:$E3996,MOD(ROW()-2,COUNTA(helper!$D$3:$D3996))+1))</f>
        <v>CS 008</v>
      </c>
      <c r="E411" s="3">
        <f t="array" ref="E411">IF(B411="","",INDEX(helper!$F$3:$F3996,MOD(ROW()-2,COUNTA(helper!$D$3:$D3996))+1))</f>
        <v>8</v>
      </c>
      <c r="F411" s="3">
        <f>IF(B411="","",SUMIFS('inventory ledger'!$H:$H,'inventory ledger'!$C:$C,C411,'inventory ledger'!$D:$D,D411,'inventory ledger'!$E:$E,E411,'inventory ledger'!$A:$A,"&lt;="&amp;B411+TIME(23,59,59))-SUMIFS('inventory ledger'!$I:$I,'inventory ledger'!$C:$C,C411,'inventory ledger'!$D:$D,D411,'inventory ledger'!$E:$E,E411,'inventory ledger'!$A:$A,"&lt;="&amp;B411+TIME(23,59,59)))</f>
        <v>0</v>
      </c>
      <c r="G411" s="3">
        <f>IFERROR(__xludf.DUMMYFUNCTION("IF(F411&lt;=0,0,IFERROR(ROUNDUP(F411/INDEX(FILTER('warehouse config'!$D:$D,('warehouse config'!$B:$B=C411)*('warehouse config'!$C:$C=D411)*('warehouse config'!$G:$G&lt;=B411)*(('warehouse config'!$H:$H&gt;=B411)+ISBLANK('warehouse config'!$H:$H))),1)),0))"),0.0)</f>
        <v>0</v>
      </c>
      <c r="H411" s="3">
        <f>IFERROR(__xludf.DUMMYFUNCTION("IFERROR(INDEX(FILTER('cost master'!$E:$E,('cost master'!$B:$B=C411)*('cost master'!$D:$D=""Storage cost per pallet / week"")*('cost master'!$G:$G&lt;=B411)*(('cost master'!$H:$H&gt;=B411)+ISBLANK('cost master'!$H:$H))),1),0)"),3.9)</f>
        <v>3.9</v>
      </c>
      <c r="I411" s="3">
        <f t="shared" si="4"/>
        <v>0</v>
      </c>
      <c r="J411" s="27">
        <f t="shared" si="5"/>
        <v>45732</v>
      </c>
      <c r="K411" s="27">
        <f t="shared" si="6"/>
        <v>45762</v>
      </c>
    </row>
    <row r="412" hidden="1">
      <c r="A412" s="3" t="str">
        <f t="shared" si="3"/>
        <v>SL-20250331-FMC-CS 009-8</v>
      </c>
      <c r="B412" s="2">
        <f t="array" ref="B412">INDEX(helper!$A$3:$A3996,ROUNDUP((ROW()-1)/COUNTA(helper!$D$3:$D3996),0))</f>
        <v>45747</v>
      </c>
      <c r="C412" s="5" t="str">
        <f t="array" ref="C412">IF(B412="","",INDEX(helper!$D$3:$D3996,MOD(ROW()-2,COUNTA(helper!$D$3:$D3996))+1))</f>
        <v>FMC</v>
      </c>
      <c r="D412" s="3" t="str">
        <f t="array" ref="D412">IF(B412="","",INDEX(helper!$E$3:$E3996,MOD(ROW()-2,COUNTA(helper!$D$3:$D3996))+1))</f>
        <v>CS 009</v>
      </c>
      <c r="E412" s="3">
        <f t="array" ref="E412">IF(B412="","",INDEX(helper!$F$3:$F3996,MOD(ROW()-2,COUNTA(helper!$D$3:$D3996))+1))</f>
        <v>8</v>
      </c>
      <c r="F412" s="3">
        <f>IF(B412="","",SUMIFS('inventory ledger'!$H:$H,'inventory ledger'!$C:$C,C412,'inventory ledger'!$D:$D,D412,'inventory ledger'!$E:$E,E412,'inventory ledger'!$A:$A,"&lt;="&amp;B412+TIME(23,59,59))-SUMIFS('inventory ledger'!$I:$I,'inventory ledger'!$C:$C,C412,'inventory ledger'!$D:$D,D412,'inventory ledger'!$E:$E,E412,'inventory ledger'!$A:$A,"&lt;="&amp;B412+TIME(23,59,59)))</f>
        <v>0</v>
      </c>
      <c r="G412" s="3">
        <f>IFERROR(__xludf.DUMMYFUNCTION("IF(F412&lt;=0,0,IFERROR(ROUNDUP(F412/INDEX(FILTER('warehouse config'!$D:$D,('warehouse config'!$B:$B=C412)*('warehouse config'!$C:$C=D412)*('warehouse config'!$G:$G&lt;=B412)*(('warehouse config'!$H:$H&gt;=B412)+ISBLANK('warehouse config'!$H:$H))),1)),0))"),0.0)</f>
        <v>0</v>
      </c>
      <c r="H412" s="3">
        <f>IFERROR(__xludf.DUMMYFUNCTION("IFERROR(INDEX(FILTER('cost master'!$E:$E,('cost master'!$B:$B=C412)*('cost master'!$D:$D=""Storage cost per pallet / week"")*('cost master'!$G:$G&lt;=B412)*(('cost master'!$H:$H&gt;=B412)+ISBLANK('cost master'!$H:$H))),1),0)"),3.9)</f>
        <v>3.9</v>
      </c>
      <c r="I412" s="3">
        <f t="shared" si="4"/>
        <v>0</v>
      </c>
      <c r="J412" s="27">
        <f t="shared" si="5"/>
        <v>45732</v>
      </c>
      <c r="K412" s="27">
        <f t="shared" si="6"/>
        <v>45762</v>
      </c>
    </row>
    <row r="413" hidden="1">
      <c r="A413" s="3" t="str">
        <f t="shared" si="3"/>
        <v>SL-20250331-FMC-CS 010-8</v>
      </c>
      <c r="B413" s="2">
        <f t="array" ref="B413">INDEX(helper!$A$3:$A3996,ROUNDUP((ROW()-1)/COUNTA(helper!$D$3:$D3996),0))</f>
        <v>45747</v>
      </c>
      <c r="C413" s="5" t="str">
        <f t="array" ref="C413">IF(B413="","",INDEX(helper!$D$3:$D3996,MOD(ROW()-2,COUNTA(helper!$D$3:$D3996))+1))</f>
        <v>FMC</v>
      </c>
      <c r="D413" s="3" t="str">
        <f t="array" ref="D413">IF(B413="","",INDEX(helper!$E$3:$E3996,MOD(ROW()-2,COUNTA(helper!$D$3:$D3996))+1))</f>
        <v>CS 010</v>
      </c>
      <c r="E413" s="3">
        <f t="array" ref="E413">IF(B413="","",INDEX(helper!$F$3:$F3996,MOD(ROW()-2,COUNTA(helper!$D$3:$D3996))+1))</f>
        <v>8</v>
      </c>
      <c r="F413" s="3">
        <f>IF(B413="","",SUMIFS('inventory ledger'!$H:$H,'inventory ledger'!$C:$C,C413,'inventory ledger'!$D:$D,D413,'inventory ledger'!$E:$E,E413,'inventory ledger'!$A:$A,"&lt;="&amp;B413+TIME(23,59,59))-SUMIFS('inventory ledger'!$I:$I,'inventory ledger'!$C:$C,C413,'inventory ledger'!$D:$D,D413,'inventory ledger'!$E:$E,E413,'inventory ledger'!$A:$A,"&lt;="&amp;B413+TIME(23,59,59)))</f>
        <v>0</v>
      </c>
      <c r="G413" s="3">
        <f>IFERROR(__xludf.DUMMYFUNCTION("IF(F413&lt;=0,0,IFERROR(ROUNDUP(F413/INDEX(FILTER('warehouse config'!$D:$D,('warehouse config'!$B:$B=C413)*('warehouse config'!$C:$C=D413)*('warehouse config'!$G:$G&lt;=B413)*(('warehouse config'!$H:$H&gt;=B413)+ISBLANK('warehouse config'!$H:$H))),1)),0))"),0.0)</f>
        <v>0</v>
      </c>
      <c r="H413" s="3">
        <f>IFERROR(__xludf.DUMMYFUNCTION("IFERROR(INDEX(FILTER('cost master'!$E:$E,('cost master'!$B:$B=C413)*('cost master'!$D:$D=""Storage cost per pallet / week"")*('cost master'!$G:$G&lt;=B413)*(('cost master'!$H:$H&gt;=B413)+ISBLANK('cost master'!$H:$H))),1),0)"),3.9)</f>
        <v>3.9</v>
      </c>
      <c r="I413" s="3">
        <f t="shared" si="4"/>
        <v>0</v>
      </c>
      <c r="J413" s="27">
        <f t="shared" si="5"/>
        <v>45732</v>
      </c>
      <c r="K413" s="27">
        <f t="shared" si="6"/>
        <v>45762</v>
      </c>
    </row>
    <row r="414" hidden="1">
      <c r="A414" s="3" t="str">
        <f t="shared" si="3"/>
        <v>SL-20250331-FMC-CS 007-9</v>
      </c>
      <c r="B414" s="2">
        <f t="array" ref="B414">INDEX(helper!$A$3:$A3996,ROUNDUP((ROW()-1)/COUNTA(helper!$D$3:$D3996),0))</f>
        <v>45747</v>
      </c>
      <c r="C414" s="5" t="str">
        <f t="array" ref="C414">IF(B414="","",INDEX(helper!$D$3:$D3996,MOD(ROW()-2,COUNTA(helper!$D$3:$D3996))+1))</f>
        <v>FMC</v>
      </c>
      <c r="D414" s="3" t="str">
        <f t="array" ref="D414">IF(B414="","",INDEX(helper!$E$3:$E3996,MOD(ROW()-2,COUNTA(helper!$D$3:$D3996))+1))</f>
        <v>CS 007</v>
      </c>
      <c r="E414" s="3">
        <f t="array" ref="E414">IF(B414="","",INDEX(helper!$F$3:$F3996,MOD(ROW()-2,COUNTA(helper!$D$3:$D3996))+1))</f>
        <v>9</v>
      </c>
      <c r="F414" s="3">
        <f>IF(B414="","",SUMIFS('inventory ledger'!$H:$H,'inventory ledger'!$C:$C,C414,'inventory ledger'!$D:$D,D414,'inventory ledger'!$E:$E,E414,'inventory ledger'!$A:$A,"&lt;="&amp;B414+TIME(23,59,59))-SUMIFS('inventory ledger'!$I:$I,'inventory ledger'!$C:$C,C414,'inventory ledger'!$D:$D,D414,'inventory ledger'!$E:$E,E414,'inventory ledger'!$A:$A,"&lt;="&amp;B414+TIME(23,59,59)))</f>
        <v>0</v>
      </c>
      <c r="G414" s="3">
        <f>IFERROR(__xludf.DUMMYFUNCTION("IF(F414&lt;=0,0,IFERROR(ROUNDUP(F414/INDEX(FILTER('warehouse config'!$D:$D,('warehouse config'!$B:$B=C414)*('warehouse config'!$C:$C=D414)*('warehouse config'!$G:$G&lt;=B414)*(('warehouse config'!$H:$H&gt;=B414)+ISBLANK('warehouse config'!$H:$H))),1)),0))"),0.0)</f>
        <v>0</v>
      </c>
      <c r="H414" s="3">
        <f>IFERROR(__xludf.DUMMYFUNCTION("IFERROR(INDEX(FILTER('cost master'!$E:$E,('cost master'!$B:$B=C414)*('cost master'!$D:$D=""Storage cost per pallet / week"")*('cost master'!$G:$G&lt;=B414)*(('cost master'!$H:$H&gt;=B414)+ISBLANK('cost master'!$H:$H))),1),0)"),3.9)</f>
        <v>3.9</v>
      </c>
      <c r="I414" s="3">
        <f t="shared" si="4"/>
        <v>0</v>
      </c>
      <c r="J414" s="27">
        <f t="shared" si="5"/>
        <v>45732</v>
      </c>
      <c r="K414" s="27">
        <f t="shared" si="6"/>
        <v>45762</v>
      </c>
    </row>
    <row r="415" hidden="1">
      <c r="A415" s="3" t="str">
        <f t="shared" si="3"/>
        <v>SL-20250331-FMC-CS 008-9</v>
      </c>
      <c r="B415" s="2">
        <f t="array" ref="B415">INDEX(helper!$A$3:$A3996,ROUNDUP((ROW()-1)/COUNTA(helper!$D$3:$D3996),0))</f>
        <v>45747</v>
      </c>
      <c r="C415" s="5" t="str">
        <f t="array" ref="C415">IF(B415="","",INDEX(helper!$D$3:$D3996,MOD(ROW()-2,COUNTA(helper!$D$3:$D3996))+1))</f>
        <v>FMC</v>
      </c>
      <c r="D415" s="3" t="str">
        <f t="array" ref="D415">IF(B415="","",INDEX(helper!$E$3:$E3996,MOD(ROW()-2,COUNTA(helper!$D$3:$D3996))+1))</f>
        <v>CS 008</v>
      </c>
      <c r="E415" s="3">
        <f t="array" ref="E415">IF(B415="","",INDEX(helper!$F$3:$F3996,MOD(ROW()-2,COUNTA(helper!$D$3:$D3996))+1))</f>
        <v>9</v>
      </c>
      <c r="F415" s="3">
        <f>IF(B415="","",SUMIFS('inventory ledger'!$H:$H,'inventory ledger'!$C:$C,C415,'inventory ledger'!$D:$D,D415,'inventory ledger'!$E:$E,E415,'inventory ledger'!$A:$A,"&lt;="&amp;B415+TIME(23,59,59))-SUMIFS('inventory ledger'!$I:$I,'inventory ledger'!$C:$C,C415,'inventory ledger'!$D:$D,D415,'inventory ledger'!$E:$E,E415,'inventory ledger'!$A:$A,"&lt;="&amp;B415+TIME(23,59,59)))</f>
        <v>14</v>
      </c>
      <c r="G415" s="3">
        <f>IFERROR(__xludf.DUMMYFUNCTION("IF(F415&lt;=0,0,IFERROR(ROUNDUP(F415/INDEX(FILTER('warehouse config'!$D:$D,('warehouse config'!$B:$B=C415)*('warehouse config'!$C:$C=D415)*('warehouse config'!$G:$G&lt;=B415)*(('warehouse config'!$H:$H&gt;=B415)+ISBLANK('warehouse config'!$H:$H))),1)),0))"),1.0)</f>
        <v>1</v>
      </c>
      <c r="H415" s="3">
        <f>IFERROR(__xludf.DUMMYFUNCTION("IFERROR(INDEX(FILTER('cost master'!$E:$E,('cost master'!$B:$B=C415)*('cost master'!$D:$D=""Storage cost per pallet / week"")*('cost master'!$G:$G&lt;=B415)*(('cost master'!$H:$H&gt;=B415)+ISBLANK('cost master'!$H:$H))),1),0)"),3.9)</f>
        <v>3.9</v>
      </c>
      <c r="I415" s="3">
        <f t="shared" si="4"/>
        <v>3.9</v>
      </c>
      <c r="J415" s="27">
        <f t="shared" si="5"/>
        <v>45732</v>
      </c>
      <c r="K415" s="27">
        <f t="shared" si="6"/>
        <v>45762</v>
      </c>
    </row>
    <row r="416" hidden="1">
      <c r="A416" s="3" t="str">
        <f t="shared" si="3"/>
        <v>SL-20250331-FMC-CS 009-9</v>
      </c>
      <c r="B416" s="2">
        <f t="array" ref="B416">INDEX(helper!$A$3:$A3996,ROUNDUP((ROW()-1)/COUNTA(helper!$D$3:$D3996),0))</f>
        <v>45747</v>
      </c>
      <c r="C416" s="5" t="str">
        <f t="array" ref="C416">IF(B416="","",INDEX(helper!$D$3:$D3996,MOD(ROW()-2,COUNTA(helper!$D$3:$D3996))+1))</f>
        <v>FMC</v>
      </c>
      <c r="D416" s="3" t="str">
        <f t="array" ref="D416">IF(B416="","",INDEX(helper!$E$3:$E3996,MOD(ROW()-2,COUNTA(helper!$D$3:$D3996))+1))</f>
        <v>CS 009</v>
      </c>
      <c r="E416" s="3">
        <f t="array" ref="E416">IF(B416="","",INDEX(helper!$F$3:$F3996,MOD(ROW()-2,COUNTA(helper!$D$3:$D3996))+1))</f>
        <v>9</v>
      </c>
      <c r="F416" s="3">
        <f>IF(B416="","",SUMIFS('inventory ledger'!$H:$H,'inventory ledger'!$C:$C,C416,'inventory ledger'!$D:$D,D416,'inventory ledger'!$E:$E,E416,'inventory ledger'!$A:$A,"&lt;="&amp;B416+TIME(23,59,59))-SUMIFS('inventory ledger'!$I:$I,'inventory ledger'!$C:$C,C416,'inventory ledger'!$D:$D,D416,'inventory ledger'!$E:$E,E416,'inventory ledger'!$A:$A,"&lt;="&amp;B416+TIME(23,59,59)))</f>
        <v>0</v>
      </c>
      <c r="G416" s="3">
        <f>IFERROR(__xludf.DUMMYFUNCTION("IF(F416&lt;=0,0,IFERROR(ROUNDUP(F416/INDEX(FILTER('warehouse config'!$D:$D,('warehouse config'!$B:$B=C416)*('warehouse config'!$C:$C=D416)*('warehouse config'!$G:$G&lt;=B416)*(('warehouse config'!$H:$H&gt;=B416)+ISBLANK('warehouse config'!$H:$H))),1)),0))"),0.0)</f>
        <v>0</v>
      </c>
      <c r="H416" s="3">
        <f>IFERROR(__xludf.DUMMYFUNCTION("IFERROR(INDEX(FILTER('cost master'!$E:$E,('cost master'!$B:$B=C416)*('cost master'!$D:$D=""Storage cost per pallet / week"")*('cost master'!$G:$G&lt;=B416)*(('cost master'!$H:$H&gt;=B416)+ISBLANK('cost master'!$H:$H))),1),0)"),3.9)</f>
        <v>3.9</v>
      </c>
      <c r="I416" s="3">
        <f t="shared" si="4"/>
        <v>0</v>
      </c>
      <c r="J416" s="27">
        <f t="shared" si="5"/>
        <v>45732</v>
      </c>
      <c r="K416" s="27">
        <f t="shared" si="6"/>
        <v>45762</v>
      </c>
    </row>
    <row r="417" hidden="1">
      <c r="A417" s="3" t="str">
        <f t="shared" si="3"/>
        <v>SL-20250331-FMC-CS 010-9</v>
      </c>
      <c r="B417" s="2">
        <f t="array" ref="B417">INDEX(helper!$A$3:$A3996,ROUNDUP((ROW()-1)/COUNTA(helper!$D$3:$D3996),0))</f>
        <v>45747</v>
      </c>
      <c r="C417" s="5" t="str">
        <f t="array" ref="C417">IF(B417="","",INDEX(helper!$D$3:$D3996,MOD(ROW()-2,COUNTA(helper!$D$3:$D3996))+1))</f>
        <v>FMC</v>
      </c>
      <c r="D417" s="3" t="str">
        <f t="array" ref="D417">IF(B417="","",INDEX(helper!$E$3:$E3996,MOD(ROW()-2,COUNTA(helper!$D$3:$D3996))+1))</f>
        <v>CS 010</v>
      </c>
      <c r="E417" s="3">
        <f t="array" ref="E417">IF(B417="","",INDEX(helper!$F$3:$F3996,MOD(ROW()-2,COUNTA(helper!$D$3:$D3996))+1))</f>
        <v>9</v>
      </c>
      <c r="F417" s="3">
        <f>IF(B417="","",SUMIFS('inventory ledger'!$H:$H,'inventory ledger'!$C:$C,C417,'inventory ledger'!$D:$D,D417,'inventory ledger'!$E:$E,E417,'inventory ledger'!$A:$A,"&lt;="&amp;B417+TIME(23,59,59))-SUMIFS('inventory ledger'!$I:$I,'inventory ledger'!$C:$C,C417,'inventory ledger'!$D:$D,D417,'inventory ledger'!$E:$E,E417,'inventory ledger'!$A:$A,"&lt;="&amp;B417+TIME(23,59,59)))</f>
        <v>0</v>
      </c>
      <c r="G417" s="3">
        <f>IFERROR(__xludf.DUMMYFUNCTION("IF(F417&lt;=0,0,IFERROR(ROUNDUP(F417/INDEX(FILTER('warehouse config'!$D:$D,('warehouse config'!$B:$B=C417)*('warehouse config'!$C:$C=D417)*('warehouse config'!$G:$G&lt;=B417)*(('warehouse config'!$H:$H&gt;=B417)+ISBLANK('warehouse config'!$H:$H))),1)),0))"),0.0)</f>
        <v>0</v>
      </c>
      <c r="H417" s="3">
        <f>IFERROR(__xludf.DUMMYFUNCTION("IFERROR(INDEX(FILTER('cost master'!$E:$E,('cost master'!$B:$B=C417)*('cost master'!$D:$D=""Storage cost per pallet / week"")*('cost master'!$G:$G&lt;=B417)*(('cost master'!$H:$H&gt;=B417)+ISBLANK('cost master'!$H:$H))),1),0)"),3.9)</f>
        <v>3.9</v>
      </c>
      <c r="I417" s="3">
        <f t="shared" si="4"/>
        <v>0</v>
      </c>
      <c r="J417" s="27">
        <f t="shared" si="5"/>
        <v>45732</v>
      </c>
      <c r="K417" s="27">
        <f t="shared" si="6"/>
        <v>45762</v>
      </c>
    </row>
    <row r="418" hidden="1">
      <c r="A418" s="3" t="str">
        <f t="shared" si="3"/>
        <v>SL-20250331-FMC-CS-CDS-001-9</v>
      </c>
      <c r="B418" s="2">
        <f t="array" ref="B418">INDEX(helper!$A$3:$A3996,ROUNDUP((ROW()-1)/COUNTA(helper!$D$3:$D3996),0))</f>
        <v>45747</v>
      </c>
      <c r="C418" s="5" t="str">
        <f t="array" ref="C418">IF(B418="","",INDEX(helper!$D$3:$D3996,MOD(ROW()-2,COUNTA(helper!$D$3:$D3996))+1))</f>
        <v>FMC</v>
      </c>
      <c r="D418" s="3" t="str">
        <f t="array" ref="D418">IF(B418="","",INDEX(helper!$E$3:$E3996,MOD(ROW()-2,COUNTA(helper!$D$3:$D3996))+1))</f>
        <v>CS-CDS-001</v>
      </c>
      <c r="E418" s="3">
        <f t="array" ref="E418">IF(B418="","",INDEX(helper!$F$3:$F3996,MOD(ROW()-2,COUNTA(helper!$D$3:$D3996))+1))</f>
        <v>9</v>
      </c>
      <c r="F418" s="3">
        <f>IF(B418="","",SUMIFS('inventory ledger'!$H:$H,'inventory ledger'!$C:$C,C418,'inventory ledger'!$D:$D,D418,'inventory ledger'!$E:$E,E418,'inventory ledger'!$A:$A,"&lt;="&amp;B418+TIME(23,59,59))-SUMIFS('inventory ledger'!$I:$I,'inventory ledger'!$C:$C,C418,'inventory ledger'!$D:$D,D418,'inventory ledger'!$E:$E,E418,'inventory ledger'!$A:$A,"&lt;="&amp;B418+TIME(23,59,59)))</f>
        <v>0</v>
      </c>
      <c r="G418" s="3">
        <f>IFERROR(__xludf.DUMMYFUNCTION("IF(F418&lt;=0,0,IFERROR(ROUNDUP(F418/INDEX(FILTER('warehouse config'!$D:$D,('warehouse config'!$B:$B=C418)*('warehouse config'!$C:$C=D418)*('warehouse config'!$G:$G&lt;=B418)*(('warehouse config'!$H:$H&gt;=B418)+ISBLANK('warehouse config'!$H:$H))),1)),0))"),0.0)</f>
        <v>0</v>
      </c>
      <c r="H418" s="3">
        <f>IFERROR(__xludf.DUMMYFUNCTION("IFERROR(INDEX(FILTER('cost master'!$E:$E,('cost master'!$B:$B=C418)*('cost master'!$D:$D=""Storage cost per pallet / week"")*('cost master'!$G:$G&lt;=B418)*(('cost master'!$H:$H&gt;=B418)+ISBLANK('cost master'!$H:$H))),1),0)"),3.9)</f>
        <v>3.9</v>
      </c>
      <c r="I418" s="3">
        <f t="shared" si="4"/>
        <v>0</v>
      </c>
      <c r="J418" s="27">
        <f t="shared" si="5"/>
        <v>45732</v>
      </c>
      <c r="K418" s="27">
        <f t="shared" si="6"/>
        <v>45762</v>
      </c>
    </row>
    <row r="419" hidden="1">
      <c r="A419" s="3" t="str">
        <f t="shared" si="3"/>
        <v>SL-20250331-FMC-CS-CDS-002-9</v>
      </c>
      <c r="B419" s="2">
        <f t="array" ref="B419">INDEX(helper!$A$3:$A3996,ROUNDUP((ROW()-1)/COUNTA(helper!$D$3:$D3996),0))</f>
        <v>45747</v>
      </c>
      <c r="C419" s="5" t="str">
        <f t="array" ref="C419">IF(B419="","",INDEX(helper!$D$3:$D3996,MOD(ROW()-2,COUNTA(helper!$D$3:$D3996))+1))</f>
        <v>FMC</v>
      </c>
      <c r="D419" s="3" t="str">
        <f t="array" ref="D419">IF(B419="","",INDEX(helper!$E$3:$E3996,MOD(ROW()-2,COUNTA(helper!$D$3:$D3996))+1))</f>
        <v>CS-CDS-002</v>
      </c>
      <c r="E419" s="3">
        <f t="array" ref="E419">IF(B419="","",INDEX(helper!$F$3:$F3996,MOD(ROW()-2,COUNTA(helper!$D$3:$D3996))+1))</f>
        <v>9</v>
      </c>
      <c r="F419" s="3">
        <f>IF(B419="","",SUMIFS('inventory ledger'!$H:$H,'inventory ledger'!$C:$C,C419,'inventory ledger'!$D:$D,D419,'inventory ledger'!$E:$E,E419,'inventory ledger'!$A:$A,"&lt;="&amp;B419+TIME(23,59,59))-SUMIFS('inventory ledger'!$I:$I,'inventory ledger'!$C:$C,C419,'inventory ledger'!$D:$D,D419,'inventory ledger'!$E:$E,E419,'inventory ledger'!$A:$A,"&lt;="&amp;B419+TIME(23,59,59)))</f>
        <v>0</v>
      </c>
      <c r="G419" s="3">
        <f>IFERROR(__xludf.DUMMYFUNCTION("IF(F419&lt;=0,0,IFERROR(ROUNDUP(F419/INDEX(FILTER('warehouse config'!$D:$D,('warehouse config'!$B:$B=C419)*('warehouse config'!$C:$C=D419)*('warehouse config'!$G:$G&lt;=B419)*(('warehouse config'!$H:$H&gt;=B419)+ISBLANK('warehouse config'!$H:$H))),1)),0))"),0.0)</f>
        <v>0</v>
      </c>
      <c r="H419" s="3">
        <f>IFERROR(__xludf.DUMMYFUNCTION("IFERROR(INDEX(FILTER('cost master'!$E:$E,('cost master'!$B:$B=C419)*('cost master'!$D:$D=""Storage cost per pallet / week"")*('cost master'!$G:$G&lt;=B419)*(('cost master'!$H:$H&gt;=B419)+ISBLANK('cost master'!$H:$H))),1),0)"),3.9)</f>
        <v>3.9</v>
      </c>
      <c r="I419" s="3">
        <f t="shared" si="4"/>
        <v>0</v>
      </c>
      <c r="J419" s="27">
        <f t="shared" si="5"/>
        <v>45732</v>
      </c>
      <c r="K419" s="27">
        <f t="shared" si="6"/>
        <v>45762</v>
      </c>
    </row>
    <row r="420" hidden="1">
      <c r="A420" s="3" t="str">
        <f t="shared" si="3"/>
        <v>SL-20250331-FMC-CS 007-10</v>
      </c>
      <c r="B420" s="2">
        <f t="array" ref="B420">INDEX(helper!$A$3:$A3996,ROUNDUP((ROW()-1)/COUNTA(helper!$D$3:$D3996),0))</f>
        <v>45747</v>
      </c>
      <c r="C420" s="5" t="str">
        <f t="array" ref="C420">IF(B420="","",INDEX(helper!$D$3:$D3996,MOD(ROW()-2,COUNTA(helper!$D$3:$D3996))+1))</f>
        <v>FMC</v>
      </c>
      <c r="D420" s="3" t="str">
        <f t="array" ref="D420">IF(B420="","",INDEX(helper!$E$3:$E3996,MOD(ROW()-2,COUNTA(helper!$D$3:$D3996))+1))</f>
        <v>CS 007</v>
      </c>
      <c r="E420" s="3">
        <f t="array" ref="E420">IF(B420="","",INDEX(helper!$F$3:$F3996,MOD(ROW()-2,COUNTA(helper!$D$3:$D3996))+1))</f>
        <v>10</v>
      </c>
      <c r="F420" s="3">
        <f>IF(B420="","",SUMIFS('inventory ledger'!$H:$H,'inventory ledger'!$C:$C,C420,'inventory ledger'!$D:$D,D420,'inventory ledger'!$E:$E,E420,'inventory ledger'!$A:$A,"&lt;="&amp;B420+TIME(23,59,59))-SUMIFS('inventory ledger'!$I:$I,'inventory ledger'!$C:$C,C420,'inventory ledger'!$D:$D,D420,'inventory ledger'!$E:$E,E420,'inventory ledger'!$A:$A,"&lt;="&amp;B420+TIME(23,59,59)))</f>
        <v>0</v>
      </c>
      <c r="G420" s="3">
        <f>IFERROR(__xludf.DUMMYFUNCTION("IF(F420&lt;=0,0,IFERROR(ROUNDUP(F420/INDEX(FILTER('warehouse config'!$D:$D,('warehouse config'!$B:$B=C420)*('warehouse config'!$C:$C=D420)*('warehouse config'!$G:$G&lt;=B420)*(('warehouse config'!$H:$H&gt;=B420)+ISBLANK('warehouse config'!$H:$H))),1)),0))"),0.0)</f>
        <v>0</v>
      </c>
      <c r="H420" s="3">
        <f>IFERROR(__xludf.DUMMYFUNCTION("IFERROR(INDEX(FILTER('cost master'!$E:$E,('cost master'!$B:$B=C420)*('cost master'!$D:$D=""Storage cost per pallet / week"")*('cost master'!$G:$G&lt;=B420)*(('cost master'!$H:$H&gt;=B420)+ISBLANK('cost master'!$H:$H))),1),0)"),3.9)</f>
        <v>3.9</v>
      </c>
      <c r="I420" s="3">
        <f t="shared" si="4"/>
        <v>0</v>
      </c>
      <c r="J420" s="27">
        <f t="shared" si="5"/>
        <v>45732</v>
      </c>
      <c r="K420" s="27">
        <f t="shared" si="6"/>
        <v>45762</v>
      </c>
    </row>
    <row r="421" hidden="1">
      <c r="A421" s="3" t="str">
        <f t="shared" si="3"/>
        <v>SL-20250331-FMC-CS 009-10</v>
      </c>
      <c r="B421" s="2">
        <f t="array" ref="B421">INDEX(helper!$A$3:$A3996,ROUNDUP((ROW()-1)/COUNTA(helper!$D$3:$D3996),0))</f>
        <v>45747</v>
      </c>
      <c r="C421" s="5" t="str">
        <f t="array" ref="C421">IF(B421="","",INDEX(helper!$D$3:$D3996,MOD(ROW()-2,COUNTA(helper!$D$3:$D3996))+1))</f>
        <v>FMC</v>
      </c>
      <c r="D421" s="3" t="str">
        <f t="array" ref="D421">IF(B421="","",INDEX(helper!$E$3:$E3996,MOD(ROW()-2,COUNTA(helper!$D$3:$D3996))+1))</f>
        <v>CS 009</v>
      </c>
      <c r="E421" s="3">
        <f t="array" ref="E421">IF(B421="","",INDEX(helper!$F$3:$F3996,MOD(ROW()-2,COUNTA(helper!$D$3:$D3996))+1))</f>
        <v>10</v>
      </c>
      <c r="F421" s="3">
        <f>IF(B421="","",SUMIFS('inventory ledger'!$H:$H,'inventory ledger'!$C:$C,C421,'inventory ledger'!$D:$D,D421,'inventory ledger'!$E:$E,E421,'inventory ledger'!$A:$A,"&lt;="&amp;B421+TIME(23,59,59))-SUMIFS('inventory ledger'!$I:$I,'inventory ledger'!$C:$C,C421,'inventory ledger'!$D:$D,D421,'inventory ledger'!$E:$E,E421,'inventory ledger'!$A:$A,"&lt;="&amp;B421+TIME(23,59,59)))</f>
        <v>0</v>
      </c>
      <c r="G421" s="3">
        <f>IFERROR(__xludf.DUMMYFUNCTION("IF(F421&lt;=0,0,IFERROR(ROUNDUP(F421/INDEX(FILTER('warehouse config'!$D:$D,('warehouse config'!$B:$B=C421)*('warehouse config'!$C:$C=D421)*('warehouse config'!$G:$G&lt;=B421)*(('warehouse config'!$H:$H&gt;=B421)+ISBLANK('warehouse config'!$H:$H))),1)),0))"),0.0)</f>
        <v>0</v>
      </c>
      <c r="H421" s="3">
        <f>IFERROR(__xludf.DUMMYFUNCTION("IFERROR(INDEX(FILTER('cost master'!$E:$E,('cost master'!$B:$B=C421)*('cost master'!$D:$D=""Storage cost per pallet / week"")*('cost master'!$G:$G&lt;=B421)*(('cost master'!$H:$H&gt;=B421)+ISBLANK('cost master'!$H:$H))),1),0)"),3.9)</f>
        <v>3.9</v>
      </c>
      <c r="I421" s="3">
        <f t="shared" si="4"/>
        <v>0</v>
      </c>
      <c r="J421" s="27">
        <f t="shared" si="5"/>
        <v>45732</v>
      </c>
      <c r="K421" s="27">
        <f t="shared" si="6"/>
        <v>45762</v>
      </c>
    </row>
    <row r="422" hidden="1">
      <c r="A422" s="3" t="str">
        <f t="shared" si="3"/>
        <v>SL-20250331-FMC-CS 010-10</v>
      </c>
      <c r="B422" s="2">
        <f t="array" ref="B422">INDEX(helper!$A$3:$A3996,ROUNDUP((ROW()-1)/COUNTA(helper!$D$3:$D3996),0))</f>
        <v>45747</v>
      </c>
      <c r="C422" s="5" t="str">
        <f t="array" ref="C422">IF(B422="","",INDEX(helper!$D$3:$D3996,MOD(ROW()-2,COUNTA(helper!$D$3:$D3996))+1))</f>
        <v>FMC</v>
      </c>
      <c r="D422" s="3" t="str">
        <f t="array" ref="D422">IF(B422="","",INDEX(helper!$E$3:$E3996,MOD(ROW()-2,COUNTA(helper!$D$3:$D3996))+1))</f>
        <v>CS 010</v>
      </c>
      <c r="E422" s="3">
        <f t="array" ref="E422">IF(B422="","",INDEX(helper!$F$3:$F3996,MOD(ROW()-2,COUNTA(helper!$D$3:$D3996))+1))</f>
        <v>10</v>
      </c>
      <c r="F422" s="3">
        <f>IF(B422="","",SUMIFS('inventory ledger'!$H:$H,'inventory ledger'!$C:$C,C422,'inventory ledger'!$D:$D,D422,'inventory ledger'!$E:$E,E422,'inventory ledger'!$A:$A,"&lt;="&amp;B422+TIME(23,59,59))-SUMIFS('inventory ledger'!$I:$I,'inventory ledger'!$C:$C,C422,'inventory ledger'!$D:$D,D422,'inventory ledger'!$E:$E,E422,'inventory ledger'!$A:$A,"&lt;="&amp;B422+TIME(23,59,59)))</f>
        <v>26</v>
      </c>
      <c r="G422" s="3">
        <f>IFERROR(__xludf.DUMMYFUNCTION("IF(F422&lt;=0,0,IFERROR(ROUNDUP(F422/INDEX(FILTER('warehouse config'!$D:$D,('warehouse config'!$B:$B=C422)*('warehouse config'!$C:$C=D422)*('warehouse config'!$G:$G&lt;=B422)*(('warehouse config'!$H:$H&gt;=B422)+ISBLANK('warehouse config'!$H:$H))),1)),0))"),1.0)</f>
        <v>1</v>
      </c>
      <c r="H422" s="3">
        <f>IFERROR(__xludf.DUMMYFUNCTION("IFERROR(INDEX(FILTER('cost master'!$E:$E,('cost master'!$B:$B=C422)*('cost master'!$D:$D=""Storage cost per pallet / week"")*('cost master'!$G:$G&lt;=B422)*(('cost master'!$H:$H&gt;=B422)+ISBLANK('cost master'!$H:$H))),1),0)"),3.9)</f>
        <v>3.9</v>
      </c>
      <c r="I422" s="3">
        <f t="shared" si="4"/>
        <v>3.9</v>
      </c>
      <c r="J422" s="27">
        <f t="shared" si="5"/>
        <v>45732</v>
      </c>
      <c r="K422" s="27">
        <f t="shared" si="6"/>
        <v>45762</v>
      </c>
    </row>
    <row r="423" hidden="1">
      <c r="A423" s="3" t="str">
        <f t="shared" si="3"/>
        <v>SL-20250331-FMC-CS-CDS-001-10</v>
      </c>
      <c r="B423" s="2">
        <f t="array" ref="B423">INDEX(helper!$A$3:$A3996,ROUNDUP((ROW()-1)/COUNTA(helper!$D$3:$D3996),0))</f>
        <v>45747</v>
      </c>
      <c r="C423" s="5" t="str">
        <f t="array" ref="C423">IF(B423="","",INDEX(helper!$D$3:$D3996,MOD(ROW()-2,COUNTA(helper!$D$3:$D3996))+1))</f>
        <v>FMC</v>
      </c>
      <c r="D423" s="3" t="str">
        <f t="array" ref="D423">IF(B423="","",INDEX(helper!$E$3:$E3996,MOD(ROW()-2,COUNTA(helper!$D$3:$D3996))+1))</f>
        <v>CS-CDS-001</v>
      </c>
      <c r="E423" s="3">
        <f t="array" ref="E423">IF(B423="","",INDEX(helper!$F$3:$F3996,MOD(ROW()-2,COUNTA(helper!$D$3:$D3996))+1))</f>
        <v>10</v>
      </c>
      <c r="F423" s="3">
        <f>IF(B423="","",SUMIFS('inventory ledger'!$H:$H,'inventory ledger'!$C:$C,C423,'inventory ledger'!$D:$D,D423,'inventory ledger'!$E:$E,E423,'inventory ledger'!$A:$A,"&lt;="&amp;B423+TIME(23,59,59))-SUMIFS('inventory ledger'!$I:$I,'inventory ledger'!$C:$C,C423,'inventory ledger'!$D:$D,D423,'inventory ledger'!$E:$E,E423,'inventory ledger'!$A:$A,"&lt;="&amp;B423+TIME(23,59,59)))</f>
        <v>0</v>
      </c>
      <c r="G423" s="3">
        <f>IFERROR(__xludf.DUMMYFUNCTION("IF(F423&lt;=0,0,IFERROR(ROUNDUP(F423/INDEX(FILTER('warehouse config'!$D:$D,('warehouse config'!$B:$B=C423)*('warehouse config'!$C:$C=D423)*('warehouse config'!$G:$G&lt;=B423)*(('warehouse config'!$H:$H&gt;=B423)+ISBLANK('warehouse config'!$H:$H))),1)),0))"),0.0)</f>
        <v>0</v>
      </c>
      <c r="H423" s="3">
        <f>IFERROR(__xludf.DUMMYFUNCTION("IFERROR(INDEX(FILTER('cost master'!$E:$E,('cost master'!$B:$B=C423)*('cost master'!$D:$D=""Storage cost per pallet / week"")*('cost master'!$G:$G&lt;=B423)*(('cost master'!$H:$H&gt;=B423)+ISBLANK('cost master'!$H:$H))),1),0)"),3.9)</f>
        <v>3.9</v>
      </c>
      <c r="I423" s="3">
        <f t="shared" si="4"/>
        <v>0</v>
      </c>
      <c r="J423" s="27">
        <f t="shared" si="5"/>
        <v>45732</v>
      </c>
      <c r="K423" s="27">
        <f t="shared" si="6"/>
        <v>45762</v>
      </c>
    </row>
    <row r="424" hidden="1">
      <c r="A424" s="3" t="str">
        <f t="shared" si="3"/>
        <v>SL-20250331-FMC-CS 007-11</v>
      </c>
      <c r="B424" s="2">
        <f t="array" ref="B424">INDEX(helper!$A$3:$A3996,ROUNDUP((ROW()-1)/COUNTA(helper!$D$3:$D3996),0))</f>
        <v>45747</v>
      </c>
      <c r="C424" s="5" t="str">
        <f t="array" ref="C424">IF(B424="","",INDEX(helper!$D$3:$D3996,MOD(ROW()-2,COUNTA(helper!$D$3:$D3996))+1))</f>
        <v>FMC</v>
      </c>
      <c r="D424" s="3" t="str">
        <f t="array" ref="D424">IF(B424="","",INDEX(helper!$E$3:$E3996,MOD(ROW()-2,COUNTA(helper!$D$3:$D3996))+1))</f>
        <v>CS 007</v>
      </c>
      <c r="E424" s="3">
        <f t="array" ref="E424">IF(B424="","",INDEX(helper!$F$3:$F3996,MOD(ROW()-2,COUNTA(helper!$D$3:$D3996))+1))</f>
        <v>11</v>
      </c>
      <c r="F424" s="3">
        <f>IF(B424="","",SUMIFS('inventory ledger'!$H:$H,'inventory ledger'!$C:$C,C424,'inventory ledger'!$D:$D,D424,'inventory ledger'!$E:$E,E424,'inventory ledger'!$A:$A,"&lt;="&amp;B424+TIME(23,59,59))-SUMIFS('inventory ledger'!$I:$I,'inventory ledger'!$C:$C,C424,'inventory ledger'!$D:$D,D424,'inventory ledger'!$E:$E,E424,'inventory ledger'!$A:$A,"&lt;="&amp;B424+TIME(23,59,59)))</f>
        <v>0</v>
      </c>
      <c r="G424" s="3">
        <f>IFERROR(__xludf.DUMMYFUNCTION("IF(F424&lt;=0,0,IFERROR(ROUNDUP(F424/INDEX(FILTER('warehouse config'!$D:$D,('warehouse config'!$B:$B=C424)*('warehouse config'!$C:$C=D424)*('warehouse config'!$G:$G&lt;=B424)*(('warehouse config'!$H:$H&gt;=B424)+ISBLANK('warehouse config'!$H:$H))),1)),0))"),0.0)</f>
        <v>0</v>
      </c>
      <c r="H424" s="3">
        <f>IFERROR(__xludf.DUMMYFUNCTION("IFERROR(INDEX(FILTER('cost master'!$E:$E,('cost master'!$B:$B=C424)*('cost master'!$D:$D=""Storage cost per pallet / week"")*('cost master'!$G:$G&lt;=B424)*(('cost master'!$H:$H&gt;=B424)+ISBLANK('cost master'!$H:$H))),1),0)"),3.9)</f>
        <v>3.9</v>
      </c>
      <c r="I424" s="3">
        <f t="shared" si="4"/>
        <v>0</v>
      </c>
      <c r="J424" s="27">
        <f t="shared" si="5"/>
        <v>45732</v>
      </c>
      <c r="K424" s="27">
        <f t="shared" si="6"/>
        <v>45762</v>
      </c>
    </row>
    <row r="425" hidden="1">
      <c r="A425" s="3" t="str">
        <f t="shared" si="3"/>
        <v>SL-20250331-FMC-CS 009-11</v>
      </c>
      <c r="B425" s="2">
        <f t="array" ref="B425">INDEX(helper!$A$3:$A3996,ROUNDUP((ROW()-1)/COUNTA(helper!$D$3:$D3996),0))</f>
        <v>45747</v>
      </c>
      <c r="C425" s="5" t="str">
        <f t="array" ref="C425">IF(B425="","",INDEX(helper!$D$3:$D3996,MOD(ROW()-2,COUNTA(helper!$D$3:$D3996))+1))</f>
        <v>FMC</v>
      </c>
      <c r="D425" s="3" t="str">
        <f t="array" ref="D425">IF(B425="","",INDEX(helper!$E$3:$E3996,MOD(ROW()-2,COUNTA(helper!$D$3:$D3996))+1))</f>
        <v>CS 009</v>
      </c>
      <c r="E425" s="3">
        <f t="array" ref="E425">IF(B425="","",INDEX(helper!$F$3:$F3996,MOD(ROW()-2,COUNTA(helper!$D$3:$D3996))+1))</f>
        <v>11</v>
      </c>
      <c r="F425" s="3">
        <f>IF(B425="","",SUMIFS('inventory ledger'!$H:$H,'inventory ledger'!$C:$C,C425,'inventory ledger'!$D:$D,D425,'inventory ledger'!$E:$E,E425,'inventory ledger'!$A:$A,"&lt;="&amp;B425+TIME(23,59,59))-SUMIFS('inventory ledger'!$I:$I,'inventory ledger'!$C:$C,C425,'inventory ledger'!$D:$D,D425,'inventory ledger'!$E:$E,E425,'inventory ledger'!$A:$A,"&lt;="&amp;B425+TIME(23,59,59)))</f>
        <v>0</v>
      </c>
      <c r="G425" s="3">
        <f>IFERROR(__xludf.DUMMYFUNCTION("IF(F425&lt;=0,0,IFERROR(ROUNDUP(F425/INDEX(FILTER('warehouse config'!$D:$D,('warehouse config'!$B:$B=C425)*('warehouse config'!$C:$C=D425)*('warehouse config'!$G:$G&lt;=B425)*(('warehouse config'!$H:$H&gt;=B425)+ISBLANK('warehouse config'!$H:$H))),1)),0))"),0.0)</f>
        <v>0</v>
      </c>
      <c r="H425" s="3">
        <f>IFERROR(__xludf.DUMMYFUNCTION("IFERROR(INDEX(FILTER('cost master'!$E:$E,('cost master'!$B:$B=C425)*('cost master'!$D:$D=""Storage cost per pallet / week"")*('cost master'!$G:$G&lt;=B425)*(('cost master'!$H:$H&gt;=B425)+ISBLANK('cost master'!$H:$H))),1),0)"),3.9)</f>
        <v>3.9</v>
      </c>
      <c r="I425" s="3">
        <f t="shared" si="4"/>
        <v>0</v>
      </c>
      <c r="J425" s="27">
        <f t="shared" si="5"/>
        <v>45732</v>
      </c>
      <c r="K425" s="27">
        <f t="shared" si="6"/>
        <v>45762</v>
      </c>
    </row>
    <row r="426" hidden="1">
      <c r="A426" s="3" t="str">
        <f t="shared" si="3"/>
        <v>SL-20250331-FMC-CS 010-11</v>
      </c>
      <c r="B426" s="2">
        <f t="array" ref="B426">INDEX(helper!$A$3:$A3996,ROUNDUP((ROW()-1)/COUNTA(helper!$D$3:$D3996),0))</f>
        <v>45747</v>
      </c>
      <c r="C426" s="5" t="str">
        <f t="array" ref="C426">IF(B426="","",INDEX(helper!$D$3:$D3996,MOD(ROW()-2,COUNTA(helper!$D$3:$D3996))+1))</f>
        <v>FMC</v>
      </c>
      <c r="D426" s="3" t="str">
        <f t="array" ref="D426">IF(B426="","",INDEX(helper!$E$3:$E3996,MOD(ROW()-2,COUNTA(helper!$D$3:$D3996))+1))</f>
        <v>CS 010</v>
      </c>
      <c r="E426" s="3">
        <f t="array" ref="E426">IF(B426="","",INDEX(helper!$F$3:$F3996,MOD(ROW()-2,COUNTA(helper!$D$3:$D3996))+1))</f>
        <v>11</v>
      </c>
      <c r="F426" s="3">
        <f>IF(B426="","",SUMIFS('inventory ledger'!$H:$H,'inventory ledger'!$C:$C,C426,'inventory ledger'!$D:$D,D426,'inventory ledger'!$E:$E,E426,'inventory ledger'!$A:$A,"&lt;="&amp;B426+TIME(23,59,59))-SUMIFS('inventory ledger'!$I:$I,'inventory ledger'!$C:$C,C426,'inventory ledger'!$D:$D,D426,'inventory ledger'!$E:$E,E426,'inventory ledger'!$A:$A,"&lt;="&amp;B426+TIME(23,59,59)))</f>
        <v>46</v>
      </c>
      <c r="G426" s="3">
        <f>IFERROR(__xludf.DUMMYFUNCTION("IF(F426&lt;=0,0,IFERROR(ROUNDUP(F426/INDEX(FILTER('warehouse config'!$D:$D,('warehouse config'!$B:$B=C426)*('warehouse config'!$C:$C=D426)*('warehouse config'!$G:$G&lt;=B426)*(('warehouse config'!$H:$H&gt;=B426)+ISBLANK('warehouse config'!$H:$H))),1)),0))"),2.0)</f>
        <v>2</v>
      </c>
      <c r="H426" s="3">
        <f>IFERROR(__xludf.DUMMYFUNCTION("IFERROR(INDEX(FILTER('cost master'!$E:$E,('cost master'!$B:$B=C426)*('cost master'!$D:$D=""Storage cost per pallet / week"")*('cost master'!$G:$G&lt;=B426)*(('cost master'!$H:$H&gt;=B426)+ISBLANK('cost master'!$H:$H))),1),0)"),3.9)</f>
        <v>3.9</v>
      </c>
      <c r="I426" s="3">
        <f t="shared" si="4"/>
        <v>7.8</v>
      </c>
      <c r="J426" s="27">
        <f t="shared" si="5"/>
        <v>45732</v>
      </c>
      <c r="K426" s="27">
        <f t="shared" si="6"/>
        <v>45762</v>
      </c>
    </row>
    <row r="427" hidden="1">
      <c r="A427" s="3" t="str">
        <f t="shared" si="3"/>
        <v>SL-20250331-Vglobal-CS 007-12</v>
      </c>
      <c r="B427" s="2">
        <f t="array" ref="B427">INDEX(helper!$A$3:$A3996,ROUNDUP((ROW()-1)/COUNTA(helper!$D$3:$D3996),0))</f>
        <v>45747</v>
      </c>
      <c r="C427" s="5" t="str">
        <f t="array" ref="C427">IF(B427="","",INDEX(helper!$D$3:$D3996,MOD(ROW()-2,COUNTA(helper!$D$3:$D3996))+1))</f>
        <v>Vglobal</v>
      </c>
      <c r="D427" s="3" t="str">
        <f t="array" ref="D427">IF(B427="","",INDEX(helper!$E$3:$E3996,MOD(ROW()-2,COUNTA(helper!$D$3:$D3996))+1))</f>
        <v>CS 007</v>
      </c>
      <c r="E427" s="3">
        <f t="array" ref="E427">IF(B427="","",INDEX(helper!$F$3:$F3996,MOD(ROW()-2,COUNTA(helper!$D$3:$D3996))+1))</f>
        <v>12</v>
      </c>
      <c r="F427" s="3">
        <f>IF(B427="","",SUMIFS('inventory ledger'!$H:$H,'inventory ledger'!$C:$C,C427,'inventory ledger'!$D:$D,D427,'inventory ledger'!$E:$E,E427,'inventory ledger'!$A:$A,"&lt;="&amp;B427+TIME(23,59,59))-SUMIFS('inventory ledger'!$I:$I,'inventory ledger'!$C:$C,C427,'inventory ledger'!$D:$D,D427,'inventory ledger'!$E:$E,E427,'inventory ledger'!$A:$A,"&lt;="&amp;B427+TIME(23,59,59)))</f>
        <v>66</v>
      </c>
      <c r="G427" s="3">
        <f>IFERROR(__xludf.DUMMYFUNCTION("IF(F427&lt;=0,0,IFERROR(ROUNDUP(F427/INDEX(FILTER('warehouse config'!$D:$D,('warehouse config'!$B:$B=C427)*('warehouse config'!$C:$C=D427)*('warehouse config'!$G:$G&lt;=B427)*(('warehouse config'!$H:$H&gt;=B427)+ISBLANK('warehouse config'!$H:$H))),1)),0))"),5.0)</f>
        <v>5</v>
      </c>
      <c r="H427" s="3">
        <f>IFERROR(__xludf.DUMMYFUNCTION("IFERROR(INDEX(FILTER('cost master'!$E:$E,('cost master'!$B:$B=C427)*('cost master'!$D:$D=""Storage cost per pallet / week"")*('cost master'!$G:$G&lt;=B427)*(('cost master'!$H:$H&gt;=B427)+ISBLANK('cost master'!$H:$H))),1),0)"),2.6)</f>
        <v>2.6</v>
      </c>
      <c r="I427" s="3">
        <f t="shared" si="4"/>
        <v>13</v>
      </c>
      <c r="J427" s="27">
        <f t="shared" si="5"/>
        <v>45732</v>
      </c>
      <c r="K427" s="27">
        <f t="shared" si="6"/>
        <v>45762</v>
      </c>
    </row>
    <row r="428" hidden="1">
      <c r="A428" s="3" t="str">
        <f t="shared" si="3"/>
        <v>SL-20250331-Vglobal-CS 011-12</v>
      </c>
      <c r="B428" s="2">
        <f t="array" ref="B428">INDEX(helper!$A$3:$A3996,ROUNDUP((ROW()-1)/COUNTA(helper!$D$3:$D3996),0))</f>
        <v>45747</v>
      </c>
      <c r="C428" s="5" t="str">
        <f t="array" ref="C428">IF(B428="","",INDEX(helper!$D$3:$D3996,MOD(ROW()-2,COUNTA(helper!$D$3:$D3996))+1))</f>
        <v>Vglobal</v>
      </c>
      <c r="D428" s="3" t="str">
        <f t="array" ref="D428">IF(B428="","",INDEX(helper!$E$3:$E3996,MOD(ROW()-2,COUNTA(helper!$D$3:$D3996))+1))</f>
        <v>CS 011</v>
      </c>
      <c r="E428" s="3">
        <f t="array" ref="E428">IF(B428="","",INDEX(helper!$F$3:$F3996,MOD(ROW()-2,COUNTA(helper!$D$3:$D3996))+1))</f>
        <v>12</v>
      </c>
      <c r="F428" s="3">
        <f>IF(B428="","",SUMIFS('inventory ledger'!$H:$H,'inventory ledger'!$C:$C,C428,'inventory ledger'!$D:$D,D428,'inventory ledger'!$E:$E,E428,'inventory ledger'!$A:$A,"&lt;="&amp;B428+TIME(23,59,59))-SUMIFS('inventory ledger'!$I:$I,'inventory ledger'!$C:$C,C428,'inventory ledger'!$D:$D,D428,'inventory ledger'!$E:$E,E428,'inventory ledger'!$A:$A,"&lt;="&amp;B428+TIME(23,59,59)))</f>
        <v>0</v>
      </c>
      <c r="G428" s="3">
        <f>IFERROR(__xludf.DUMMYFUNCTION("IF(F428&lt;=0,0,IFERROR(ROUNDUP(F428/INDEX(FILTER('warehouse config'!$D:$D,('warehouse config'!$B:$B=C428)*('warehouse config'!$C:$C=D428)*('warehouse config'!$G:$G&lt;=B428)*(('warehouse config'!$H:$H&gt;=B428)+ISBLANK('warehouse config'!$H:$H))),1)),0))"),0.0)</f>
        <v>0</v>
      </c>
      <c r="H428" s="3">
        <f>IFERROR(__xludf.DUMMYFUNCTION("IFERROR(INDEX(FILTER('cost master'!$E:$E,('cost master'!$B:$B=C428)*('cost master'!$D:$D=""Storage cost per pallet / week"")*('cost master'!$G:$G&lt;=B428)*(('cost master'!$H:$H&gt;=B428)+ISBLANK('cost master'!$H:$H))),1),0)"),2.6)</f>
        <v>2.6</v>
      </c>
      <c r="I428" s="3">
        <f t="shared" si="4"/>
        <v>0</v>
      </c>
      <c r="J428" s="27">
        <f t="shared" si="5"/>
        <v>45732</v>
      </c>
      <c r="K428" s="27">
        <f t="shared" si="6"/>
        <v>45762</v>
      </c>
    </row>
    <row r="429" hidden="1">
      <c r="A429" s="3" t="str">
        <f t="shared" si="3"/>
        <v>SL-20250331-Vglobal-CS 008-12</v>
      </c>
      <c r="B429" s="2">
        <f t="array" ref="B429">INDEX(helper!$A$3:$A3996,ROUNDUP((ROW()-1)/COUNTA(helper!$D$3:$D3996),0))</f>
        <v>45747</v>
      </c>
      <c r="C429" s="5" t="str">
        <f t="array" ref="C429">IF(B429="","",INDEX(helper!$D$3:$D3996,MOD(ROW()-2,COUNTA(helper!$D$3:$D3996))+1))</f>
        <v>Vglobal</v>
      </c>
      <c r="D429" s="3" t="str">
        <f t="array" ref="D429">IF(B429="","",INDEX(helper!$E$3:$E3996,MOD(ROW()-2,COUNTA(helper!$D$3:$D3996))+1))</f>
        <v>CS 008</v>
      </c>
      <c r="E429" s="3">
        <f t="array" ref="E429">IF(B429="","",INDEX(helper!$F$3:$F3996,MOD(ROW()-2,COUNTA(helper!$D$3:$D3996))+1))</f>
        <v>12</v>
      </c>
      <c r="F429" s="3">
        <f>IF(B429="","",SUMIFS('inventory ledger'!$H:$H,'inventory ledger'!$C:$C,C429,'inventory ledger'!$D:$D,D429,'inventory ledger'!$E:$E,E429,'inventory ledger'!$A:$A,"&lt;="&amp;B429+TIME(23,59,59))-SUMIFS('inventory ledger'!$I:$I,'inventory ledger'!$C:$C,C429,'inventory ledger'!$D:$D,D429,'inventory ledger'!$E:$E,E429,'inventory ledger'!$A:$A,"&lt;="&amp;B429+TIME(23,59,59)))</f>
        <v>0</v>
      </c>
      <c r="G429" s="3">
        <f>IFERROR(__xludf.DUMMYFUNCTION("IF(F429&lt;=0,0,IFERROR(ROUNDUP(F429/INDEX(FILTER('warehouse config'!$D:$D,('warehouse config'!$B:$B=C429)*('warehouse config'!$C:$C=D429)*('warehouse config'!$G:$G&lt;=B429)*(('warehouse config'!$H:$H&gt;=B429)+ISBLANK('warehouse config'!$H:$H))),1)),0))"),0.0)</f>
        <v>0</v>
      </c>
      <c r="H429" s="3">
        <f>IFERROR(__xludf.DUMMYFUNCTION("IFERROR(INDEX(FILTER('cost master'!$E:$E,('cost master'!$B:$B=C429)*('cost master'!$D:$D=""Storage cost per pallet / week"")*('cost master'!$G:$G&lt;=B429)*(('cost master'!$H:$H&gt;=B429)+ISBLANK('cost master'!$H:$H))),1),0)"),2.6)</f>
        <v>2.6</v>
      </c>
      <c r="I429" s="3">
        <f t="shared" si="4"/>
        <v>0</v>
      </c>
      <c r="J429" s="27">
        <f t="shared" si="5"/>
        <v>45732</v>
      </c>
      <c r="K429" s="27">
        <f t="shared" si="6"/>
        <v>45762</v>
      </c>
    </row>
    <row r="430" hidden="1">
      <c r="A430" s="3" t="str">
        <f t="shared" si="3"/>
        <v>SL-20250331-Vglobal-CS 010-12</v>
      </c>
      <c r="B430" s="2">
        <f t="array" ref="B430">INDEX(helper!$A$3:$A3996,ROUNDUP((ROW()-1)/COUNTA(helper!$D$3:$D3996),0))</f>
        <v>45747</v>
      </c>
      <c r="C430" s="5" t="str">
        <f t="array" ref="C430">IF(B430="","",INDEX(helper!$D$3:$D3996,MOD(ROW()-2,COUNTA(helper!$D$3:$D3996))+1))</f>
        <v>Vglobal</v>
      </c>
      <c r="D430" s="3" t="str">
        <f t="array" ref="D430">IF(B430="","",INDEX(helper!$E$3:$E3996,MOD(ROW()-2,COUNTA(helper!$D$3:$D3996))+1))</f>
        <v>CS 010</v>
      </c>
      <c r="E430" s="3">
        <f t="array" ref="E430">IF(B430="","",INDEX(helper!$F$3:$F3996,MOD(ROW()-2,COUNTA(helper!$D$3:$D3996))+1))</f>
        <v>12</v>
      </c>
      <c r="F430" s="3">
        <f>IF(B430="","",SUMIFS('inventory ledger'!$H:$H,'inventory ledger'!$C:$C,C430,'inventory ledger'!$D:$D,D430,'inventory ledger'!$E:$E,E430,'inventory ledger'!$A:$A,"&lt;="&amp;B430+TIME(23,59,59))-SUMIFS('inventory ledger'!$I:$I,'inventory ledger'!$C:$C,C430,'inventory ledger'!$D:$D,D430,'inventory ledger'!$E:$E,E430,'inventory ledger'!$A:$A,"&lt;="&amp;B430+TIME(23,59,59)))</f>
        <v>70</v>
      </c>
      <c r="G430" s="3">
        <f>IFERROR(__xludf.DUMMYFUNCTION("IF(F430&lt;=0,0,IFERROR(ROUNDUP(F430/INDEX(FILTER('warehouse config'!$D:$D,('warehouse config'!$B:$B=C430)*('warehouse config'!$C:$C=D430)*('warehouse config'!$G:$G&lt;=B430)*(('warehouse config'!$H:$H&gt;=B430)+ISBLANK('warehouse config'!$H:$H))),1)),0))"),3.0)</f>
        <v>3</v>
      </c>
      <c r="H430" s="3">
        <f>IFERROR(__xludf.DUMMYFUNCTION("IFERROR(INDEX(FILTER('cost master'!$E:$E,('cost master'!$B:$B=C430)*('cost master'!$D:$D=""Storage cost per pallet / week"")*('cost master'!$G:$G&lt;=B430)*(('cost master'!$H:$H&gt;=B430)+ISBLANK('cost master'!$H:$H))),1),0)"),2.6)</f>
        <v>2.6</v>
      </c>
      <c r="I430" s="3">
        <f t="shared" si="4"/>
        <v>7.8</v>
      </c>
      <c r="J430" s="27">
        <f t="shared" si="5"/>
        <v>45732</v>
      </c>
      <c r="K430" s="27">
        <f t="shared" si="6"/>
        <v>45762</v>
      </c>
    </row>
    <row r="431" hidden="1">
      <c r="A431" s="3" t="str">
        <f t="shared" si="3"/>
        <v>SL-20250331-Vglobal-CS 009-12</v>
      </c>
      <c r="B431" s="2">
        <f t="array" ref="B431">INDEX(helper!$A$3:$A3996,ROUNDUP((ROW()-1)/COUNTA(helper!$D$3:$D3996),0))</f>
        <v>45747</v>
      </c>
      <c r="C431" s="5" t="str">
        <f t="array" ref="C431">IF(B431="","",INDEX(helper!$D$3:$D3996,MOD(ROW()-2,COUNTA(helper!$D$3:$D3996))+1))</f>
        <v>Vglobal</v>
      </c>
      <c r="D431" s="3" t="str">
        <f t="array" ref="D431">IF(B431="","",INDEX(helper!$E$3:$E3996,MOD(ROW()-2,COUNTA(helper!$D$3:$D3996))+1))</f>
        <v>CS 009</v>
      </c>
      <c r="E431" s="3">
        <f t="array" ref="E431">IF(B431="","",INDEX(helper!$F$3:$F3996,MOD(ROW()-2,COUNTA(helper!$D$3:$D3996))+1))</f>
        <v>12</v>
      </c>
      <c r="F431" s="3">
        <f>IF(B431="","",SUMIFS('inventory ledger'!$H:$H,'inventory ledger'!$C:$C,C431,'inventory ledger'!$D:$D,D431,'inventory ledger'!$E:$E,E431,'inventory ledger'!$A:$A,"&lt;="&amp;B431+TIME(23,59,59))-SUMIFS('inventory ledger'!$I:$I,'inventory ledger'!$C:$C,C431,'inventory ledger'!$D:$D,D431,'inventory ledger'!$E:$E,E431,'inventory ledger'!$A:$A,"&lt;="&amp;B431+TIME(23,59,59)))</f>
        <v>0</v>
      </c>
      <c r="G431" s="3">
        <f>IFERROR(__xludf.DUMMYFUNCTION("IF(F431&lt;=0,0,IFERROR(ROUNDUP(F431/INDEX(FILTER('warehouse config'!$D:$D,('warehouse config'!$B:$B=C431)*('warehouse config'!$C:$C=D431)*('warehouse config'!$G:$G&lt;=B431)*(('warehouse config'!$H:$H&gt;=B431)+ISBLANK('warehouse config'!$H:$H))),1)),0))"),0.0)</f>
        <v>0</v>
      </c>
      <c r="H431" s="3">
        <f>IFERROR(__xludf.DUMMYFUNCTION("IFERROR(INDEX(FILTER('cost master'!$E:$E,('cost master'!$B:$B=C431)*('cost master'!$D:$D=""Storage cost per pallet / week"")*('cost master'!$G:$G&lt;=B431)*(('cost master'!$H:$H&gt;=B431)+ISBLANK('cost master'!$H:$H))),1),0)"),2.6)</f>
        <v>2.6</v>
      </c>
      <c r="I431" s="3">
        <f t="shared" si="4"/>
        <v>0</v>
      </c>
      <c r="J431" s="27">
        <f t="shared" si="5"/>
        <v>45732</v>
      </c>
      <c r="K431" s="27">
        <f t="shared" si="6"/>
        <v>45762</v>
      </c>
    </row>
    <row r="432" hidden="1">
      <c r="A432" s="3" t="str">
        <f t="shared" si="3"/>
        <v>SL-20250331-Vglobal-CS 012-12</v>
      </c>
      <c r="B432" s="2">
        <f t="array" ref="B432">INDEX(helper!$A$3:$A3996,ROUNDUP((ROW()-1)/COUNTA(helper!$D$3:$D3996),0))</f>
        <v>45747</v>
      </c>
      <c r="C432" s="5" t="str">
        <f t="array" ref="C432">IF(B432="","",INDEX(helper!$D$3:$D3996,MOD(ROW()-2,COUNTA(helper!$D$3:$D3996))+1))</f>
        <v>Vglobal</v>
      </c>
      <c r="D432" s="3" t="str">
        <f t="array" ref="D432">IF(B432="","",INDEX(helper!$E$3:$E3996,MOD(ROW()-2,COUNTA(helper!$D$3:$D3996))+1))</f>
        <v>CS 012</v>
      </c>
      <c r="E432" s="3">
        <f t="array" ref="E432">IF(B432="","",INDEX(helper!$F$3:$F3996,MOD(ROW()-2,COUNTA(helper!$D$3:$D3996))+1))</f>
        <v>12</v>
      </c>
      <c r="F432" s="3">
        <f>IF(B432="","",SUMIFS('inventory ledger'!$H:$H,'inventory ledger'!$C:$C,C432,'inventory ledger'!$D:$D,D432,'inventory ledger'!$E:$E,E432,'inventory ledger'!$A:$A,"&lt;="&amp;B432+TIME(23,59,59))-SUMIFS('inventory ledger'!$I:$I,'inventory ledger'!$C:$C,C432,'inventory ledger'!$D:$D,D432,'inventory ledger'!$E:$E,E432,'inventory ledger'!$A:$A,"&lt;="&amp;B432+TIME(23,59,59)))</f>
        <v>0</v>
      </c>
      <c r="G432" s="3">
        <f>IFERROR(__xludf.DUMMYFUNCTION("IF(F432&lt;=0,0,IFERROR(ROUNDUP(F432/INDEX(FILTER('warehouse config'!$D:$D,('warehouse config'!$B:$B=C432)*('warehouse config'!$C:$C=D432)*('warehouse config'!$G:$G&lt;=B432)*(('warehouse config'!$H:$H&gt;=B432)+ISBLANK('warehouse config'!$H:$H))),1)),0))"),0.0)</f>
        <v>0</v>
      </c>
      <c r="H432" s="3">
        <f>IFERROR(__xludf.DUMMYFUNCTION("IFERROR(INDEX(FILTER('cost master'!$E:$E,('cost master'!$B:$B=C432)*('cost master'!$D:$D=""Storage cost per pallet / week"")*('cost master'!$G:$G&lt;=B432)*(('cost master'!$H:$H&gt;=B432)+ISBLANK('cost master'!$H:$H))),1),0)"),2.6)</f>
        <v>2.6</v>
      </c>
      <c r="I432" s="3">
        <f t="shared" si="4"/>
        <v>0</v>
      </c>
      <c r="J432" s="27">
        <f t="shared" si="5"/>
        <v>45732</v>
      </c>
      <c r="K432" s="27">
        <f t="shared" si="6"/>
        <v>45762</v>
      </c>
    </row>
    <row r="433" hidden="1">
      <c r="A433" s="3" t="str">
        <f t="shared" si="3"/>
        <v>SL-20250331-Vglobal-CS-CDS-001-3</v>
      </c>
      <c r="B433" s="2">
        <f t="array" ref="B433">INDEX(helper!$A$3:$A3996,ROUNDUP((ROW()-1)/COUNTA(helper!$D$3:$D3996),0))</f>
        <v>45747</v>
      </c>
      <c r="C433" s="5" t="str">
        <f t="array" ref="C433">IF(B433="","",INDEX(helper!$D$3:$D3996,MOD(ROW()-2,COUNTA(helper!$D$3:$D3996))+1))</f>
        <v>Vglobal</v>
      </c>
      <c r="D433" s="3" t="str">
        <f t="array" ref="D433">IF(B433="","",INDEX(helper!$E$3:$E3996,MOD(ROW()-2,COUNTA(helper!$D$3:$D3996))+1))</f>
        <v>CS-CDS-001</v>
      </c>
      <c r="E433" s="3">
        <f t="array" ref="E433">IF(B433="","",INDEX(helper!$F$3:$F3996,MOD(ROW()-2,COUNTA(helper!$D$3:$D3996))+1))</f>
        <v>3</v>
      </c>
      <c r="F433" s="3">
        <f>IF(B433="","",SUMIFS('inventory ledger'!$H:$H,'inventory ledger'!$C:$C,C433,'inventory ledger'!$D:$D,D433,'inventory ledger'!$E:$E,E433,'inventory ledger'!$A:$A,"&lt;="&amp;B433+TIME(23,59,59))-SUMIFS('inventory ledger'!$I:$I,'inventory ledger'!$C:$C,C433,'inventory ledger'!$D:$D,D433,'inventory ledger'!$E:$E,E433,'inventory ledger'!$A:$A,"&lt;="&amp;B433+TIME(23,59,59)))</f>
        <v>1</v>
      </c>
      <c r="G433" s="3">
        <f>IFERROR(__xludf.DUMMYFUNCTION("IF(F433&lt;=0,0,IFERROR(ROUNDUP(F433/INDEX(FILTER('warehouse config'!$D:$D,('warehouse config'!$B:$B=C433)*('warehouse config'!$C:$C=D433)*('warehouse config'!$G:$G&lt;=B433)*(('warehouse config'!$H:$H&gt;=B433)+ISBLANK('warehouse config'!$H:$H))),1)),0))"),1.0)</f>
        <v>1</v>
      </c>
      <c r="H433" s="3">
        <f>IFERROR(__xludf.DUMMYFUNCTION("IFERROR(INDEX(FILTER('cost master'!$E:$E,('cost master'!$B:$B=C433)*('cost master'!$D:$D=""Storage cost per pallet / week"")*('cost master'!$G:$G&lt;=B433)*(('cost master'!$H:$H&gt;=B433)+ISBLANK('cost master'!$H:$H))),1),0)"),2.6)</f>
        <v>2.6</v>
      </c>
      <c r="I433" s="3">
        <f t="shared" si="4"/>
        <v>2.6</v>
      </c>
      <c r="J433" s="27">
        <f t="shared" si="5"/>
        <v>45732</v>
      </c>
      <c r="K433" s="27">
        <f t="shared" si="6"/>
        <v>45762</v>
      </c>
    </row>
    <row r="434" hidden="1">
      <c r="A434" s="3" t="str">
        <f t="shared" si="3"/>
        <v>SL-20250331-Vglobal-CS-CDS-002-3</v>
      </c>
      <c r="B434" s="2">
        <f t="array" ref="B434">INDEX(helper!$A$3:$A3996,ROUNDUP((ROW()-1)/COUNTA(helper!$D$3:$D3996),0))</f>
        <v>45747</v>
      </c>
      <c r="C434" s="5" t="str">
        <f t="array" ref="C434">IF(B434="","",INDEX(helper!$D$3:$D3996,MOD(ROW()-2,COUNTA(helper!$D$3:$D3996))+1))</f>
        <v>Vglobal</v>
      </c>
      <c r="D434" s="3" t="str">
        <f t="array" ref="D434">IF(B434="","",INDEX(helper!$E$3:$E3996,MOD(ROW()-2,COUNTA(helper!$D$3:$D3996))+1))</f>
        <v>CS-CDS-002</v>
      </c>
      <c r="E434" s="3">
        <f t="array" ref="E434">IF(B434="","",INDEX(helper!$F$3:$F3996,MOD(ROW()-2,COUNTA(helper!$D$3:$D3996))+1))</f>
        <v>3</v>
      </c>
      <c r="F434" s="3">
        <f>IF(B434="","",SUMIFS('inventory ledger'!$H:$H,'inventory ledger'!$C:$C,C434,'inventory ledger'!$D:$D,D434,'inventory ledger'!$E:$E,E434,'inventory ledger'!$A:$A,"&lt;="&amp;B434+TIME(23,59,59))-SUMIFS('inventory ledger'!$I:$I,'inventory ledger'!$C:$C,C434,'inventory ledger'!$D:$D,D434,'inventory ledger'!$E:$E,E434,'inventory ledger'!$A:$A,"&lt;="&amp;B434+TIME(23,59,59)))</f>
        <v>0</v>
      </c>
      <c r="G434" s="3">
        <f>IFERROR(__xludf.DUMMYFUNCTION("IF(F434&lt;=0,0,IFERROR(ROUNDUP(F434/INDEX(FILTER('warehouse config'!$D:$D,('warehouse config'!$B:$B=C434)*('warehouse config'!$C:$C=D434)*('warehouse config'!$G:$G&lt;=B434)*(('warehouse config'!$H:$H&gt;=B434)+ISBLANK('warehouse config'!$H:$H))),1)),0))"),0.0)</f>
        <v>0</v>
      </c>
      <c r="H434" s="3">
        <f>IFERROR(__xludf.DUMMYFUNCTION("IFERROR(INDEX(FILTER('cost master'!$E:$E,('cost master'!$B:$B=C434)*('cost master'!$D:$D=""Storage cost per pallet / week"")*('cost master'!$G:$G&lt;=B434)*(('cost master'!$H:$H&gt;=B434)+ISBLANK('cost master'!$H:$H))),1),0)"),2.6)</f>
        <v>2.6</v>
      </c>
      <c r="I434" s="3">
        <f t="shared" si="4"/>
        <v>0</v>
      </c>
      <c r="J434" s="27">
        <f t="shared" si="5"/>
        <v>45732</v>
      </c>
      <c r="K434" s="27">
        <f t="shared" si="6"/>
        <v>45762</v>
      </c>
    </row>
    <row r="435" hidden="1">
      <c r="A435" s="3" t="str">
        <f t="shared" si="3"/>
        <v>SL-20250331-4as-CS-CDS-001-4</v>
      </c>
      <c r="B435" s="2">
        <f t="array" ref="B435">INDEX(helper!$A$3:$A3996,ROUNDUP((ROW()-1)/COUNTA(helper!$D$3:$D3996),0))</f>
        <v>45747</v>
      </c>
      <c r="C435" s="5" t="str">
        <f t="array" ref="C435">IF(B435="","",INDEX(helper!$D$3:$D3996,MOD(ROW()-2,COUNTA(helper!$D$3:$D3996))+1))</f>
        <v>4as</v>
      </c>
      <c r="D435" s="3" t="str">
        <f t="array" ref="D435">IF(B435="","",INDEX(helper!$E$3:$E3996,MOD(ROW()-2,COUNTA(helper!$D$3:$D3996))+1))</f>
        <v>CS-CDS-001</v>
      </c>
      <c r="E435" s="3">
        <f t="array" ref="E435">IF(B435="","",INDEX(helper!$F$3:$F3996,MOD(ROW()-2,COUNTA(helper!$D$3:$D3996))+1))</f>
        <v>4</v>
      </c>
      <c r="F435" s="3">
        <f>IF(B435="","",SUMIFS('inventory ledger'!$H:$H,'inventory ledger'!$C:$C,C435,'inventory ledger'!$D:$D,D435,'inventory ledger'!$E:$E,E435,'inventory ledger'!$A:$A,"&lt;="&amp;B435+TIME(23,59,59))-SUMIFS('inventory ledger'!$I:$I,'inventory ledger'!$C:$C,C435,'inventory ledger'!$D:$D,D435,'inventory ledger'!$E:$E,E435,'inventory ledger'!$A:$A,"&lt;="&amp;B435+TIME(23,59,59)))</f>
        <v>64</v>
      </c>
      <c r="G435" s="3">
        <f>IFERROR(__xludf.DUMMYFUNCTION("IF(F435&lt;=0,0,IFERROR(ROUNDUP(F435/INDEX(FILTER('warehouse config'!$D:$D,('warehouse config'!$B:$B=C435)*('warehouse config'!$C:$C=D435)*('warehouse config'!$G:$G&lt;=B435)*(('warehouse config'!$H:$H&gt;=B435)+ISBLANK('warehouse config'!$H:$H))),1)),0))"),4.0)</f>
        <v>4</v>
      </c>
      <c r="H435" s="3">
        <f>IFERROR(__xludf.DUMMYFUNCTION("IFERROR(INDEX(FILTER('cost master'!$E:$E,('cost master'!$B:$B=C435)*('cost master'!$D:$D=""Storage cost per pallet / week"")*('cost master'!$G:$G&lt;=B435)*(('cost master'!$H:$H&gt;=B435)+ISBLANK('cost master'!$H:$H))),1),0)"),9.0)</f>
        <v>9</v>
      </c>
      <c r="I435" s="3">
        <f t="shared" si="4"/>
        <v>36</v>
      </c>
      <c r="J435" s="27">
        <f t="shared" si="5"/>
        <v>45732</v>
      </c>
      <c r="K435" s="27">
        <f t="shared" si="6"/>
        <v>45762</v>
      </c>
    </row>
    <row r="436" hidden="1">
      <c r="A436" s="3" t="str">
        <f t="shared" si="3"/>
        <v>SL-20250331-4as-CS-CDS-002-4</v>
      </c>
      <c r="B436" s="2">
        <f t="array" ref="B436">INDEX(helper!$A$3:$A3996,ROUNDUP((ROW()-1)/COUNTA(helper!$D$3:$D3996),0))</f>
        <v>45747</v>
      </c>
      <c r="C436" s="5" t="str">
        <f t="array" ref="C436">IF(B436="","",INDEX(helper!$D$3:$D3996,MOD(ROW()-2,COUNTA(helper!$D$3:$D3996))+1))</f>
        <v>4as</v>
      </c>
      <c r="D436" s="3" t="str">
        <f t="array" ref="D436">IF(B436="","",INDEX(helper!$E$3:$E3996,MOD(ROW()-2,COUNTA(helper!$D$3:$D3996))+1))</f>
        <v>CS-CDS-002</v>
      </c>
      <c r="E436" s="3">
        <f t="array" ref="E436">IF(B436="","",INDEX(helper!$F$3:$F3996,MOD(ROW()-2,COUNTA(helper!$D$3:$D3996))+1))</f>
        <v>4</v>
      </c>
      <c r="F436" s="3">
        <f>IF(B436="","",SUMIFS('inventory ledger'!$H:$H,'inventory ledger'!$C:$C,C436,'inventory ledger'!$D:$D,D436,'inventory ledger'!$E:$E,E436,'inventory ledger'!$A:$A,"&lt;="&amp;B436+TIME(23,59,59))-SUMIFS('inventory ledger'!$I:$I,'inventory ledger'!$C:$C,C436,'inventory ledger'!$D:$D,D436,'inventory ledger'!$E:$E,E436,'inventory ledger'!$A:$A,"&lt;="&amp;B436+TIME(23,59,59)))</f>
        <v>29</v>
      </c>
      <c r="G436" s="3">
        <f>IFERROR(__xludf.DUMMYFUNCTION("IF(F436&lt;=0,0,IFERROR(ROUNDUP(F436/INDEX(FILTER('warehouse config'!$D:$D,('warehouse config'!$B:$B=C436)*('warehouse config'!$C:$C=D436)*('warehouse config'!$G:$G&lt;=B436)*(('warehouse config'!$H:$H&gt;=B436)+ISBLANK('warehouse config'!$H:$H))),1)),0))"),2.0)</f>
        <v>2</v>
      </c>
      <c r="H436" s="3">
        <f>IFERROR(__xludf.DUMMYFUNCTION("IFERROR(INDEX(FILTER('cost master'!$E:$E,('cost master'!$B:$B=C436)*('cost master'!$D:$D=""Storage cost per pallet / week"")*('cost master'!$G:$G&lt;=B436)*(('cost master'!$H:$H&gt;=B436)+ISBLANK('cost master'!$H:$H))),1),0)"),9.0)</f>
        <v>9</v>
      </c>
      <c r="I436" s="3">
        <f t="shared" si="4"/>
        <v>18</v>
      </c>
      <c r="J436" s="27">
        <f t="shared" si="5"/>
        <v>45732</v>
      </c>
      <c r="K436" s="27">
        <f t="shared" si="6"/>
        <v>45762</v>
      </c>
    </row>
    <row r="437" hidden="1">
      <c r="A437" s="3" t="str">
        <f t="shared" si="3"/>
        <v>SL-20250331-Vglobal-CS 007-13</v>
      </c>
      <c r="B437" s="2">
        <f t="array" ref="B437">INDEX(helper!$A$3:$A3996,ROUNDUP((ROW()-1)/COUNTA(helper!$D$3:$D3996),0))</f>
        <v>45747</v>
      </c>
      <c r="C437" s="5" t="str">
        <f t="array" ref="C437">IF(B437="","",INDEX(helper!$D$3:$D3996,MOD(ROW()-2,COUNTA(helper!$D$3:$D3996))+1))</f>
        <v>Vglobal</v>
      </c>
      <c r="D437" s="3" t="str">
        <f t="array" ref="D437">IF(B437="","",INDEX(helper!$E$3:$E3996,MOD(ROW()-2,COUNTA(helper!$D$3:$D3996))+1))</f>
        <v>CS 007</v>
      </c>
      <c r="E437" s="3">
        <f t="array" ref="E437">IF(B437="","",INDEX(helper!$F$3:$F3996,MOD(ROW()-2,COUNTA(helper!$D$3:$D3996))+1))</f>
        <v>13</v>
      </c>
      <c r="F437" s="3">
        <f>IF(B437="","",SUMIFS('inventory ledger'!$H:$H,'inventory ledger'!$C:$C,C437,'inventory ledger'!$D:$D,D437,'inventory ledger'!$E:$E,E437,'inventory ledger'!$A:$A,"&lt;="&amp;B437+TIME(23,59,59))-SUMIFS('inventory ledger'!$I:$I,'inventory ledger'!$C:$C,C437,'inventory ledger'!$D:$D,D437,'inventory ledger'!$E:$E,E437,'inventory ledger'!$A:$A,"&lt;="&amp;B437+TIME(23,59,59)))</f>
        <v>285</v>
      </c>
      <c r="G437" s="3">
        <f>IFERROR(__xludf.DUMMYFUNCTION("IF(F437&lt;=0,0,IFERROR(ROUNDUP(F437/INDEX(FILTER('warehouse config'!$D:$D,('warehouse config'!$B:$B=C437)*('warehouse config'!$C:$C=D437)*('warehouse config'!$G:$G&lt;=B437)*(('warehouse config'!$H:$H&gt;=B437)+ISBLANK('warehouse config'!$H:$H))),1)),0))"),18.0)</f>
        <v>18</v>
      </c>
      <c r="H437" s="3">
        <f>IFERROR(__xludf.DUMMYFUNCTION("IFERROR(INDEX(FILTER('cost master'!$E:$E,('cost master'!$B:$B=C437)*('cost master'!$D:$D=""Storage cost per pallet / week"")*('cost master'!$G:$G&lt;=B437)*(('cost master'!$H:$H&gt;=B437)+ISBLANK('cost master'!$H:$H))),1),0)"),2.6)</f>
        <v>2.6</v>
      </c>
      <c r="I437" s="3">
        <f t="shared" si="4"/>
        <v>46.8</v>
      </c>
      <c r="J437" s="27">
        <f t="shared" si="5"/>
        <v>45732</v>
      </c>
      <c r="K437" s="27">
        <f t="shared" si="6"/>
        <v>45762</v>
      </c>
    </row>
    <row r="438" hidden="1">
      <c r="A438" s="3" t="str">
        <f t="shared" si="3"/>
        <v>SL-20250331-Vglobal-CS 011-13</v>
      </c>
      <c r="B438" s="2">
        <f t="array" ref="B438">INDEX(helper!$A$3:$A3996,ROUNDUP((ROW()-1)/COUNTA(helper!$D$3:$D3996),0))</f>
        <v>45747</v>
      </c>
      <c r="C438" s="5" t="str">
        <f t="array" ref="C438">IF(B438="","",INDEX(helper!$D$3:$D3996,MOD(ROW()-2,COUNTA(helper!$D$3:$D3996))+1))</f>
        <v>Vglobal</v>
      </c>
      <c r="D438" s="3" t="str">
        <f t="array" ref="D438">IF(B438="","",INDEX(helper!$E$3:$E3996,MOD(ROW()-2,COUNTA(helper!$D$3:$D3996))+1))</f>
        <v>CS 011</v>
      </c>
      <c r="E438" s="3">
        <f t="array" ref="E438">IF(B438="","",INDEX(helper!$F$3:$F3996,MOD(ROW()-2,COUNTA(helper!$D$3:$D3996))+1))</f>
        <v>13</v>
      </c>
      <c r="F438" s="3">
        <f>IF(B438="","",SUMIFS('inventory ledger'!$H:$H,'inventory ledger'!$C:$C,C438,'inventory ledger'!$D:$D,D438,'inventory ledger'!$E:$E,E438,'inventory ledger'!$A:$A,"&lt;="&amp;B438+TIME(23,59,59))-SUMIFS('inventory ledger'!$I:$I,'inventory ledger'!$C:$C,C438,'inventory ledger'!$D:$D,D438,'inventory ledger'!$E:$E,E438,'inventory ledger'!$A:$A,"&lt;="&amp;B438+TIME(23,59,59)))</f>
        <v>136</v>
      </c>
      <c r="G438" s="3">
        <f>IFERROR(__xludf.DUMMYFUNCTION("IF(F438&lt;=0,0,IFERROR(ROUNDUP(F438/INDEX(FILTER('warehouse config'!$D:$D,('warehouse config'!$B:$B=C438)*('warehouse config'!$C:$C=D438)*('warehouse config'!$G:$G&lt;=B438)*(('warehouse config'!$H:$H&gt;=B438)+ISBLANK('warehouse config'!$H:$H))),1)),0))"),7.0)</f>
        <v>7</v>
      </c>
      <c r="H438" s="3">
        <f>IFERROR(__xludf.DUMMYFUNCTION("IFERROR(INDEX(FILTER('cost master'!$E:$E,('cost master'!$B:$B=C438)*('cost master'!$D:$D=""Storage cost per pallet / week"")*('cost master'!$G:$G&lt;=B438)*(('cost master'!$H:$H&gt;=B438)+ISBLANK('cost master'!$H:$H))),1),0)"),2.6)</f>
        <v>2.6</v>
      </c>
      <c r="I438" s="3">
        <f t="shared" si="4"/>
        <v>18.2</v>
      </c>
      <c r="J438" s="27">
        <f t="shared" si="5"/>
        <v>45732</v>
      </c>
      <c r="K438" s="27">
        <f t="shared" si="6"/>
        <v>45762</v>
      </c>
    </row>
    <row r="439" hidden="1">
      <c r="A439" s="3" t="str">
        <f t="shared" si="3"/>
        <v>SL-20250331-Vglobal-CS 008-13</v>
      </c>
      <c r="B439" s="2">
        <f t="array" ref="B439">INDEX(helper!$A$3:$A3996,ROUNDUP((ROW()-1)/COUNTA(helper!$D$3:$D3996),0))</f>
        <v>45747</v>
      </c>
      <c r="C439" s="5" t="str">
        <f t="array" ref="C439">IF(B439="","",INDEX(helper!$D$3:$D3996,MOD(ROW()-2,COUNTA(helper!$D$3:$D3996))+1))</f>
        <v>Vglobal</v>
      </c>
      <c r="D439" s="3" t="str">
        <f t="array" ref="D439">IF(B439="","",INDEX(helper!$E$3:$E3996,MOD(ROW()-2,COUNTA(helper!$D$3:$D3996))+1))</f>
        <v>CS 008</v>
      </c>
      <c r="E439" s="3">
        <f t="array" ref="E439">IF(B439="","",INDEX(helper!$F$3:$F3996,MOD(ROW()-2,COUNTA(helper!$D$3:$D3996))+1))</f>
        <v>13</v>
      </c>
      <c r="F439" s="3">
        <f>IF(B439="","",SUMIFS('inventory ledger'!$H:$H,'inventory ledger'!$C:$C,C439,'inventory ledger'!$D:$D,D439,'inventory ledger'!$E:$E,E439,'inventory ledger'!$A:$A,"&lt;="&amp;B439+TIME(23,59,59))-SUMIFS('inventory ledger'!$I:$I,'inventory ledger'!$C:$C,C439,'inventory ledger'!$D:$D,D439,'inventory ledger'!$E:$E,E439,'inventory ledger'!$A:$A,"&lt;="&amp;B439+TIME(23,59,59)))</f>
        <v>20</v>
      </c>
      <c r="G439" s="3">
        <f>IFERROR(__xludf.DUMMYFUNCTION("IF(F439&lt;=0,0,IFERROR(ROUNDUP(F439/INDEX(FILTER('warehouse config'!$D:$D,('warehouse config'!$B:$B=C439)*('warehouse config'!$C:$C=D439)*('warehouse config'!$G:$G&lt;=B439)*(('warehouse config'!$H:$H&gt;=B439)+ISBLANK('warehouse config'!$H:$H))),1)),0))"),1.0)</f>
        <v>1</v>
      </c>
      <c r="H439" s="3">
        <f>IFERROR(__xludf.DUMMYFUNCTION("IFERROR(INDEX(FILTER('cost master'!$E:$E,('cost master'!$B:$B=C439)*('cost master'!$D:$D=""Storage cost per pallet / week"")*('cost master'!$G:$G&lt;=B439)*(('cost master'!$H:$H&gt;=B439)+ISBLANK('cost master'!$H:$H))),1),0)"),2.6)</f>
        <v>2.6</v>
      </c>
      <c r="I439" s="3">
        <f t="shared" si="4"/>
        <v>2.6</v>
      </c>
      <c r="J439" s="27">
        <f t="shared" si="5"/>
        <v>45732</v>
      </c>
      <c r="K439" s="27">
        <f t="shared" si="6"/>
        <v>45762</v>
      </c>
    </row>
    <row r="440" hidden="1">
      <c r="A440" s="3" t="str">
        <f t="shared" si="3"/>
        <v>SL-20250331-Vglobal-CS 010-13</v>
      </c>
      <c r="B440" s="2">
        <f t="array" ref="B440">INDEX(helper!$A$3:$A3996,ROUNDUP((ROW()-1)/COUNTA(helper!$D$3:$D3996),0))</f>
        <v>45747</v>
      </c>
      <c r="C440" s="5" t="str">
        <f t="array" ref="C440">IF(B440="","",INDEX(helper!$D$3:$D3996,MOD(ROW()-2,COUNTA(helper!$D$3:$D3996))+1))</f>
        <v>Vglobal</v>
      </c>
      <c r="D440" s="3" t="str">
        <f t="array" ref="D440">IF(B440="","",INDEX(helper!$E$3:$E3996,MOD(ROW()-2,COUNTA(helper!$D$3:$D3996))+1))</f>
        <v>CS 010</v>
      </c>
      <c r="E440" s="3">
        <f t="array" ref="E440">IF(B440="","",INDEX(helper!$F$3:$F3996,MOD(ROW()-2,COUNTA(helper!$D$3:$D3996))+1))</f>
        <v>13</v>
      </c>
      <c r="F440" s="3">
        <f>IF(B440="","",SUMIFS('inventory ledger'!$H:$H,'inventory ledger'!$C:$C,C440,'inventory ledger'!$D:$D,D440,'inventory ledger'!$E:$E,E440,'inventory ledger'!$A:$A,"&lt;="&amp;B440+TIME(23,59,59))-SUMIFS('inventory ledger'!$I:$I,'inventory ledger'!$C:$C,C440,'inventory ledger'!$D:$D,D440,'inventory ledger'!$E:$E,E440,'inventory ledger'!$A:$A,"&lt;="&amp;B440+TIME(23,59,59)))</f>
        <v>80</v>
      </c>
      <c r="G440" s="3">
        <f>IFERROR(__xludf.DUMMYFUNCTION("IF(F440&lt;=0,0,IFERROR(ROUNDUP(F440/INDEX(FILTER('warehouse config'!$D:$D,('warehouse config'!$B:$B=C440)*('warehouse config'!$C:$C=D440)*('warehouse config'!$G:$G&lt;=B440)*(('warehouse config'!$H:$H&gt;=B440)+ISBLANK('warehouse config'!$H:$H))),1)),0))"),4.0)</f>
        <v>4</v>
      </c>
      <c r="H440" s="3">
        <f>IFERROR(__xludf.DUMMYFUNCTION("IFERROR(INDEX(FILTER('cost master'!$E:$E,('cost master'!$B:$B=C440)*('cost master'!$D:$D=""Storage cost per pallet / week"")*('cost master'!$G:$G&lt;=B440)*(('cost master'!$H:$H&gt;=B440)+ISBLANK('cost master'!$H:$H))),1),0)"),2.6)</f>
        <v>2.6</v>
      </c>
      <c r="I440" s="3">
        <f t="shared" si="4"/>
        <v>10.4</v>
      </c>
      <c r="J440" s="27">
        <f t="shared" si="5"/>
        <v>45732</v>
      </c>
      <c r="K440" s="27">
        <f t="shared" si="6"/>
        <v>45762</v>
      </c>
    </row>
    <row r="441" hidden="1">
      <c r="A441" s="3" t="str">
        <f t="shared" si="3"/>
        <v>SL-20250331-Vglobal-CS 009-13</v>
      </c>
      <c r="B441" s="2">
        <f t="array" ref="B441">INDEX(helper!$A$3:$A3996,ROUNDUP((ROW()-1)/COUNTA(helper!$D$3:$D3996),0))</f>
        <v>45747</v>
      </c>
      <c r="C441" s="5" t="str">
        <f t="array" ref="C441">IF(B441="","",INDEX(helper!$D$3:$D3996,MOD(ROW()-2,COUNTA(helper!$D$3:$D3996))+1))</f>
        <v>Vglobal</v>
      </c>
      <c r="D441" s="3" t="str">
        <f t="array" ref="D441">IF(B441="","",INDEX(helper!$E$3:$E3996,MOD(ROW()-2,COUNTA(helper!$D$3:$D3996))+1))</f>
        <v>CS 009</v>
      </c>
      <c r="E441" s="3">
        <f t="array" ref="E441">IF(B441="","",INDEX(helper!$F$3:$F3996,MOD(ROW()-2,COUNTA(helper!$D$3:$D3996))+1))</f>
        <v>13</v>
      </c>
      <c r="F441" s="3">
        <f>IF(B441="","",SUMIFS('inventory ledger'!$H:$H,'inventory ledger'!$C:$C,C441,'inventory ledger'!$D:$D,D441,'inventory ledger'!$E:$E,E441,'inventory ledger'!$A:$A,"&lt;="&amp;B441+TIME(23,59,59))-SUMIFS('inventory ledger'!$I:$I,'inventory ledger'!$C:$C,C441,'inventory ledger'!$D:$D,D441,'inventory ledger'!$E:$E,E441,'inventory ledger'!$A:$A,"&lt;="&amp;B441+TIME(23,59,59)))</f>
        <v>0</v>
      </c>
      <c r="G441" s="3">
        <f>IFERROR(__xludf.DUMMYFUNCTION("IF(F441&lt;=0,0,IFERROR(ROUNDUP(F441/INDEX(FILTER('warehouse config'!$D:$D,('warehouse config'!$B:$B=C441)*('warehouse config'!$C:$C=D441)*('warehouse config'!$G:$G&lt;=B441)*(('warehouse config'!$H:$H&gt;=B441)+ISBLANK('warehouse config'!$H:$H))),1)),0))"),0.0)</f>
        <v>0</v>
      </c>
      <c r="H441" s="3">
        <f>IFERROR(__xludf.DUMMYFUNCTION("IFERROR(INDEX(FILTER('cost master'!$E:$E,('cost master'!$B:$B=C441)*('cost master'!$D:$D=""Storage cost per pallet / week"")*('cost master'!$G:$G&lt;=B441)*(('cost master'!$H:$H&gt;=B441)+ISBLANK('cost master'!$H:$H))),1),0)"),2.6)</f>
        <v>2.6</v>
      </c>
      <c r="I441" s="3">
        <f t="shared" si="4"/>
        <v>0</v>
      </c>
      <c r="J441" s="27">
        <f t="shared" si="5"/>
        <v>45732</v>
      </c>
      <c r="K441" s="27">
        <f t="shared" si="6"/>
        <v>45762</v>
      </c>
    </row>
    <row r="442" hidden="1">
      <c r="A442" s="3" t="str">
        <f t="shared" si="3"/>
        <v>SL-20250331-Vglobal-CS 012-13</v>
      </c>
      <c r="B442" s="2">
        <f t="array" ref="B442">INDEX(helper!$A$3:$A3996,ROUNDUP((ROW()-1)/COUNTA(helper!$D$3:$D3996),0))</f>
        <v>45747</v>
      </c>
      <c r="C442" s="5" t="str">
        <f t="array" ref="C442">IF(B442="","",INDEX(helper!$D$3:$D3996,MOD(ROW()-2,COUNTA(helper!$D$3:$D3996))+1))</f>
        <v>Vglobal</v>
      </c>
      <c r="D442" s="3" t="str">
        <f t="array" ref="D442">IF(B442="","",INDEX(helper!$E$3:$E3996,MOD(ROW()-2,COUNTA(helper!$D$3:$D3996))+1))</f>
        <v>CS 012</v>
      </c>
      <c r="E442" s="3">
        <f t="array" ref="E442">IF(B442="","",INDEX(helper!$F$3:$F3996,MOD(ROW()-2,COUNTA(helper!$D$3:$D3996))+1))</f>
        <v>13</v>
      </c>
      <c r="F442" s="3">
        <f>IF(B442="","",SUMIFS('inventory ledger'!$H:$H,'inventory ledger'!$C:$C,C442,'inventory ledger'!$D:$D,D442,'inventory ledger'!$E:$E,E442,'inventory ledger'!$A:$A,"&lt;="&amp;B442+TIME(23,59,59))-SUMIFS('inventory ledger'!$I:$I,'inventory ledger'!$C:$C,C442,'inventory ledger'!$D:$D,D442,'inventory ledger'!$E:$E,E442,'inventory ledger'!$A:$A,"&lt;="&amp;B442+TIME(23,59,59)))</f>
        <v>0</v>
      </c>
      <c r="G442" s="3">
        <f>IFERROR(__xludf.DUMMYFUNCTION("IF(F442&lt;=0,0,IFERROR(ROUNDUP(F442/INDEX(FILTER('warehouse config'!$D:$D,('warehouse config'!$B:$B=C442)*('warehouse config'!$C:$C=D442)*('warehouse config'!$G:$G&lt;=B442)*(('warehouse config'!$H:$H&gt;=B442)+ISBLANK('warehouse config'!$H:$H))),1)),0))"),0.0)</f>
        <v>0</v>
      </c>
      <c r="H442" s="3">
        <f>IFERROR(__xludf.DUMMYFUNCTION("IFERROR(INDEX(FILTER('cost master'!$E:$E,('cost master'!$B:$B=C442)*('cost master'!$D:$D=""Storage cost per pallet / week"")*('cost master'!$G:$G&lt;=B442)*(('cost master'!$H:$H&gt;=B442)+ISBLANK('cost master'!$H:$H))),1),0)"),2.6)</f>
        <v>2.6</v>
      </c>
      <c r="I442" s="3">
        <f t="shared" si="4"/>
        <v>0</v>
      </c>
      <c r="J442" s="27">
        <f t="shared" si="5"/>
        <v>45732</v>
      </c>
      <c r="K442" s="27">
        <f t="shared" si="6"/>
        <v>45762</v>
      </c>
    </row>
    <row r="443" hidden="1">
      <c r="A443" s="3" t="str">
        <f t="shared" si="3"/>
        <v>SL-20250331-FMC-CS 008-11</v>
      </c>
      <c r="B443" s="2">
        <f t="array" ref="B443">INDEX(helper!$A$3:$A3996,ROUNDUP((ROW()-1)/COUNTA(helper!$D$3:$D3996),0))</f>
        <v>45747</v>
      </c>
      <c r="C443" s="5" t="str">
        <f t="array" ref="C443">IF(B443="","",INDEX(helper!$D$3:$D3996,MOD(ROW()-2,COUNTA(helper!$D$3:$D3996))+1))</f>
        <v>FMC</v>
      </c>
      <c r="D443" s="3" t="str">
        <f t="array" ref="D443">IF(B443="","",INDEX(helper!$E$3:$E3996,MOD(ROW()-2,COUNTA(helper!$D$3:$D3996))+1))</f>
        <v>CS 008</v>
      </c>
      <c r="E443" s="3">
        <f t="array" ref="E443">IF(B443="","",INDEX(helper!$F$3:$F3996,MOD(ROW()-2,COUNTA(helper!$D$3:$D3996))+1))</f>
        <v>11</v>
      </c>
      <c r="F443" s="3">
        <f>IF(B443="","",SUMIFS('inventory ledger'!$H:$H,'inventory ledger'!$C:$C,C443,'inventory ledger'!$D:$D,D443,'inventory ledger'!$E:$E,E443,'inventory ledger'!$A:$A,"&lt;="&amp;B443+TIME(23,59,59))-SUMIFS('inventory ledger'!$I:$I,'inventory ledger'!$C:$C,C443,'inventory ledger'!$D:$D,D443,'inventory ledger'!$E:$E,E443,'inventory ledger'!$A:$A,"&lt;="&amp;B443+TIME(23,59,59)))</f>
        <v>0</v>
      </c>
      <c r="G443" s="3">
        <f>IFERROR(__xludf.DUMMYFUNCTION("IF(F443&lt;=0,0,IFERROR(ROUNDUP(F443/INDEX(FILTER('warehouse config'!$D:$D,('warehouse config'!$B:$B=C443)*('warehouse config'!$C:$C=D443)*('warehouse config'!$G:$G&lt;=B443)*(('warehouse config'!$H:$H&gt;=B443)+ISBLANK('warehouse config'!$H:$H))),1)),0))"),0.0)</f>
        <v>0</v>
      </c>
      <c r="H443" s="3">
        <f>IFERROR(__xludf.DUMMYFUNCTION("IFERROR(INDEX(FILTER('cost master'!$E:$E,('cost master'!$B:$B=C443)*('cost master'!$D:$D=""Storage cost per pallet / week"")*('cost master'!$G:$G&lt;=B443)*(('cost master'!$H:$H&gt;=B443)+ISBLANK('cost master'!$H:$H))),1),0)"),3.9)</f>
        <v>3.9</v>
      </c>
      <c r="I443" s="3">
        <f t="shared" si="4"/>
        <v>0</v>
      </c>
      <c r="J443" s="27">
        <f t="shared" si="5"/>
        <v>45732</v>
      </c>
      <c r="K443" s="27">
        <f t="shared" si="6"/>
        <v>45762</v>
      </c>
    </row>
    <row r="444" hidden="1">
      <c r="A444" s="3" t="str">
        <f t="shared" si="3"/>
        <v>SL-20250407-FMC-CS 007-8</v>
      </c>
      <c r="B444" s="2">
        <f t="array" ref="B444">INDEX(helper!$A$3:$A3996,ROUNDUP((ROW()-1)/COUNTA(helper!$D$3:$D3996),0))</f>
        <v>45754</v>
      </c>
      <c r="C444" s="5" t="str">
        <f t="array" ref="C444">IF(B444="","",INDEX(helper!$D$3:$D3996,MOD(ROW()-2,COUNTA(helper!$D$3:$D3996))+1))</f>
        <v>FMC</v>
      </c>
      <c r="D444" s="3" t="str">
        <f t="array" ref="D444">IF(B444="","",INDEX(helper!$E$3:$E3996,MOD(ROW()-2,COUNTA(helper!$D$3:$D3996))+1))</f>
        <v>CS 007</v>
      </c>
      <c r="E444" s="3">
        <f t="array" ref="E444">IF(B444="","",INDEX(helper!$F$3:$F3996,MOD(ROW()-2,COUNTA(helper!$D$3:$D3996))+1))</f>
        <v>8</v>
      </c>
      <c r="F444" s="3">
        <f>IF(B444="","",SUMIFS('inventory ledger'!$H:$H,'inventory ledger'!$C:$C,C444,'inventory ledger'!$D:$D,D444,'inventory ledger'!$E:$E,E444,'inventory ledger'!$A:$A,"&lt;="&amp;B444+TIME(23,59,59))-SUMIFS('inventory ledger'!$I:$I,'inventory ledger'!$C:$C,C444,'inventory ledger'!$D:$D,D444,'inventory ledger'!$E:$E,E444,'inventory ledger'!$A:$A,"&lt;="&amp;B444+TIME(23,59,59)))</f>
        <v>0</v>
      </c>
      <c r="G444" s="3">
        <f>IFERROR(__xludf.DUMMYFUNCTION("IF(F444&lt;=0,0,IFERROR(ROUNDUP(F444/INDEX(FILTER('warehouse config'!$D:$D,('warehouse config'!$B:$B=C444)*('warehouse config'!$C:$C=D444)*('warehouse config'!$G:$G&lt;=B444)*(('warehouse config'!$H:$H&gt;=B444)+ISBLANK('warehouse config'!$H:$H))),1)),0))"),0.0)</f>
        <v>0</v>
      </c>
      <c r="H444" s="3">
        <f>IFERROR(__xludf.DUMMYFUNCTION("IFERROR(INDEX(FILTER('cost master'!$E:$E,('cost master'!$B:$B=C444)*('cost master'!$D:$D=""Storage cost per pallet / week"")*('cost master'!$G:$G&lt;=B444)*(('cost master'!$H:$H&gt;=B444)+ISBLANK('cost master'!$H:$H))),1),0)"),3.9)</f>
        <v>3.9</v>
      </c>
      <c r="I444" s="3">
        <f t="shared" si="4"/>
        <v>0</v>
      </c>
      <c r="J444" s="27">
        <f t="shared" si="5"/>
        <v>45732</v>
      </c>
      <c r="K444" s="27">
        <f t="shared" si="6"/>
        <v>45762</v>
      </c>
    </row>
    <row r="445" hidden="1">
      <c r="A445" s="3" t="str">
        <f t="shared" si="3"/>
        <v>SL-20250407-FMC-CS 008-8</v>
      </c>
      <c r="B445" s="2">
        <f t="array" ref="B445">INDEX(helper!$A$3:$A3996,ROUNDUP((ROW()-1)/COUNTA(helper!$D$3:$D3996),0))</f>
        <v>45754</v>
      </c>
      <c r="C445" s="5" t="str">
        <f t="array" ref="C445">IF(B445="","",INDEX(helper!$D$3:$D3996,MOD(ROW()-2,COUNTA(helper!$D$3:$D3996))+1))</f>
        <v>FMC</v>
      </c>
      <c r="D445" s="3" t="str">
        <f t="array" ref="D445">IF(B445="","",INDEX(helper!$E$3:$E3996,MOD(ROW()-2,COUNTA(helper!$D$3:$D3996))+1))</f>
        <v>CS 008</v>
      </c>
      <c r="E445" s="3">
        <f t="array" ref="E445">IF(B445="","",INDEX(helper!$F$3:$F3996,MOD(ROW()-2,COUNTA(helper!$D$3:$D3996))+1))</f>
        <v>8</v>
      </c>
      <c r="F445" s="3">
        <f>IF(B445="","",SUMIFS('inventory ledger'!$H:$H,'inventory ledger'!$C:$C,C445,'inventory ledger'!$D:$D,D445,'inventory ledger'!$E:$E,E445,'inventory ledger'!$A:$A,"&lt;="&amp;B445+TIME(23,59,59))-SUMIFS('inventory ledger'!$I:$I,'inventory ledger'!$C:$C,C445,'inventory ledger'!$D:$D,D445,'inventory ledger'!$E:$E,E445,'inventory ledger'!$A:$A,"&lt;="&amp;B445+TIME(23,59,59)))</f>
        <v>0</v>
      </c>
      <c r="G445" s="3">
        <f>IFERROR(__xludf.DUMMYFUNCTION("IF(F445&lt;=0,0,IFERROR(ROUNDUP(F445/INDEX(FILTER('warehouse config'!$D:$D,('warehouse config'!$B:$B=C445)*('warehouse config'!$C:$C=D445)*('warehouse config'!$G:$G&lt;=B445)*(('warehouse config'!$H:$H&gt;=B445)+ISBLANK('warehouse config'!$H:$H))),1)),0))"),0.0)</f>
        <v>0</v>
      </c>
      <c r="H445" s="3">
        <f>IFERROR(__xludf.DUMMYFUNCTION("IFERROR(INDEX(FILTER('cost master'!$E:$E,('cost master'!$B:$B=C445)*('cost master'!$D:$D=""Storage cost per pallet / week"")*('cost master'!$G:$G&lt;=B445)*(('cost master'!$H:$H&gt;=B445)+ISBLANK('cost master'!$H:$H))),1),0)"),3.9)</f>
        <v>3.9</v>
      </c>
      <c r="I445" s="3">
        <f t="shared" si="4"/>
        <v>0</v>
      </c>
      <c r="J445" s="27">
        <f t="shared" si="5"/>
        <v>45732</v>
      </c>
      <c r="K445" s="27">
        <f t="shared" si="6"/>
        <v>45762</v>
      </c>
    </row>
    <row r="446" hidden="1">
      <c r="A446" s="3" t="str">
        <f t="shared" si="3"/>
        <v>SL-20250407-FMC-CS 009-8</v>
      </c>
      <c r="B446" s="2">
        <f t="array" ref="B446">INDEX(helper!$A$3:$A3996,ROUNDUP((ROW()-1)/COUNTA(helper!$D$3:$D3996),0))</f>
        <v>45754</v>
      </c>
      <c r="C446" s="5" t="str">
        <f t="array" ref="C446">IF(B446="","",INDEX(helper!$D$3:$D3996,MOD(ROW()-2,COUNTA(helper!$D$3:$D3996))+1))</f>
        <v>FMC</v>
      </c>
      <c r="D446" s="3" t="str">
        <f t="array" ref="D446">IF(B446="","",INDEX(helper!$E$3:$E3996,MOD(ROW()-2,COUNTA(helper!$D$3:$D3996))+1))</f>
        <v>CS 009</v>
      </c>
      <c r="E446" s="3">
        <f t="array" ref="E446">IF(B446="","",INDEX(helper!$F$3:$F3996,MOD(ROW()-2,COUNTA(helper!$D$3:$D3996))+1))</f>
        <v>8</v>
      </c>
      <c r="F446" s="3">
        <f>IF(B446="","",SUMIFS('inventory ledger'!$H:$H,'inventory ledger'!$C:$C,C446,'inventory ledger'!$D:$D,D446,'inventory ledger'!$E:$E,E446,'inventory ledger'!$A:$A,"&lt;="&amp;B446+TIME(23,59,59))-SUMIFS('inventory ledger'!$I:$I,'inventory ledger'!$C:$C,C446,'inventory ledger'!$D:$D,D446,'inventory ledger'!$E:$E,E446,'inventory ledger'!$A:$A,"&lt;="&amp;B446+TIME(23,59,59)))</f>
        <v>0</v>
      </c>
      <c r="G446" s="3">
        <f>IFERROR(__xludf.DUMMYFUNCTION("IF(F446&lt;=0,0,IFERROR(ROUNDUP(F446/INDEX(FILTER('warehouse config'!$D:$D,('warehouse config'!$B:$B=C446)*('warehouse config'!$C:$C=D446)*('warehouse config'!$G:$G&lt;=B446)*(('warehouse config'!$H:$H&gt;=B446)+ISBLANK('warehouse config'!$H:$H))),1)),0))"),0.0)</f>
        <v>0</v>
      </c>
      <c r="H446" s="3">
        <f>IFERROR(__xludf.DUMMYFUNCTION("IFERROR(INDEX(FILTER('cost master'!$E:$E,('cost master'!$B:$B=C446)*('cost master'!$D:$D=""Storage cost per pallet / week"")*('cost master'!$G:$G&lt;=B446)*(('cost master'!$H:$H&gt;=B446)+ISBLANK('cost master'!$H:$H))),1),0)"),3.9)</f>
        <v>3.9</v>
      </c>
      <c r="I446" s="3">
        <f t="shared" si="4"/>
        <v>0</v>
      </c>
      <c r="J446" s="27">
        <f t="shared" si="5"/>
        <v>45732</v>
      </c>
      <c r="K446" s="27">
        <f t="shared" si="6"/>
        <v>45762</v>
      </c>
    </row>
    <row r="447" hidden="1">
      <c r="A447" s="3" t="str">
        <f t="shared" si="3"/>
        <v>SL-20250407-FMC-CS 010-8</v>
      </c>
      <c r="B447" s="2">
        <f t="array" ref="B447">INDEX(helper!$A$3:$A3996,ROUNDUP((ROW()-1)/COUNTA(helper!$D$3:$D3996),0))</f>
        <v>45754</v>
      </c>
      <c r="C447" s="5" t="str">
        <f t="array" ref="C447">IF(B447="","",INDEX(helper!$D$3:$D3996,MOD(ROW()-2,COUNTA(helper!$D$3:$D3996))+1))</f>
        <v>FMC</v>
      </c>
      <c r="D447" s="3" t="str">
        <f t="array" ref="D447">IF(B447="","",INDEX(helper!$E$3:$E3996,MOD(ROW()-2,COUNTA(helper!$D$3:$D3996))+1))</f>
        <v>CS 010</v>
      </c>
      <c r="E447" s="3">
        <f t="array" ref="E447">IF(B447="","",INDEX(helper!$F$3:$F3996,MOD(ROW()-2,COUNTA(helper!$D$3:$D3996))+1))</f>
        <v>8</v>
      </c>
      <c r="F447" s="3">
        <f>IF(B447="","",SUMIFS('inventory ledger'!$H:$H,'inventory ledger'!$C:$C,C447,'inventory ledger'!$D:$D,D447,'inventory ledger'!$E:$E,E447,'inventory ledger'!$A:$A,"&lt;="&amp;B447+TIME(23,59,59))-SUMIFS('inventory ledger'!$I:$I,'inventory ledger'!$C:$C,C447,'inventory ledger'!$D:$D,D447,'inventory ledger'!$E:$E,E447,'inventory ledger'!$A:$A,"&lt;="&amp;B447+TIME(23,59,59)))</f>
        <v>0</v>
      </c>
      <c r="G447" s="3">
        <f>IFERROR(__xludf.DUMMYFUNCTION("IF(F447&lt;=0,0,IFERROR(ROUNDUP(F447/INDEX(FILTER('warehouse config'!$D:$D,('warehouse config'!$B:$B=C447)*('warehouse config'!$C:$C=D447)*('warehouse config'!$G:$G&lt;=B447)*(('warehouse config'!$H:$H&gt;=B447)+ISBLANK('warehouse config'!$H:$H))),1)),0))"),0.0)</f>
        <v>0</v>
      </c>
      <c r="H447" s="3">
        <f>IFERROR(__xludf.DUMMYFUNCTION("IFERROR(INDEX(FILTER('cost master'!$E:$E,('cost master'!$B:$B=C447)*('cost master'!$D:$D=""Storage cost per pallet / week"")*('cost master'!$G:$G&lt;=B447)*(('cost master'!$H:$H&gt;=B447)+ISBLANK('cost master'!$H:$H))),1),0)"),3.9)</f>
        <v>3.9</v>
      </c>
      <c r="I447" s="3">
        <f t="shared" si="4"/>
        <v>0</v>
      </c>
      <c r="J447" s="27">
        <f t="shared" si="5"/>
        <v>45732</v>
      </c>
      <c r="K447" s="27">
        <f t="shared" si="6"/>
        <v>45762</v>
      </c>
    </row>
    <row r="448" hidden="1">
      <c r="A448" s="3" t="str">
        <f t="shared" si="3"/>
        <v>SL-20250407-FMC-CS 007-9</v>
      </c>
      <c r="B448" s="2">
        <f t="array" ref="B448">INDEX(helper!$A$3:$A3996,ROUNDUP((ROW()-1)/COUNTA(helper!$D$3:$D3996),0))</f>
        <v>45754</v>
      </c>
      <c r="C448" s="5" t="str">
        <f t="array" ref="C448">IF(B448="","",INDEX(helper!$D$3:$D3996,MOD(ROW()-2,COUNTA(helper!$D$3:$D3996))+1))</f>
        <v>FMC</v>
      </c>
      <c r="D448" s="3" t="str">
        <f t="array" ref="D448">IF(B448="","",INDEX(helper!$E$3:$E3996,MOD(ROW()-2,COUNTA(helper!$D$3:$D3996))+1))</f>
        <v>CS 007</v>
      </c>
      <c r="E448" s="3">
        <f t="array" ref="E448">IF(B448="","",INDEX(helper!$F$3:$F3996,MOD(ROW()-2,COUNTA(helper!$D$3:$D3996))+1))</f>
        <v>9</v>
      </c>
      <c r="F448" s="3">
        <f>IF(B448="","",SUMIFS('inventory ledger'!$H:$H,'inventory ledger'!$C:$C,C448,'inventory ledger'!$D:$D,D448,'inventory ledger'!$E:$E,E448,'inventory ledger'!$A:$A,"&lt;="&amp;B448+TIME(23,59,59))-SUMIFS('inventory ledger'!$I:$I,'inventory ledger'!$C:$C,C448,'inventory ledger'!$D:$D,D448,'inventory ledger'!$E:$E,E448,'inventory ledger'!$A:$A,"&lt;="&amp;B448+TIME(23,59,59)))</f>
        <v>0</v>
      </c>
      <c r="G448" s="3">
        <f>IFERROR(__xludf.DUMMYFUNCTION("IF(F448&lt;=0,0,IFERROR(ROUNDUP(F448/INDEX(FILTER('warehouse config'!$D:$D,('warehouse config'!$B:$B=C448)*('warehouse config'!$C:$C=D448)*('warehouse config'!$G:$G&lt;=B448)*(('warehouse config'!$H:$H&gt;=B448)+ISBLANK('warehouse config'!$H:$H))),1)),0))"),0.0)</f>
        <v>0</v>
      </c>
      <c r="H448" s="3">
        <f>IFERROR(__xludf.DUMMYFUNCTION("IFERROR(INDEX(FILTER('cost master'!$E:$E,('cost master'!$B:$B=C448)*('cost master'!$D:$D=""Storage cost per pallet / week"")*('cost master'!$G:$G&lt;=B448)*(('cost master'!$H:$H&gt;=B448)+ISBLANK('cost master'!$H:$H))),1),0)"),3.9)</f>
        <v>3.9</v>
      </c>
      <c r="I448" s="3">
        <f t="shared" si="4"/>
        <v>0</v>
      </c>
      <c r="J448" s="27">
        <f t="shared" si="5"/>
        <v>45732</v>
      </c>
      <c r="K448" s="27">
        <f t="shared" si="6"/>
        <v>45762</v>
      </c>
    </row>
    <row r="449" hidden="1">
      <c r="A449" s="3" t="str">
        <f t="shared" si="3"/>
        <v>SL-20250407-FMC-CS 008-9</v>
      </c>
      <c r="B449" s="2">
        <f t="array" ref="B449">INDEX(helper!$A$3:$A3996,ROUNDUP((ROW()-1)/COUNTA(helper!$D$3:$D3996),0))</f>
        <v>45754</v>
      </c>
      <c r="C449" s="5" t="str">
        <f t="array" ref="C449">IF(B449="","",INDEX(helper!$D$3:$D3996,MOD(ROW()-2,COUNTA(helper!$D$3:$D3996))+1))</f>
        <v>FMC</v>
      </c>
      <c r="D449" s="3" t="str">
        <f t="array" ref="D449">IF(B449="","",INDEX(helper!$E$3:$E3996,MOD(ROW()-2,COUNTA(helper!$D$3:$D3996))+1))</f>
        <v>CS 008</v>
      </c>
      <c r="E449" s="3">
        <f t="array" ref="E449">IF(B449="","",INDEX(helper!$F$3:$F3996,MOD(ROW()-2,COUNTA(helper!$D$3:$D3996))+1))</f>
        <v>9</v>
      </c>
      <c r="F449" s="3">
        <f>IF(B449="","",SUMIFS('inventory ledger'!$H:$H,'inventory ledger'!$C:$C,C449,'inventory ledger'!$D:$D,D449,'inventory ledger'!$E:$E,E449,'inventory ledger'!$A:$A,"&lt;="&amp;B449+TIME(23,59,59))-SUMIFS('inventory ledger'!$I:$I,'inventory ledger'!$C:$C,C449,'inventory ledger'!$D:$D,D449,'inventory ledger'!$E:$E,E449,'inventory ledger'!$A:$A,"&lt;="&amp;B449+TIME(23,59,59)))</f>
        <v>14</v>
      </c>
      <c r="G449" s="3">
        <f>IFERROR(__xludf.DUMMYFUNCTION("IF(F449&lt;=0,0,IFERROR(ROUNDUP(F449/INDEX(FILTER('warehouse config'!$D:$D,('warehouse config'!$B:$B=C449)*('warehouse config'!$C:$C=D449)*('warehouse config'!$G:$G&lt;=B449)*(('warehouse config'!$H:$H&gt;=B449)+ISBLANK('warehouse config'!$H:$H))),1)),0))"),1.0)</f>
        <v>1</v>
      </c>
      <c r="H449" s="3">
        <f>IFERROR(__xludf.DUMMYFUNCTION("IFERROR(INDEX(FILTER('cost master'!$E:$E,('cost master'!$B:$B=C449)*('cost master'!$D:$D=""Storage cost per pallet / week"")*('cost master'!$G:$G&lt;=B449)*(('cost master'!$H:$H&gt;=B449)+ISBLANK('cost master'!$H:$H))),1),0)"),3.9)</f>
        <v>3.9</v>
      </c>
      <c r="I449" s="3">
        <f t="shared" si="4"/>
        <v>3.9</v>
      </c>
      <c r="J449" s="27">
        <f t="shared" si="5"/>
        <v>45732</v>
      </c>
      <c r="K449" s="27">
        <f t="shared" si="6"/>
        <v>45762</v>
      </c>
    </row>
    <row r="450" hidden="1">
      <c r="A450" s="3" t="str">
        <f t="shared" si="3"/>
        <v>SL-20250407-FMC-CS 009-9</v>
      </c>
      <c r="B450" s="2">
        <f t="array" ref="B450">INDEX(helper!$A$3:$A3996,ROUNDUP((ROW()-1)/COUNTA(helper!$D$3:$D3996),0))</f>
        <v>45754</v>
      </c>
      <c r="C450" s="5" t="str">
        <f t="array" ref="C450">IF(B450="","",INDEX(helper!$D$3:$D3996,MOD(ROW()-2,COUNTA(helper!$D$3:$D3996))+1))</f>
        <v>FMC</v>
      </c>
      <c r="D450" s="3" t="str">
        <f t="array" ref="D450">IF(B450="","",INDEX(helper!$E$3:$E3996,MOD(ROW()-2,COUNTA(helper!$D$3:$D3996))+1))</f>
        <v>CS 009</v>
      </c>
      <c r="E450" s="3">
        <f t="array" ref="E450">IF(B450="","",INDEX(helper!$F$3:$F3996,MOD(ROW()-2,COUNTA(helper!$D$3:$D3996))+1))</f>
        <v>9</v>
      </c>
      <c r="F450" s="3">
        <f>IF(B450="","",SUMIFS('inventory ledger'!$H:$H,'inventory ledger'!$C:$C,C450,'inventory ledger'!$D:$D,D450,'inventory ledger'!$E:$E,E450,'inventory ledger'!$A:$A,"&lt;="&amp;B450+TIME(23,59,59))-SUMIFS('inventory ledger'!$I:$I,'inventory ledger'!$C:$C,C450,'inventory ledger'!$D:$D,D450,'inventory ledger'!$E:$E,E450,'inventory ledger'!$A:$A,"&lt;="&amp;B450+TIME(23,59,59)))</f>
        <v>0</v>
      </c>
      <c r="G450" s="3">
        <f>IFERROR(__xludf.DUMMYFUNCTION("IF(F450&lt;=0,0,IFERROR(ROUNDUP(F450/INDEX(FILTER('warehouse config'!$D:$D,('warehouse config'!$B:$B=C450)*('warehouse config'!$C:$C=D450)*('warehouse config'!$G:$G&lt;=B450)*(('warehouse config'!$H:$H&gt;=B450)+ISBLANK('warehouse config'!$H:$H))),1)),0))"),0.0)</f>
        <v>0</v>
      </c>
      <c r="H450" s="3">
        <f>IFERROR(__xludf.DUMMYFUNCTION("IFERROR(INDEX(FILTER('cost master'!$E:$E,('cost master'!$B:$B=C450)*('cost master'!$D:$D=""Storage cost per pallet / week"")*('cost master'!$G:$G&lt;=B450)*(('cost master'!$H:$H&gt;=B450)+ISBLANK('cost master'!$H:$H))),1),0)"),3.9)</f>
        <v>3.9</v>
      </c>
      <c r="I450" s="3">
        <f t="shared" si="4"/>
        <v>0</v>
      </c>
      <c r="J450" s="27">
        <f t="shared" si="5"/>
        <v>45732</v>
      </c>
      <c r="K450" s="27">
        <f t="shared" si="6"/>
        <v>45762</v>
      </c>
    </row>
    <row r="451" hidden="1">
      <c r="A451" s="3" t="str">
        <f t="shared" si="3"/>
        <v>SL-20250407-FMC-CS 010-9</v>
      </c>
      <c r="B451" s="2">
        <f t="array" ref="B451">INDEX(helper!$A$3:$A3996,ROUNDUP((ROW()-1)/COUNTA(helper!$D$3:$D3996),0))</f>
        <v>45754</v>
      </c>
      <c r="C451" s="5" t="str">
        <f t="array" ref="C451">IF(B451="","",INDEX(helper!$D$3:$D3996,MOD(ROW()-2,COUNTA(helper!$D$3:$D3996))+1))</f>
        <v>FMC</v>
      </c>
      <c r="D451" s="3" t="str">
        <f t="array" ref="D451">IF(B451="","",INDEX(helper!$E$3:$E3996,MOD(ROW()-2,COUNTA(helper!$D$3:$D3996))+1))</f>
        <v>CS 010</v>
      </c>
      <c r="E451" s="3">
        <f t="array" ref="E451">IF(B451="","",INDEX(helper!$F$3:$F3996,MOD(ROW()-2,COUNTA(helper!$D$3:$D3996))+1))</f>
        <v>9</v>
      </c>
      <c r="F451" s="3">
        <f>IF(B451="","",SUMIFS('inventory ledger'!$H:$H,'inventory ledger'!$C:$C,C451,'inventory ledger'!$D:$D,D451,'inventory ledger'!$E:$E,E451,'inventory ledger'!$A:$A,"&lt;="&amp;B451+TIME(23,59,59))-SUMIFS('inventory ledger'!$I:$I,'inventory ledger'!$C:$C,C451,'inventory ledger'!$D:$D,D451,'inventory ledger'!$E:$E,E451,'inventory ledger'!$A:$A,"&lt;="&amp;B451+TIME(23,59,59)))</f>
        <v>0</v>
      </c>
      <c r="G451" s="3">
        <f>IFERROR(__xludf.DUMMYFUNCTION("IF(F451&lt;=0,0,IFERROR(ROUNDUP(F451/INDEX(FILTER('warehouse config'!$D:$D,('warehouse config'!$B:$B=C451)*('warehouse config'!$C:$C=D451)*('warehouse config'!$G:$G&lt;=B451)*(('warehouse config'!$H:$H&gt;=B451)+ISBLANK('warehouse config'!$H:$H))),1)),0))"),0.0)</f>
        <v>0</v>
      </c>
      <c r="H451" s="3">
        <f>IFERROR(__xludf.DUMMYFUNCTION("IFERROR(INDEX(FILTER('cost master'!$E:$E,('cost master'!$B:$B=C451)*('cost master'!$D:$D=""Storage cost per pallet / week"")*('cost master'!$G:$G&lt;=B451)*(('cost master'!$H:$H&gt;=B451)+ISBLANK('cost master'!$H:$H))),1),0)"),3.9)</f>
        <v>3.9</v>
      </c>
      <c r="I451" s="3">
        <f t="shared" si="4"/>
        <v>0</v>
      </c>
      <c r="J451" s="27">
        <f t="shared" si="5"/>
        <v>45732</v>
      </c>
      <c r="K451" s="27">
        <f t="shared" si="6"/>
        <v>45762</v>
      </c>
    </row>
    <row r="452" hidden="1">
      <c r="A452" s="3" t="str">
        <f t="shared" si="3"/>
        <v>SL-20250407-FMC-CS-CDS-001-9</v>
      </c>
      <c r="B452" s="2">
        <f t="array" ref="B452">INDEX(helper!$A$3:$A3996,ROUNDUP((ROW()-1)/COUNTA(helper!$D$3:$D3996),0))</f>
        <v>45754</v>
      </c>
      <c r="C452" s="5" t="str">
        <f t="array" ref="C452">IF(B452="","",INDEX(helper!$D$3:$D3996,MOD(ROW()-2,COUNTA(helper!$D$3:$D3996))+1))</f>
        <v>FMC</v>
      </c>
      <c r="D452" s="3" t="str">
        <f t="array" ref="D452">IF(B452="","",INDEX(helper!$E$3:$E3996,MOD(ROW()-2,COUNTA(helper!$D$3:$D3996))+1))</f>
        <v>CS-CDS-001</v>
      </c>
      <c r="E452" s="3">
        <f t="array" ref="E452">IF(B452="","",INDEX(helper!$F$3:$F3996,MOD(ROW()-2,COUNTA(helper!$D$3:$D3996))+1))</f>
        <v>9</v>
      </c>
      <c r="F452" s="3">
        <f>IF(B452="","",SUMIFS('inventory ledger'!$H:$H,'inventory ledger'!$C:$C,C452,'inventory ledger'!$D:$D,D452,'inventory ledger'!$E:$E,E452,'inventory ledger'!$A:$A,"&lt;="&amp;B452+TIME(23,59,59))-SUMIFS('inventory ledger'!$I:$I,'inventory ledger'!$C:$C,C452,'inventory ledger'!$D:$D,D452,'inventory ledger'!$E:$E,E452,'inventory ledger'!$A:$A,"&lt;="&amp;B452+TIME(23,59,59)))</f>
        <v>0</v>
      </c>
      <c r="G452" s="3">
        <f>IFERROR(__xludf.DUMMYFUNCTION("IF(F452&lt;=0,0,IFERROR(ROUNDUP(F452/INDEX(FILTER('warehouse config'!$D:$D,('warehouse config'!$B:$B=C452)*('warehouse config'!$C:$C=D452)*('warehouse config'!$G:$G&lt;=B452)*(('warehouse config'!$H:$H&gt;=B452)+ISBLANK('warehouse config'!$H:$H))),1)),0))"),0.0)</f>
        <v>0</v>
      </c>
      <c r="H452" s="3">
        <f>IFERROR(__xludf.DUMMYFUNCTION("IFERROR(INDEX(FILTER('cost master'!$E:$E,('cost master'!$B:$B=C452)*('cost master'!$D:$D=""Storage cost per pallet / week"")*('cost master'!$G:$G&lt;=B452)*(('cost master'!$H:$H&gt;=B452)+ISBLANK('cost master'!$H:$H))),1),0)"),3.9)</f>
        <v>3.9</v>
      </c>
      <c r="I452" s="3">
        <f t="shared" si="4"/>
        <v>0</v>
      </c>
      <c r="J452" s="27">
        <f t="shared" si="5"/>
        <v>45732</v>
      </c>
      <c r="K452" s="27">
        <f t="shared" si="6"/>
        <v>45762</v>
      </c>
    </row>
    <row r="453" hidden="1">
      <c r="A453" s="3" t="str">
        <f t="shared" si="3"/>
        <v>SL-20250407-FMC-CS-CDS-002-9</v>
      </c>
      <c r="B453" s="2">
        <f t="array" ref="B453">INDEX(helper!$A$3:$A3996,ROUNDUP((ROW()-1)/COUNTA(helper!$D$3:$D3996),0))</f>
        <v>45754</v>
      </c>
      <c r="C453" s="5" t="str">
        <f t="array" ref="C453">IF(B453="","",INDEX(helper!$D$3:$D3996,MOD(ROW()-2,COUNTA(helper!$D$3:$D3996))+1))</f>
        <v>FMC</v>
      </c>
      <c r="D453" s="3" t="str">
        <f t="array" ref="D453">IF(B453="","",INDEX(helper!$E$3:$E3996,MOD(ROW()-2,COUNTA(helper!$D$3:$D3996))+1))</f>
        <v>CS-CDS-002</v>
      </c>
      <c r="E453" s="3">
        <f t="array" ref="E453">IF(B453="","",INDEX(helper!$F$3:$F3996,MOD(ROW()-2,COUNTA(helper!$D$3:$D3996))+1))</f>
        <v>9</v>
      </c>
      <c r="F453" s="3">
        <f>IF(B453="","",SUMIFS('inventory ledger'!$H:$H,'inventory ledger'!$C:$C,C453,'inventory ledger'!$D:$D,D453,'inventory ledger'!$E:$E,E453,'inventory ledger'!$A:$A,"&lt;="&amp;B453+TIME(23,59,59))-SUMIFS('inventory ledger'!$I:$I,'inventory ledger'!$C:$C,C453,'inventory ledger'!$D:$D,D453,'inventory ledger'!$E:$E,E453,'inventory ledger'!$A:$A,"&lt;="&amp;B453+TIME(23,59,59)))</f>
        <v>0</v>
      </c>
      <c r="G453" s="3">
        <f>IFERROR(__xludf.DUMMYFUNCTION("IF(F453&lt;=0,0,IFERROR(ROUNDUP(F453/INDEX(FILTER('warehouse config'!$D:$D,('warehouse config'!$B:$B=C453)*('warehouse config'!$C:$C=D453)*('warehouse config'!$G:$G&lt;=B453)*(('warehouse config'!$H:$H&gt;=B453)+ISBLANK('warehouse config'!$H:$H))),1)),0))"),0.0)</f>
        <v>0</v>
      </c>
      <c r="H453" s="3">
        <f>IFERROR(__xludf.DUMMYFUNCTION("IFERROR(INDEX(FILTER('cost master'!$E:$E,('cost master'!$B:$B=C453)*('cost master'!$D:$D=""Storage cost per pallet / week"")*('cost master'!$G:$G&lt;=B453)*(('cost master'!$H:$H&gt;=B453)+ISBLANK('cost master'!$H:$H))),1),0)"),3.9)</f>
        <v>3.9</v>
      </c>
      <c r="I453" s="3">
        <f t="shared" si="4"/>
        <v>0</v>
      </c>
      <c r="J453" s="27">
        <f t="shared" si="5"/>
        <v>45732</v>
      </c>
      <c r="K453" s="27">
        <f t="shared" si="6"/>
        <v>45762</v>
      </c>
    </row>
    <row r="454" hidden="1">
      <c r="A454" s="3" t="str">
        <f t="shared" si="3"/>
        <v>SL-20250407-FMC-CS 007-10</v>
      </c>
      <c r="B454" s="2">
        <f t="array" ref="B454">INDEX(helper!$A$3:$A3996,ROUNDUP((ROW()-1)/COUNTA(helper!$D$3:$D3996),0))</f>
        <v>45754</v>
      </c>
      <c r="C454" s="5" t="str">
        <f t="array" ref="C454">IF(B454="","",INDEX(helper!$D$3:$D3996,MOD(ROW()-2,COUNTA(helper!$D$3:$D3996))+1))</f>
        <v>FMC</v>
      </c>
      <c r="D454" s="3" t="str">
        <f t="array" ref="D454">IF(B454="","",INDEX(helper!$E$3:$E3996,MOD(ROW()-2,COUNTA(helper!$D$3:$D3996))+1))</f>
        <v>CS 007</v>
      </c>
      <c r="E454" s="3">
        <f t="array" ref="E454">IF(B454="","",INDEX(helper!$F$3:$F3996,MOD(ROW()-2,COUNTA(helper!$D$3:$D3996))+1))</f>
        <v>10</v>
      </c>
      <c r="F454" s="3">
        <f>IF(B454="","",SUMIFS('inventory ledger'!$H:$H,'inventory ledger'!$C:$C,C454,'inventory ledger'!$D:$D,D454,'inventory ledger'!$E:$E,E454,'inventory ledger'!$A:$A,"&lt;="&amp;B454+TIME(23,59,59))-SUMIFS('inventory ledger'!$I:$I,'inventory ledger'!$C:$C,C454,'inventory ledger'!$D:$D,D454,'inventory ledger'!$E:$E,E454,'inventory ledger'!$A:$A,"&lt;="&amp;B454+TIME(23,59,59)))</f>
        <v>0</v>
      </c>
      <c r="G454" s="3">
        <f>IFERROR(__xludf.DUMMYFUNCTION("IF(F454&lt;=0,0,IFERROR(ROUNDUP(F454/INDEX(FILTER('warehouse config'!$D:$D,('warehouse config'!$B:$B=C454)*('warehouse config'!$C:$C=D454)*('warehouse config'!$G:$G&lt;=B454)*(('warehouse config'!$H:$H&gt;=B454)+ISBLANK('warehouse config'!$H:$H))),1)),0))"),0.0)</f>
        <v>0</v>
      </c>
      <c r="H454" s="3">
        <f>IFERROR(__xludf.DUMMYFUNCTION("IFERROR(INDEX(FILTER('cost master'!$E:$E,('cost master'!$B:$B=C454)*('cost master'!$D:$D=""Storage cost per pallet / week"")*('cost master'!$G:$G&lt;=B454)*(('cost master'!$H:$H&gt;=B454)+ISBLANK('cost master'!$H:$H))),1),0)"),3.9)</f>
        <v>3.9</v>
      </c>
      <c r="I454" s="3">
        <f t="shared" si="4"/>
        <v>0</v>
      </c>
      <c r="J454" s="27">
        <f t="shared" si="5"/>
        <v>45732</v>
      </c>
      <c r="K454" s="27">
        <f t="shared" si="6"/>
        <v>45762</v>
      </c>
    </row>
    <row r="455" hidden="1">
      <c r="A455" s="3" t="str">
        <f t="shared" si="3"/>
        <v>SL-20250407-FMC-CS 009-10</v>
      </c>
      <c r="B455" s="2">
        <f t="array" ref="B455">INDEX(helper!$A$3:$A3996,ROUNDUP((ROW()-1)/COUNTA(helper!$D$3:$D3996),0))</f>
        <v>45754</v>
      </c>
      <c r="C455" s="5" t="str">
        <f t="array" ref="C455">IF(B455="","",INDEX(helper!$D$3:$D3996,MOD(ROW()-2,COUNTA(helper!$D$3:$D3996))+1))</f>
        <v>FMC</v>
      </c>
      <c r="D455" s="3" t="str">
        <f t="array" ref="D455">IF(B455="","",INDEX(helper!$E$3:$E3996,MOD(ROW()-2,COUNTA(helper!$D$3:$D3996))+1))</f>
        <v>CS 009</v>
      </c>
      <c r="E455" s="3">
        <f t="array" ref="E455">IF(B455="","",INDEX(helper!$F$3:$F3996,MOD(ROW()-2,COUNTA(helper!$D$3:$D3996))+1))</f>
        <v>10</v>
      </c>
      <c r="F455" s="3">
        <f>IF(B455="","",SUMIFS('inventory ledger'!$H:$H,'inventory ledger'!$C:$C,C455,'inventory ledger'!$D:$D,D455,'inventory ledger'!$E:$E,E455,'inventory ledger'!$A:$A,"&lt;="&amp;B455+TIME(23,59,59))-SUMIFS('inventory ledger'!$I:$I,'inventory ledger'!$C:$C,C455,'inventory ledger'!$D:$D,D455,'inventory ledger'!$E:$E,E455,'inventory ledger'!$A:$A,"&lt;="&amp;B455+TIME(23,59,59)))</f>
        <v>0</v>
      </c>
      <c r="G455" s="3">
        <f>IFERROR(__xludf.DUMMYFUNCTION("IF(F455&lt;=0,0,IFERROR(ROUNDUP(F455/INDEX(FILTER('warehouse config'!$D:$D,('warehouse config'!$B:$B=C455)*('warehouse config'!$C:$C=D455)*('warehouse config'!$G:$G&lt;=B455)*(('warehouse config'!$H:$H&gt;=B455)+ISBLANK('warehouse config'!$H:$H))),1)),0))"),0.0)</f>
        <v>0</v>
      </c>
      <c r="H455" s="3">
        <f>IFERROR(__xludf.DUMMYFUNCTION("IFERROR(INDEX(FILTER('cost master'!$E:$E,('cost master'!$B:$B=C455)*('cost master'!$D:$D=""Storage cost per pallet / week"")*('cost master'!$G:$G&lt;=B455)*(('cost master'!$H:$H&gt;=B455)+ISBLANK('cost master'!$H:$H))),1),0)"),3.9)</f>
        <v>3.9</v>
      </c>
      <c r="I455" s="3">
        <f t="shared" si="4"/>
        <v>0</v>
      </c>
      <c r="J455" s="27">
        <f t="shared" si="5"/>
        <v>45732</v>
      </c>
      <c r="K455" s="27">
        <f t="shared" si="6"/>
        <v>45762</v>
      </c>
    </row>
    <row r="456" hidden="1">
      <c r="A456" s="3" t="str">
        <f t="shared" si="3"/>
        <v>SL-20250407-FMC-CS 010-10</v>
      </c>
      <c r="B456" s="2">
        <f t="array" ref="B456">INDEX(helper!$A$3:$A3996,ROUNDUP((ROW()-1)/COUNTA(helper!$D$3:$D3996),0))</f>
        <v>45754</v>
      </c>
      <c r="C456" s="5" t="str">
        <f t="array" ref="C456">IF(B456="","",INDEX(helper!$D$3:$D3996,MOD(ROW()-2,COUNTA(helper!$D$3:$D3996))+1))</f>
        <v>FMC</v>
      </c>
      <c r="D456" s="3" t="str">
        <f t="array" ref="D456">IF(B456="","",INDEX(helper!$E$3:$E3996,MOD(ROW()-2,COUNTA(helper!$D$3:$D3996))+1))</f>
        <v>CS 010</v>
      </c>
      <c r="E456" s="3">
        <f t="array" ref="E456">IF(B456="","",INDEX(helper!$F$3:$F3996,MOD(ROW()-2,COUNTA(helper!$D$3:$D3996))+1))</f>
        <v>10</v>
      </c>
      <c r="F456" s="3">
        <f>IF(B456="","",SUMIFS('inventory ledger'!$H:$H,'inventory ledger'!$C:$C,C456,'inventory ledger'!$D:$D,D456,'inventory ledger'!$E:$E,E456,'inventory ledger'!$A:$A,"&lt;="&amp;B456+TIME(23,59,59))-SUMIFS('inventory ledger'!$I:$I,'inventory ledger'!$C:$C,C456,'inventory ledger'!$D:$D,D456,'inventory ledger'!$E:$E,E456,'inventory ledger'!$A:$A,"&lt;="&amp;B456+TIME(23,59,59)))</f>
        <v>26</v>
      </c>
      <c r="G456" s="3">
        <f>IFERROR(__xludf.DUMMYFUNCTION("IF(F456&lt;=0,0,IFERROR(ROUNDUP(F456/INDEX(FILTER('warehouse config'!$D:$D,('warehouse config'!$B:$B=C456)*('warehouse config'!$C:$C=D456)*('warehouse config'!$G:$G&lt;=B456)*(('warehouse config'!$H:$H&gt;=B456)+ISBLANK('warehouse config'!$H:$H))),1)),0))"),1.0)</f>
        <v>1</v>
      </c>
      <c r="H456" s="3">
        <f>IFERROR(__xludf.DUMMYFUNCTION("IFERROR(INDEX(FILTER('cost master'!$E:$E,('cost master'!$B:$B=C456)*('cost master'!$D:$D=""Storage cost per pallet / week"")*('cost master'!$G:$G&lt;=B456)*(('cost master'!$H:$H&gt;=B456)+ISBLANK('cost master'!$H:$H))),1),0)"),3.9)</f>
        <v>3.9</v>
      </c>
      <c r="I456" s="3">
        <f t="shared" si="4"/>
        <v>3.9</v>
      </c>
      <c r="J456" s="27">
        <f t="shared" si="5"/>
        <v>45732</v>
      </c>
      <c r="K456" s="27">
        <f t="shared" si="6"/>
        <v>45762</v>
      </c>
    </row>
    <row r="457" hidden="1">
      <c r="A457" s="3" t="str">
        <f t="shared" si="3"/>
        <v>SL-20250407-FMC-CS-CDS-001-10</v>
      </c>
      <c r="B457" s="2">
        <f t="array" ref="B457">INDEX(helper!$A$3:$A3996,ROUNDUP((ROW()-1)/COUNTA(helper!$D$3:$D3996),0))</f>
        <v>45754</v>
      </c>
      <c r="C457" s="5" t="str">
        <f t="array" ref="C457">IF(B457="","",INDEX(helper!$D$3:$D3996,MOD(ROW()-2,COUNTA(helper!$D$3:$D3996))+1))</f>
        <v>FMC</v>
      </c>
      <c r="D457" s="3" t="str">
        <f t="array" ref="D457">IF(B457="","",INDEX(helper!$E$3:$E3996,MOD(ROW()-2,COUNTA(helper!$D$3:$D3996))+1))</f>
        <v>CS-CDS-001</v>
      </c>
      <c r="E457" s="3">
        <f t="array" ref="E457">IF(B457="","",INDEX(helper!$F$3:$F3996,MOD(ROW()-2,COUNTA(helper!$D$3:$D3996))+1))</f>
        <v>10</v>
      </c>
      <c r="F457" s="3">
        <f>IF(B457="","",SUMIFS('inventory ledger'!$H:$H,'inventory ledger'!$C:$C,C457,'inventory ledger'!$D:$D,D457,'inventory ledger'!$E:$E,E457,'inventory ledger'!$A:$A,"&lt;="&amp;B457+TIME(23,59,59))-SUMIFS('inventory ledger'!$I:$I,'inventory ledger'!$C:$C,C457,'inventory ledger'!$D:$D,D457,'inventory ledger'!$E:$E,E457,'inventory ledger'!$A:$A,"&lt;="&amp;B457+TIME(23,59,59)))</f>
        <v>0</v>
      </c>
      <c r="G457" s="3">
        <f>IFERROR(__xludf.DUMMYFUNCTION("IF(F457&lt;=0,0,IFERROR(ROUNDUP(F457/INDEX(FILTER('warehouse config'!$D:$D,('warehouse config'!$B:$B=C457)*('warehouse config'!$C:$C=D457)*('warehouse config'!$G:$G&lt;=B457)*(('warehouse config'!$H:$H&gt;=B457)+ISBLANK('warehouse config'!$H:$H))),1)),0))"),0.0)</f>
        <v>0</v>
      </c>
      <c r="H457" s="3">
        <f>IFERROR(__xludf.DUMMYFUNCTION("IFERROR(INDEX(FILTER('cost master'!$E:$E,('cost master'!$B:$B=C457)*('cost master'!$D:$D=""Storage cost per pallet / week"")*('cost master'!$G:$G&lt;=B457)*(('cost master'!$H:$H&gt;=B457)+ISBLANK('cost master'!$H:$H))),1),0)"),3.9)</f>
        <v>3.9</v>
      </c>
      <c r="I457" s="3">
        <f t="shared" si="4"/>
        <v>0</v>
      </c>
      <c r="J457" s="27">
        <f t="shared" si="5"/>
        <v>45732</v>
      </c>
      <c r="K457" s="27">
        <f t="shared" si="6"/>
        <v>45762</v>
      </c>
    </row>
    <row r="458" hidden="1">
      <c r="A458" s="3" t="str">
        <f t="shared" si="3"/>
        <v>SL-20250407-FMC-CS 007-11</v>
      </c>
      <c r="B458" s="2">
        <f t="array" ref="B458">INDEX(helper!$A$3:$A3996,ROUNDUP((ROW()-1)/COUNTA(helper!$D$3:$D3996),0))</f>
        <v>45754</v>
      </c>
      <c r="C458" s="5" t="str">
        <f t="array" ref="C458">IF(B458="","",INDEX(helper!$D$3:$D3996,MOD(ROW()-2,COUNTA(helper!$D$3:$D3996))+1))</f>
        <v>FMC</v>
      </c>
      <c r="D458" s="3" t="str">
        <f t="array" ref="D458">IF(B458="","",INDEX(helper!$E$3:$E3996,MOD(ROW()-2,COUNTA(helper!$D$3:$D3996))+1))</f>
        <v>CS 007</v>
      </c>
      <c r="E458" s="3">
        <f t="array" ref="E458">IF(B458="","",INDEX(helper!$F$3:$F3996,MOD(ROW()-2,COUNTA(helper!$D$3:$D3996))+1))</f>
        <v>11</v>
      </c>
      <c r="F458" s="3">
        <f>IF(B458="","",SUMIFS('inventory ledger'!$H:$H,'inventory ledger'!$C:$C,C458,'inventory ledger'!$D:$D,D458,'inventory ledger'!$E:$E,E458,'inventory ledger'!$A:$A,"&lt;="&amp;B458+TIME(23,59,59))-SUMIFS('inventory ledger'!$I:$I,'inventory ledger'!$C:$C,C458,'inventory ledger'!$D:$D,D458,'inventory ledger'!$E:$E,E458,'inventory ledger'!$A:$A,"&lt;="&amp;B458+TIME(23,59,59)))</f>
        <v>0</v>
      </c>
      <c r="G458" s="3">
        <f>IFERROR(__xludf.DUMMYFUNCTION("IF(F458&lt;=0,0,IFERROR(ROUNDUP(F458/INDEX(FILTER('warehouse config'!$D:$D,('warehouse config'!$B:$B=C458)*('warehouse config'!$C:$C=D458)*('warehouse config'!$G:$G&lt;=B458)*(('warehouse config'!$H:$H&gt;=B458)+ISBLANK('warehouse config'!$H:$H))),1)),0))"),0.0)</f>
        <v>0</v>
      </c>
      <c r="H458" s="3">
        <f>IFERROR(__xludf.DUMMYFUNCTION("IFERROR(INDEX(FILTER('cost master'!$E:$E,('cost master'!$B:$B=C458)*('cost master'!$D:$D=""Storage cost per pallet / week"")*('cost master'!$G:$G&lt;=B458)*(('cost master'!$H:$H&gt;=B458)+ISBLANK('cost master'!$H:$H))),1),0)"),3.9)</f>
        <v>3.9</v>
      </c>
      <c r="I458" s="3">
        <f t="shared" si="4"/>
        <v>0</v>
      </c>
      <c r="J458" s="27">
        <f t="shared" si="5"/>
        <v>45732</v>
      </c>
      <c r="K458" s="27">
        <f t="shared" si="6"/>
        <v>45762</v>
      </c>
    </row>
    <row r="459" hidden="1">
      <c r="A459" s="3" t="str">
        <f t="shared" si="3"/>
        <v>SL-20250407-FMC-CS 009-11</v>
      </c>
      <c r="B459" s="2">
        <f t="array" ref="B459">INDEX(helper!$A$3:$A3996,ROUNDUP((ROW()-1)/COUNTA(helper!$D$3:$D3996),0))</f>
        <v>45754</v>
      </c>
      <c r="C459" s="5" t="str">
        <f t="array" ref="C459">IF(B459="","",INDEX(helper!$D$3:$D3996,MOD(ROW()-2,COUNTA(helper!$D$3:$D3996))+1))</f>
        <v>FMC</v>
      </c>
      <c r="D459" s="3" t="str">
        <f t="array" ref="D459">IF(B459="","",INDEX(helper!$E$3:$E3996,MOD(ROW()-2,COUNTA(helper!$D$3:$D3996))+1))</f>
        <v>CS 009</v>
      </c>
      <c r="E459" s="3">
        <f t="array" ref="E459">IF(B459="","",INDEX(helper!$F$3:$F3996,MOD(ROW()-2,COUNTA(helper!$D$3:$D3996))+1))</f>
        <v>11</v>
      </c>
      <c r="F459" s="3">
        <f>IF(B459="","",SUMIFS('inventory ledger'!$H:$H,'inventory ledger'!$C:$C,C459,'inventory ledger'!$D:$D,D459,'inventory ledger'!$E:$E,E459,'inventory ledger'!$A:$A,"&lt;="&amp;B459+TIME(23,59,59))-SUMIFS('inventory ledger'!$I:$I,'inventory ledger'!$C:$C,C459,'inventory ledger'!$D:$D,D459,'inventory ledger'!$E:$E,E459,'inventory ledger'!$A:$A,"&lt;="&amp;B459+TIME(23,59,59)))</f>
        <v>0</v>
      </c>
      <c r="G459" s="3">
        <f>IFERROR(__xludf.DUMMYFUNCTION("IF(F459&lt;=0,0,IFERROR(ROUNDUP(F459/INDEX(FILTER('warehouse config'!$D:$D,('warehouse config'!$B:$B=C459)*('warehouse config'!$C:$C=D459)*('warehouse config'!$G:$G&lt;=B459)*(('warehouse config'!$H:$H&gt;=B459)+ISBLANK('warehouse config'!$H:$H))),1)),0))"),0.0)</f>
        <v>0</v>
      </c>
      <c r="H459" s="3">
        <f>IFERROR(__xludf.DUMMYFUNCTION("IFERROR(INDEX(FILTER('cost master'!$E:$E,('cost master'!$B:$B=C459)*('cost master'!$D:$D=""Storage cost per pallet / week"")*('cost master'!$G:$G&lt;=B459)*(('cost master'!$H:$H&gt;=B459)+ISBLANK('cost master'!$H:$H))),1),0)"),3.9)</f>
        <v>3.9</v>
      </c>
      <c r="I459" s="3">
        <f t="shared" si="4"/>
        <v>0</v>
      </c>
      <c r="J459" s="27">
        <f t="shared" si="5"/>
        <v>45732</v>
      </c>
      <c r="K459" s="27">
        <f t="shared" si="6"/>
        <v>45762</v>
      </c>
    </row>
    <row r="460" hidden="1">
      <c r="A460" s="3" t="str">
        <f t="shared" si="3"/>
        <v>SL-20250407-FMC-CS 010-11</v>
      </c>
      <c r="B460" s="2">
        <f t="array" ref="B460">INDEX(helper!$A$3:$A3996,ROUNDUP((ROW()-1)/COUNTA(helper!$D$3:$D3996),0))</f>
        <v>45754</v>
      </c>
      <c r="C460" s="5" t="str">
        <f t="array" ref="C460">IF(B460="","",INDEX(helper!$D$3:$D3996,MOD(ROW()-2,COUNTA(helper!$D$3:$D3996))+1))</f>
        <v>FMC</v>
      </c>
      <c r="D460" s="3" t="str">
        <f t="array" ref="D460">IF(B460="","",INDEX(helper!$E$3:$E3996,MOD(ROW()-2,COUNTA(helper!$D$3:$D3996))+1))</f>
        <v>CS 010</v>
      </c>
      <c r="E460" s="3">
        <f t="array" ref="E460">IF(B460="","",INDEX(helper!$F$3:$F3996,MOD(ROW()-2,COUNTA(helper!$D$3:$D3996))+1))</f>
        <v>11</v>
      </c>
      <c r="F460" s="3">
        <f>IF(B460="","",SUMIFS('inventory ledger'!$H:$H,'inventory ledger'!$C:$C,C460,'inventory ledger'!$D:$D,D460,'inventory ledger'!$E:$E,E460,'inventory ledger'!$A:$A,"&lt;="&amp;B460+TIME(23,59,59))-SUMIFS('inventory ledger'!$I:$I,'inventory ledger'!$C:$C,C460,'inventory ledger'!$D:$D,D460,'inventory ledger'!$E:$E,E460,'inventory ledger'!$A:$A,"&lt;="&amp;B460+TIME(23,59,59)))</f>
        <v>46</v>
      </c>
      <c r="G460" s="3">
        <f>IFERROR(__xludf.DUMMYFUNCTION("IF(F460&lt;=0,0,IFERROR(ROUNDUP(F460/INDEX(FILTER('warehouse config'!$D:$D,('warehouse config'!$B:$B=C460)*('warehouse config'!$C:$C=D460)*('warehouse config'!$G:$G&lt;=B460)*(('warehouse config'!$H:$H&gt;=B460)+ISBLANK('warehouse config'!$H:$H))),1)),0))"),2.0)</f>
        <v>2</v>
      </c>
      <c r="H460" s="3">
        <f>IFERROR(__xludf.DUMMYFUNCTION("IFERROR(INDEX(FILTER('cost master'!$E:$E,('cost master'!$B:$B=C460)*('cost master'!$D:$D=""Storage cost per pallet / week"")*('cost master'!$G:$G&lt;=B460)*(('cost master'!$H:$H&gt;=B460)+ISBLANK('cost master'!$H:$H))),1),0)"),3.9)</f>
        <v>3.9</v>
      </c>
      <c r="I460" s="3">
        <f t="shared" si="4"/>
        <v>7.8</v>
      </c>
      <c r="J460" s="27">
        <f t="shared" si="5"/>
        <v>45732</v>
      </c>
      <c r="K460" s="27">
        <f t="shared" si="6"/>
        <v>45762</v>
      </c>
    </row>
    <row r="461" hidden="1">
      <c r="A461" s="3" t="str">
        <f t="shared" si="3"/>
        <v>SL-20250407-Vglobal-CS 007-12</v>
      </c>
      <c r="B461" s="2">
        <f t="array" ref="B461">INDEX(helper!$A$3:$A3996,ROUNDUP((ROW()-1)/COUNTA(helper!$D$3:$D3996),0))</f>
        <v>45754</v>
      </c>
      <c r="C461" s="5" t="str">
        <f t="array" ref="C461">IF(B461="","",INDEX(helper!$D$3:$D3996,MOD(ROW()-2,COUNTA(helper!$D$3:$D3996))+1))</f>
        <v>Vglobal</v>
      </c>
      <c r="D461" s="3" t="str">
        <f t="array" ref="D461">IF(B461="","",INDEX(helper!$E$3:$E3996,MOD(ROW()-2,COUNTA(helper!$D$3:$D3996))+1))</f>
        <v>CS 007</v>
      </c>
      <c r="E461" s="3">
        <f t="array" ref="E461">IF(B461="","",INDEX(helper!$F$3:$F3996,MOD(ROW()-2,COUNTA(helper!$D$3:$D3996))+1))</f>
        <v>12</v>
      </c>
      <c r="F461" s="3">
        <f>IF(B461="","",SUMIFS('inventory ledger'!$H:$H,'inventory ledger'!$C:$C,C461,'inventory ledger'!$D:$D,D461,'inventory ledger'!$E:$E,E461,'inventory ledger'!$A:$A,"&lt;="&amp;B461+TIME(23,59,59))-SUMIFS('inventory ledger'!$I:$I,'inventory ledger'!$C:$C,C461,'inventory ledger'!$D:$D,D461,'inventory ledger'!$E:$E,E461,'inventory ledger'!$A:$A,"&lt;="&amp;B461+TIME(23,59,59)))</f>
        <v>0</v>
      </c>
      <c r="G461" s="3">
        <f>IFERROR(__xludf.DUMMYFUNCTION("IF(F461&lt;=0,0,IFERROR(ROUNDUP(F461/INDEX(FILTER('warehouse config'!$D:$D,('warehouse config'!$B:$B=C461)*('warehouse config'!$C:$C=D461)*('warehouse config'!$G:$G&lt;=B461)*(('warehouse config'!$H:$H&gt;=B461)+ISBLANK('warehouse config'!$H:$H))),1)),0))"),0.0)</f>
        <v>0</v>
      </c>
      <c r="H461" s="3">
        <f>IFERROR(__xludf.DUMMYFUNCTION("IFERROR(INDEX(FILTER('cost master'!$E:$E,('cost master'!$B:$B=C461)*('cost master'!$D:$D=""Storage cost per pallet / week"")*('cost master'!$G:$G&lt;=B461)*(('cost master'!$H:$H&gt;=B461)+ISBLANK('cost master'!$H:$H))),1),0)"),2.6)</f>
        <v>2.6</v>
      </c>
      <c r="I461" s="3">
        <f t="shared" si="4"/>
        <v>0</v>
      </c>
      <c r="J461" s="27">
        <f t="shared" si="5"/>
        <v>45732</v>
      </c>
      <c r="K461" s="27">
        <f t="shared" si="6"/>
        <v>45762</v>
      </c>
    </row>
    <row r="462" hidden="1">
      <c r="A462" s="3" t="str">
        <f t="shared" si="3"/>
        <v>SL-20250407-Vglobal-CS 011-12</v>
      </c>
      <c r="B462" s="2">
        <f t="array" ref="B462">INDEX(helper!$A$3:$A3996,ROUNDUP((ROW()-1)/COUNTA(helper!$D$3:$D3996),0))</f>
        <v>45754</v>
      </c>
      <c r="C462" s="5" t="str">
        <f t="array" ref="C462">IF(B462="","",INDEX(helper!$D$3:$D3996,MOD(ROW()-2,COUNTA(helper!$D$3:$D3996))+1))</f>
        <v>Vglobal</v>
      </c>
      <c r="D462" s="3" t="str">
        <f t="array" ref="D462">IF(B462="","",INDEX(helper!$E$3:$E3996,MOD(ROW()-2,COUNTA(helper!$D$3:$D3996))+1))</f>
        <v>CS 011</v>
      </c>
      <c r="E462" s="3">
        <f t="array" ref="E462">IF(B462="","",INDEX(helper!$F$3:$F3996,MOD(ROW()-2,COUNTA(helper!$D$3:$D3996))+1))</f>
        <v>12</v>
      </c>
      <c r="F462" s="3">
        <f>IF(B462="","",SUMIFS('inventory ledger'!$H:$H,'inventory ledger'!$C:$C,C462,'inventory ledger'!$D:$D,D462,'inventory ledger'!$E:$E,E462,'inventory ledger'!$A:$A,"&lt;="&amp;B462+TIME(23,59,59))-SUMIFS('inventory ledger'!$I:$I,'inventory ledger'!$C:$C,C462,'inventory ledger'!$D:$D,D462,'inventory ledger'!$E:$E,E462,'inventory ledger'!$A:$A,"&lt;="&amp;B462+TIME(23,59,59)))</f>
        <v>0</v>
      </c>
      <c r="G462" s="3">
        <f>IFERROR(__xludf.DUMMYFUNCTION("IF(F462&lt;=0,0,IFERROR(ROUNDUP(F462/INDEX(FILTER('warehouse config'!$D:$D,('warehouse config'!$B:$B=C462)*('warehouse config'!$C:$C=D462)*('warehouse config'!$G:$G&lt;=B462)*(('warehouse config'!$H:$H&gt;=B462)+ISBLANK('warehouse config'!$H:$H))),1)),0))"),0.0)</f>
        <v>0</v>
      </c>
      <c r="H462" s="3">
        <f>IFERROR(__xludf.DUMMYFUNCTION("IFERROR(INDEX(FILTER('cost master'!$E:$E,('cost master'!$B:$B=C462)*('cost master'!$D:$D=""Storage cost per pallet / week"")*('cost master'!$G:$G&lt;=B462)*(('cost master'!$H:$H&gt;=B462)+ISBLANK('cost master'!$H:$H))),1),0)"),2.6)</f>
        <v>2.6</v>
      </c>
      <c r="I462" s="3">
        <f t="shared" si="4"/>
        <v>0</v>
      </c>
      <c r="J462" s="27">
        <f t="shared" si="5"/>
        <v>45732</v>
      </c>
      <c r="K462" s="27">
        <f t="shared" si="6"/>
        <v>45762</v>
      </c>
    </row>
    <row r="463" hidden="1">
      <c r="A463" s="3" t="str">
        <f t="shared" si="3"/>
        <v>SL-20250407-Vglobal-CS 008-12</v>
      </c>
      <c r="B463" s="2">
        <f t="array" ref="B463">INDEX(helper!$A$3:$A3996,ROUNDUP((ROW()-1)/COUNTA(helper!$D$3:$D3996),0))</f>
        <v>45754</v>
      </c>
      <c r="C463" s="5" t="str">
        <f t="array" ref="C463">IF(B463="","",INDEX(helper!$D$3:$D3996,MOD(ROW()-2,COUNTA(helper!$D$3:$D3996))+1))</f>
        <v>Vglobal</v>
      </c>
      <c r="D463" s="3" t="str">
        <f t="array" ref="D463">IF(B463="","",INDEX(helper!$E$3:$E3996,MOD(ROW()-2,COUNTA(helper!$D$3:$D3996))+1))</f>
        <v>CS 008</v>
      </c>
      <c r="E463" s="3">
        <f t="array" ref="E463">IF(B463="","",INDEX(helper!$F$3:$F3996,MOD(ROW()-2,COUNTA(helper!$D$3:$D3996))+1))</f>
        <v>12</v>
      </c>
      <c r="F463" s="3">
        <f>IF(B463="","",SUMIFS('inventory ledger'!$H:$H,'inventory ledger'!$C:$C,C463,'inventory ledger'!$D:$D,D463,'inventory ledger'!$E:$E,E463,'inventory ledger'!$A:$A,"&lt;="&amp;B463+TIME(23,59,59))-SUMIFS('inventory ledger'!$I:$I,'inventory ledger'!$C:$C,C463,'inventory ledger'!$D:$D,D463,'inventory ledger'!$E:$E,E463,'inventory ledger'!$A:$A,"&lt;="&amp;B463+TIME(23,59,59)))</f>
        <v>0</v>
      </c>
      <c r="G463" s="3">
        <f>IFERROR(__xludf.DUMMYFUNCTION("IF(F463&lt;=0,0,IFERROR(ROUNDUP(F463/INDEX(FILTER('warehouse config'!$D:$D,('warehouse config'!$B:$B=C463)*('warehouse config'!$C:$C=D463)*('warehouse config'!$G:$G&lt;=B463)*(('warehouse config'!$H:$H&gt;=B463)+ISBLANK('warehouse config'!$H:$H))),1)),0))"),0.0)</f>
        <v>0</v>
      </c>
      <c r="H463" s="3">
        <f>IFERROR(__xludf.DUMMYFUNCTION("IFERROR(INDEX(FILTER('cost master'!$E:$E,('cost master'!$B:$B=C463)*('cost master'!$D:$D=""Storage cost per pallet / week"")*('cost master'!$G:$G&lt;=B463)*(('cost master'!$H:$H&gt;=B463)+ISBLANK('cost master'!$H:$H))),1),0)"),2.6)</f>
        <v>2.6</v>
      </c>
      <c r="I463" s="3">
        <f t="shared" si="4"/>
        <v>0</v>
      </c>
      <c r="J463" s="27">
        <f t="shared" si="5"/>
        <v>45732</v>
      </c>
      <c r="K463" s="27">
        <f t="shared" si="6"/>
        <v>45762</v>
      </c>
    </row>
    <row r="464" hidden="1">
      <c r="A464" s="3" t="str">
        <f t="shared" si="3"/>
        <v>SL-20250407-Vglobal-CS 010-12</v>
      </c>
      <c r="B464" s="2">
        <f t="array" ref="B464">INDEX(helper!$A$3:$A3996,ROUNDUP((ROW()-1)/COUNTA(helper!$D$3:$D3996),0))</f>
        <v>45754</v>
      </c>
      <c r="C464" s="5" t="str">
        <f t="array" ref="C464">IF(B464="","",INDEX(helper!$D$3:$D3996,MOD(ROW()-2,COUNTA(helper!$D$3:$D3996))+1))</f>
        <v>Vglobal</v>
      </c>
      <c r="D464" s="3" t="str">
        <f t="array" ref="D464">IF(B464="","",INDEX(helper!$E$3:$E3996,MOD(ROW()-2,COUNTA(helper!$D$3:$D3996))+1))</f>
        <v>CS 010</v>
      </c>
      <c r="E464" s="3">
        <f t="array" ref="E464">IF(B464="","",INDEX(helper!$F$3:$F3996,MOD(ROW()-2,COUNTA(helper!$D$3:$D3996))+1))</f>
        <v>12</v>
      </c>
      <c r="F464" s="3">
        <f>IF(B464="","",SUMIFS('inventory ledger'!$H:$H,'inventory ledger'!$C:$C,C464,'inventory ledger'!$D:$D,D464,'inventory ledger'!$E:$E,E464,'inventory ledger'!$A:$A,"&lt;="&amp;B464+TIME(23,59,59))-SUMIFS('inventory ledger'!$I:$I,'inventory ledger'!$C:$C,C464,'inventory ledger'!$D:$D,D464,'inventory ledger'!$E:$E,E464,'inventory ledger'!$A:$A,"&lt;="&amp;B464+TIME(23,59,59)))</f>
        <v>70</v>
      </c>
      <c r="G464" s="3">
        <f>IFERROR(__xludf.DUMMYFUNCTION("IF(F464&lt;=0,0,IFERROR(ROUNDUP(F464/INDEX(FILTER('warehouse config'!$D:$D,('warehouse config'!$B:$B=C464)*('warehouse config'!$C:$C=D464)*('warehouse config'!$G:$G&lt;=B464)*(('warehouse config'!$H:$H&gt;=B464)+ISBLANK('warehouse config'!$H:$H))),1)),0))"),3.0)</f>
        <v>3</v>
      </c>
      <c r="H464" s="3">
        <f>IFERROR(__xludf.DUMMYFUNCTION("IFERROR(INDEX(FILTER('cost master'!$E:$E,('cost master'!$B:$B=C464)*('cost master'!$D:$D=""Storage cost per pallet / week"")*('cost master'!$G:$G&lt;=B464)*(('cost master'!$H:$H&gt;=B464)+ISBLANK('cost master'!$H:$H))),1),0)"),2.6)</f>
        <v>2.6</v>
      </c>
      <c r="I464" s="3">
        <f t="shared" si="4"/>
        <v>7.8</v>
      </c>
      <c r="J464" s="27">
        <f t="shared" si="5"/>
        <v>45732</v>
      </c>
      <c r="K464" s="27">
        <f t="shared" si="6"/>
        <v>45762</v>
      </c>
    </row>
    <row r="465" hidden="1">
      <c r="A465" s="3" t="str">
        <f t="shared" si="3"/>
        <v>SL-20250407-Vglobal-CS 009-12</v>
      </c>
      <c r="B465" s="2">
        <f t="array" ref="B465">INDEX(helper!$A$3:$A3996,ROUNDUP((ROW()-1)/COUNTA(helper!$D$3:$D3996),0))</f>
        <v>45754</v>
      </c>
      <c r="C465" s="5" t="str">
        <f t="array" ref="C465">IF(B465="","",INDEX(helper!$D$3:$D3996,MOD(ROW()-2,COUNTA(helper!$D$3:$D3996))+1))</f>
        <v>Vglobal</v>
      </c>
      <c r="D465" s="3" t="str">
        <f t="array" ref="D465">IF(B465="","",INDEX(helper!$E$3:$E3996,MOD(ROW()-2,COUNTA(helper!$D$3:$D3996))+1))</f>
        <v>CS 009</v>
      </c>
      <c r="E465" s="3">
        <f t="array" ref="E465">IF(B465="","",INDEX(helper!$F$3:$F3996,MOD(ROW()-2,COUNTA(helper!$D$3:$D3996))+1))</f>
        <v>12</v>
      </c>
      <c r="F465" s="3">
        <f>IF(B465="","",SUMIFS('inventory ledger'!$H:$H,'inventory ledger'!$C:$C,C465,'inventory ledger'!$D:$D,D465,'inventory ledger'!$E:$E,E465,'inventory ledger'!$A:$A,"&lt;="&amp;B465+TIME(23,59,59))-SUMIFS('inventory ledger'!$I:$I,'inventory ledger'!$C:$C,C465,'inventory ledger'!$D:$D,D465,'inventory ledger'!$E:$E,E465,'inventory ledger'!$A:$A,"&lt;="&amp;B465+TIME(23,59,59)))</f>
        <v>0</v>
      </c>
      <c r="G465" s="3">
        <f>IFERROR(__xludf.DUMMYFUNCTION("IF(F465&lt;=0,0,IFERROR(ROUNDUP(F465/INDEX(FILTER('warehouse config'!$D:$D,('warehouse config'!$B:$B=C465)*('warehouse config'!$C:$C=D465)*('warehouse config'!$G:$G&lt;=B465)*(('warehouse config'!$H:$H&gt;=B465)+ISBLANK('warehouse config'!$H:$H))),1)),0))"),0.0)</f>
        <v>0</v>
      </c>
      <c r="H465" s="3">
        <f>IFERROR(__xludf.DUMMYFUNCTION("IFERROR(INDEX(FILTER('cost master'!$E:$E,('cost master'!$B:$B=C465)*('cost master'!$D:$D=""Storage cost per pallet / week"")*('cost master'!$G:$G&lt;=B465)*(('cost master'!$H:$H&gt;=B465)+ISBLANK('cost master'!$H:$H))),1),0)"),2.6)</f>
        <v>2.6</v>
      </c>
      <c r="I465" s="3">
        <f t="shared" si="4"/>
        <v>0</v>
      </c>
      <c r="J465" s="27">
        <f t="shared" si="5"/>
        <v>45732</v>
      </c>
      <c r="K465" s="27">
        <f t="shared" si="6"/>
        <v>45762</v>
      </c>
    </row>
    <row r="466" hidden="1">
      <c r="A466" s="3" t="str">
        <f t="shared" si="3"/>
        <v>SL-20250407-Vglobal-CS 012-12</v>
      </c>
      <c r="B466" s="2">
        <f t="array" ref="B466">INDEX(helper!$A$3:$A3996,ROUNDUP((ROW()-1)/COUNTA(helper!$D$3:$D3996),0))</f>
        <v>45754</v>
      </c>
      <c r="C466" s="5" t="str">
        <f t="array" ref="C466">IF(B466="","",INDEX(helper!$D$3:$D3996,MOD(ROW()-2,COUNTA(helper!$D$3:$D3996))+1))</f>
        <v>Vglobal</v>
      </c>
      <c r="D466" s="3" t="str">
        <f t="array" ref="D466">IF(B466="","",INDEX(helper!$E$3:$E3996,MOD(ROW()-2,COUNTA(helper!$D$3:$D3996))+1))</f>
        <v>CS 012</v>
      </c>
      <c r="E466" s="3">
        <f t="array" ref="E466">IF(B466="","",INDEX(helper!$F$3:$F3996,MOD(ROW()-2,COUNTA(helper!$D$3:$D3996))+1))</f>
        <v>12</v>
      </c>
      <c r="F466" s="3">
        <f>IF(B466="","",SUMIFS('inventory ledger'!$H:$H,'inventory ledger'!$C:$C,C466,'inventory ledger'!$D:$D,D466,'inventory ledger'!$E:$E,E466,'inventory ledger'!$A:$A,"&lt;="&amp;B466+TIME(23,59,59))-SUMIFS('inventory ledger'!$I:$I,'inventory ledger'!$C:$C,C466,'inventory ledger'!$D:$D,D466,'inventory ledger'!$E:$E,E466,'inventory ledger'!$A:$A,"&lt;="&amp;B466+TIME(23,59,59)))</f>
        <v>0</v>
      </c>
      <c r="G466" s="3">
        <f>IFERROR(__xludf.DUMMYFUNCTION("IF(F466&lt;=0,0,IFERROR(ROUNDUP(F466/INDEX(FILTER('warehouse config'!$D:$D,('warehouse config'!$B:$B=C466)*('warehouse config'!$C:$C=D466)*('warehouse config'!$G:$G&lt;=B466)*(('warehouse config'!$H:$H&gt;=B466)+ISBLANK('warehouse config'!$H:$H))),1)),0))"),0.0)</f>
        <v>0</v>
      </c>
      <c r="H466" s="3">
        <f>IFERROR(__xludf.DUMMYFUNCTION("IFERROR(INDEX(FILTER('cost master'!$E:$E,('cost master'!$B:$B=C466)*('cost master'!$D:$D=""Storage cost per pallet / week"")*('cost master'!$G:$G&lt;=B466)*(('cost master'!$H:$H&gt;=B466)+ISBLANK('cost master'!$H:$H))),1),0)"),2.6)</f>
        <v>2.6</v>
      </c>
      <c r="I466" s="3">
        <f t="shared" si="4"/>
        <v>0</v>
      </c>
      <c r="J466" s="27">
        <f t="shared" si="5"/>
        <v>45732</v>
      </c>
      <c r="K466" s="27">
        <f t="shared" si="6"/>
        <v>45762</v>
      </c>
    </row>
    <row r="467" hidden="1">
      <c r="A467" s="3" t="str">
        <f t="shared" si="3"/>
        <v>SL-20250407-Vglobal-CS-CDS-001-3</v>
      </c>
      <c r="B467" s="2">
        <f t="array" ref="B467">INDEX(helper!$A$3:$A3996,ROUNDUP((ROW()-1)/COUNTA(helper!$D$3:$D3996),0))</f>
        <v>45754</v>
      </c>
      <c r="C467" s="5" t="str">
        <f t="array" ref="C467">IF(B467="","",INDEX(helper!$D$3:$D3996,MOD(ROW()-2,COUNTA(helper!$D$3:$D3996))+1))</f>
        <v>Vglobal</v>
      </c>
      <c r="D467" s="3" t="str">
        <f t="array" ref="D467">IF(B467="","",INDEX(helper!$E$3:$E3996,MOD(ROW()-2,COUNTA(helper!$D$3:$D3996))+1))</f>
        <v>CS-CDS-001</v>
      </c>
      <c r="E467" s="3">
        <f t="array" ref="E467">IF(B467="","",INDEX(helper!$F$3:$F3996,MOD(ROW()-2,COUNTA(helper!$D$3:$D3996))+1))</f>
        <v>3</v>
      </c>
      <c r="F467" s="3">
        <f>IF(B467="","",SUMIFS('inventory ledger'!$H:$H,'inventory ledger'!$C:$C,C467,'inventory ledger'!$D:$D,D467,'inventory ledger'!$E:$E,E467,'inventory ledger'!$A:$A,"&lt;="&amp;B467+TIME(23,59,59))-SUMIFS('inventory ledger'!$I:$I,'inventory ledger'!$C:$C,C467,'inventory ledger'!$D:$D,D467,'inventory ledger'!$E:$E,E467,'inventory ledger'!$A:$A,"&lt;="&amp;B467+TIME(23,59,59)))</f>
        <v>1</v>
      </c>
      <c r="G467" s="3">
        <f>IFERROR(__xludf.DUMMYFUNCTION("IF(F467&lt;=0,0,IFERROR(ROUNDUP(F467/INDEX(FILTER('warehouse config'!$D:$D,('warehouse config'!$B:$B=C467)*('warehouse config'!$C:$C=D467)*('warehouse config'!$G:$G&lt;=B467)*(('warehouse config'!$H:$H&gt;=B467)+ISBLANK('warehouse config'!$H:$H))),1)),0))"),1.0)</f>
        <v>1</v>
      </c>
      <c r="H467" s="3">
        <f>IFERROR(__xludf.DUMMYFUNCTION("IFERROR(INDEX(FILTER('cost master'!$E:$E,('cost master'!$B:$B=C467)*('cost master'!$D:$D=""Storage cost per pallet / week"")*('cost master'!$G:$G&lt;=B467)*(('cost master'!$H:$H&gt;=B467)+ISBLANK('cost master'!$H:$H))),1),0)"),2.6)</f>
        <v>2.6</v>
      </c>
      <c r="I467" s="3">
        <f t="shared" si="4"/>
        <v>2.6</v>
      </c>
      <c r="J467" s="27">
        <f t="shared" si="5"/>
        <v>45732</v>
      </c>
      <c r="K467" s="27">
        <f t="shared" si="6"/>
        <v>45762</v>
      </c>
    </row>
    <row r="468" hidden="1">
      <c r="A468" s="3" t="str">
        <f t="shared" si="3"/>
        <v>SL-20250407-Vglobal-CS-CDS-002-3</v>
      </c>
      <c r="B468" s="2">
        <f t="array" ref="B468">INDEX(helper!$A$3:$A3996,ROUNDUP((ROW()-1)/COUNTA(helper!$D$3:$D3996),0))</f>
        <v>45754</v>
      </c>
      <c r="C468" s="5" t="str">
        <f t="array" ref="C468">IF(B468="","",INDEX(helper!$D$3:$D3996,MOD(ROW()-2,COUNTA(helper!$D$3:$D3996))+1))</f>
        <v>Vglobal</v>
      </c>
      <c r="D468" s="3" t="str">
        <f t="array" ref="D468">IF(B468="","",INDEX(helper!$E$3:$E3996,MOD(ROW()-2,COUNTA(helper!$D$3:$D3996))+1))</f>
        <v>CS-CDS-002</v>
      </c>
      <c r="E468" s="3">
        <f t="array" ref="E468">IF(B468="","",INDEX(helper!$F$3:$F3996,MOD(ROW()-2,COUNTA(helper!$D$3:$D3996))+1))</f>
        <v>3</v>
      </c>
      <c r="F468" s="3">
        <f>IF(B468="","",SUMIFS('inventory ledger'!$H:$H,'inventory ledger'!$C:$C,C468,'inventory ledger'!$D:$D,D468,'inventory ledger'!$E:$E,E468,'inventory ledger'!$A:$A,"&lt;="&amp;B468+TIME(23,59,59))-SUMIFS('inventory ledger'!$I:$I,'inventory ledger'!$C:$C,C468,'inventory ledger'!$D:$D,D468,'inventory ledger'!$E:$E,E468,'inventory ledger'!$A:$A,"&lt;="&amp;B468+TIME(23,59,59)))</f>
        <v>0</v>
      </c>
      <c r="G468" s="3">
        <f>IFERROR(__xludf.DUMMYFUNCTION("IF(F468&lt;=0,0,IFERROR(ROUNDUP(F468/INDEX(FILTER('warehouse config'!$D:$D,('warehouse config'!$B:$B=C468)*('warehouse config'!$C:$C=D468)*('warehouse config'!$G:$G&lt;=B468)*(('warehouse config'!$H:$H&gt;=B468)+ISBLANK('warehouse config'!$H:$H))),1)),0))"),0.0)</f>
        <v>0</v>
      </c>
      <c r="H468" s="3">
        <f>IFERROR(__xludf.DUMMYFUNCTION("IFERROR(INDEX(FILTER('cost master'!$E:$E,('cost master'!$B:$B=C468)*('cost master'!$D:$D=""Storage cost per pallet / week"")*('cost master'!$G:$G&lt;=B468)*(('cost master'!$H:$H&gt;=B468)+ISBLANK('cost master'!$H:$H))),1),0)"),2.6)</f>
        <v>2.6</v>
      </c>
      <c r="I468" s="3">
        <f t="shared" si="4"/>
        <v>0</v>
      </c>
      <c r="J468" s="27">
        <f t="shared" si="5"/>
        <v>45732</v>
      </c>
      <c r="K468" s="27">
        <f t="shared" si="6"/>
        <v>45762</v>
      </c>
    </row>
    <row r="469" hidden="1">
      <c r="A469" s="3" t="str">
        <f t="shared" si="3"/>
        <v>SL-20250407-4as-CS-CDS-001-4</v>
      </c>
      <c r="B469" s="2">
        <f t="array" ref="B469">INDEX(helper!$A$3:$A3996,ROUNDUP((ROW()-1)/COUNTA(helper!$D$3:$D3996),0))</f>
        <v>45754</v>
      </c>
      <c r="C469" s="5" t="str">
        <f t="array" ref="C469">IF(B469="","",INDEX(helper!$D$3:$D3996,MOD(ROW()-2,COUNTA(helper!$D$3:$D3996))+1))</f>
        <v>4as</v>
      </c>
      <c r="D469" s="3" t="str">
        <f t="array" ref="D469">IF(B469="","",INDEX(helper!$E$3:$E3996,MOD(ROW()-2,COUNTA(helper!$D$3:$D3996))+1))</f>
        <v>CS-CDS-001</v>
      </c>
      <c r="E469" s="3">
        <f t="array" ref="E469">IF(B469="","",INDEX(helper!$F$3:$F3996,MOD(ROW()-2,COUNTA(helper!$D$3:$D3996))+1))</f>
        <v>4</v>
      </c>
      <c r="F469" s="3">
        <f>IF(B469="","",SUMIFS('inventory ledger'!$H:$H,'inventory ledger'!$C:$C,C469,'inventory ledger'!$D:$D,D469,'inventory ledger'!$E:$E,E469,'inventory ledger'!$A:$A,"&lt;="&amp;B469+TIME(23,59,59))-SUMIFS('inventory ledger'!$I:$I,'inventory ledger'!$C:$C,C469,'inventory ledger'!$D:$D,D469,'inventory ledger'!$E:$E,E469,'inventory ledger'!$A:$A,"&lt;="&amp;B469+TIME(23,59,59)))</f>
        <v>64</v>
      </c>
      <c r="G469" s="3">
        <f>IFERROR(__xludf.DUMMYFUNCTION("IF(F469&lt;=0,0,IFERROR(ROUNDUP(F469/INDEX(FILTER('warehouse config'!$D:$D,('warehouse config'!$B:$B=C469)*('warehouse config'!$C:$C=D469)*('warehouse config'!$G:$G&lt;=B469)*(('warehouse config'!$H:$H&gt;=B469)+ISBLANK('warehouse config'!$H:$H))),1)),0))"),4.0)</f>
        <v>4</v>
      </c>
      <c r="H469" s="3">
        <f>IFERROR(__xludf.DUMMYFUNCTION("IFERROR(INDEX(FILTER('cost master'!$E:$E,('cost master'!$B:$B=C469)*('cost master'!$D:$D=""Storage cost per pallet / week"")*('cost master'!$G:$G&lt;=B469)*(('cost master'!$H:$H&gt;=B469)+ISBLANK('cost master'!$H:$H))),1),0)"),9.0)</f>
        <v>9</v>
      </c>
      <c r="I469" s="3">
        <f t="shared" si="4"/>
        <v>36</v>
      </c>
      <c r="J469" s="27">
        <f t="shared" si="5"/>
        <v>45732</v>
      </c>
      <c r="K469" s="27">
        <f t="shared" si="6"/>
        <v>45762</v>
      </c>
    </row>
    <row r="470" hidden="1">
      <c r="A470" s="3" t="str">
        <f t="shared" si="3"/>
        <v>SL-20250407-4as-CS-CDS-002-4</v>
      </c>
      <c r="B470" s="2">
        <f t="array" ref="B470">INDEX(helper!$A$3:$A3996,ROUNDUP((ROW()-1)/COUNTA(helper!$D$3:$D3996),0))</f>
        <v>45754</v>
      </c>
      <c r="C470" s="5" t="str">
        <f t="array" ref="C470">IF(B470="","",INDEX(helper!$D$3:$D3996,MOD(ROW()-2,COUNTA(helper!$D$3:$D3996))+1))</f>
        <v>4as</v>
      </c>
      <c r="D470" s="3" t="str">
        <f t="array" ref="D470">IF(B470="","",INDEX(helper!$E$3:$E3996,MOD(ROW()-2,COUNTA(helper!$D$3:$D3996))+1))</f>
        <v>CS-CDS-002</v>
      </c>
      <c r="E470" s="3">
        <f t="array" ref="E470">IF(B470="","",INDEX(helper!$F$3:$F3996,MOD(ROW()-2,COUNTA(helper!$D$3:$D3996))+1))</f>
        <v>4</v>
      </c>
      <c r="F470" s="3">
        <f>IF(B470="","",SUMIFS('inventory ledger'!$H:$H,'inventory ledger'!$C:$C,C470,'inventory ledger'!$D:$D,D470,'inventory ledger'!$E:$E,E470,'inventory ledger'!$A:$A,"&lt;="&amp;B470+TIME(23,59,59))-SUMIFS('inventory ledger'!$I:$I,'inventory ledger'!$C:$C,C470,'inventory ledger'!$D:$D,D470,'inventory ledger'!$E:$E,E470,'inventory ledger'!$A:$A,"&lt;="&amp;B470+TIME(23,59,59)))</f>
        <v>29</v>
      </c>
      <c r="G470" s="3">
        <f>IFERROR(__xludf.DUMMYFUNCTION("IF(F470&lt;=0,0,IFERROR(ROUNDUP(F470/INDEX(FILTER('warehouse config'!$D:$D,('warehouse config'!$B:$B=C470)*('warehouse config'!$C:$C=D470)*('warehouse config'!$G:$G&lt;=B470)*(('warehouse config'!$H:$H&gt;=B470)+ISBLANK('warehouse config'!$H:$H))),1)),0))"),2.0)</f>
        <v>2</v>
      </c>
      <c r="H470" s="3">
        <f>IFERROR(__xludf.DUMMYFUNCTION("IFERROR(INDEX(FILTER('cost master'!$E:$E,('cost master'!$B:$B=C470)*('cost master'!$D:$D=""Storage cost per pallet / week"")*('cost master'!$G:$G&lt;=B470)*(('cost master'!$H:$H&gt;=B470)+ISBLANK('cost master'!$H:$H))),1),0)"),9.0)</f>
        <v>9</v>
      </c>
      <c r="I470" s="3">
        <f t="shared" si="4"/>
        <v>18</v>
      </c>
      <c r="J470" s="27">
        <f t="shared" si="5"/>
        <v>45732</v>
      </c>
      <c r="K470" s="27">
        <f t="shared" si="6"/>
        <v>45762</v>
      </c>
    </row>
    <row r="471" hidden="1">
      <c r="A471" s="3" t="str">
        <f t="shared" si="3"/>
        <v>SL-20250407-Vglobal-CS 007-13</v>
      </c>
      <c r="B471" s="2">
        <f t="array" ref="B471">INDEX(helper!$A$3:$A3996,ROUNDUP((ROW()-1)/COUNTA(helper!$D$3:$D3996),0))</f>
        <v>45754</v>
      </c>
      <c r="C471" s="5" t="str">
        <f t="array" ref="C471">IF(B471="","",INDEX(helper!$D$3:$D3996,MOD(ROW()-2,COUNTA(helper!$D$3:$D3996))+1))</f>
        <v>Vglobal</v>
      </c>
      <c r="D471" s="3" t="str">
        <f t="array" ref="D471">IF(B471="","",INDEX(helper!$E$3:$E3996,MOD(ROW()-2,COUNTA(helper!$D$3:$D3996))+1))</f>
        <v>CS 007</v>
      </c>
      <c r="E471" s="3">
        <f t="array" ref="E471">IF(B471="","",INDEX(helper!$F$3:$F3996,MOD(ROW()-2,COUNTA(helper!$D$3:$D3996))+1))</f>
        <v>13</v>
      </c>
      <c r="F471" s="3">
        <f>IF(B471="","",SUMIFS('inventory ledger'!$H:$H,'inventory ledger'!$C:$C,C471,'inventory ledger'!$D:$D,D471,'inventory ledger'!$E:$E,E471,'inventory ledger'!$A:$A,"&lt;="&amp;B471+TIME(23,59,59))-SUMIFS('inventory ledger'!$I:$I,'inventory ledger'!$C:$C,C471,'inventory ledger'!$D:$D,D471,'inventory ledger'!$E:$E,E471,'inventory ledger'!$A:$A,"&lt;="&amp;B471+TIME(23,59,59)))</f>
        <v>207</v>
      </c>
      <c r="G471" s="3">
        <f>IFERROR(__xludf.DUMMYFUNCTION("IF(F471&lt;=0,0,IFERROR(ROUNDUP(F471/INDEX(FILTER('warehouse config'!$D:$D,('warehouse config'!$B:$B=C471)*('warehouse config'!$C:$C=D471)*('warehouse config'!$G:$G&lt;=B471)*(('warehouse config'!$H:$H&gt;=B471)+ISBLANK('warehouse config'!$H:$H))),1)),0))"),13.0)</f>
        <v>13</v>
      </c>
      <c r="H471" s="3">
        <f>IFERROR(__xludf.DUMMYFUNCTION("IFERROR(INDEX(FILTER('cost master'!$E:$E,('cost master'!$B:$B=C471)*('cost master'!$D:$D=""Storage cost per pallet / week"")*('cost master'!$G:$G&lt;=B471)*(('cost master'!$H:$H&gt;=B471)+ISBLANK('cost master'!$H:$H))),1),0)"),2.6)</f>
        <v>2.6</v>
      </c>
      <c r="I471" s="3">
        <f t="shared" si="4"/>
        <v>33.8</v>
      </c>
      <c r="J471" s="27">
        <f t="shared" si="5"/>
        <v>45732</v>
      </c>
      <c r="K471" s="27">
        <f t="shared" si="6"/>
        <v>45762</v>
      </c>
    </row>
    <row r="472" hidden="1">
      <c r="A472" s="3" t="str">
        <f t="shared" si="3"/>
        <v>SL-20250407-Vglobal-CS 011-13</v>
      </c>
      <c r="B472" s="2">
        <f t="array" ref="B472">INDEX(helper!$A$3:$A3996,ROUNDUP((ROW()-1)/COUNTA(helper!$D$3:$D3996),0))</f>
        <v>45754</v>
      </c>
      <c r="C472" s="5" t="str">
        <f t="array" ref="C472">IF(B472="","",INDEX(helper!$D$3:$D3996,MOD(ROW()-2,COUNTA(helper!$D$3:$D3996))+1))</f>
        <v>Vglobal</v>
      </c>
      <c r="D472" s="3" t="str">
        <f t="array" ref="D472">IF(B472="","",INDEX(helper!$E$3:$E3996,MOD(ROW()-2,COUNTA(helper!$D$3:$D3996))+1))</f>
        <v>CS 011</v>
      </c>
      <c r="E472" s="3">
        <f t="array" ref="E472">IF(B472="","",INDEX(helper!$F$3:$F3996,MOD(ROW()-2,COUNTA(helper!$D$3:$D3996))+1))</f>
        <v>13</v>
      </c>
      <c r="F472" s="3">
        <f>IF(B472="","",SUMIFS('inventory ledger'!$H:$H,'inventory ledger'!$C:$C,C472,'inventory ledger'!$D:$D,D472,'inventory ledger'!$E:$E,E472,'inventory ledger'!$A:$A,"&lt;="&amp;B472+TIME(23,59,59))-SUMIFS('inventory ledger'!$I:$I,'inventory ledger'!$C:$C,C472,'inventory ledger'!$D:$D,D472,'inventory ledger'!$E:$E,E472,'inventory ledger'!$A:$A,"&lt;="&amp;B472+TIME(23,59,59)))</f>
        <v>64</v>
      </c>
      <c r="G472" s="3">
        <f>IFERROR(__xludf.DUMMYFUNCTION("IF(F472&lt;=0,0,IFERROR(ROUNDUP(F472/INDEX(FILTER('warehouse config'!$D:$D,('warehouse config'!$B:$B=C472)*('warehouse config'!$C:$C=D472)*('warehouse config'!$G:$G&lt;=B472)*(('warehouse config'!$H:$H&gt;=B472)+ISBLANK('warehouse config'!$H:$H))),1)),0))"),4.0)</f>
        <v>4</v>
      </c>
      <c r="H472" s="3">
        <f>IFERROR(__xludf.DUMMYFUNCTION("IFERROR(INDEX(FILTER('cost master'!$E:$E,('cost master'!$B:$B=C472)*('cost master'!$D:$D=""Storage cost per pallet / week"")*('cost master'!$G:$G&lt;=B472)*(('cost master'!$H:$H&gt;=B472)+ISBLANK('cost master'!$H:$H))),1),0)"),2.6)</f>
        <v>2.6</v>
      </c>
      <c r="I472" s="3">
        <f t="shared" si="4"/>
        <v>10.4</v>
      </c>
      <c r="J472" s="27">
        <f t="shared" si="5"/>
        <v>45732</v>
      </c>
      <c r="K472" s="27">
        <f t="shared" si="6"/>
        <v>45762</v>
      </c>
    </row>
    <row r="473" hidden="1">
      <c r="A473" s="3" t="str">
        <f t="shared" si="3"/>
        <v>SL-20250407-Vglobal-CS 008-13</v>
      </c>
      <c r="B473" s="2">
        <f t="array" ref="B473">INDEX(helper!$A$3:$A3996,ROUNDUP((ROW()-1)/COUNTA(helper!$D$3:$D3996),0))</f>
        <v>45754</v>
      </c>
      <c r="C473" s="5" t="str">
        <f t="array" ref="C473">IF(B473="","",INDEX(helper!$D$3:$D3996,MOD(ROW()-2,COUNTA(helper!$D$3:$D3996))+1))</f>
        <v>Vglobal</v>
      </c>
      <c r="D473" s="3" t="str">
        <f t="array" ref="D473">IF(B473="","",INDEX(helper!$E$3:$E3996,MOD(ROW()-2,COUNTA(helper!$D$3:$D3996))+1))</f>
        <v>CS 008</v>
      </c>
      <c r="E473" s="3">
        <f t="array" ref="E473">IF(B473="","",INDEX(helper!$F$3:$F3996,MOD(ROW()-2,COUNTA(helper!$D$3:$D3996))+1))</f>
        <v>13</v>
      </c>
      <c r="F473" s="3">
        <f>IF(B473="","",SUMIFS('inventory ledger'!$H:$H,'inventory ledger'!$C:$C,C473,'inventory ledger'!$D:$D,D473,'inventory ledger'!$E:$E,E473,'inventory ledger'!$A:$A,"&lt;="&amp;B473+TIME(23,59,59))-SUMIFS('inventory ledger'!$I:$I,'inventory ledger'!$C:$C,C473,'inventory ledger'!$D:$D,D473,'inventory ledger'!$E:$E,E473,'inventory ledger'!$A:$A,"&lt;="&amp;B473+TIME(23,59,59)))</f>
        <v>20</v>
      </c>
      <c r="G473" s="3">
        <f>IFERROR(__xludf.DUMMYFUNCTION("IF(F473&lt;=0,0,IFERROR(ROUNDUP(F473/INDEX(FILTER('warehouse config'!$D:$D,('warehouse config'!$B:$B=C473)*('warehouse config'!$C:$C=D473)*('warehouse config'!$G:$G&lt;=B473)*(('warehouse config'!$H:$H&gt;=B473)+ISBLANK('warehouse config'!$H:$H))),1)),0))"),1.0)</f>
        <v>1</v>
      </c>
      <c r="H473" s="3">
        <f>IFERROR(__xludf.DUMMYFUNCTION("IFERROR(INDEX(FILTER('cost master'!$E:$E,('cost master'!$B:$B=C473)*('cost master'!$D:$D=""Storage cost per pallet / week"")*('cost master'!$G:$G&lt;=B473)*(('cost master'!$H:$H&gt;=B473)+ISBLANK('cost master'!$H:$H))),1),0)"),2.6)</f>
        <v>2.6</v>
      </c>
      <c r="I473" s="3">
        <f t="shared" si="4"/>
        <v>2.6</v>
      </c>
      <c r="J473" s="27">
        <f t="shared" si="5"/>
        <v>45732</v>
      </c>
      <c r="K473" s="27">
        <f t="shared" si="6"/>
        <v>45762</v>
      </c>
    </row>
    <row r="474" hidden="1">
      <c r="A474" s="3" t="str">
        <f t="shared" si="3"/>
        <v>SL-20250407-Vglobal-CS 010-13</v>
      </c>
      <c r="B474" s="2">
        <f t="array" ref="B474">INDEX(helper!$A$3:$A3996,ROUNDUP((ROW()-1)/COUNTA(helper!$D$3:$D3996),0))</f>
        <v>45754</v>
      </c>
      <c r="C474" s="5" t="str">
        <f t="array" ref="C474">IF(B474="","",INDEX(helper!$D$3:$D3996,MOD(ROW()-2,COUNTA(helper!$D$3:$D3996))+1))</f>
        <v>Vglobal</v>
      </c>
      <c r="D474" s="3" t="str">
        <f t="array" ref="D474">IF(B474="","",INDEX(helper!$E$3:$E3996,MOD(ROW()-2,COUNTA(helper!$D$3:$D3996))+1))</f>
        <v>CS 010</v>
      </c>
      <c r="E474" s="3">
        <f t="array" ref="E474">IF(B474="","",INDEX(helper!$F$3:$F3996,MOD(ROW()-2,COUNTA(helper!$D$3:$D3996))+1))</f>
        <v>13</v>
      </c>
      <c r="F474" s="3">
        <f>IF(B474="","",SUMIFS('inventory ledger'!$H:$H,'inventory ledger'!$C:$C,C474,'inventory ledger'!$D:$D,D474,'inventory ledger'!$E:$E,E474,'inventory ledger'!$A:$A,"&lt;="&amp;B474+TIME(23,59,59))-SUMIFS('inventory ledger'!$I:$I,'inventory ledger'!$C:$C,C474,'inventory ledger'!$D:$D,D474,'inventory ledger'!$E:$E,E474,'inventory ledger'!$A:$A,"&lt;="&amp;B474+TIME(23,59,59)))</f>
        <v>80</v>
      </c>
      <c r="G474" s="3">
        <f>IFERROR(__xludf.DUMMYFUNCTION("IF(F474&lt;=0,0,IFERROR(ROUNDUP(F474/INDEX(FILTER('warehouse config'!$D:$D,('warehouse config'!$B:$B=C474)*('warehouse config'!$C:$C=D474)*('warehouse config'!$G:$G&lt;=B474)*(('warehouse config'!$H:$H&gt;=B474)+ISBLANK('warehouse config'!$H:$H))),1)),0))"),4.0)</f>
        <v>4</v>
      </c>
      <c r="H474" s="3">
        <f>IFERROR(__xludf.DUMMYFUNCTION("IFERROR(INDEX(FILTER('cost master'!$E:$E,('cost master'!$B:$B=C474)*('cost master'!$D:$D=""Storage cost per pallet / week"")*('cost master'!$G:$G&lt;=B474)*(('cost master'!$H:$H&gt;=B474)+ISBLANK('cost master'!$H:$H))),1),0)"),2.6)</f>
        <v>2.6</v>
      </c>
      <c r="I474" s="3">
        <f t="shared" si="4"/>
        <v>10.4</v>
      </c>
      <c r="J474" s="27">
        <f t="shared" si="5"/>
        <v>45732</v>
      </c>
      <c r="K474" s="27">
        <f t="shared" si="6"/>
        <v>45762</v>
      </c>
    </row>
    <row r="475" hidden="1">
      <c r="A475" s="3" t="str">
        <f t="shared" si="3"/>
        <v>SL-20250407-Vglobal-CS 009-13</v>
      </c>
      <c r="B475" s="2">
        <f t="array" ref="B475">INDEX(helper!$A$3:$A3996,ROUNDUP((ROW()-1)/COUNTA(helper!$D$3:$D3996),0))</f>
        <v>45754</v>
      </c>
      <c r="C475" s="5" t="str">
        <f t="array" ref="C475">IF(B475="","",INDEX(helper!$D$3:$D3996,MOD(ROW()-2,COUNTA(helper!$D$3:$D3996))+1))</f>
        <v>Vglobal</v>
      </c>
      <c r="D475" s="3" t="str">
        <f t="array" ref="D475">IF(B475="","",INDEX(helper!$E$3:$E3996,MOD(ROW()-2,COUNTA(helper!$D$3:$D3996))+1))</f>
        <v>CS 009</v>
      </c>
      <c r="E475" s="3">
        <f t="array" ref="E475">IF(B475="","",INDEX(helper!$F$3:$F3996,MOD(ROW()-2,COUNTA(helper!$D$3:$D3996))+1))</f>
        <v>13</v>
      </c>
      <c r="F475" s="3">
        <f>IF(B475="","",SUMIFS('inventory ledger'!$H:$H,'inventory ledger'!$C:$C,C475,'inventory ledger'!$D:$D,D475,'inventory ledger'!$E:$E,E475,'inventory ledger'!$A:$A,"&lt;="&amp;B475+TIME(23,59,59))-SUMIFS('inventory ledger'!$I:$I,'inventory ledger'!$C:$C,C475,'inventory ledger'!$D:$D,D475,'inventory ledger'!$E:$E,E475,'inventory ledger'!$A:$A,"&lt;="&amp;B475+TIME(23,59,59)))</f>
        <v>0</v>
      </c>
      <c r="G475" s="3">
        <f>IFERROR(__xludf.DUMMYFUNCTION("IF(F475&lt;=0,0,IFERROR(ROUNDUP(F475/INDEX(FILTER('warehouse config'!$D:$D,('warehouse config'!$B:$B=C475)*('warehouse config'!$C:$C=D475)*('warehouse config'!$G:$G&lt;=B475)*(('warehouse config'!$H:$H&gt;=B475)+ISBLANK('warehouse config'!$H:$H))),1)),0))"),0.0)</f>
        <v>0</v>
      </c>
      <c r="H475" s="3">
        <f>IFERROR(__xludf.DUMMYFUNCTION("IFERROR(INDEX(FILTER('cost master'!$E:$E,('cost master'!$B:$B=C475)*('cost master'!$D:$D=""Storage cost per pallet / week"")*('cost master'!$G:$G&lt;=B475)*(('cost master'!$H:$H&gt;=B475)+ISBLANK('cost master'!$H:$H))),1),0)"),2.6)</f>
        <v>2.6</v>
      </c>
      <c r="I475" s="3">
        <f t="shared" si="4"/>
        <v>0</v>
      </c>
      <c r="J475" s="27">
        <f t="shared" si="5"/>
        <v>45732</v>
      </c>
      <c r="K475" s="27">
        <f t="shared" si="6"/>
        <v>45762</v>
      </c>
    </row>
    <row r="476" hidden="1">
      <c r="A476" s="3" t="str">
        <f t="shared" si="3"/>
        <v>SL-20250407-Vglobal-CS 012-13</v>
      </c>
      <c r="B476" s="2">
        <f t="array" ref="B476">INDEX(helper!$A$3:$A3996,ROUNDUP((ROW()-1)/COUNTA(helper!$D$3:$D3996),0))</f>
        <v>45754</v>
      </c>
      <c r="C476" s="5" t="str">
        <f t="array" ref="C476">IF(B476="","",INDEX(helper!$D$3:$D3996,MOD(ROW()-2,COUNTA(helper!$D$3:$D3996))+1))</f>
        <v>Vglobal</v>
      </c>
      <c r="D476" s="3" t="str">
        <f t="array" ref="D476">IF(B476="","",INDEX(helper!$E$3:$E3996,MOD(ROW()-2,COUNTA(helper!$D$3:$D3996))+1))</f>
        <v>CS 012</v>
      </c>
      <c r="E476" s="3">
        <f t="array" ref="E476">IF(B476="","",INDEX(helper!$F$3:$F3996,MOD(ROW()-2,COUNTA(helper!$D$3:$D3996))+1))</f>
        <v>13</v>
      </c>
      <c r="F476" s="3">
        <f>IF(B476="","",SUMIFS('inventory ledger'!$H:$H,'inventory ledger'!$C:$C,C476,'inventory ledger'!$D:$D,D476,'inventory ledger'!$E:$E,E476,'inventory ledger'!$A:$A,"&lt;="&amp;B476+TIME(23,59,59))-SUMIFS('inventory ledger'!$I:$I,'inventory ledger'!$C:$C,C476,'inventory ledger'!$D:$D,D476,'inventory ledger'!$E:$E,E476,'inventory ledger'!$A:$A,"&lt;="&amp;B476+TIME(23,59,59)))</f>
        <v>0</v>
      </c>
      <c r="G476" s="3">
        <f>IFERROR(__xludf.DUMMYFUNCTION("IF(F476&lt;=0,0,IFERROR(ROUNDUP(F476/INDEX(FILTER('warehouse config'!$D:$D,('warehouse config'!$B:$B=C476)*('warehouse config'!$C:$C=D476)*('warehouse config'!$G:$G&lt;=B476)*(('warehouse config'!$H:$H&gt;=B476)+ISBLANK('warehouse config'!$H:$H))),1)),0))"),0.0)</f>
        <v>0</v>
      </c>
      <c r="H476" s="3">
        <f>IFERROR(__xludf.DUMMYFUNCTION("IFERROR(INDEX(FILTER('cost master'!$E:$E,('cost master'!$B:$B=C476)*('cost master'!$D:$D=""Storage cost per pallet / week"")*('cost master'!$G:$G&lt;=B476)*(('cost master'!$H:$H&gt;=B476)+ISBLANK('cost master'!$H:$H))),1),0)"),2.6)</f>
        <v>2.6</v>
      </c>
      <c r="I476" s="3">
        <f t="shared" si="4"/>
        <v>0</v>
      </c>
      <c r="J476" s="27">
        <f t="shared" si="5"/>
        <v>45732</v>
      </c>
      <c r="K476" s="27">
        <f t="shared" si="6"/>
        <v>45762</v>
      </c>
    </row>
    <row r="477" hidden="1">
      <c r="A477" s="3" t="str">
        <f t="shared" si="3"/>
        <v>SL-20250407-FMC-CS 008-11</v>
      </c>
      <c r="B477" s="2">
        <f t="array" ref="B477">INDEX(helper!$A$3:$A3996,ROUNDUP((ROW()-1)/COUNTA(helper!$D$3:$D3996),0))</f>
        <v>45754</v>
      </c>
      <c r="C477" s="5" t="str">
        <f t="array" ref="C477">IF(B477="","",INDEX(helper!$D$3:$D3996,MOD(ROW()-2,COUNTA(helper!$D$3:$D3996))+1))</f>
        <v>FMC</v>
      </c>
      <c r="D477" s="3" t="str">
        <f t="array" ref="D477">IF(B477="","",INDEX(helper!$E$3:$E3996,MOD(ROW()-2,COUNTA(helper!$D$3:$D3996))+1))</f>
        <v>CS 008</v>
      </c>
      <c r="E477" s="3">
        <f t="array" ref="E477">IF(B477="","",INDEX(helper!$F$3:$F3996,MOD(ROW()-2,COUNTA(helper!$D$3:$D3996))+1))</f>
        <v>11</v>
      </c>
      <c r="F477" s="3">
        <f>IF(B477="","",SUMIFS('inventory ledger'!$H:$H,'inventory ledger'!$C:$C,C477,'inventory ledger'!$D:$D,D477,'inventory ledger'!$E:$E,E477,'inventory ledger'!$A:$A,"&lt;="&amp;B477+TIME(23,59,59))-SUMIFS('inventory ledger'!$I:$I,'inventory ledger'!$C:$C,C477,'inventory ledger'!$D:$D,D477,'inventory ledger'!$E:$E,E477,'inventory ledger'!$A:$A,"&lt;="&amp;B477+TIME(23,59,59)))</f>
        <v>0</v>
      </c>
      <c r="G477" s="3">
        <f>IFERROR(__xludf.DUMMYFUNCTION("IF(F477&lt;=0,0,IFERROR(ROUNDUP(F477/INDEX(FILTER('warehouse config'!$D:$D,('warehouse config'!$B:$B=C477)*('warehouse config'!$C:$C=D477)*('warehouse config'!$G:$G&lt;=B477)*(('warehouse config'!$H:$H&gt;=B477)+ISBLANK('warehouse config'!$H:$H))),1)),0))"),0.0)</f>
        <v>0</v>
      </c>
      <c r="H477" s="3">
        <f>IFERROR(__xludf.DUMMYFUNCTION("IFERROR(INDEX(FILTER('cost master'!$E:$E,('cost master'!$B:$B=C477)*('cost master'!$D:$D=""Storage cost per pallet / week"")*('cost master'!$G:$G&lt;=B477)*(('cost master'!$H:$H&gt;=B477)+ISBLANK('cost master'!$H:$H))),1),0)"),3.9)</f>
        <v>3.9</v>
      </c>
      <c r="I477" s="3">
        <f t="shared" si="4"/>
        <v>0</v>
      </c>
      <c r="J477" s="27">
        <f t="shared" si="5"/>
        <v>45732</v>
      </c>
      <c r="K477" s="27">
        <f t="shared" si="6"/>
        <v>45762</v>
      </c>
    </row>
    <row r="478" hidden="1">
      <c r="A478" s="3" t="str">
        <f t="shared" si="3"/>
        <v>SL-20250414-FMC-CS 007-8</v>
      </c>
      <c r="B478" s="2">
        <f t="array" ref="B478">INDEX(helper!$A$3:$A3996,ROUNDUP((ROW()-1)/COUNTA(helper!$D$3:$D3996),0))</f>
        <v>45761</v>
      </c>
      <c r="C478" s="5" t="str">
        <f t="array" ref="C478">IF(B478="","",INDEX(helper!$D$3:$D3996,MOD(ROW()-2,COUNTA(helper!$D$3:$D3996))+1))</f>
        <v>FMC</v>
      </c>
      <c r="D478" s="3" t="str">
        <f t="array" ref="D478">IF(B478="","",INDEX(helper!$E$3:$E3996,MOD(ROW()-2,COUNTA(helper!$D$3:$D3996))+1))</f>
        <v>CS 007</v>
      </c>
      <c r="E478" s="3">
        <f t="array" ref="E478">IF(B478="","",INDEX(helper!$F$3:$F3996,MOD(ROW()-2,COUNTA(helper!$D$3:$D3996))+1))</f>
        <v>8</v>
      </c>
      <c r="F478" s="3">
        <f>IF(B478="","",SUMIFS('inventory ledger'!$H:$H,'inventory ledger'!$C:$C,C478,'inventory ledger'!$D:$D,D478,'inventory ledger'!$E:$E,E478,'inventory ledger'!$A:$A,"&lt;="&amp;B478+TIME(23,59,59))-SUMIFS('inventory ledger'!$I:$I,'inventory ledger'!$C:$C,C478,'inventory ledger'!$D:$D,D478,'inventory ledger'!$E:$E,E478,'inventory ledger'!$A:$A,"&lt;="&amp;B478+TIME(23,59,59)))</f>
        <v>0</v>
      </c>
      <c r="G478" s="3">
        <f>IFERROR(__xludf.DUMMYFUNCTION("IF(F478&lt;=0,0,IFERROR(ROUNDUP(F478/INDEX(FILTER('warehouse config'!$D:$D,('warehouse config'!$B:$B=C478)*('warehouse config'!$C:$C=D478)*('warehouse config'!$G:$G&lt;=B478)*(('warehouse config'!$H:$H&gt;=B478)+ISBLANK('warehouse config'!$H:$H))),1)),0))"),0.0)</f>
        <v>0</v>
      </c>
      <c r="H478" s="3">
        <f>IFERROR(__xludf.DUMMYFUNCTION("IFERROR(INDEX(FILTER('cost master'!$E:$E,('cost master'!$B:$B=C478)*('cost master'!$D:$D=""Storage cost per pallet / week"")*('cost master'!$G:$G&lt;=B478)*(('cost master'!$H:$H&gt;=B478)+ISBLANK('cost master'!$H:$H))),1),0)"),3.9)</f>
        <v>3.9</v>
      </c>
      <c r="I478" s="3">
        <f t="shared" si="4"/>
        <v>0</v>
      </c>
      <c r="J478" s="27">
        <f t="shared" si="5"/>
        <v>45732</v>
      </c>
      <c r="K478" s="27">
        <f t="shared" si="6"/>
        <v>45762</v>
      </c>
    </row>
    <row r="479" hidden="1">
      <c r="A479" s="3" t="str">
        <f t="shared" si="3"/>
        <v>SL-20250414-FMC-CS 008-8</v>
      </c>
      <c r="B479" s="2">
        <f t="array" ref="B479">INDEX(helper!$A$3:$A3996,ROUNDUP((ROW()-1)/COUNTA(helper!$D$3:$D3996),0))</f>
        <v>45761</v>
      </c>
      <c r="C479" s="5" t="str">
        <f t="array" ref="C479">IF(B479="","",INDEX(helper!$D$3:$D3996,MOD(ROW()-2,COUNTA(helper!$D$3:$D3996))+1))</f>
        <v>FMC</v>
      </c>
      <c r="D479" s="3" t="str">
        <f t="array" ref="D479">IF(B479="","",INDEX(helper!$E$3:$E3996,MOD(ROW()-2,COUNTA(helper!$D$3:$D3996))+1))</f>
        <v>CS 008</v>
      </c>
      <c r="E479" s="3">
        <f t="array" ref="E479">IF(B479="","",INDEX(helper!$F$3:$F3996,MOD(ROW()-2,COUNTA(helper!$D$3:$D3996))+1))</f>
        <v>8</v>
      </c>
      <c r="F479" s="3">
        <f>IF(B479="","",SUMIFS('inventory ledger'!$H:$H,'inventory ledger'!$C:$C,C479,'inventory ledger'!$D:$D,D479,'inventory ledger'!$E:$E,E479,'inventory ledger'!$A:$A,"&lt;="&amp;B479+TIME(23,59,59))-SUMIFS('inventory ledger'!$I:$I,'inventory ledger'!$C:$C,C479,'inventory ledger'!$D:$D,D479,'inventory ledger'!$E:$E,E479,'inventory ledger'!$A:$A,"&lt;="&amp;B479+TIME(23,59,59)))</f>
        <v>0</v>
      </c>
      <c r="G479" s="3">
        <f>IFERROR(__xludf.DUMMYFUNCTION("IF(F479&lt;=0,0,IFERROR(ROUNDUP(F479/INDEX(FILTER('warehouse config'!$D:$D,('warehouse config'!$B:$B=C479)*('warehouse config'!$C:$C=D479)*('warehouse config'!$G:$G&lt;=B479)*(('warehouse config'!$H:$H&gt;=B479)+ISBLANK('warehouse config'!$H:$H))),1)),0))"),0.0)</f>
        <v>0</v>
      </c>
      <c r="H479" s="3">
        <f>IFERROR(__xludf.DUMMYFUNCTION("IFERROR(INDEX(FILTER('cost master'!$E:$E,('cost master'!$B:$B=C479)*('cost master'!$D:$D=""Storage cost per pallet / week"")*('cost master'!$G:$G&lt;=B479)*(('cost master'!$H:$H&gt;=B479)+ISBLANK('cost master'!$H:$H))),1),0)"),3.9)</f>
        <v>3.9</v>
      </c>
      <c r="I479" s="3">
        <f t="shared" si="4"/>
        <v>0</v>
      </c>
      <c r="J479" s="27">
        <f t="shared" si="5"/>
        <v>45732</v>
      </c>
      <c r="K479" s="27">
        <f t="shared" si="6"/>
        <v>45762</v>
      </c>
    </row>
    <row r="480" hidden="1">
      <c r="A480" s="3" t="str">
        <f t="shared" si="3"/>
        <v>SL-20250414-FMC-CS 009-8</v>
      </c>
      <c r="B480" s="2">
        <f t="array" ref="B480">INDEX(helper!$A$3:$A3996,ROUNDUP((ROW()-1)/COUNTA(helper!$D$3:$D3996),0))</f>
        <v>45761</v>
      </c>
      <c r="C480" s="5" t="str">
        <f t="array" ref="C480">IF(B480="","",INDEX(helper!$D$3:$D3996,MOD(ROW()-2,COUNTA(helper!$D$3:$D3996))+1))</f>
        <v>FMC</v>
      </c>
      <c r="D480" s="3" t="str">
        <f t="array" ref="D480">IF(B480="","",INDEX(helper!$E$3:$E3996,MOD(ROW()-2,COUNTA(helper!$D$3:$D3996))+1))</f>
        <v>CS 009</v>
      </c>
      <c r="E480" s="3">
        <f t="array" ref="E480">IF(B480="","",INDEX(helper!$F$3:$F3996,MOD(ROW()-2,COUNTA(helper!$D$3:$D3996))+1))</f>
        <v>8</v>
      </c>
      <c r="F480" s="3">
        <f>IF(B480="","",SUMIFS('inventory ledger'!$H:$H,'inventory ledger'!$C:$C,C480,'inventory ledger'!$D:$D,D480,'inventory ledger'!$E:$E,E480,'inventory ledger'!$A:$A,"&lt;="&amp;B480+TIME(23,59,59))-SUMIFS('inventory ledger'!$I:$I,'inventory ledger'!$C:$C,C480,'inventory ledger'!$D:$D,D480,'inventory ledger'!$E:$E,E480,'inventory ledger'!$A:$A,"&lt;="&amp;B480+TIME(23,59,59)))</f>
        <v>0</v>
      </c>
      <c r="G480" s="3">
        <f>IFERROR(__xludf.DUMMYFUNCTION("IF(F480&lt;=0,0,IFERROR(ROUNDUP(F480/INDEX(FILTER('warehouse config'!$D:$D,('warehouse config'!$B:$B=C480)*('warehouse config'!$C:$C=D480)*('warehouse config'!$G:$G&lt;=B480)*(('warehouse config'!$H:$H&gt;=B480)+ISBLANK('warehouse config'!$H:$H))),1)),0))"),0.0)</f>
        <v>0</v>
      </c>
      <c r="H480" s="3">
        <f>IFERROR(__xludf.DUMMYFUNCTION("IFERROR(INDEX(FILTER('cost master'!$E:$E,('cost master'!$B:$B=C480)*('cost master'!$D:$D=""Storage cost per pallet / week"")*('cost master'!$G:$G&lt;=B480)*(('cost master'!$H:$H&gt;=B480)+ISBLANK('cost master'!$H:$H))),1),0)"),3.9)</f>
        <v>3.9</v>
      </c>
      <c r="I480" s="3">
        <f t="shared" si="4"/>
        <v>0</v>
      </c>
      <c r="J480" s="27">
        <f t="shared" si="5"/>
        <v>45732</v>
      </c>
      <c r="K480" s="27">
        <f t="shared" si="6"/>
        <v>45762</v>
      </c>
    </row>
    <row r="481" hidden="1">
      <c r="A481" s="3" t="str">
        <f t="shared" si="3"/>
        <v>SL-20250414-FMC-CS 010-8</v>
      </c>
      <c r="B481" s="2">
        <f t="array" ref="B481">INDEX(helper!$A$3:$A3996,ROUNDUP((ROW()-1)/COUNTA(helper!$D$3:$D3996),0))</f>
        <v>45761</v>
      </c>
      <c r="C481" s="5" t="str">
        <f t="array" ref="C481">IF(B481="","",INDEX(helper!$D$3:$D3996,MOD(ROW()-2,COUNTA(helper!$D$3:$D3996))+1))</f>
        <v>FMC</v>
      </c>
      <c r="D481" s="3" t="str">
        <f t="array" ref="D481">IF(B481="","",INDEX(helper!$E$3:$E3996,MOD(ROW()-2,COUNTA(helper!$D$3:$D3996))+1))</f>
        <v>CS 010</v>
      </c>
      <c r="E481" s="3">
        <f t="array" ref="E481">IF(B481="","",INDEX(helper!$F$3:$F3996,MOD(ROW()-2,COUNTA(helper!$D$3:$D3996))+1))</f>
        <v>8</v>
      </c>
      <c r="F481" s="3">
        <f>IF(B481="","",SUMIFS('inventory ledger'!$H:$H,'inventory ledger'!$C:$C,C481,'inventory ledger'!$D:$D,D481,'inventory ledger'!$E:$E,E481,'inventory ledger'!$A:$A,"&lt;="&amp;B481+TIME(23,59,59))-SUMIFS('inventory ledger'!$I:$I,'inventory ledger'!$C:$C,C481,'inventory ledger'!$D:$D,D481,'inventory ledger'!$E:$E,E481,'inventory ledger'!$A:$A,"&lt;="&amp;B481+TIME(23,59,59)))</f>
        <v>0</v>
      </c>
      <c r="G481" s="3">
        <f>IFERROR(__xludf.DUMMYFUNCTION("IF(F481&lt;=0,0,IFERROR(ROUNDUP(F481/INDEX(FILTER('warehouse config'!$D:$D,('warehouse config'!$B:$B=C481)*('warehouse config'!$C:$C=D481)*('warehouse config'!$G:$G&lt;=B481)*(('warehouse config'!$H:$H&gt;=B481)+ISBLANK('warehouse config'!$H:$H))),1)),0))"),0.0)</f>
        <v>0</v>
      </c>
      <c r="H481" s="3">
        <f>IFERROR(__xludf.DUMMYFUNCTION("IFERROR(INDEX(FILTER('cost master'!$E:$E,('cost master'!$B:$B=C481)*('cost master'!$D:$D=""Storage cost per pallet / week"")*('cost master'!$G:$G&lt;=B481)*(('cost master'!$H:$H&gt;=B481)+ISBLANK('cost master'!$H:$H))),1),0)"),3.9)</f>
        <v>3.9</v>
      </c>
      <c r="I481" s="3">
        <f t="shared" si="4"/>
        <v>0</v>
      </c>
      <c r="J481" s="27">
        <f t="shared" si="5"/>
        <v>45732</v>
      </c>
      <c r="K481" s="27">
        <f t="shared" si="6"/>
        <v>45762</v>
      </c>
    </row>
    <row r="482" hidden="1">
      <c r="A482" s="3" t="str">
        <f t="shared" si="3"/>
        <v>SL-20250414-FMC-CS 007-9</v>
      </c>
      <c r="B482" s="2">
        <f t="array" ref="B482">INDEX(helper!$A$3:$A3996,ROUNDUP((ROW()-1)/COUNTA(helper!$D$3:$D3996),0))</f>
        <v>45761</v>
      </c>
      <c r="C482" s="5" t="str">
        <f t="array" ref="C482">IF(B482="","",INDEX(helper!$D$3:$D3996,MOD(ROW()-2,COUNTA(helper!$D$3:$D3996))+1))</f>
        <v>FMC</v>
      </c>
      <c r="D482" s="3" t="str">
        <f t="array" ref="D482">IF(B482="","",INDEX(helper!$E$3:$E3996,MOD(ROW()-2,COUNTA(helper!$D$3:$D3996))+1))</f>
        <v>CS 007</v>
      </c>
      <c r="E482" s="3">
        <f t="array" ref="E482">IF(B482="","",INDEX(helper!$F$3:$F3996,MOD(ROW()-2,COUNTA(helper!$D$3:$D3996))+1))</f>
        <v>9</v>
      </c>
      <c r="F482" s="3">
        <f>IF(B482="","",SUMIFS('inventory ledger'!$H:$H,'inventory ledger'!$C:$C,C482,'inventory ledger'!$D:$D,D482,'inventory ledger'!$E:$E,E482,'inventory ledger'!$A:$A,"&lt;="&amp;B482+TIME(23,59,59))-SUMIFS('inventory ledger'!$I:$I,'inventory ledger'!$C:$C,C482,'inventory ledger'!$D:$D,D482,'inventory ledger'!$E:$E,E482,'inventory ledger'!$A:$A,"&lt;="&amp;B482+TIME(23,59,59)))</f>
        <v>0</v>
      </c>
      <c r="G482" s="3">
        <f>IFERROR(__xludf.DUMMYFUNCTION("IF(F482&lt;=0,0,IFERROR(ROUNDUP(F482/INDEX(FILTER('warehouse config'!$D:$D,('warehouse config'!$B:$B=C482)*('warehouse config'!$C:$C=D482)*('warehouse config'!$G:$G&lt;=B482)*(('warehouse config'!$H:$H&gt;=B482)+ISBLANK('warehouse config'!$H:$H))),1)),0))"),0.0)</f>
        <v>0</v>
      </c>
      <c r="H482" s="3">
        <f>IFERROR(__xludf.DUMMYFUNCTION("IFERROR(INDEX(FILTER('cost master'!$E:$E,('cost master'!$B:$B=C482)*('cost master'!$D:$D=""Storage cost per pallet / week"")*('cost master'!$G:$G&lt;=B482)*(('cost master'!$H:$H&gt;=B482)+ISBLANK('cost master'!$H:$H))),1),0)"),3.9)</f>
        <v>3.9</v>
      </c>
      <c r="I482" s="3">
        <f t="shared" si="4"/>
        <v>0</v>
      </c>
      <c r="J482" s="27">
        <f t="shared" si="5"/>
        <v>45732</v>
      </c>
      <c r="K482" s="27">
        <f t="shared" si="6"/>
        <v>45762</v>
      </c>
    </row>
    <row r="483" hidden="1">
      <c r="A483" s="3" t="str">
        <f t="shared" si="3"/>
        <v>SL-20250414-FMC-CS 008-9</v>
      </c>
      <c r="B483" s="2">
        <f t="array" ref="B483">INDEX(helper!$A$3:$A3996,ROUNDUP((ROW()-1)/COUNTA(helper!$D$3:$D3996),0))</f>
        <v>45761</v>
      </c>
      <c r="C483" s="5" t="str">
        <f t="array" ref="C483">IF(B483="","",INDEX(helper!$D$3:$D3996,MOD(ROW()-2,COUNTA(helper!$D$3:$D3996))+1))</f>
        <v>FMC</v>
      </c>
      <c r="D483" s="3" t="str">
        <f t="array" ref="D483">IF(B483="","",INDEX(helper!$E$3:$E3996,MOD(ROW()-2,COUNTA(helper!$D$3:$D3996))+1))</f>
        <v>CS 008</v>
      </c>
      <c r="E483" s="3">
        <f t="array" ref="E483">IF(B483="","",INDEX(helper!$F$3:$F3996,MOD(ROW()-2,COUNTA(helper!$D$3:$D3996))+1))</f>
        <v>9</v>
      </c>
      <c r="F483" s="3">
        <f>IF(B483="","",SUMIFS('inventory ledger'!$H:$H,'inventory ledger'!$C:$C,C483,'inventory ledger'!$D:$D,D483,'inventory ledger'!$E:$E,E483,'inventory ledger'!$A:$A,"&lt;="&amp;B483+TIME(23,59,59))-SUMIFS('inventory ledger'!$I:$I,'inventory ledger'!$C:$C,C483,'inventory ledger'!$D:$D,D483,'inventory ledger'!$E:$E,E483,'inventory ledger'!$A:$A,"&lt;="&amp;B483+TIME(23,59,59)))</f>
        <v>14</v>
      </c>
      <c r="G483" s="3">
        <f>IFERROR(__xludf.DUMMYFUNCTION("IF(F483&lt;=0,0,IFERROR(ROUNDUP(F483/INDEX(FILTER('warehouse config'!$D:$D,('warehouse config'!$B:$B=C483)*('warehouse config'!$C:$C=D483)*('warehouse config'!$G:$G&lt;=B483)*(('warehouse config'!$H:$H&gt;=B483)+ISBLANK('warehouse config'!$H:$H))),1)),0))"),1.0)</f>
        <v>1</v>
      </c>
      <c r="H483" s="3">
        <f>IFERROR(__xludf.DUMMYFUNCTION("IFERROR(INDEX(FILTER('cost master'!$E:$E,('cost master'!$B:$B=C483)*('cost master'!$D:$D=""Storage cost per pallet / week"")*('cost master'!$G:$G&lt;=B483)*(('cost master'!$H:$H&gt;=B483)+ISBLANK('cost master'!$H:$H))),1),0)"),3.9)</f>
        <v>3.9</v>
      </c>
      <c r="I483" s="3">
        <f t="shared" si="4"/>
        <v>3.9</v>
      </c>
      <c r="J483" s="27">
        <f t="shared" si="5"/>
        <v>45732</v>
      </c>
      <c r="K483" s="27">
        <f t="shared" si="6"/>
        <v>45762</v>
      </c>
    </row>
    <row r="484" hidden="1">
      <c r="A484" s="3" t="str">
        <f t="shared" si="3"/>
        <v>SL-20250414-FMC-CS 009-9</v>
      </c>
      <c r="B484" s="2">
        <f t="array" ref="B484">INDEX(helper!$A$3:$A3996,ROUNDUP((ROW()-1)/COUNTA(helper!$D$3:$D3996),0))</f>
        <v>45761</v>
      </c>
      <c r="C484" s="5" t="str">
        <f t="array" ref="C484">IF(B484="","",INDEX(helper!$D$3:$D3996,MOD(ROW()-2,COUNTA(helper!$D$3:$D3996))+1))</f>
        <v>FMC</v>
      </c>
      <c r="D484" s="3" t="str">
        <f t="array" ref="D484">IF(B484="","",INDEX(helper!$E$3:$E3996,MOD(ROW()-2,COUNTA(helper!$D$3:$D3996))+1))</f>
        <v>CS 009</v>
      </c>
      <c r="E484" s="3">
        <f t="array" ref="E484">IF(B484="","",INDEX(helper!$F$3:$F3996,MOD(ROW()-2,COUNTA(helper!$D$3:$D3996))+1))</f>
        <v>9</v>
      </c>
      <c r="F484" s="3">
        <f>IF(B484="","",SUMIFS('inventory ledger'!$H:$H,'inventory ledger'!$C:$C,C484,'inventory ledger'!$D:$D,D484,'inventory ledger'!$E:$E,E484,'inventory ledger'!$A:$A,"&lt;="&amp;B484+TIME(23,59,59))-SUMIFS('inventory ledger'!$I:$I,'inventory ledger'!$C:$C,C484,'inventory ledger'!$D:$D,D484,'inventory ledger'!$E:$E,E484,'inventory ledger'!$A:$A,"&lt;="&amp;B484+TIME(23,59,59)))</f>
        <v>0</v>
      </c>
      <c r="G484" s="3">
        <f>IFERROR(__xludf.DUMMYFUNCTION("IF(F484&lt;=0,0,IFERROR(ROUNDUP(F484/INDEX(FILTER('warehouse config'!$D:$D,('warehouse config'!$B:$B=C484)*('warehouse config'!$C:$C=D484)*('warehouse config'!$G:$G&lt;=B484)*(('warehouse config'!$H:$H&gt;=B484)+ISBLANK('warehouse config'!$H:$H))),1)),0))"),0.0)</f>
        <v>0</v>
      </c>
      <c r="H484" s="3">
        <f>IFERROR(__xludf.DUMMYFUNCTION("IFERROR(INDEX(FILTER('cost master'!$E:$E,('cost master'!$B:$B=C484)*('cost master'!$D:$D=""Storage cost per pallet / week"")*('cost master'!$G:$G&lt;=B484)*(('cost master'!$H:$H&gt;=B484)+ISBLANK('cost master'!$H:$H))),1),0)"),3.9)</f>
        <v>3.9</v>
      </c>
      <c r="I484" s="3">
        <f t="shared" si="4"/>
        <v>0</v>
      </c>
      <c r="J484" s="27">
        <f t="shared" si="5"/>
        <v>45732</v>
      </c>
      <c r="K484" s="27">
        <f t="shared" si="6"/>
        <v>45762</v>
      </c>
    </row>
    <row r="485" hidden="1">
      <c r="A485" s="3" t="str">
        <f t="shared" si="3"/>
        <v>SL-20250414-FMC-CS 010-9</v>
      </c>
      <c r="B485" s="2">
        <f t="array" ref="B485">INDEX(helper!$A$3:$A3996,ROUNDUP((ROW()-1)/COUNTA(helper!$D$3:$D3996),0))</f>
        <v>45761</v>
      </c>
      <c r="C485" s="5" t="str">
        <f t="array" ref="C485">IF(B485="","",INDEX(helper!$D$3:$D3996,MOD(ROW()-2,COUNTA(helper!$D$3:$D3996))+1))</f>
        <v>FMC</v>
      </c>
      <c r="D485" s="3" t="str">
        <f t="array" ref="D485">IF(B485="","",INDEX(helper!$E$3:$E3996,MOD(ROW()-2,COUNTA(helper!$D$3:$D3996))+1))</f>
        <v>CS 010</v>
      </c>
      <c r="E485" s="3">
        <f t="array" ref="E485">IF(B485="","",INDEX(helper!$F$3:$F3996,MOD(ROW()-2,COUNTA(helper!$D$3:$D3996))+1))</f>
        <v>9</v>
      </c>
      <c r="F485" s="3">
        <f>IF(B485="","",SUMIFS('inventory ledger'!$H:$H,'inventory ledger'!$C:$C,C485,'inventory ledger'!$D:$D,D485,'inventory ledger'!$E:$E,E485,'inventory ledger'!$A:$A,"&lt;="&amp;B485+TIME(23,59,59))-SUMIFS('inventory ledger'!$I:$I,'inventory ledger'!$C:$C,C485,'inventory ledger'!$D:$D,D485,'inventory ledger'!$E:$E,E485,'inventory ledger'!$A:$A,"&lt;="&amp;B485+TIME(23,59,59)))</f>
        <v>0</v>
      </c>
      <c r="G485" s="3">
        <f>IFERROR(__xludf.DUMMYFUNCTION("IF(F485&lt;=0,0,IFERROR(ROUNDUP(F485/INDEX(FILTER('warehouse config'!$D:$D,('warehouse config'!$B:$B=C485)*('warehouse config'!$C:$C=D485)*('warehouse config'!$G:$G&lt;=B485)*(('warehouse config'!$H:$H&gt;=B485)+ISBLANK('warehouse config'!$H:$H))),1)),0))"),0.0)</f>
        <v>0</v>
      </c>
      <c r="H485" s="3">
        <f>IFERROR(__xludf.DUMMYFUNCTION("IFERROR(INDEX(FILTER('cost master'!$E:$E,('cost master'!$B:$B=C485)*('cost master'!$D:$D=""Storage cost per pallet / week"")*('cost master'!$G:$G&lt;=B485)*(('cost master'!$H:$H&gt;=B485)+ISBLANK('cost master'!$H:$H))),1),0)"),3.9)</f>
        <v>3.9</v>
      </c>
      <c r="I485" s="3">
        <f t="shared" si="4"/>
        <v>0</v>
      </c>
      <c r="J485" s="27">
        <f t="shared" si="5"/>
        <v>45732</v>
      </c>
      <c r="K485" s="27">
        <f t="shared" si="6"/>
        <v>45762</v>
      </c>
    </row>
    <row r="486" hidden="1">
      <c r="A486" s="3" t="str">
        <f t="shared" si="3"/>
        <v>SL-20250414-FMC-CS-CDS-001-9</v>
      </c>
      <c r="B486" s="2">
        <f t="array" ref="B486">INDEX(helper!$A$3:$A3996,ROUNDUP((ROW()-1)/COUNTA(helper!$D$3:$D3996),0))</f>
        <v>45761</v>
      </c>
      <c r="C486" s="5" t="str">
        <f t="array" ref="C486">IF(B486="","",INDEX(helper!$D$3:$D3996,MOD(ROW()-2,COUNTA(helper!$D$3:$D3996))+1))</f>
        <v>FMC</v>
      </c>
      <c r="D486" s="3" t="str">
        <f t="array" ref="D486">IF(B486="","",INDEX(helper!$E$3:$E3996,MOD(ROW()-2,COUNTA(helper!$D$3:$D3996))+1))</f>
        <v>CS-CDS-001</v>
      </c>
      <c r="E486" s="3">
        <f t="array" ref="E486">IF(B486="","",INDEX(helper!$F$3:$F3996,MOD(ROW()-2,COUNTA(helper!$D$3:$D3996))+1))</f>
        <v>9</v>
      </c>
      <c r="F486" s="3">
        <f>IF(B486="","",SUMIFS('inventory ledger'!$H:$H,'inventory ledger'!$C:$C,C486,'inventory ledger'!$D:$D,D486,'inventory ledger'!$E:$E,E486,'inventory ledger'!$A:$A,"&lt;="&amp;B486+TIME(23,59,59))-SUMIFS('inventory ledger'!$I:$I,'inventory ledger'!$C:$C,C486,'inventory ledger'!$D:$D,D486,'inventory ledger'!$E:$E,E486,'inventory ledger'!$A:$A,"&lt;="&amp;B486+TIME(23,59,59)))</f>
        <v>0</v>
      </c>
      <c r="G486" s="3">
        <f>IFERROR(__xludf.DUMMYFUNCTION("IF(F486&lt;=0,0,IFERROR(ROUNDUP(F486/INDEX(FILTER('warehouse config'!$D:$D,('warehouse config'!$B:$B=C486)*('warehouse config'!$C:$C=D486)*('warehouse config'!$G:$G&lt;=B486)*(('warehouse config'!$H:$H&gt;=B486)+ISBLANK('warehouse config'!$H:$H))),1)),0))"),0.0)</f>
        <v>0</v>
      </c>
      <c r="H486" s="3">
        <f>IFERROR(__xludf.DUMMYFUNCTION("IFERROR(INDEX(FILTER('cost master'!$E:$E,('cost master'!$B:$B=C486)*('cost master'!$D:$D=""Storage cost per pallet / week"")*('cost master'!$G:$G&lt;=B486)*(('cost master'!$H:$H&gt;=B486)+ISBLANK('cost master'!$H:$H))),1),0)"),3.9)</f>
        <v>3.9</v>
      </c>
      <c r="I486" s="3">
        <f t="shared" si="4"/>
        <v>0</v>
      </c>
      <c r="J486" s="27">
        <f t="shared" si="5"/>
        <v>45732</v>
      </c>
      <c r="K486" s="27">
        <f t="shared" si="6"/>
        <v>45762</v>
      </c>
    </row>
    <row r="487" hidden="1">
      <c r="A487" s="3" t="str">
        <f t="shared" si="3"/>
        <v>SL-20250414-FMC-CS-CDS-002-9</v>
      </c>
      <c r="B487" s="2">
        <f t="array" ref="B487">INDEX(helper!$A$3:$A3996,ROUNDUP((ROW()-1)/COUNTA(helper!$D$3:$D3996),0))</f>
        <v>45761</v>
      </c>
      <c r="C487" s="5" t="str">
        <f t="array" ref="C487">IF(B487="","",INDEX(helper!$D$3:$D3996,MOD(ROW()-2,COUNTA(helper!$D$3:$D3996))+1))</f>
        <v>FMC</v>
      </c>
      <c r="D487" s="3" t="str">
        <f t="array" ref="D487">IF(B487="","",INDEX(helper!$E$3:$E3996,MOD(ROW()-2,COUNTA(helper!$D$3:$D3996))+1))</f>
        <v>CS-CDS-002</v>
      </c>
      <c r="E487" s="3">
        <f t="array" ref="E487">IF(B487="","",INDEX(helper!$F$3:$F3996,MOD(ROW()-2,COUNTA(helper!$D$3:$D3996))+1))</f>
        <v>9</v>
      </c>
      <c r="F487" s="3">
        <f>IF(B487="","",SUMIFS('inventory ledger'!$H:$H,'inventory ledger'!$C:$C,C487,'inventory ledger'!$D:$D,D487,'inventory ledger'!$E:$E,E487,'inventory ledger'!$A:$A,"&lt;="&amp;B487+TIME(23,59,59))-SUMIFS('inventory ledger'!$I:$I,'inventory ledger'!$C:$C,C487,'inventory ledger'!$D:$D,D487,'inventory ledger'!$E:$E,E487,'inventory ledger'!$A:$A,"&lt;="&amp;B487+TIME(23,59,59)))</f>
        <v>0</v>
      </c>
      <c r="G487" s="3">
        <f>IFERROR(__xludf.DUMMYFUNCTION("IF(F487&lt;=0,0,IFERROR(ROUNDUP(F487/INDEX(FILTER('warehouse config'!$D:$D,('warehouse config'!$B:$B=C487)*('warehouse config'!$C:$C=D487)*('warehouse config'!$G:$G&lt;=B487)*(('warehouse config'!$H:$H&gt;=B487)+ISBLANK('warehouse config'!$H:$H))),1)),0))"),0.0)</f>
        <v>0</v>
      </c>
      <c r="H487" s="3">
        <f>IFERROR(__xludf.DUMMYFUNCTION("IFERROR(INDEX(FILTER('cost master'!$E:$E,('cost master'!$B:$B=C487)*('cost master'!$D:$D=""Storage cost per pallet / week"")*('cost master'!$G:$G&lt;=B487)*(('cost master'!$H:$H&gt;=B487)+ISBLANK('cost master'!$H:$H))),1),0)"),3.9)</f>
        <v>3.9</v>
      </c>
      <c r="I487" s="3">
        <f t="shared" si="4"/>
        <v>0</v>
      </c>
      <c r="J487" s="27">
        <f t="shared" si="5"/>
        <v>45732</v>
      </c>
      <c r="K487" s="27">
        <f t="shared" si="6"/>
        <v>45762</v>
      </c>
    </row>
    <row r="488" hidden="1">
      <c r="A488" s="3" t="str">
        <f t="shared" si="3"/>
        <v>SL-20250414-FMC-CS 007-10</v>
      </c>
      <c r="B488" s="2">
        <f t="array" ref="B488">INDEX(helper!$A$3:$A3996,ROUNDUP((ROW()-1)/COUNTA(helper!$D$3:$D3996),0))</f>
        <v>45761</v>
      </c>
      <c r="C488" s="5" t="str">
        <f t="array" ref="C488">IF(B488="","",INDEX(helper!$D$3:$D3996,MOD(ROW()-2,COUNTA(helper!$D$3:$D3996))+1))</f>
        <v>FMC</v>
      </c>
      <c r="D488" s="3" t="str">
        <f t="array" ref="D488">IF(B488="","",INDEX(helper!$E$3:$E3996,MOD(ROW()-2,COUNTA(helper!$D$3:$D3996))+1))</f>
        <v>CS 007</v>
      </c>
      <c r="E488" s="3">
        <f t="array" ref="E488">IF(B488="","",INDEX(helper!$F$3:$F3996,MOD(ROW()-2,COUNTA(helper!$D$3:$D3996))+1))</f>
        <v>10</v>
      </c>
      <c r="F488" s="3">
        <f>IF(B488="","",SUMIFS('inventory ledger'!$H:$H,'inventory ledger'!$C:$C,C488,'inventory ledger'!$D:$D,D488,'inventory ledger'!$E:$E,E488,'inventory ledger'!$A:$A,"&lt;="&amp;B488+TIME(23,59,59))-SUMIFS('inventory ledger'!$I:$I,'inventory ledger'!$C:$C,C488,'inventory ledger'!$D:$D,D488,'inventory ledger'!$E:$E,E488,'inventory ledger'!$A:$A,"&lt;="&amp;B488+TIME(23,59,59)))</f>
        <v>0</v>
      </c>
      <c r="G488" s="3">
        <f>IFERROR(__xludf.DUMMYFUNCTION("IF(F488&lt;=0,0,IFERROR(ROUNDUP(F488/INDEX(FILTER('warehouse config'!$D:$D,('warehouse config'!$B:$B=C488)*('warehouse config'!$C:$C=D488)*('warehouse config'!$G:$G&lt;=B488)*(('warehouse config'!$H:$H&gt;=B488)+ISBLANK('warehouse config'!$H:$H))),1)),0))"),0.0)</f>
        <v>0</v>
      </c>
      <c r="H488" s="3">
        <f>IFERROR(__xludf.DUMMYFUNCTION("IFERROR(INDEX(FILTER('cost master'!$E:$E,('cost master'!$B:$B=C488)*('cost master'!$D:$D=""Storage cost per pallet / week"")*('cost master'!$G:$G&lt;=B488)*(('cost master'!$H:$H&gt;=B488)+ISBLANK('cost master'!$H:$H))),1),0)"),3.9)</f>
        <v>3.9</v>
      </c>
      <c r="I488" s="3">
        <f t="shared" si="4"/>
        <v>0</v>
      </c>
      <c r="J488" s="27">
        <f t="shared" si="5"/>
        <v>45732</v>
      </c>
      <c r="K488" s="27">
        <f t="shared" si="6"/>
        <v>45762</v>
      </c>
    </row>
    <row r="489" hidden="1">
      <c r="A489" s="3" t="str">
        <f t="shared" si="3"/>
        <v>SL-20250414-FMC-CS 009-10</v>
      </c>
      <c r="B489" s="2">
        <f t="array" ref="B489">INDEX(helper!$A$3:$A3996,ROUNDUP((ROW()-1)/COUNTA(helper!$D$3:$D3996),0))</f>
        <v>45761</v>
      </c>
      <c r="C489" s="5" t="str">
        <f t="array" ref="C489">IF(B489="","",INDEX(helper!$D$3:$D3996,MOD(ROW()-2,COUNTA(helper!$D$3:$D3996))+1))</f>
        <v>FMC</v>
      </c>
      <c r="D489" s="3" t="str">
        <f t="array" ref="D489">IF(B489="","",INDEX(helper!$E$3:$E3996,MOD(ROW()-2,COUNTA(helper!$D$3:$D3996))+1))</f>
        <v>CS 009</v>
      </c>
      <c r="E489" s="3">
        <f t="array" ref="E489">IF(B489="","",INDEX(helper!$F$3:$F3996,MOD(ROW()-2,COUNTA(helper!$D$3:$D3996))+1))</f>
        <v>10</v>
      </c>
      <c r="F489" s="3">
        <f>IF(B489="","",SUMIFS('inventory ledger'!$H:$H,'inventory ledger'!$C:$C,C489,'inventory ledger'!$D:$D,D489,'inventory ledger'!$E:$E,E489,'inventory ledger'!$A:$A,"&lt;="&amp;B489+TIME(23,59,59))-SUMIFS('inventory ledger'!$I:$I,'inventory ledger'!$C:$C,C489,'inventory ledger'!$D:$D,D489,'inventory ledger'!$E:$E,E489,'inventory ledger'!$A:$A,"&lt;="&amp;B489+TIME(23,59,59)))</f>
        <v>0</v>
      </c>
      <c r="G489" s="3">
        <f>IFERROR(__xludf.DUMMYFUNCTION("IF(F489&lt;=0,0,IFERROR(ROUNDUP(F489/INDEX(FILTER('warehouse config'!$D:$D,('warehouse config'!$B:$B=C489)*('warehouse config'!$C:$C=D489)*('warehouse config'!$G:$G&lt;=B489)*(('warehouse config'!$H:$H&gt;=B489)+ISBLANK('warehouse config'!$H:$H))),1)),0))"),0.0)</f>
        <v>0</v>
      </c>
      <c r="H489" s="3">
        <f>IFERROR(__xludf.DUMMYFUNCTION("IFERROR(INDEX(FILTER('cost master'!$E:$E,('cost master'!$B:$B=C489)*('cost master'!$D:$D=""Storage cost per pallet / week"")*('cost master'!$G:$G&lt;=B489)*(('cost master'!$H:$H&gt;=B489)+ISBLANK('cost master'!$H:$H))),1),0)"),3.9)</f>
        <v>3.9</v>
      </c>
      <c r="I489" s="3">
        <f t="shared" si="4"/>
        <v>0</v>
      </c>
      <c r="J489" s="27">
        <f t="shared" si="5"/>
        <v>45732</v>
      </c>
      <c r="K489" s="27">
        <f t="shared" si="6"/>
        <v>45762</v>
      </c>
    </row>
    <row r="490" hidden="1">
      <c r="A490" s="3" t="str">
        <f t="shared" si="3"/>
        <v>SL-20250414-FMC-CS 010-10</v>
      </c>
      <c r="B490" s="2">
        <f t="array" ref="B490">INDEX(helper!$A$3:$A3996,ROUNDUP((ROW()-1)/COUNTA(helper!$D$3:$D3996),0))</f>
        <v>45761</v>
      </c>
      <c r="C490" s="5" t="str">
        <f t="array" ref="C490">IF(B490="","",INDEX(helper!$D$3:$D3996,MOD(ROW()-2,COUNTA(helper!$D$3:$D3996))+1))</f>
        <v>FMC</v>
      </c>
      <c r="D490" s="3" t="str">
        <f t="array" ref="D490">IF(B490="","",INDEX(helper!$E$3:$E3996,MOD(ROW()-2,COUNTA(helper!$D$3:$D3996))+1))</f>
        <v>CS 010</v>
      </c>
      <c r="E490" s="3">
        <f t="array" ref="E490">IF(B490="","",INDEX(helper!$F$3:$F3996,MOD(ROW()-2,COUNTA(helper!$D$3:$D3996))+1))</f>
        <v>10</v>
      </c>
      <c r="F490" s="3">
        <f>IF(B490="","",SUMIFS('inventory ledger'!$H:$H,'inventory ledger'!$C:$C,C490,'inventory ledger'!$D:$D,D490,'inventory ledger'!$E:$E,E490,'inventory ledger'!$A:$A,"&lt;="&amp;B490+TIME(23,59,59))-SUMIFS('inventory ledger'!$I:$I,'inventory ledger'!$C:$C,C490,'inventory ledger'!$D:$D,D490,'inventory ledger'!$E:$E,E490,'inventory ledger'!$A:$A,"&lt;="&amp;B490+TIME(23,59,59)))</f>
        <v>26</v>
      </c>
      <c r="G490" s="3">
        <f>IFERROR(__xludf.DUMMYFUNCTION("IF(F490&lt;=0,0,IFERROR(ROUNDUP(F490/INDEX(FILTER('warehouse config'!$D:$D,('warehouse config'!$B:$B=C490)*('warehouse config'!$C:$C=D490)*('warehouse config'!$G:$G&lt;=B490)*(('warehouse config'!$H:$H&gt;=B490)+ISBLANK('warehouse config'!$H:$H))),1)),0))"),1.0)</f>
        <v>1</v>
      </c>
      <c r="H490" s="3">
        <f>IFERROR(__xludf.DUMMYFUNCTION("IFERROR(INDEX(FILTER('cost master'!$E:$E,('cost master'!$B:$B=C490)*('cost master'!$D:$D=""Storage cost per pallet / week"")*('cost master'!$G:$G&lt;=B490)*(('cost master'!$H:$H&gt;=B490)+ISBLANK('cost master'!$H:$H))),1),0)"),3.9)</f>
        <v>3.9</v>
      </c>
      <c r="I490" s="3">
        <f t="shared" si="4"/>
        <v>3.9</v>
      </c>
      <c r="J490" s="27">
        <f t="shared" si="5"/>
        <v>45732</v>
      </c>
      <c r="K490" s="27">
        <f t="shared" si="6"/>
        <v>45762</v>
      </c>
    </row>
    <row r="491" hidden="1">
      <c r="A491" s="3" t="str">
        <f t="shared" si="3"/>
        <v>SL-20250414-FMC-CS-CDS-001-10</v>
      </c>
      <c r="B491" s="2">
        <f t="array" ref="B491">INDEX(helper!$A$3:$A3996,ROUNDUP((ROW()-1)/COUNTA(helper!$D$3:$D3996),0))</f>
        <v>45761</v>
      </c>
      <c r="C491" s="5" t="str">
        <f t="array" ref="C491">IF(B491="","",INDEX(helper!$D$3:$D3996,MOD(ROW()-2,COUNTA(helper!$D$3:$D3996))+1))</f>
        <v>FMC</v>
      </c>
      <c r="D491" s="3" t="str">
        <f t="array" ref="D491">IF(B491="","",INDEX(helper!$E$3:$E3996,MOD(ROW()-2,COUNTA(helper!$D$3:$D3996))+1))</f>
        <v>CS-CDS-001</v>
      </c>
      <c r="E491" s="3">
        <f t="array" ref="E491">IF(B491="","",INDEX(helper!$F$3:$F3996,MOD(ROW()-2,COUNTA(helper!$D$3:$D3996))+1))</f>
        <v>10</v>
      </c>
      <c r="F491" s="3">
        <f>IF(B491="","",SUMIFS('inventory ledger'!$H:$H,'inventory ledger'!$C:$C,C491,'inventory ledger'!$D:$D,D491,'inventory ledger'!$E:$E,E491,'inventory ledger'!$A:$A,"&lt;="&amp;B491+TIME(23,59,59))-SUMIFS('inventory ledger'!$I:$I,'inventory ledger'!$C:$C,C491,'inventory ledger'!$D:$D,D491,'inventory ledger'!$E:$E,E491,'inventory ledger'!$A:$A,"&lt;="&amp;B491+TIME(23,59,59)))</f>
        <v>0</v>
      </c>
      <c r="G491" s="3">
        <f>IFERROR(__xludf.DUMMYFUNCTION("IF(F491&lt;=0,0,IFERROR(ROUNDUP(F491/INDEX(FILTER('warehouse config'!$D:$D,('warehouse config'!$B:$B=C491)*('warehouse config'!$C:$C=D491)*('warehouse config'!$G:$G&lt;=B491)*(('warehouse config'!$H:$H&gt;=B491)+ISBLANK('warehouse config'!$H:$H))),1)),0))"),0.0)</f>
        <v>0</v>
      </c>
      <c r="H491" s="3">
        <f>IFERROR(__xludf.DUMMYFUNCTION("IFERROR(INDEX(FILTER('cost master'!$E:$E,('cost master'!$B:$B=C491)*('cost master'!$D:$D=""Storage cost per pallet / week"")*('cost master'!$G:$G&lt;=B491)*(('cost master'!$H:$H&gt;=B491)+ISBLANK('cost master'!$H:$H))),1),0)"),3.9)</f>
        <v>3.9</v>
      </c>
      <c r="I491" s="3">
        <f t="shared" si="4"/>
        <v>0</v>
      </c>
      <c r="J491" s="27">
        <f t="shared" si="5"/>
        <v>45732</v>
      </c>
      <c r="K491" s="27">
        <f t="shared" si="6"/>
        <v>45762</v>
      </c>
    </row>
    <row r="492" hidden="1">
      <c r="A492" s="3" t="str">
        <f t="shared" si="3"/>
        <v>SL-20250414-FMC-CS 007-11</v>
      </c>
      <c r="B492" s="2">
        <f t="array" ref="B492">INDEX(helper!$A$3:$A3996,ROUNDUP((ROW()-1)/COUNTA(helper!$D$3:$D3996),0))</f>
        <v>45761</v>
      </c>
      <c r="C492" s="5" t="str">
        <f t="array" ref="C492">IF(B492="","",INDEX(helper!$D$3:$D3996,MOD(ROW()-2,COUNTA(helper!$D$3:$D3996))+1))</f>
        <v>FMC</v>
      </c>
      <c r="D492" s="3" t="str">
        <f t="array" ref="D492">IF(B492="","",INDEX(helper!$E$3:$E3996,MOD(ROW()-2,COUNTA(helper!$D$3:$D3996))+1))</f>
        <v>CS 007</v>
      </c>
      <c r="E492" s="3">
        <f t="array" ref="E492">IF(B492="","",INDEX(helper!$F$3:$F3996,MOD(ROW()-2,COUNTA(helper!$D$3:$D3996))+1))</f>
        <v>11</v>
      </c>
      <c r="F492" s="3">
        <f>IF(B492="","",SUMIFS('inventory ledger'!$H:$H,'inventory ledger'!$C:$C,C492,'inventory ledger'!$D:$D,D492,'inventory ledger'!$E:$E,E492,'inventory ledger'!$A:$A,"&lt;="&amp;B492+TIME(23,59,59))-SUMIFS('inventory ledger'!$I:$I,'inventory ledger'!$C:$C,C492,'inventory ledger'!$D:$D,D492,'inventory ledger'!$E:$E,E492,'inventory ledger'!$A:$A,"&lt;="&amp;B492+TIME(23,59,59)))</f>
        <v>0</v>
      </c>
      <c r="G492" s="3">
        <f>IFERROR(__xludf.DUMMYFUNCTION("IF(F492&lt;=0,0,IFERROR(ROUNDUP(F492/INDEX(FILTER('warehouse config'!$D:$D,('warehouse config'!$B:$B=C492)*('warehouse config'!$C:$C=D492)*('warehouse config'!$G:$G&lt;=B492)*(('warehouse config'!$H:$H&gt;=B492)+ISBLANK('warehouse config'!$H:$H))),1)),0))"),0.0)</f>
        <v>0</v>
      </c>
      <c r="H492" s="3">
        <f>IFERROR(__xludf.DUMMYFUNCTION("IFERROR(INDEX(FILTER('cost master'!$E:$E,('cost master'!$B:$B=C492)*('cost master'!$D:$D=""Storage cost per pallet / week"")*('cost master'!$G:$G&lt;=B492)*(('cost master'!$H:$H&gt;=B492)+ISBLANK('cost master'!$H:$H))),1),0)"),3.9)</f>
        <v>3.9</v>
      </c>
      <c r="I492" s="3">
        <f t="shared" si="4"/>
        <v>0</v>
      </c>
      <c r="J492" s="27">
        <f t="shared" si="5"/>
        <v>45732</v>
      </c>
      <c r="K492" s="27">
        <f t="shared" si="6"/>
        <v>45762</v>
      </c>
    </row>
    <row r="493" hidden="1">
      <c r="A493" s="3" t="str">
        <f t="shared" si="3"/>
        <v>SL-20250414-FMC-CS 009-11</v>
      </c>
      <c r="B493" s="2">
        <f t="array" ref="B493">INDEX(helper!$A$3:$A3996,ROUNDUP((ROW()-1)/COUNTA(helper!$D$3:$D3996),0))</f>
        <v>45761</v>
      </c>
      <c r="C493" s="5" t="str">
        <f t="array" ref="C493">IF(B493="","",INDEX(helper!$D$3:$D3996,MOD(ROW()-2,COUNTA(helper!$D$3:$D3996))+1))</f>
        <v>FMC</v>
      </c>
      <c r="D493" s="3" t="str">
        <f t="array" ref="D493">IF(B493="","",INDEX(helper!$E$3:$E3996,MOD(ROW()-2,COUNTA(helper!$D$3:$D3996))+1))</f>
        <v>CS 009</v>
      </c>
      <c r="E493" s="3">
        <f t="array" ref="E493">IF(B493="","",INDEX(helper!$F$3:$F3996,MOD(ROW()-2,COUNTA(helper!$D$3:$D3996))+1))</f>
        <v>11</v>
      </c>
      <c r="F493" s="3">
        <f>IF(B493="","",SUMIFS('inventory ledger'!$H:$H,'inventory ledger'!$C:$C,C493,'inventory ledger'!$D:$D,D493,'inventory ledger'!$E:$E,E493,'inventory ledger'!$A:$A,"&lt;="&amp;B493+TIME(23,59,59))-SUMIFS('inventory ledger'!$I:$I,'inventory ledger'!$C:$C,C493,'inventory ledger'!$D:$D,D493,'inventory ledger'!$E:$E,E493,'inventory ledger'!$A:$A,"&lt;="&amp;B493+TIME(23,59,59)))</f>
        <v>0</v>
      </c>
      <c r="G493" s="3">
        <f>IFERROR(__xludf.DUMMYFUNCTION("IF(F493&lt;=0,0,IFERROR(ROUNDUP(F493/INDEX(FILTER('warehouse config'!$D:$D,('warehouse config'!$B:$B=C493)*('warehouse config'!$C:$C=D493)*('warehouse config'!$G:$G&lt;=B493)*(('warehouse config'!$H:$H&gt;=B493)+ISBLANK('warehouse config'!$H:$H))),1)),0))"),0.0)</f>
        <v>0</v>
      </c>
      <c r="H493" s="3">
        <f>IFERROR(__xludf.DUMMYFUNCTION("IFERROR(INDEX(FILTER('cost master'!$E:$E,('cost master'!$B:$B=C493)*('cost master'!$D:$D=""Storage cost per pallet / week"")*('cost master'!$G:$G&lt;=B493)*(('cost master'!$H:$H&gt;=B493)+ISBLANK('cost master'!$H:$H))),1),0)"),3.9)</f>
        <v>3.9</v>
      </c>
      <c r="I493" s="3">
        <f t="shared" si="4"/>
        <v>0</v>
      </c>
      <c r="J493" s="27">
        <f t="shared" si="5"/>
        <v>45732</v>
      </c>
      <c r="K493" s="27">
        <f t="shared" si="6"/>
        <v>45762</v>
      </c>
    </row>
    <row r="494" hidden="1">
      <c r="A494" s="3" t="str">
        <f t="shared" si="3"/>
        <v>SL-20250414-FMC-CS 010-11</v>
      </c>
      <c r="B494" s="2">
        <f t="array" ref="B494">INDEX(helper!$A$3:$A3996,ROUNDUP((ROW()-1)/COUNTA(helper!$D$3:$D3996),0))</f>
        <v>45761</v>
      </c>
      <c r="C494" s="5" t="str">
        <f t="array" ref="C494">IF(B494="","",INDEX(helper!$D$3:$D3996,MOD(ROW()-2,COUNTA(helper!$D$3:$D3996))+1))</f>
        <v>FMC</v>
      </c>
      <c r="D494" s="3" t="str">
        <f t="array" ref="D494">IF(B494="","",INDEX(helper!$E$3:$E3996,MOD(ROW()-2,COUNTA(helper!$D$3:$D3996))+1))</f>
        <v>CS 010</v>
      </c>
      <c r="E494" s="3">
        <f t="array" ref="E494">IF(B494="","",INDEX(helper!$F$3:$F3996,MOD(ROW()-2,COUNTA(helper!$D$3:$D3996))+1))</f>
        <v>11</v>
      </c>
      <c r="F494" s="3">
        <f>IF(B494="","",SUMIFS('inventory ledger'!$H:$H,'inventory ledger'!$C:$C,C494,'inventory ledger'!$D:$D,D494,'inventory ledger'!$E:$E,E494,'inventory ledger'!$A:$A,"&lt;="&amp;B494+TIME(23,59,59))-SUMIFS('inventory ledger'!$I:$I,'inventory ledger'!$C:$C,C494,'inventory ledger'!$D:$D,D494,'inventory ledger'!$E:$E,E494,'inventory ledger'!$A:$A,"&lt;="&amp;B494+TIME(23,59,59)))</f>
        <v>46</v>
      </c>
      <c r="G494" s="3">
        <f>IFERROR(__xludf.DUMMYFUNCTION("IF(F494&lt;=0,0,IFERROR(ROUNDUP(F494/INDEX(FILTER('warehouse config'!$D:$D,('warehouse config'!$B:$B=C494)*('warehouse config'!$C:$C=D494)*('warehouse config'!$G:$G&lt;=B494)*(('warehouse config'!$H:$H&gt;=B494)+ISBLANK('warehouse config'!$H:$H))),1)),0))"),2.0)</f>
        <v>2</v>
      </c>
      <c r="H494" s="3">
        <f>IFERROR(__xludf.DUMMYFUNCTION("IFERROR(INDEX(FILTER('cost master'!$E:$E,('cost master'!$B:$B=C494)*('cost master'!$D:$D=""Storage cost per pallet / week"")*('cost master'!$G:$G&lt;=B494)*(('cost master'!$H:$H&gt;=B494)+ISBLANK('cost master'!$H:$H))),1),0)"),3.9)</f>
        <v>3.9</v>
      </c>
      <c r="I494" s="3">
        <f t="shared" si="4"/>
        <v>7.8</v>
      </c>
      <c r="J494" s="27">
        <f t="shared" si="5"/>
        <v>45732</v>
      </c>
      <c r="K494" s="27">
        <f t="shared" si="6"/>
        <v>45762</v>
      </c>
    </row>
    <row r="495" hidden="1">
      <c r="A495" s="3" t="str">
        <f t="shared" si="3"/>
        <v>SL-20250414-Vglobal-CS 007-12</v>
      </c>
      <c r="B495" s="2">
        <f t="array" ref="B495">INDEX(helper!$A$3:$A3996,ROUNDUP((ROW()-1)/COUNTA(helper!$D$3:$D3996),0))</f>
        <v>45761</v>
      </c>
      <c r="C495" s="5" t="str">
        <f t="array" ref="C495">IF(B495="","",INDEX(helper!$D$3:$D3996,MOD(ROW()-2,COUNTA(helper!$D$3:$D3996))+1))</f>
        <v>Vglobal</v>
      </c>
      <c r="D495" s="3" t="str">
        <f t="array" ref="D495">IF(B495="","",INDEX(helper!$E$3:$E3996,MOD(ROW()-2,COUNTA(helper!$D$3:$D3996))+1))</f>
        <v>CS 007</v>
      </c>
      <c r="E495" s="3">
        <f t="array" ref="E495">IF(B495="","",INDEX(helper!$F$3:$F3996,MOD(ROW()-2,COUNTA(helper!$D$3:$D3996))+1))</f>
        <v>12</v>
      </c>
      <c r="F495" s="3">
        <f>IF(B495="","",SUMIFS('inventory ledger'!$H:$H,'inventory ledger'!$C:$C,C495,'inventory ledger'!$D:$D,D495,'inventory ledger'!$E:$E,E495,'inventory ledger'!$A:$A,"&lt;="&amp;B495+TIME(23,59,59))-SUMIFS('inventory ledger'!$I:$I,'inventory ledger'!$C:$C,C495,'inventory ledger'!$D:$D,D495,'inventory ledger'!$E:$E,E495,'inventory ledger'!$A:$A,"&lt;="&amp;B495+TIME(23,59,59)))</f>
        <v>0</v>
      </c>
      <c r="G495" s="3">
        <f>IFERROR(__xludf.DUMMYFUNCTION("IF(F495&lt;=0,0,IFERROR(ROUNDUP(F495/INDEX(FILTER('warehouse config'!$D:$D,('warehouse config'!$B:$B=C495)*('warehouse config'!$C:$C=D495)*('warehouse config'!$G:$G&lt;=B495)*(('warehouse config'!$H:$H&gt;=B495)+ISBLANK('warehouse config'!$H:$H))),1)),0))"),0.0)</f>
        <v>0</v>
      </c>
      <c r="H495" s="3">
        <f>IFERROR(__xludf.DUMMYFUNCTION("IFERROR(INDEX(FILTER('cost master'!$E:$E,('cost master'!$B:$B=C495)*('cost master'!$D:$D=""Storage cost per pallet / week"")*('cost master'!$G:$G&lt;=B495)*(('cost master'!$H:$H&gt;=B495)+ISBLANK('cost master'!$H:$H))),1),0)"),2.6)</f>
        <v>2.6</v>
      </c>
      <c r="I495" s="3">
        <f t="shared" si="4"/>
        <v>0</v>
      </c>
      <c r="J495" s="27">
        <f t="shared" si="5"/>
        <v>45732</v>
      </c>
      <c r="K495" s="27">
        <f t="shared" si="6"/>
        <v>45762</v>
      </c>
    </row>
    <row r="496" hidden="1">
      <c r="A496" s="3" t="str">
        <f t="shared" si="3"/>
        <v>SL-20250414-Vglobal-CS 011-12</v>
      </c>
      <c r="B496" s="2">
        <f t="array" ref="B496">INDEX(helper!$A$3:$A3996,ROUNDUP((ROW()-1)/COUNTA(helper!$D$3:$D3996),0))</f>
        <v>45761</v>
      </c>
      <c r="C496" s="5" t="str">
        <f t="array" ref="C496">IF(B496="","",INDEX(helper!$D$3:$D3996,MOD(ROW()-2,COUNTA(helper!$D$3:$D3996))+1))</f>
        <v>Vglobal</v>
      </c>
      <c r="D496" s="3" t="str">
        <f t="array" ref="D496">IF(B496="","",INDEX(helper!$E$3:$E3996,MOD(ROW()-2,COUNTA(helper!$D$3:$D3996))+1))</f>
        <v>CS 011</v>
      </c>
      <c r="E496" s="3">
        <f t="array" ref="E496">IF(B496="","",INDEX(helper!$F$3:$F3996,MOD(ROW()-2,COUNTA(helper!$D$3:$D3996))+1))</f>
        <v>12</v>
      </c>
      <c r="F496" s="3">
        <f>IF(B496="","",SUMIFS('inventory ledger'!$H:$H,'inventory ledger'!$C:$C,C496,'inventory ledger'!$D:$D,D496,'inventory ledger'!$E:$E,E496,'inventory ledger'!$A:$A,"&lt;="&amp;B496+TIME(23,59,59))-SUMIFS('inventory ledger'!$I:$I,'inventory ledger'!$C:$C,C496,'inventory ledger'!$D:$D,D496,'inventory ledger'!$E:$E,E496,'inventory ledger'!$A:$A,"&lt;="&amp;B496+TIME(23,59,59)))</f>
        <v>0</v>
      </c>
      <c r="G496" s="3">
        <f>IFERROR(__xludf.DUMMYFUNCTION("IF(F496&lt;=0,0,IFERROR(ROUNDUP(F496/INDEX(FILTER('warehouse config'!$D:$D,('warehouse config'!$B:$B=C496)*('warehouse config'!$C:$C=D496)*('warehouse config'!$G:$G&lt;=B496)*(('warehouse config'!$H:$H&gt;=B496)+ISBLANK('warehouse config'!$H:$H))),1)),0))"),0.0)</f>
        <v>0</v>
      </c>
      <c r="H496" s="3">
        <f>IFERROR(__xludf.DUMMYFUNCTION("IFERROR(INDEX(FILTER('cost master'!$E:$E,('cost master'!$B:$B=C496)*('cost master'!$D:$D=""Storage cost per pallet / week"")*('cost master'!$G:$G&lt;=B496)*(('cost master'!$H:$H&gt;=B496)+ISBLANK('cost master'!$H:$H))),1),0)"),2.6)</f>
        <v>2.6</v>
      </c>
      <c r="I496" s="3">
        <f t="shared" si="4"/>
        <v>0</v>
      </c>
      <c r="J496" s="27">
        <f t="shared" si="5"/>
        <v>45732</v>
      </c>
      <c r="K496" s="27">
        <f t="shared" si="6"/>
        <v>45762</v>
      </c>
    </row>
    <row r="497" hidden="1">
      <c r="A497" s="3" t="str">
        <f t="shared" si="3"/>
        <v>SL-20250414-Vglobal-CS 008-12</v>
      </c>
      <c r="B497" s="2">
        <f t="array" ref="B497">INDEX(helper!$A$3:$A3996,ROUNDUP((ROW()-1)/COUNTA(helper!$D$3:$D3996),0))</f>
        <v>45761</v>
      </c>
      <c r="C497" s="5" t="str">
        <f t="array" ref="C497">IF(B497="","",INDEX(helper!$D$3:$D3996,MOD(ROW()-2,COUNTA(helper!$D$3:$D3996))+1))</f>
        <v>Vglobal</v>
      </c>
      <c r="D497" s="3" t="str">
        <f t="array" ref="D497">IF(B497="","",INDEX(helper!$E$3:$E3996,MOD(ROW()-2,COUNTA(helper!$D$3:$D3996))+1))</f>
        <v>CS 008</v>
      </c>
      <c r="E497" s="3">
        <f t="array" ref="E497">IF(B497="","",INDEX(helper!$F$3:$F3996,MOD(ROW()-2,COUNTA(helper!$D$3:$D3996))+1))</f>
        <v>12</v>
      </c>
      <c r="F497" s="3">
        <f>IF(B497="","",SUMIFS('inventory ledger'!$H:$H,'inventory ledger'!$C:$C,C497,'inventory ledger'!$D:$D,D497,'inventory ledger'!$E:$E,E497,'inventory ledger'!$A:$A,"&lt;="&amp;B497+TIME(23,59,59))-SUMIFS('inventory ledger'!$I:$I,'inventory ledger'!$C:$C,C497,'inventory ledger'!$D:$D,D497,'inventory ledger'!$E:$E,E497,'inventory ledger'!$A:$A,"&lt;="&amp;B497+TIME(23,59,59)))</f>
        <v>0</v>
      </c>
      <c r="G497" s="3">
        <f>IFERROR(__xludf.DUMMYFUNCTION("IF(F497&lt;=0,0,IFERROR(ROUNDUP(F497/INDEX(FILTER('warehouse config'!$D:$D,('warehouse config'!$B:$B=C497)*('warehouse config'!$C:$C=D497)*('warehouse config'!$G:$G&lt;=B497)*(('warehouse config'!$H:$H&gt;=B497)+ISBLANK('warehouse config'!$H:$H))),1)),0))"),0.0)</f>
        <v>0</v>
      </c>
      <c r="H497" s="3">
        <f>IFERROR(__xludf.DUMMYFUNCTION("IFERROR(INDEX(FILTER('cost master'!$E:$E,('cost master'!$B:$B=C497)*('cost master'!$D:$D=""Storage cost per pallet / week"")*('cost master'!$G:$G&lt;=B497)*(('cost master'!$H:$H&gt;=B497)+ISBLANK('cost master'!$H:$H))),1),0)"),2.6)</f>
        <v>2.6</v>
      </c>
      <c r="I497" s="3">
        <f t="shared" si="4"/>
        <v>0</v>
      </c>
      <c r="J497" s="27">
        <f t="shared" si="5"/>
        <v>45732</v>
      </c>
      <c r="K497" s="27">
        <f t="shared" si="6"/>
        <v>45762</v>
      </c>
    </row>
    <row r="498" hidden="1">
      <c r="A498" s="3" t="str">
        <f t="shared" si="3"/>
        <v>SL-20250414-Vglobal-CS 010-12</v>
      </c>
      <c r="B498" s="2">
        <f t="array" ref="B498">INDEX(helper!$A$3:$A3996,ROUNDUP((ROW()-1)/COUNTA(helper!$D$3:$D3996),0))</f>
        <v>45761</v>
      </c>
      <c r="C498" s="5" t="str">
        <f t="array" ref="C498">IF(B498="","",INDEX(helper!$D$3:$D3996,MOD(ROW()-2,COUNTA(helper!$D$3:$D3996))+1))</f>
        <v>Vglobal</v>
      </c>
      <c r="D498" s="3" t="str">
        <f t="array" ref="D498">IF(B498="","",INDEX(helper!$E$3:$E3996,MOD(ROW()-2,COUNTA(helper!$D$3:$D3996))+1))</f>
        <v>CS 010</v>
      </c>
      <c r="E498" s="3">
        <f t="array" ref="E498">IF(B498="","",INDEX(helper!$F$3:$F3996,MOD(ROW()-2,COUNTA(helper!$D$3:$D3996))+1))</f>
        <v>12</v>
      </c>
      <c r="F498" s="3">
        <f>IF(B498="","",SUMIFS('inventory ledger'!$H:$H,'inventory ledger'!$C:$C,C498,'inventory ledger'!$D:$D,D498,'inventory ledger'!$E:$E,E498,'inventory ledger'!$A:$A,"&lt;="&amp;B498+TIME(23,59,59))-SUMIFS('inventory ledger'!$I:$I,'inventory ledger'!$C:$C,C498,'inventory ledger'!$D:$D,D498,'inventory ledger'!$E:$E,E498,'inventory ledger'!$A:$A,"&lt;="&amp;B498+TIME(23,59,59)))</f>
        <v>70</v>
      </c>
      <c r="G498" s="3">
        <f>IFERROR(__xludf.DUMMYFUNCTION("IF(F498&lt;=0,0,IFERROR(ROUNDUP(F498/INDEX(FILTER('warehouse config'!$D:$D,('warehouse config'!$B:$B=C498)*('warehouse config'!$C:$C=D498)*('warehouse config'!$G:$G&lt;=B498)*(('warehouse config'!$H:$H&gt;=B498)+ISBLANK('warehouse config'!$H:$H))),1)),0))"),3.0)</f>
        <v>3</v>
      </c>
      <c r="H498" s="3">
        <f>IFERROR(__xludf.DUMMYFUNCTION("IFERROR(INDEX(FILTER('cost master'!$E:$E,('cost master'!$B:$B=C498)*('cost master'!$D:$D=""Storage cost per pallet / week"")*('cost master'!$G:$G&lt;=B498)*(('cost master'!$H:$H&gt;=B498)+ISBLANK('cost master'!$H:$H))),1),0)"),2.6)</f>
        <v>2.6</v>
      </c>
      <c r="I498" s="3">
        <f t="shared" si="4"/>
        <v>7.8</v>
      </c>
      <c r="J498" s="27">
        <f t="shared" si="5"/>
        <v>45732</v>
      </c>
      <c r="K498" s="27">
        <f t="shared" si="6"/>
        <v>45762</v>
      </c>
    </row>
    <row r="499" hidden="1">
      <c r="A499" s="3" t="str">
        <f t="shared" si="3"/>
        <v>SL-20250414-Vglobal-CS 009-12</v>
      </c>
      <c r="B499" s="2">
        <f t="array" ref="B499">INDEX(helper!$A$3:$A3996,ROUNDUP((ROW()-1)/COUNTA(helper!$D$3:$D3996),0))</f>
        <v>45761</v>
      </c>
      <c r="C499" s="5" t="str">
        <f t="array" ref="C499">IF(B499="","",INDEX(helper!$D$3:$D3996,MOD(ROW()-2,COUNTA(helper!$D$3:$D3996))+1))</f>
        <v>Vglobal</v>
      </c>
      <c r="D499" s="3" t="str">
        <f t="array" ref="D499">IF(B499="","",INDEX(helper!$E$3:$E3996,MOD(ROW()-2,COUNTA(helper!$D$3:$D3996))+1))</f>
        <v>CS 009</v>
      </c>
      <c r="E499" s="3">
        <f t="array" ref="E499">IF(B499="","",INDEX(helper!$F$3:$F3996,MOD(ROW()-2,COUNTA(helper!$D$3:$D3996))+1))</f>
        <v>12</v>
      </c>
      <c r="F499" s="3">
        <f>IF(B499="","",SUMIFS('inventory ledger'!$H:$H,'inventory ledger'!$C:$C,C499,'inventory ledger'!$D:$D,D499,'inventory ledger'!$E:$E,E499,'inventory ledger'!$A:$A,"&lt;="&amp;B499+TIME(23,59,59))-SUMIFS('inventory ledger'!$I:$I,'inventory ledger'!$C:$C,C499,'inventory ledger'!$D:$D,D499,'inventory ledger'!$E:$E,E499,'inventory ledger'!$A:$A,"&lt;="&amp;B499+TIME(23,59,59)))</f>
        <v>0</v>
      </c>
      <c r="G499" s="3">
        <f>IFERROR(__xludf.DUMMYFUNCTION("IF(F499&lt;=0,0,IFERROR(ROUNDUP(F499/INDEX(FILTER('warehouse config'!$D:$D,('warehouse config'!$B:$B=C499)*('warehouse config'!$C:$C=D499)*('warehouse config'!$G:$G&lt;=B499)*(('warehouse config'!$H:$H&gt;=B499)+ISBLANK('warehouse config'!$H:$H))),1)),0))"),0.0)</f>
        <v>0</v>
      </c>
      <c r="H499" s="3">
        <f>IFERROR(__xludf.DUMMYFUNCTION("IFERROR(INDEX(FILTER('cost master'!$E:$E,('cost master'!$B:$B=C499)*('cost master'!$D:$D=""Storage cost per pallet / week"")*('cost master'!$G:$G&lt;=B499)*(('cost master'!$H:$H&gt;=B499)+ISBLANK('cost master'!$H:$H))),1),0)"),2.6)</f>
        <v>2.6</v>
      </c>
      <c r="I499" s="3">
        <f t="shared" si="4"/>
        <v>0</v>
      </c>
      <c r="J499" s="27">
        <f t="shared" si="5"/>
        <v>45732</v>
      </c>
      <c r="K499" s="27">
        <f t="shared" si="6"/>
        <v>45762</v>
      </c>
    </row>
    <row r="500" hidden="1">
      <c r="A500" s="3" t="str">
        <f t="shared" si="3"/>
        <v>SL-20250414-Vglobal-CS 012-12</v>
      </c>
      <c r="B500" s="2">
        <f t="array" ref="B500">INDEX(helper!$A$3:$A3996,ROUNDUP((ROW()-1)/COUNTA(helper!$D$3:$D3996),0))</f>
        <v>45761</v>
      </c>
      <c r="C500" s="5" t="str">
        <f t="array" ref="C500">IF(B500="","",INDEX(helper!$D$3:$D3996,MOD(ROW()-2,COUNTA(helper!$D$3:$D3996))+1))</f>
        <v>Vglobal</v>
      </c>
      <c r="D500" s="3" t="str">
        <f t="array" ref="D500">IF(B500="","",INDEX(helper!$E$3:$E3996,MOD(ROW()-2,COUNTA(helper!$D$3:$D3996))+1))</f>
        <v>CS 012</v>
      </c>
      <c r="E500" s="3">
        <f t="array" ref="E500">IF(B500="","",INDEX(helper!$F$3:$F3996,MOD(ROW()-2,COUNTA(helper!$D$3:$D3996))+1))</f>
        <v>12</v>
      </c>
      <c r="F500" s="3">
        <f>IF(B500="","",SUMIFS('inventory ledger'!$H:$H,'inventory ledger'!$C:$C,C500,'inventory ledger'!$D:$D,D500,'inventory ledger'!$E:$E,E500,'inventory ledger'!$A:$A,"&lt;="&amp;B500+TIME(23,59,59))-SUMIFS('inventory ledger'!$I:$I,'inventory ledger'!$C:$C,C500,'inventory ledger'!$D:$D,D500,'inventory ledger'!$E:$E,E500,'inventory ledger'!$A:$A,"&lt;="&amp;B500+TIME(23,59,59)))</f>
        <v>0</v>
      </c>
      <c r="G500" s="3">
        <f>IFERROR(__xludf.DUMMYFUNCTION("IF(F500&lt;=0,0,IFERROR(ROUNDUP(F500/INDEX(FILTER('warehouse config'!$D:$D,('warehouse config'!$B:$B=C500)*('warehouse config'!$C:$C=D500)*('warehouse config'!$G:$G&lt;=B500)*(('warehouse config'!$H:$H&gt;=B500)+ISBLANK('warehouse config'!$H:$H))),1)),0))"),0.0)</f>
        <v>0</v>
      </c>
      <c r="H500" s="3">
        <f>IFERROR(__xludf.DUMMYFUNCTION("IFERROR(INDEX(FILTER('cost master'!$E:$E,('cost master'!$B:$B=C500)*('cost master'!$D:$D=""Storage cost per pallet / week"")*('cost master'!$G:$G&lt;=B500)*(('cost master'!$H:$H&gt;=B500)+ISBLANK('cost master'!$H:$H))),1),0)"),2.6)</f>
        <v>2.6</v>
      </c>
      <c r="I500" s="3">
        <f t="shared" si="4"/>
        <v>0</v>
      </c>
      <c r="J500" s="27">
        <f t="shared" si="5"/>
        <v>45732</v>
      </c>
      <c r="K500" s="27">
        <f t="shared" si="6"/>
        <v>45762</v>
      </c>
    </row>
    <row r="501" hidden="1">
      <c r="A501" s="3" t="str">
        <f t="shared" si="3"/>
        <v>SL-20250414-Vglobal-CS-CDS-001-3</v>
      </c>
      <c r="B501" s="2">
        <f t="array" ref="B501">INDEX(helper!$A$3:$A3996,ROUNDUP((ROW()-1)/COUNTA(helper!$D$3:$D3996),0))</f>
        <v>45761</v>
      </c>
      <c r="C501" s="5" t="str">
        <f t="array" ref="C501">IF(B501="","",INDEX(helper!$D$3:$D3996,MOD(ROW()-2,COUNTA(helper!$D$3:$D3996))+1))</f>
        <v>Vglobal</v>
      </c>
      <c r="D501" s="3" t="str">
        <f t="array" ref="D501">IF(B501="","",INDEX(helper!$E$3:$E3996,MOD(ROW()-2,COUNTA(helper!$D$3:$D3996))+1))</f>
        <v>CS-CDS-001</v>
      </c>
      <c r="E501" s="3">
        <f t="array" ref="E501">IF(B501="","",INDEX(helper!$F$3:$F3996,MOD(ROW()-2,COUNTA(helper!$D$3:$D3996))+1))</f>
        <v>3</v>
      </c>
      <c r="F501" s="3">
        <f>IF(B501="","",SUMIFS('inventory ledger'!$H:$H,'inventory ledger'!$C:$C,C501,'inventory ledger'!$D:$D,D501,'inventory ledger'!$E:$E,E501,'inventory ledger'!$A:$A,"&lt;="&amp;B501+TIME(23,59,59))-SUMIFS('inventory ledger'!$I:$I,'inventory ledger'!$C:$C,C501,'inventory ledger'!$D:$D,D501,'inventory ledger'!$E:$E,E501,'inventory ledger'!$A:$A,"&lt;="&amp;B501+TIME(23,59,59)))</f>
        <v>1</v>
      </c>
      <c r="G501" s="3">
        <f>IFERROR(__xludf.DUMMYFUNCTION("IF(F501&lt;=0,0,IFERROR(ROUNDUP(F501/INDEX(FILTER('warehouse config'!$D:$D,('warehouse config'!$B:$B=C501)*('warehouse config'!$C:$C=D501)*('warehouse config'!$G:$G&lt;=B501)*(('warehouse config'!$H:$H&gt;=B501)+ISBLANK('warehouse config'!$H:$H))),1)),0))"),1.0)</f>
        <v>1</v>
      </c>
      <c r="H501" s="3">
        <f>IFERROR(__xludf.DUMMYFUNCTION("IFERROR(INDEX(FILTER('cost master'!$E:$E,('cost master'!$B:$B=C501)*('cost master'!$D:$D=""Storage cost per pallet / week"")*('cost master'!$G:$G&lt;=B501)*(('cost master'!$H:$H&gt;=B501)+ISBLANK('cost master'!$H:$H))),1),0)"),2.6)</f>
        <v>2.6</v>
      </c>
      <c r="I501" s="3">
        <f t="shared" si="4"/>
        <v>2.6</v>
      </c>
      <c r="J501" s="27">
        <f t="shared" si="5"/>
        <v>45732</v>
      </c>
      <c r="K501" s="27">
        <f t="shared" si="6"/>
        <v>45762</v>
      </c>
    </row>
    <row r="502" hidden="1">
      <c r="A502" s="3" t="str">
        <f t="shared" si="3"/>
        <v>SL-20250414-Vglobal-CS-CDS-002-3</v>
      </c>
      <c r="B502" s="2">
        <f t="array" ref="B502">INDEX(helper!$A$3:$A3996,ROUNDUP((ROW()-1)/COUNTA(helper!$D$3:$D3996),0))</f>
        <v>45761</v>
      </c>
      <c r="C502" s="5" t="str">
        <f t="array" ref="C502">IF(B502="","",INDEX(helper!$D$3:$D3996,MOD(ROW()-2,COUNTA(helper!$D$3:$D3996))+1))</f>
        <v>Vglobal</v>
      </c>
      <c r="D502" s="3" t="str">
        <f t="array" ref="D502">IF(B502="","",INDEX(helper!$E$3:$E3996,MOD(ROW()-2,COUNTA(helper!$D$3:$D3996))+1))</f>
        <v>CS-CDS-002</v>
      </c>
      <c r="E502" s="3">
        <f t="array" ref="E502">IF(B502="","",INDEX(helper!$F$3:$F3996,MOD(ROW()-2,COUNTA(helper!$D$3:$D3996))+1))</f>
        <v>3</v>
      </c>
      <c r="F502" s="3">
        <f>IF(B502="","",SUMIFS('inventory ledger'!$H:$H,'inventory ledger'!$C:$C,C502,'inventory ledger'!$D:$D,D502,'inventory ledger'!$E:$E,E502,'inventory ledger'!$A:$A,"&lt;="&amp;B502+TIME(23,59,59))-SUMIFS('inventory ledger'!$I:$I,'inventory ledger'!$C:$C,C502,'inventory ledger'!$D:$D,D502,'inventory ledger'!$E:$E,E502,'inventory ledger'!$A:$A,"&lt;="&amp;B502+TIME(23,59,59)))</f>
        <v>0</v>
      </c>
      <c r="G502" s="3">
        <f>IFERROR(__xludf.DUMMYFUNCTION("IF(F502&lt;=0,0,IFERROR(ROUNDUP(F502/INDEX(FILTER('warehouse config'!$D:$D,('warehouse config'!$B:$B=C502)*('warehouse config'!$C:$C=D502)*('warehouse config'!$G:$G&lt;=B502)*(('warehouse config'!$H:$H&gt;=B502)+ISBLANK('warehouse config'!$H:$H))),1)),0))"),0.0)</f>
        <v>0</v>
      </c>
      <c r="H502" s="3">
        <f>IFERROR(__xludf.DUMMYFUNCTION("IFERROR(INDEX(FILTER('cost master'!$E:$E,('cost master'!$B:$B=C502)*('cost master'!$D:$D=""Storage cost per pallet / week"")*('cost master'!$G:$G&lt;=B502)*(('cost master'!$H:$H&gt;=B502)+ISBLANK('cost master'!$H:$H))),1),0)"),2.6)</f>
        <v>2.6</v>
      </c>
      <c r="I502" s="3">
        <f t="shared" si="4"/>
        <v>0</v>
      </c>
      <c r="J502" s="27">
        <f t="shared" si="5"/>
        <v>45732</v>
      </c>
      <c r="K502" s="27">
        <f t="shared" si="6"/>
        <v>45762</v>
      </c>
    </row>
    <row r="503" hidden="1">
      <c r="A503" s="3" t="str">
        <f t="shared" si="3"/>
        <v>SL-20250414-4as-CS-CDS-001-4</v>
      </c>
      <c r="B503" s="2">
        <f t="array" ref="B503">INDEX(helper!$A$3:$A3996,ROUNDUP((ROW()-1)/COUNTA(helper!$D$3:$D3996),0))</f>
        <v>45761</v>
      </c>
      <c r="C503" s="5" t="str">
        <f t="array" ref="C503">IF(B503="","",INDEX(helper!$D$3:$D3996,MOD(ROW()-2,COUNTA(helper!$D$3:$D3996))+1))</f>
        <v>4as</v>
      </c>
      <c r="D503" s="3" t="str">
        <f t="array" ref="D503">IF(B503="","",INDEX(helper!$E$3:$E3996,MOD(ROW()-2,COUNTA(helper!$D$3:$D3996))+1))</f>
        <v>CS-CDS-001</v>
      </c>
      <c r="E503" s="3">
        <f t="array" ref="E503">IF(B503="","",INDEX(helper!$F$3:$F3996,MOD(ROW()-2,COUNTA(helper!$D$3:$D3996))+1))</f>
        <v>4</v>
      </c>
      <c r="F503" s="3">
        <f>IF(B503="","",SUMIFS('inventory ledger'!$H:$H,'inventory ledger'!$C:$C,C503,'inventory ledger'!$D:$D,D503,'inventory ledger'!$E:$E,E503,'inventory ledger'!$A:$A,"&lt;="&amp;B503+TIME(23,59,59))-SUMIFS('inventory ledger'!$I:$I,'inventory ledger'!$C:$C,C503,'inventory ledger'!$D:$D,D503,'inventory ledger'!$E:$E,E503,'inventory ledger'!$A:$A,"&lt;="&amp;B503+TIME(23,59,59)))</f>
        <v>28</v>
      </c>
      <c r="G503" s="3">
        <f>IFERROR(__xludf.DUMMYFUNCTION("IF(F503&lt;=0,0,IFERROR(ROUNDUP(F503/INDEX(FILTER('warehouse config'!$D:$D,('warehouse config'!$B:$B=C503)*('warehouse config'!$C:$C=D503)*('warehouse config'!$G:$G&lt;=B503)*(('warehouse config'!$H:$H&gt;=B503)+ISBLANK('warehouse config'!$H:$H))),1)),0))"),2.0)</f>
        <v>2</v>
      </c>
      <c r="H503" s="3">
        <f>IFERROR(__xludf.DUMMYFUNCTION("IFERROR(INDEX(FILTER('cost master'!$E:$E,('cost master'!$B:$B=C503)*('cost master'!$D:$D=""Storage cost per pallet / week"")*('cost master'!$G:$G&lt;=B503)*(('cost master'!$H:$H&gt;=B503)+ISBLANK('cost master'!$H:$H))),1),0)"),9.0)</f>
        <v>9</v>
      </c>
      <c r="I503" s="3">
        <f t="shared" si="4"/>
        <v>18</v>
      </c>
      <c r="J503" s="27">
        <f t="shared" si="5"/>
        <v>45732</v>
      </c>
      <c r="K503" s="27">
        <f t="shared" si="6"/>
        <v>45762</v>
      </c>
    </row>
    <row r="504" hidden="1">
      <c r="A504" s="3" t="str">
        <f t="shared" si="3"/>
        <v>SL-20250414-4as-CS-CDS-002-4</v>
      </c>
      <c r="B504" s="2">
        <f t="array" ref="B504">INDEX(helper!$A$3:$A3996,ROUNDUP((ROW()-1)/COUNTA(helper!$D$3:$D3996),0))</f>
        <v>45761</v>
      </c>
      <c r="C504" s="5" t="str">
        <f t="array" ref="C504">IF(B504="","",INDEX(helper!$D$3:$D3996,MOD(ROW()-2,COUNTA(helper!$D$3:$D3996))+1))</f>
        <v>4as</v>
      </c>
      <c r="D504" s="3" t="str">
        <f t="array" ref="D504">IF(B504="","",INDEX(helper!$E$3:$E3996,MOD(ROW()-2,COUNTA(helper!$D$3:$D3996))+1))</f>
        <v>CS-CDS-002</v>
      </c>
      <c r="E504" s="3">
        <f t="array" ref="E504">IF(B504="","",INDEX(helper!$F$3:$F3996,MOD(ROW()-2,COUNTA(helper!$D$3:$D3996))+1))</f>
        <v>4</v>
      </c>
      <c r="F504" s="3">
        <f>IF(B504="","",SUMIFS('inventory ledger'!$H:$H,'inventory ledger'!$C:$C,C504,'inventory ledger'!$D:$D,D504,'inventory ledger'!$E:$E,E504,'inventory ledger'!$A:$A,"&lt;="&amp;B504+TIME(23,59,59))-SUMIFS('inventory ledger'!$I:$I,'inventory ledger'!$C:$C,C504,'inventory ledger'!$D:$D,D504,'inventory ledger'!$E:$E,E504,'inventory ledger'!$A:$A,"&lt;="&amp;B504+TIME(23,59,59)))</f>
        <v>0</v>
      </c>
      <c r="G504" s="3">
        <f>IFERROR(__xludf.DUMMYFUNCTION("IF(F504&lt;=0,0,IFERROR(ROUNDUP(F504/INDEX(FILTER('warehouse config'!$D:$D,('warehouse config'!$B:$B=C504)*('warehouse config'!$C:$C=D504)*('warehouse config'!$G:$G&lt;=B504)*(('warehouse config'!$H:$H&gt;=B504)+ISBLANK('warehouse config'!$H:$H))),1)),0))"),0.0)</f>
        <v>0</v>
      </c>
      <c r="H504" s="3">
        <f>IFERROR(__xludf.DUMMYFUNCTION("IFERROR(INDEX(FILTER('cost master'!$E:$E,('cost master'!$B:$B=C504)*('cost master'!$D:$D=""Storage cost per pallet / week"")*('cost master'!$G:$G&lt;=B504)*(('cost master'!$H:$H&gt;=B504)+ISBLANK('cost master'!$H:$H))),1),0)"),9.0)</f>
        <v>9</v>
      </c>
      <c r="I504" s="3">
        <f t="shared" si="4"/>
        <v>0</v>
      </c>
      <c r="J504" s="27">
        <f t="shared" si="5"/>
        <v>45732</v>
      </c>
      <c r="K504" s="27">
        <f t="shared" si="6"/>
        <v>45762</v>
      </c>
    </row>
    <row r="505" hidden="1">
      <c r="A505" s="3" t="str">
        <f t="shared" si="3"/>
        <v>SL-20250414-Vglobal-CS 007-13</v>
      </c>
      <c r="B505" s="2">
        <f t="array" ref="B505">INDEX(helper!$A$3:$A3996,ROUNDUP((ROW()-1)/COUNTA(helper!$D$3:$D3996),0))</f>
        <v>45761</v>
      </c>
      <c r="C505" s="5" t="str">
        <f t="array" ref="C505">IF(B505="","",INDEX(helper!$D$3:$D3996,MOD(ROW()-2,COUNTA(helper!$D$3:$D3996))+1))</f>
        <v>Vglobal</v>
      </c>
      <c r="D505" s="3" t="str">
        <f t="array" ref="D505">IF(B505="","",INDEX(helper!$E$3:$E3996,MOD(ROW()-2,COUNTA(helper!$D$3:$D3996))+1))</f>
        <v>CS 007</v>
      </c>
      <c r="E505" s="3">
        <f t="array" ref="E505">IF(B505="","",INDEX(helper!$F$3:$F3996,MOD(ROW()-2,COUNTA(helper!$D$3:$D3996))+1))</f>
        <v>13</v>
      </c>
      <c r="F505" s="3">
        <f>IF(B505="","",SUMIFS('inventory ledger'!$H:$H,'inventory ledger'!$C:$C,C505,'inventory ledger'!$D:$D,D505,'inventory ledger'!$E:$E,E505,'inventory ledger'!$A:$A,"&lt;="&amp;B505+TIME(23,59,59))-SUMIFS('inventory ledger'!$I:$I,'inventory ledger'!$C:$C,C505,'inventory ledger'!$D:$D,D505,'inventory ledger'!$E:$E,E505,'inventory ledger'!$A:$A,"&lt;="&amp;B505+TIME(23,59,59)))</f>
        <v>207</v>
      </c>
      <c r="G505" s="3">
        <f>IFERROR(__xludf.DUMMYFUNCTION("IF(F505&lt;=0,0,IFERROR(ROUNDUP(F505/INDEX(FILTER('warehouse config'!$D:$D,('warehouse config'!$B:$B=C505)*('warehouse config'!$C:$C=D505)*('warehouse config'!$G:$G&lt;=B505)*(('warehouse config'!$H:$H&gt;=B505)+ISBLANK('warehouse config'!$H:$H))),1)),0))"),13.0)</f>
        <v>13</v>
      </c>
      <c r="H505" s="3">
        <f>IFERROR(__xludf.DUMMYFUNCTION("IFERROR(INDEX(FILTER('cost master'!$E:$E,('cost master'!$B:$B=C505)*('cost master'!$D:$D=""Storage cost per pallet / week"")*('cost master'!$G:$G&lt;=B505)*(('cost master'!$H:$H&gt;=B505)+ISBLANK('cost master'!$H:$H))),1),0)"),2.6)</f>
        <v>2.6</v>
      </c>
      <c r="I505" s="3">
        <f t="shared" si="4"/>
        <v>33.8</v>
      </c>
      <c r="J505" s="27">
        <f t="shared" si="5"/>
        <v>45732</v>
      </c>
      <c r="K505" s="27">
        <f t="shared" si="6"/>
        <v>45762</v>
      </c>
    </row>
    <row r="506" hidden="1">
      <c r="A506" s="3" t="str">
        <f t="shared" si="3"/>
        <v>SL-20250414-Vglobal-CS 011-13</v>
      </c>
      <c r="B506" s="2">
        <f t="array" ref="B506">INDEX(helper!$A$3:$A3996,ROUNDUP((ROW()-1)/COUNTA(helper!$D$3:$D3996),0))</f>
        <v>45761</v>
      </c>
      <c r="C506" s="5" t="str">
        <f t="array" ref="C506">IF(B506="","",INDEX(helper!$D$3:$D3996,MOD(ROW()-2,COUNTA(helper!$D$3:$D3996))+1))</f>
        <v>Vglobal</v>
      </c>
      <c r="D506" s="3" t="str">
        <f t="array" ref="D506">IF(B506="","",INDEX(helper!$E$3:$E3996,MOD(ROW()-2,COUNTA(helper!$D$3:$D3996))+1))</f>
        <v>CS 011</v>
      </c>
      <c r="E506" s="3">
        <f t="array" ref="E506">IF(B506="","",INDEX(helper!$F$3:$F3996,MOD(ROW()-2,COUNTA(helper!$D$3:$D3996))+1))</f>
        <v>13</v>
      </c>
      <c r="F506" s="3">
        <f>IF(B506="","",SUMIFS('inventory ledger'!$H:$H,'inventory ledger'!$C:$C,C506,'inventory ledger'!$D:$D,D506,'inventory ledger'!$E:$E,E506,'inventory ledger'!$A:$A,"&lt;="&amp;B506+TIME(23,59,59))-SUMIFS('inventory ledger'!$I:$I,'inventory ledger'!$C:$C,C506,'inventory ledger'!$D:$D,D506,'inventory ledger'!$E:$E,E506,'inventory ledger'!$A:$A,"&lt;="&amp;B506+TIME(23,59,59)))</f>
        <v>64</v>
      </c>
      <c r="G506" s="3">
        <f>IFERROR(__xludf.DUMMYFUNCTION("IF(F506&lt;=0,0,IFERROR(ROUNDUP(F506/INDEX(FILTER('warehouse config'!$D:$D,('warehouse config'!$B:$B=C506)*('warehouse config'!$C:$C=D506)*('warehouse config'!$G:$G&lt;=B506)*(('warehouse config'!$H:$H&gt;=B506)+ISBLANK('warehouse config'!$H:$H))),1)),0))"),4.0)</f>
        <v>4</v>
      </c>
      <c r="H506" s="3">
        <f>IFERROR(__xludf.DUMMYFUNCTION("IFERROR(INDEX(FILTER('cost master'!$E:$E,('cost master'!$B:$B=C506)*('cost master'!$D:$D=""Storage cost per pallet / week"")*('cost master'!$G:$G&lt;=B506)*(('cost master'!$H:$H&gt;=B506)+ISBLANK('cost master'!$H:$H))),1),0)"),2.6)</f>
        <v>2.6</v>
      </c>
      <c r="I506" s="3">
        <f t="shared" si="4"/>
        <v>10.4</v>
      </c>
      <c r="J506" s="27">
        <f t="shared" si="5"/>
        <v>45732</v>
      </c>
      <c r="K506" s="27">
        <f t="shared" si="6"/>
        <v>45762</v>
      </c>
    </row>
    <row r="507" hidden="1">
      <c r="A507" s="3" t="str">
        <f t="shared" si="3"/>
        <v>SL-20250414-Vglobal-CS 008-13</v>
      </c>
      <c r="B507" s="2">
        <f t="array" ref="B507">INDEX(helper!$A$3:$A3996,ROUNDUP((ROW()-1)/COUNTA(helper!$D$3:$D3996),0))</f>
        <v>45761</v>
      </c>
      <c r="C507" s="5" t="str">
        <f t="array" ref="C507">IF(B507="","",INDEX(helper!$D$3:$D3996,MOD(ROW()-2,COUNTA(helper!$D$3:$D3996))+1))</f>
        <v>Vglobal</v>
      </c>
      <c r="D507" s="3" t="str">
        <f t="array" ref="D507">IF(B507="","",INDEX(helper!$E$3:$E3996,MOD(ROW()-2,COUNTA(helper!$D$3:$D3996))+1))</f>
        <v>CS 008</v>
      </c>
      <c r="E507" s="3">
        <f t="array" ref="E507">IF(B507="","",INDEX(helper!$F$3:$F3996,MOD(ROW()-2,COUNTA(helper!$D$3:$D3996))+1))</f>
        <v>13</v>
      </c>
      <c r="F507" s="3">
        <f>IF(B507="","",SUMIFS('inventory ledger'!$H:$H,'inventory ledger'!$C:$C,C507,'inventory ledger'!$D:$D,D507,'inventory ledger'!$E:$E,E507,'inventory ledger'!$A:$A,"&lt;="&amp;B507+TIME(23,59,59))-SUMIFS('inventory ledger'!$I:$I,'inventory ledger'!$C:$C,C507,'inventory ledger'!$D:$D,D507,'inventory ledger'!$E:$E,E507,'inventory ledger'!$A:$A,"&lt;="&amp;B507+TIME(23,59,59)))</f>
        <v>20</v>
      </c>
      <c r="G507" s="3">
        <f>IFERROR(__xludf.DUMMYFUNCTION("IF(F507&lt;=0,0,IFERROR(ROUNDUP(F507/INDEX(FILTER('warehouse config'!$D:$D,('warehouse config'!$B:$B=C507)*('warehouse config'!$C:$C=D507)*('warehouse config'!$G:$G&lt;=B507)*(('warehouse config'!$H:$H&gt;=B507)+ISBLANK('warehouse config'!$H:$H))),1)),0))"),1.0)</f>
        <v>1</v>
      </c>
      <c r="H507" s="3">
        <f>IFERROR(__xludf.DUMMYFUNCTION("IFERROR(INDEX(FILTER('cost master'!$E:$E,('cost master'!$B:$B=C507)*('cost master'!$D:$D=""Storage cost per pallet / week"")*('cost master'!$G:$G&lt;=B507)*(('cost master'!$H:$H&gt;=B507)+ISBLANK('cost master'!$H:$H))),1),0)"),2.6)</f>
        <v>2.6</v>
      </c>
      <c r="I507" s="3">
        <f t="shared" si="4"/>
        <v>2.6</v>
      </c>
      <c r="J507" s="27">
        <f t="shared" si="5"/>
        <v>45732</v>
      </c>
      <c r="K507" s="27">
        <f t="shared" si="6"/>
        <v>45762</v>
      </c>
    </row>
    <row r="508" hidden="1">
      <c r="A508" s="3" t="str">
        <f t="shared" si="3"/>
        <v>SL-20250414-Vglobal-CS 010-13</v>
      </c>
      <c r="B508" s="2">
        <f t="array" ref="B508">INDEX(helper!$A$3:$A3996,ROUNDUP((ROW()-1)/COUNTA(helper!$D$3:$D3996),0))</f>
        <v>45761</v>
      </c>
      <c r="C508" s="5" t="str">
        <f t="array" ref="C508">IF(B508="","",INDEX(helper!$D$3:$D3996,MOD(ROW()-2,COUNTA(helper!$D$3:$D3996))+1))</f>
        <v>Vglobal</v>
      </c>
      <c r="D508" s="3" t="str">
        <f t="array" ref="D508">IF(B508="","",INDEX(helper!$E$3:$E3996,MOD(ROW()-2,COUNTA(helper!$D$3:$D3996))+1))</f>
        <v>CS 010</v>
      </c>
      <c r="E508" s="3">
        <f t="array" ref="E508">IF(B508="","",INDEX(helper!$F$3:$F3996,MOD(ROW()-2,COUNTA(helper!$D$3:$D3996))+1))</f>
        <v>13</v>
      </c>
      <c r="F508" s="3">
        <f>IF(B508="","",SUMIFS('inventory ledger'!$H:$H,'inventory ledger'!$C:$C,C508,'inventory ledger'!$D:$D,D508,'inventory ledger'!$E:$E,E508,'inventory ledger'!$A:$A,"&lt;="&amp;B508+TIME(23,59,59))-SUMIFS('inventory ledger'!$I:$I,'inventory ledger'!$C:$C,C508,'inventory ledger'!$D:$D,D508,'inventory ledger'!$E:$E,E508,'inventory ledger'!$A:$A,"&lt;="&amp;B508+TIME(23,59,59)))</f>
        <v>80</v>
      </c>
      <c r="G508" s="3">
        <f>IFERROR(__xludf.DUMMYFUNCTION("IF(F508&lt;=0,0,IFERROR(ROUNDUP(F508/INDEX(FILTER('warehouse config'!$D:$D,('warehouse config'!$B:$B=C508)*('warehouse config'!$C:$C=D508)*('warehouse config'!$G:$G&lt;=B508)*(('warehouse config'!$H:$H&gt;=B508)+ISBLANK('warehouse config'!$H:$H))),1)),0))"),4.0)</f>
        <v>4</v>
      </c>
      <c r="H508" s="3">
        <f>IFERROR(__xludf.DUMMYFUNCTION("IFERROR(INDEX(FILTER('cost master'!$E:$E,('cost master'!$B:$B=C508)*('cost master'!$D:$D=""Storage cost per pallet / week"")*('cost master'!$G:$G&lt;=B508)*(('cost master'!$H:$H&gt;=B508)+ISBLANK('cost master'!$H:$H))),1),0)"),2.6)</f>
        <v>2.6</v>
      </c>
      <c r="I508" s="3">
        <f t="shared" si="4"/>
        <v>10.4</v>
      </c>
      <c r="J508" s="27">
        <f t="shared" si="5"/>
        <v>45732</v>
      </c>
      <c r="K508" s="27">
        <f t="shared" si="6"/>
        <v>45762</v>
      </c>
    </row>
    <row r="509" hidden="1">
      <c r="A509" s="3" t="str">
        <f t="shared" si="3"/>
        <v>SL-20250414-Vglobal-CS 009-13</v>
      </c>
      <c r="B509" s="2">
        <f t="array" ref="B509">INDEX(helper!$A$3:$A3996,ROUNDUP((ROW()-1)/COUNTA(helper!$D$3:$D3996),0))</f>
        <v>45761</v>
      </c>
      <c r="C509" s="5" t="str">
        <f t="array" ref="C509">IF(B509="","",INDEX(helper!$D$3:$D3996,MOD(ROW()-2,COUNTA(helper!$D$3:$D3996))+1))</f>
        <v>Vglobal</v>
      </c>
      <c r="D509" s="3" t="str">
        <f t="array" ref="D509">IF(B509="","",INDEX(helper!$E$3:$E3996,MOD(ROW()-2,COUNTA(helper!$D$3:$D3996))+1))</f>
        <v>CS 009</v>
      </c>
      <c r="E509" s="3">
        <f t="array" ref="E509">IF(B509="","",INDEX(helper!$F$3:$F3996,MOD(ROW()-2,COUNTA(helper!$D$3:$D3996))+1))</f>
        <v>13</v>
      </c>
      <c r="F509" s="3">
        <f>IF(B509="","",SUMIFS('inventory ledger'!$H:$H,'inventory ledger'!$C:$C,C509,'inventory ledger'!$D:$D,D509,'inventory ledger'!$E:$E,E509,'inventory ledger'!$A:$A,"&lt;="&amp;B509+TIME(23,59,59))-SUMIFS('inventory ledger'!$I:$I,'inventory ledger'!$C:$C,C509,'inventory ledger'!$D:$D,D509,'inventory ledger'!$E:$E,E509,'inventory ledger'!$A:$A,"&lt;="&amp;B509+TIME(23,59,59)))</f>
        <v>0</v>
      </c>
      <c r="G509" s="3">
        <f>IFERROR(__xludf.DUMMYFUNCTION("IF(F509&lt;=0,0,IFERROR(ROUNDUP(F509/INDEX(FILTER('warehouse config'!$D:$D,('warehouse config'!$B:$B=C509)*('warehouse config'!$C:$C=D509)*('warehouse config'!$G:$G&lt;=B509)*(('warehouse config'!$H:$H&gt;=B509)+ISBLANK('warehouse config'!$H:$H))),1)),0))"),0.0)</f>
        <v>0</v>
      </c>
      <c r="H509" s="3">
        <f>IFERROR(__xludf.DUMMYFUNCTION("IFERROR(INDEX(FILTER('cost master'!$E:$E,('cost master'!$B:$B=C509)*('cost master'!$D:$D=""Storage cost per pallet / week"")*('cost master'!$G:$G&lt;=B509)*(('cost master'!$H:$H&gt;=B509)+ISBLANK('cost master'!$H:$H))),1),0)"),2.6)</f>
        <v>2.6</v>
      </c>
      <c r="I509" s="3">
        <f t="shared" si="4"/>
        <v>0</v>
      </c>
      <c r="J509" s="27">
        <f t="shared" si="5"/>
        <v>45732</v>
      </c>
      <c r="K509" s="27">
        <f t="shared" si="6"/>
        <v>45762</v>
      </c>
    </row>
    <row r="510" hidden="1">
      <c r="A510" s="3" t="str">
        <f t="shared" si="3"/>
        <v>SL-20250414-Vglobal-CS 012-13</v>
      </c>
      <c r="B510" s="2">
        <f t="array" ref="B510">INDEX(helper!$A$3:$A3996,ROUNDUP((ROW()-1)/COUNTA(helper!$D$3:$D3996),0))</f>
        <v>45761</v>
      </c>
      <c r="C510" s="5" t="str">
        <f t="array" ref="C510">IF(B510="","",INDEX(helper!$D$3:$D3996,MOD(ROW()-2,COUNTA(helper!$D$3:$D3996))+1))</f>
        <v>Vglobal</v>
      </c>
      <c r="D510" s="3" t="str">
        <f t="array" ref="D510">IF(B510="","",INDEX(helper!$E$3:$E3996,MOD(ROW()-2,COUNTA(helper!$D$3:$D3996))+1))</f>
        <v>CS 012</v>
      </c>
      <c r="E510" s="3">
        <f t="array" ref="E510">IF(B510="","",INDEX(helper!$F$3:$F3996,MOD(ROW()-2,COUNTA(helper!$D$3:$D3996))+1))</f>
        <v>13</v>
      </c>
      <c r="F510" s="3">
        <f>IF(B510="","",SUMIFS('inventory ledger'!$H:$H,'inventory ledger'!$C:$C,C510,'inventory ledger'!$D:$D,D510,'inventory ledger'!$E:$E,E510,'inventory ledger'!$A:$A,"&lt;="&amp;B510+TIME(23,59,59))-SUMIFS('inventory ledger'!$I:$I,'inventory ledger'!$C:$C,C510,'inventory ledger'!$D:$D,D510,'inventory ledger'!$E:$E,E510,'inventory ledger'!$A:$A,"&lt;="&amp;B510+TIME(23,59,59)))</f>
        <v>0</v>
      </c>
      <c r="G510" s="3">
        <f>IFERROR(__xludf.DUMMYFUNCTION("IF(F510&lt;=0,0,IFERROR(ROUNDUP(F510/INDEX(FILTER('warehouse config'!$D:$D,('warehouse config'!$B:$B=C510)*('warehouse config'!$C:$C=D510)*('warehouse config'!$G:$G&lt;=B510)*(('warehouse config'!$H:$H&gt;=B510)+ISBLANK('warehouse config'!$H:$H))),1)),0))"),0.0)</f>
        <v>0</v>
      </c>
      <c r="H510" s="3">
        <f>IFERROR(__xludf.DUMMYFUNCTION("IFERROR(INDEX(FILTER('cost master'!$E:$E,('cost master'!$B:$B=C510)*('cost master'!$D:$D=""Storage cost per pallet / week"")*('cost master'!$G:$G&lt;=B510)*(('cost master'!$H:$H&gt;=B510)+ISBLANK('cost master'!$H:$H))),1),0)"),2.6)</f>
        <v>2.6</v>
      </c>
      <c r="I510" s="3">
        <f t="shared" si="4"/>
        <v>0</v>
      </c>
      <c r="J510" s="27">
        <f t="shared" si="5"/>
        <v>45732</v>
      </c>
      <c r="K510" s="27">
        <f t="shared" si="6"/>
        <v>45762</v>
      </c>
    </row>
    <row r="511" hidden="1">
      <c r="A511" s="3" t="str">
        <f t="shared" si="3"/>
        <v>SL-20250414-FMC-CS 008-11</v>
      </c>
      <c r="B511" s="2">
        <f t="array" ref="B511">INDEX(helper!$A$3:$A3996,ROUNDUP((ROW()-1)/COUNTA(helper!$D$3:$D3996),0))</f>
        <v>45761</v>
      </c>
      <c r="C511" s="5" t="str">
        <f t="array" ref="C511">IF(B511="","",INDEX(helper!$D$3:$D3996,MOD(ROW()-2,COUNTA(helper!$D$3:$D3996))+1))</f>
        <v>FMC</v>
      </c>
      <c r="D511" s="3" t="str">
        <f t="array" ref="D511">IF(B511="","",INDEX(helper!$E$3:$E3996,MOD(ROW()-2,COUNTA(helper!$D$3:$D3996))+1))</f>
        <v>CS 008</v>
      </c>
      <c r="E511" s="3">
        <f t="array" ref="E511">IF(B511="","",INDEX(helper!$F$3:$F3996,MOD(ROW()-2,COUNTA(helper!$D$3:$D3996))+1))</f>
        <v>11</v>
      </c>
      <c r="F511" s="3">
        <f>IF(B511="","",SUMIFS('inventory ledger'!$H:$H,'inventory ledger'!$C:$C,C511,'inventory ledger'!$D:$D,D511,'inventory ledger'!$E:$E,E511,'inventory ledger'!$A:$A,"&lt;="&amp;B511+TIME(23,59,59))-SUMIFS('inventory ledger'!$I:$I,'inventory ledger'!$C:$C,C511,'inventory ledger'!$D:$D,D511,'inventory ledger'!$E:$E,E511,'inventory ledger'!$A:$A,"&lt;="&amp;B511+TIME(23,59,59)))</f>
        <v>0</v>
      </c>
      <c r="G511" s="3">
        <f>IFERROR(__xludf.DUMMYFUNCTION("IF(F511&lt;=0,0,IFERROR(ROUNDUP(F511/INDEX(FILTER('warehouse config'!$D:$D,('warehouse config'!$B:$B=C511)*('warehouse config'!$C:$C=D511)*('warehouse config'!$G:$G&lt;=B511)*(('warehouse config'!$H:$H&gt;=B511)+ISBLANK('warehouse config'!$H:$H))),1)),0))"),0.0)</f>
        <v>0</v>
      </c>
      <c r="H511" s="3">
        <f>IFERROR(__xludf.DUMMYFUNCTION("IFERROR(INDEX(FILTER('cost master'!$E:$E,('cost master'!$B:$B=C511)*('cost master'!$D:$D=""Storage cost per pallet / week"")*('cost master'!$G:$G&lt;=B511)*(('cost master'!$H:$H&gt;=B511)+ISBLANK('cost master'!$H:$H))),1),0)"),3.9)</f>
        <v>3.9</v>
      </c>
      <c r="I511" s="3">
        <f t="shared" si="4"/>
        <v>0</v>
      </c>
      <c r="J511" s="27">
        <f t="shared" si="5"/>
        <v>45732</v>
      </c>
      <c r="K511" s="27">
        <f t="shared" si="6"/>
        <v>45762</v>
      </c>
    </row>
    <row r="512" hidden="1">
      <c r="A512" s="3" t="str">
        <f t="shared" si="3"/>
        <v>SL-20250421-FMC-CS 007-8</v>
      </c>
      <c r="B512" s="2">
        <f t="array" ref="B512">INDEX(helper!$A$3:$A3996,ROUNDUP((ROW()-1)/COUNTA(helper!$D$3:$D3996),0))</f>
        <v>45768</v>
      </c>
      <c r="C512" s="5" t="str">
        <f t="array" ref="C512">IF(B512="","",INDEX(helper!$D$3:$D3996,MOD(ROW()-2,COUNTA(helper!$D$3:$D3996))+1))</f>
        <v>FMC</v>
      </c>
      <c r="D512" s="3" t="str">
        <f t="array" ref="D512">IF(B512="","",INDEX(helper!$E$3:$E3996,MOD(ROW()-2,COUNTA(helper!$D$3:$D3996))+1))</f>
        <v>CS 007</v>
      </c>
      <c r="E512" s="3">
        <f t="array" ref="E512">IF(B512="","",INDEX(helper!$F$3:$F3996,MOD(ROW()-2,COUNTA(helper!$D$3:$D3996))+1))</f>
        <v>8</v>
      </c>
      <c r="F512" s="3">
        <f>IF(B512="","",SUMIFS('inventory ledger'!$H:$H,'inventory ledger'!$C:$C,C512,'inventory ledger'!$D:$D,D512,'inventory ledger'!$E:$E,E512,'inventory ledger'!$A:$A,"&lt;="&amp;B512+TIME(23,59,59))-SUMIFS('inventory ledger'!$I:$I,'inventory ledger'!$C:$C,C512,'inventory ledger'!$D:$D,D512,'inventory ledger'!$E:$E,E512,'inventory ledger'!$A:$A,"&lt;="&amp;B512+TIME(23,59,59)))</f>
        <v>0</v>
      </c>
      <c r="G512" s="3">
        <f>IFERROR(__xludf.DUMMYFUNCTION("IF(F512&lt;=0,0,IFERROR(ROUNDUP(F512/INDEX(FILTER('warehouse config'!$D:$D,('warehouse config'!$B:$B=C512)*('warehouse config'!$C:$C=D512)*('warehouse config'!$G:$G&lt;=B512)*(('warehouse config'!$H:$H&gt;=B512)+ISBLANK('warehouse config'!$H:$H))),1)),0))"),0.0)</f>
        <v>0</v>
      </c>
      <c r="H512" s="3">
        <f>IFERROR(__xludf.DUMMYFUNCTION("IFERROR(INDEX(FILTER('cost master'!$E:$E,('cost master'!$B:$B=C512)*('cost master'!$D:$D=""Storage cost per pallet / week"")*('cost master'!$G:$G&lt;=B512)*(('cost master'!$H:$H&gt;=B512)+ISBLANK('cost master'!$H:$H))),1),0)"),3.9)</f>
        <v>3.9</v>
      </c>
      <c r="I512" s="3">
        <f t="shared" si="4"/>
        <v>0</v>
      </c>
      <c r="J512" s="27">
        <f t="shared" si="5"/>
        <v>45763</v>
      </c>
      <c r="K512" s="27">
        <f t="shared" si="6"/>
        <v>45792</v>
      </c>
    </row>
    <row r="513" hidden="1">
      <c r="A513" s="3" t="str">
        <f t="shared" si="3"/>
        <v>SL-20250421-FMC-CS 008-8</v>
      </c>
      <c r="B513" s="2">
        <f t="array" ref="B513">INDEX(helper!$A$3:$A3996,ROUNDUP((ROW()-1)/COUNTA(helper!$D$3:$D3996),0))</f>
        <v>45768</v>
      </c>
      <c r="C513" s="5" t="str">
        <f t="array" ref="C513">IF(B513="","",INDEX(helper!$D$3:$D3996,MOD(ROW()-2,COUNTA(helper!$D$3:$D3996))+1))</f>
        <v>FMC</v>
      </c>
      <c r="D513" s="3" t="str">
        <f t="array" ref="D513">IF(B513="","",INDEX(helper!$E$3:$E3996,MOD(ROW()-2,COUNTA(helper!$D$3:$D3996))+1))</f>
        <v>CS 008</v>
      </c>
      <c r="E513" s="3">
        <f t="array" ref="E513">IF(B513="","",INDEX(helper!$F$3:$F3996,MOD(ROW()-2,COUNTA(helper!$D$3:$D3996))+1))</f>
        <v>8</v>
      </c>
      <c r="F513" s="3">
        <f>IF(B513="","",SUMIFS('inventory ledger'!$H:$H,'inventory ledger'!$C:$C,C513,'inventory ledger'!$D:$D,D513,'inventory ledger'!$E:$E,E513,'inventory ledger'!$A:$A,"&lt;="&amp;B513+TIME(23,59,59))-SUMIFS('inventory ledger'!$I:$I,'inventory ledger'!$C:$C,C513,'inventory ledger'!$D:$D,D513,'inventory ledger'!$E:$E,E513,'inventory ledger'!$A:$A,"&lt;="&amp;B513+TIME(23,59,59)))</f>
        <v>0</v>
      </c>
      <c r="G513" s="3">
        <f>IFERROR(__xludf.DUMMYFUNCTION("IF(F513&lt;=0,0,IFERROR(ROUNDUP(F513/INDEX(FILTER('warehouse config'!$D:$D,('warehouse config'!$B:$B=C513)*('warehouse config'!$C:$C=D513)*('warehouse config'!$G:$G&lt;=B513)*(('warehouse config'!$H:$H&gt;=B513)+ISBLANK('warehouse config'!$H:$H))),1)),0))"),0.0)</f>
        <v>0</v>
      </c>
      <c r="H513" s="3">
        <f>IFERROR(__xludf.DUMMYFUNCTION("IFERROR(INDEX(FILTER('cost master'!$E:$E,('cost master'!$B:$B=C513)*('cost master'!$D:$D=""Storage cost per pallet / week"")*('cost master'!$G:$G&lt;=B513)*(('cost master'!$H:$H&gt;=B513)+ISBLANK('cost master'!$H:$H))),1),0)"),3.9)</f>
        <v>3.9</v>
      </c>
      <c r="I513" s="3">
        <f t="shared" si="4"/>
        <v>0</v>
      </c>
      <c r="J513" s="27">
        <f t="shared" si="5"/>
        <v>45763</v>
      </c>
      <c r="K513" s="27">
        <f t="shared" si="6"/>
        <v>45792</v>
      </c>
    </row>
    <row r="514" hidden="1">
      <c r="A514" s="3" t="str">
        <f t="shared" si="3"/>
        <v>SL-20250421-FMC-CS 009-8</v>
      </c>
      <c r="B514" s="2">
        <f t="array" ref="B514">INDEX(helper!$A$3:$A3996,ROUNDUP((ROW()-1)/COUNTA(helper!$D$3:$D3996),0))</f>
        <v>45768</v>
      </c>
      <c r="C514" s="5" t="str">
        <f t="array" ref="C514">IF(B514="","",INDEX(helper!$D$3:$D3996,MOD(ROW()-2,COUNTA(helper!$D$3:$D3996))+1))</f>
        <v>FMC</v>
      </c>
      <c r="D514" s="3" t="str">
        <f t="array" ref="D514">IF(B514="","",INDEX(helper!$E$3:$E3996,MOD(ROW()-2,COUNTA(helper!$D$3:$D3996))+1))</f>
        <v>CS 009</v>
      </c>
      <c r="E514" s="3">
        <f t="array" ref="E514">IF(B514="","",INDEX(helper!$F$3:$F3996,MOD(ROW()-2,COUNTA(helper!$D$3:$D3996))+1))</f>
        <v>8</v>
      </c>
      <c r="F514" s="3">
        <f>IF(B514="","",SUMIFS('inventory ledger'!$H:$H,'inventory ledger'!$C:$C,C514,'inventory ledger'!$D:$D,D514,'inventory ledger'!$E:$E,E514,'inventory ledger'!$A:$A,"&lt;="&amp;B514+TIME(23,59,59))-SUMIFS('inventory ledger'!$I:$I,'inventory ledger'!$C:$C,C514,'inventory ledger'!$D:$D,D514,'inventory ledger'!$E:$E,E514,'inventory ledger'!$A:$A,"&lt;="&amp;B514+TIME(23,59,59)))</f>
        <v>0</v>
      </c>
      <c r="G514" s="3">
        <f>IFERROR(__xludf.DUMMYFUNCTION("IF(F514&lt;=0,0,IFERROR(ROUNDUP(F514/INDEX(FILTER('warehouse config'!$D:$D,('warehouse config'!$B:$B=C514)*('warehouse config'!$C:$C=D514)*('warehouse config'!$G:$G&lt;=B514)*(('warehouse config'!$H:$H&gt;=B514)+ISBLANK('warehouse config'!$H:$H))),1)),0))"),0.0)</f>
        <v>0</v>
      </c>
      <c r="H514" s="3">
        <f>IFERROR(__xludf.DUMMYFUNCTION("IFERROR(INDEX(FILTER('cost master'!$E:$E,('cost master'!$B:$B=C514)*('cost master'!$D:$D=""Storage cost per pallet / week"")*('cost master'!$G:$G&lt;=B514)*(('cost master'!$H:$H&gt;=B514)+ISBLANK('cost master'!$H:$H))),1),0)"),3.9)</f>
        <v>3.9</v>
      </c>
      <c r="I514" s="3">
        <f t="shared" si="4"/>
        <v>0</v>
      </c>
      <c r="J514" s="27">
        <f t="shared" si="5"/>
        <v>45763</v>
      </c>
      <c r="K514" s="27">
        <f t="shared" si="6"/>
        <v>45792</v>
      </c>
    </row>
    <row r="515" hidden="1">
      <c r="A515" s="3" t="str">
        <f t="shared" si="3"/>
        <v>SL-20250421-FMC-CS 010-8</v>
      </c>
      <c r="B515" s="2">
        <f t="array" ref="B515">INDEX(helper!$A$3:$A3996,ROUNDUP((ROW()-1)/COUNTA(helper!$D$3:$D3996),0))</f>
        <v>45768</v>
      </c>
      <c r="C515" s="5" t="str">
        <f t="array" ref="C515">IF(B515="","",INDEX(helper!$D$3:$D3996,MOD(ROW()-2,COUNTA(helper!$D$3:$D3996))+1))</f>
        <v>FMC</v>
      </c>
      <c r="D515" s="3" t="str">
        <f t="array" ref="D515">IF(B515="","",INDEX(helper!$E$3:$E3996,MOD(ROW()-2,COUNTA(helper!$D$3:$D3996))+1))</f>
        <v>CS 010</v>
      </c>
      <c r="E515" s="3">
        <f t="array" ref="E515">IF(B515="","",INDEX(helper!$F$3:$F3996,MOD(ROW()-2,COUNTA(helper!$D$3:$D3996))+1))</f>
        <v>8</v>
      </c>
      <c r="F515" s="3">
        <f>IF(B515="","",SUMIFS('inventory ledger'!$H:$H,'inventory ledger'!$C:$C,C515,'inventory ledger'!$D:$D,D515,'inventory ledger'!$E:$E,E515,'inventory ledger'!$A:$A,"&lt;="&amp;B515+TIME(23,59,59))-SUMIFS('inventory ledger'!$I:$I,'inventory ledger'!$C:$C,C515,'inventory ledger'!$D:$D,D515,'inventory ledger'!$E:$E,E515,'inventory ledger'!$A:$A,"&lt;="&amp;B515+TIME(23,59,59)))</f>
        <v>0</v>
      </c>
      <c r="G515" s="3">
        <f>IFERROR(__xludf.DUMMYFUNCTION("IF(F515&lt;=0,0,IFERROR(ROUNDUP(F515/INDEX(FILTER('warehouse config'!$D:$D,('warehouse config'!$B:$B=C515)*('warehouse config'!$C:$C=D515)*('warehouse config'!$G:$G&lt;=B515)*(('warehouse config'!$H:$H&gt;=B515)+ISBLANK('warehouse config'!$H:$H))),1)),0))"),0.0)</f>
        <v>0</v>
      </c>
      <c r="H515" s="3">
        <f>IFERROR(__xludf.DUMMYFUNCTION("IFERROR(INDEX(FILTER('cost master'!$E:$E,('cost master'!$B:$B=C515)*('cost master'!$D:$D=""Storage cost per pallet / week"")*('cost master'!$G:$G&lt;=B515)*(('cost master'!$H:$H&gt;=B515)+ISBLANK('cost master'!$H:$H))),1),0)"),3.9)</f>
        <v>3.9</v>
      </c>
      <c r="I515" s="3">
        <f t="shared" si="4"/>
        <v>0</v>
      </c>
      <c r="J515" s="27">
        <f t="shared" si="5"/>
        <v>45763</v>
      </c>
      <c r="K515" s="27">
        <f t="shared" si="6"/>
        <v>45792</v>
      </c>
    </row>
    <row r="516" hidden="1">
      <c r="A516" s="3" t="str">
        <f t="shared" si="3"/>
        <v>SL-20250421-FMC-CS 007-9</v>
      </c>
      <c r="B516" s="2">
        <f t="array" ref="B516">INDEX(helper!$A$3:$A3996,ROUNDUP((ROW()-1)/COUNTA(helper!$D$3:$D3996),0))</f>
        <v>45768</v>
      </c>
      <c r="C516" s="5" t="str">
        <f t="array" ref="C516">IF(B516="","",INDEX(helper!$D$3:$D3996,MOD(ROW()-2,COUNTA(helper!$D$3:$D3996))+1))</f>
        <v>FMC</v>
      </c>
      <c r="D516" s="3" t="str">
        <f t="array" ref="D516">IF(B516="","",INDEX(helper!$E$3:$E3996,MOD(ROW()-2,COUNTA(helper!$D$3:$D3996))+1))</f>
        <v>CS 007</v>
      </c>
      <c r="E516" s="3">
        <f t="array" ref="E516">IF(B516="","",INDEX(helper!$F$3:$F3996,MOD(ROW()-2,COUNTA(helper!$D$3:$D3996))+1))</f>
        <v>9</v>
      </c>
      <c r="F516" s="3">
        <f>IF(B516="","",SUMIFS('inventory ledger'!$H:$H,'inventory ledger'!$C:$C,C516,'inventory ledger'!$D:$D,D516,'inventory ledger'!$E:$E,E516,'inventory ledger'!$A:$A,"&lt;="&amp;B516+TIME(23,59,59))-SUMIFS('inventory ledger'!$I:$I,'inventory ledger'!$C:$C,C516,'inventory ledger'!$D:$D,D516,'inventory ledger'!$E:$E,E516,'inventory ledger'!$A:$A,"&lt;="&amp;B516+TIME(23,59,59)))</f>
        <v>0</v>
      </c>
      <c r="G516" s="3">
        <f>IFERROR(__xludf.DUMMYFUNCTION("IF(F516&lt;=0,0,IFERROR(ROUNDUP(F516/INDEX(FILTER('warehouse config'!$D:$D,('warehouse config'!$B:$B=C516)*('warehouse config'!$C:$C=D516)*('warehouse config'!$G:$G&lt;=B516)*(('warehouse config'!$H:$H&gt;=B516)+ISBLANK('warehouse config'!$H:$H))),1)),0))"),0.0)</f>
        <v>0</v>
      </c>
      <c r="H516" s="3">
        <f>IFERROR(__xludf.DUMMYFUNCTION("IFERROR(INDEX(FILTER('cost master'!$E:$E,('cost master'!$B:$B=C516)*('cost master'!$D:$D=""Storage cost per pallet / week"")*('cost master'!$G:$G&lt;=B516)*(('cost master'!$H:$H&gt;=B516)+ISBLANK('cost master'!$H:$H))),1),0)"),3.9)</f>
        <v>3.9</v>
      </c>
      <c r="I516" s="3">
        <f t="shared" si="4"/>
        <v>0</v>
      </c>
      <c r="J516" s="27">
        <f t="shared" si="5"/>
        <v>45763</v>
      </c>
      <c r="K516" s="27">
        <f t="shared" si="6"/>
        <v>45792</v>
      </c>
    </row>
    <row r="517" hidden="1">
      <c r="A517" s="3" t="str">
        <f t="shared" si="3"/>
        <v>SL-20250421-FMC-CS 008-9</v>
      </c>
      <c r="B517" s="2">
        <f t="array" ref="B517">INDEX(helper!$A$3:$A3996,ROUNDUP((ROW()-1)/COUNTA(helper!$D$3:$D3996),0))</f>
        <v>45768</v>
      </c>
      <c r="C517" s="5" t="str">
        <f t="array" ref="C517">IF(B517="","",INDEX(helper!$D$3:$D3996,MOD(ROW()-2,COUNTA(helper!$D$3:$D3996))+1))</f>
        <v>FMC</v>
      </c>
      <c r="D517" s="3" t="str">
        <f t="array" ref="D517">IF(B517="","",INDEX(helper!$E$3:$E3996,MOD(ROW()-2,COUNTA(helper!$D$3:$D3996))+1))</f>
        <v>CS 008</v>
      </c>
      <c r="E517" s="3">
        <f t="array" ref="E517">IF(B517="","",INDEX(helper!$F$3:$F3996,MOD(ROW()-2,COUNTA(helper!$D$3:$D3996))+1))</f>
        <v>9</v>
      </c>
      <c r="F517" s="3">
        <f>IF(B517="","",SUMIFS('inventory ledger'!$H:$H,'inventory ledger'!$C:$C,C517,'inventory ledger'!$D:$D,D517,'inventory ledger'!$E:$E,E517,'inventory ledger'!$A:$A,"&lt;="&amp;B517+TIME(23,59,59))-SUMIFS('inventory ledger'!$I:$I,'inventory ledger'!$C:$C,C517,'inventory ledger'!$D:$D,D517,'inventory ledger'!$E:$E,E517,'inventory ledger'!$A:$A,"&lt;="&amp;B517+TIME(23,59,59)))</f>
        <v>2</v>
      </c>
      <c r="G517" s="3">
        <f>IFERROR(__xludf.DUMMYFUNCTION("IF(F517&lt;=0,0,IFERROR(ROUNDUP(F517/INDEX(FILTER('warehouse config'!$D:$D,('warehouse config'!$B:$B=C517)*('warehouse config'!$C:$C=D517)*('warehouse config'!$G:$G&lt;=B517)*(('warehouse config'!$H:$H&gt;=B517)+ISBLANK('warehouse config'!$H:$H))),1)),0))"),1.0)</f>
        <v>1</v>
      </c>
      <c r="H517" s="3">
        <f>IFERROR(__xludf.DUMMYFUNCTION("IFERROR(INDEX(FILTER('cost master'!$E:$E,('cost master'!$B:$B=C517)*('cost master'!$D:$D=""Storage cost per pallet / week"")*('cost master'!$G:$G&lt;=B517)*(('cost master'!$H:$H&gt;=B517)+ISBLANK('cost master'!$H:$H))),1),0)"),3.9)</f>
        <v>3.9</v>
      </c>
      <c r="I517" s="3">
        <f t="shared" si="4"/>
        <v>3.9</v>
      </c>
      <c r="J517" s="27">
        <f t="shared" si="5"/>
        <v>45763</v>
      </c>
      <c r="K517" s="27">
        <f t="shared" si="6"/>
        <v>45792</v>
      </c>
    </row>
    <row r="518" hidden="1">
      <c r="A518" s="3" t="str">
        <f t="shared" si="3"/>
        <v>SL-20250421-FMC-CS 009-9</v>
      </c>
      <c r="B518" s="2">
        <f t="array" ref="B518">INDEX(helper!$A$3:$A3996,ROUNDUP((ROW()-1)/COUNTA(helper!$D$3:$D3996),0))</f>
        <v>45768</v>
      </c>
      <c r="C518" s="5" t="str">
        <f t="array" ref="C518">IF(B518="","",INDEX(helper!$D$3:$D3996,MOD(ROW()-2,COUNTA(helper!$D$3:$D3996))+1))</f>
        <v>FMC</v>
      </c>
      <c r="D518" s="3" t="str">
        <f t="array" ref="D518">IF(B518="","",INDEX(helper!$E$3:$E3996,MOD(ROW()-2,COUNTA(helper!$D$3:$D3996))+1))</f>
        <v>CS 009</v>
      </c>
      <c r="E518" s="3">
        <f t="array" ref="E518">IF(B518="","",INDEX(helper!$F$3:$F3996,MOD(ROW()-2,COUNTA(helper!$D$3:$D3996))+1))</f>
        <v>9</v>
      </c>
      <c r="F518" s="3">
        <f>IF(B518="","",SUMIFS('inventory ledger'!$H:$H,'inventory ledger'!$C:$C,C518,'inventory ledger'!$D:$D,D518,'inventory ledger'!$E:$E,E518,'inventory ledger'!$A:$A,"&lt;="&amp;B518+TIME(23,59,59))-SUMIFS('inventory ledger'!$I:$I,'inventory ledger'!$C:$C,C518,'inventory ledger'!$D:$D,D518,'inventory ledger'!$E:$E,E518,'inventory ledger'!$A:$A,"&lt;="&amp;B518+TIME(23,59,59)))</f>
        <v>0</v>
      </c>
      <c r="G518" s="3">
        <f>IFERROR(__xludf.DUMMYFUNCTION("IF(F518&lt;=0,0,IFERROR(ROUNDUP(F518/INDEX(FILTER('warehouse config'!$D:$D,('warehouse config'!$B:$B=C518)*('warehouse config'!$C:$C=D518)*('warehouse config'!$G:$G&lt;=B518)*(('warehouse config'!$H:$H&gt;=B518)+ISBLANK('warehouse config'!$H:$H))),1)),0))"),0.0)</f>
        <v>0</v>
      </c>
      <c r="H518" s="3">
        <f>IFERROR(__xludf.DUMMYFUNCTION("IFERROR(INDEX(FILTER('cost master'!$E:$E,('cost master'!$B:$B=C518)*('cost master'!$D:$D=""Storage cost per pallet / week"")*('cost master'!$G:$G&lt;=B518)*(('cost master'!$H:$H&gt;=B518)+ISBLANK('cost master'!$H:$H))),1),0)"),3.9)</f>
        <v>3.9</v>
      </c>
      <c r="I518" s="3">
        <f t="shared" si="4"/>
        <v>0</v>
      </c>
      <c r="J518" s="27">
        <f t="shared" si="5"/>
        <v>45763</v>
      </c>
      <c r="K518" s="27">
        <f t="shared" si="6"/>
        <v>45792</v>
      </c>
    </row>
    <row r="519" hidden="1">
      <c r="A519" s="3" t="str">
        <f t="shared" si="3"/>
        <v>SL-20250421-FMC-CS 010-9</v>
      </c>
      <c r="B519" s="2">
        <f t="array" ref="B519">INDEX(helper!$A$3:$A3996,ROUNDUP((ROW()-1)/COUNTA(helper!$D$3:$D3996),0))</f>
        <v>45768</v>
      </c>
      <c r="C519" s="5" t="str">
        <f t="array" ref="C519">IF(B519="","",INDEX(helper!$D$3:$D3996,MOD(ROW()-2,COUNTA(helper!$D$3:$D3996))+1))</f>
        <v>FMC</v>
      </c>
      <c r="D519" s="3" t="str">
        <f t="array" ref="D519">IF(B519="","",INDEX(helper!$E$3:$E3996,MOD(ROW()-2,COUNTA(helper!$D$3:$D3996))+1))</f>
        <v>CS 010</v>
      </c>
      <c r="E519" s="3">
        <f t="array" ref="E519">IF(B519="","",INDEX(helper!$F$3:$F3996,MOD(ROW()-2,COUNTA(helper!$D$3:$D3996))+1))</f>
        <v>9</v>
      </c>
      <c r="F519" s="3">
        <f>IF(B519="","",SUMIFS('inventory ledger'!$H:$H,'inventory ledger'!$C:$C,C519,'inventory ledger'!$D:$D,D519,'inventory ledger'!$E:$E,E519,'inventory ledger'!$A:$A,"&lt;="&amp;B519+TIME(23,59,59))-SUMIFS('inventory ledger'!$I:$I,'inventory ledger'!$C:$C,C519,'inventory ledger'!$D:$D,D519,'inventory ledger'!$E:$E,E519,'inventory ledger'!$A:$A,"&lt;="&amp;B519+TIME(23,59,59)))</f>
        <v>0</v>
      </c>
      <c r="G519" s="3">
        <f>IFERROR(__xludf.DUMMYFUNCTION("IF(F519&lt;=0,0,IFERROR(ROUNDUP(F519/INDEX(FILTER('warehouse config'!$D:$D,('warehouse config'!$B:$B=C519)*('warehouse config'!$C:$C=D519)*('warehouse config'!$G:$G&lt;=B519)*(('warehouse config'!$H:$H&gt;=B519)+ISBLANK('warehouse config'!$H:$H))),1)),0))"),0.0)</f>
        <v>0</v>
      </c>
      <c r="H519" s="3">
        <f>IFERROR(__xludf.DUMMYFUNCTION("IFERROR(INDEX(FILTER('cost master'!$E:$E,('cost master'!$B:$B=C519)*('cost master'!$D:$D=""Storage cost per pallet / week"")*('cost master'!$G:$G&lt;=B519)*(('cost master'!$H:$H&gt;=B519)+ISBLANK('cost master'!$H:$H))),1),0)"),3.9)</f>
        <v>3.9</v>
      </c>
      <c r="I519" s="3">
        <f t="shared" si="4"/>
        <v>0</v>
      </c>
      <c r="J519" s="27">
        <f t="shared" si="5"/>
        <v>45763</v>
      </c>
      <c r="K519" s="27">
        <f t="shared" si="6"/>
        <v>45792</v>
      </c>
    </row>
    <row r="520" hidden="1">
      <c r="A520" s="3" t="str">
        <f t="shared" si="3"/>
        <v>SL-20250421-FMC-CS-CDS-001-9</v>
      </c>
      <c r="B520" s="2">
        <f t="array" ref="B520">INDEX(helper!$A$3:$A3996,ROUNDUP((ROW()-1)/COUNTA(helper!$D$3:$D3996),0))</f>
        <v>45768</v>
      </c>
      <c r="C520" s="5" t="str">
        <f t="array" ref="C520">IF(B520="","",INDEX(helper!$D$3:$D3996,MOD(ROW()-2,COUNTA(helper!$D$3:$D3996))+1))</f>
        <v>FMC</v>
      </c>
      <c r="D520" s="3" t="str">
        <f t="array" ref="D520">IF(B520="","",INDEX(helper!$E$3:$E3996,MOD(ROW()-2,COUNTA(helper!$D$3:$D3996))+1))</f>
        <v>CS-CDS-001</v>
      </c>
      <c r="E520" s="3">
        <f t="array" ref="E520">IF(B520="","",INDEX(helper!$F$3:$F3996,MOD(ROW()-2,COUNTA(helper!$D$3:$D3996))+1))</f>
        <v>9</v>
      </c>
      <c r="F520" s="3">
        <f>IF(B520="","",SUMIFS('inventory ledger'!$H:$H,'inventory ledger'!$C:$C,C520,'inventory ledger'!$D:$D,D520,'inventory ledger'!$E:$E,E520,'inventory ledger'!$A:$A,"&lt;="&amp;B520+TIME(23,59,59))-SUMIFS('inventory ledger'!$I:$I,'inventory ledger'!$C:$C,C520,'inventory ledger'!$D:$D,D520,'inventory ledger'!$E:$E,E520,'inventory ledger'!$A:$A,"&lt;="&amp;B520+TIME(23,59,59)))</f>
        <v>0</v>
      </c>
      <c r="G520" s="3">
        <f>IFERROR(__xludf.DUMMYFUNCTION("IF(F520&lt;=0,0,IFERROR(ROUNDUP(F520/INDEX(FILTER('warehouse config'!$D:$D,('warehouse config'!$B:$B=C520)*('warehouse config'!$C:$C=D520)*('warehouse config'!$G:$G&lt;=B520)*(('warehouse config'!$H:$H&gt;=B520)+ISBLANK('warehouse config'!$H:$H))),1)),0))"),0.0)</f>
        <v>0</v>
      </c>
      <c r="H520" s="3">
        <f>IFERROR(__xludf.DUMMYFUNCTION("IFERROR(INDEX(FILTER('cost master'!$E:$E,('cost master'!$B:$B=C520)*('cost master'!$D:$D=""Storage cost per pallet / week"")*('cost master'!$G:$G&lt;=B520)*(('cost master'!$H:$H&gt;=B520)+ISBLANK('cost master'!$H:$H))),1),0)"),3.9)</f>
        <v>3.9</v>
      </c>
      <c r="I520" s="3">
        <f t="shared" si="4"/>
        <v>0</v>
      </c>
      <c r="J520" s="27">
        <f t="shared" si="5"/>
        <v>45763</v>
      </c>
      <c r="K520" s="27">
        <f t="shared" si="6"/>
        <v>45792</v>
      </c>
    </row>
    <row r="521" hidden="1">
      <c r="A521" s="3" t="str">
        <f t="shared" si="3"/>
        <v>SL-20250421-FMC-CS-CDS-002-9</v>
      </c>
      <c r="B521" s="2">
        <f t="array" ref="B521">INDEX(helper!$A$3:$A3996,ROUNDUP((ROW()-1)/COUNTA(helper!$D$3:$D3996),0))</f>
        <v>45768</v>
      </c>
      <c r="C521" s="5" t="str">
        <f t="array" ref="C521">IF(B521="","",INDEX(helper!$D$3:$D3996,MOD(ROW()-2,COUNTA(helper!$D$3:$D3996))+1))</f>
        <v>FMC</v>
      </c>
      <c r="D521" s="3" t="str">
        <f t="array" ref="D521">IF(B521="","",INDEX(helper!$E$3:$E3996,MOD(ROW()-2,COUNTA(helper!$D$3:$D3996))+1))</f>
        <v>CS-CDS-002</v>
      </c>
      <c r="E521" s="3">
        <f t="array" ref="E521">IF(B521="","",INDEX(helper!$F$3:$F3996,MOD(ROW()-2,COUNTA(helper!$D$3:$D3996))+1))</f>
        <v>9</v>
      </c>
      <c r="F521" s="3">
        <f>IF(B521="","",SUMIFS('inventory ledger'!$H:$H,'inventory ledger'!$C:$C,C521,'inventory ledger'!$D:$D,D521,'inventory ledger'!$E:$E,E521,'inventory ledger'!$A:$A,"&lt;="&amp;B521+TIME(23,59,59))-SUMIFS('inventory ledger'!$I:$I,'inventory ledger'!$C:$C,C521,'inventory ledger'!$D:$D,D521,'inventory ledger'!$E:$E,E521,'inventory ledger'!$A:$A,"&lt;="&amp;B521+TIME(23,59,59)))</f>
        <v>0</v>
      </c>
      <c r="G521" s="3">
        <f>IFERROR(__xludf.DUMMYFUNCTION("IF(F521&lt;=0,0,IFERROR(ROUNDUP(F521/INDEX(FILTER('warehouse config'!$D:$D,('warehouse config'!$B:$B=C521)*('warehouse config'!$C:$C=D521)*('warehouse config'!$G:$G&lt;=B521)*(('warehouse config'!$H:$H&gt;=B521)+ISBLANK('warehouse config'!$H:$H))),1)),0))"),0.0)</f>
        <v>0</v>
      </c>
      <c r="H521" s="3">
        <f>IFERROR(__xludf.DUMMYFUNCTION("IFERROR(INDEX(FILTER('cost master'!$E:$E,('cost master'!$B:$B=C521)*('cost master'!$D:$D=""Storage cost per pallet / week"")*('cost master'!$G:$G&lt;=B521)*(('cost master'!$H:$H&gt;=B521)+ISBLANK('cost master'!$H:$H))),1),0)"),3.9)</f>
        <v>3.9</v>
      </c>
      <c r="I521" s="3">
        <f t="shared" si="4"/>
        <v>0</v>
      </c>
      <c r="J521" s="27">
        <f t="shared" si="5"/>
        <v>45763</v>
      </c>
      <c r="K521" s="27">
        <f t="shared" si="6"/>
        <v>45792</v>
      </c>
    </row>
    <row r="522" hidden="1">
      <c r="A522" s="3" t="str">
        <f t="shared" si="3"/>
        <v>SL-20250421-FMC-CS 007-10</v>
      </c>
      <c r="B522" s="2">
        <f t="array" ref="B522">INDEX(helper!$A$3:$A3996,ROUNDUP((ROW()-1)/COUNTA(helper!$D$3:$D3996),0))</f>
        <v>45768</v>
      </c>
      <c r="C522" s="5" t="str">
        <f t="array" ref="C522">IF(B522="","",INDEX(helper!$D$3:$D3996,MOD(ROW()-2,COUNTA(helper!$D$3:$D3996))+1))</f>
        <v>FMC</v>
      </c>
      <c r="D522" s="3" t="str">
        <f t="array" ref="D522">IF(B522="","",INDEX(helper!$E$3:$E3996,MOD(ROW()-2,COUNTA(helper!$D$3:$D3996))+1))</f>
        <v>CS 007</v>
      </c>
      <c r="E522" s="3">
        <f t="array" ref="E522">IF(B522="","",INDEX(helper!$F$3:$F3996,MOD(ROW()-2,COUNTA(helper!$D$3:$D3996))+1))</f>
        <v>10</v>
      </c>
      <c r="F522" s="3">
        <f>IF(B522="","",SUMIFS('inventory ledger'!$H:$H,'inventory ledger'!$C:$C,C522,'inventory ledger'!$D:$D,D522,'inventory ledger'!$E:$E,E522,'inventory ledger'!$A:$A,"&lt;="&amp;B522+TIME(23,59,59))-SUMIFS('inventory ledger'!$I:$I,'inventory ledger'!$C:$C,C522,'inventory ledger'!$D:$D,D522,'inventory ledger'!$E:$E,E522,'inventory ledger'!$A:$A,"&lt;="&amp;B522+TIME(23,59,59)))</f>
        <v>0</v>
      </c>
      <c r="G522" s="3">
        <f>IFERROR(__xludf.DUMMYFUNCTION("IF(F522&lt;=0,0,IFERROR(ROUNDUP(F522/INDEX(FILTER('warehouse config'!$D:$D,('warehouse config'!$B:$B=C522)*('warehouse config'!$C:$C=D522)*('warehouse config'!$G:$G&lt;=B522)*(('warehouse config'!$H:$H&gt;=B522)+ISBLANK('warehouse config'!$H:$H))),1)),0))"),0.0)</f>
        <v>0</v>
      </c>
      <c r="H522" s="3">
        <f>IFERROR(__xludf.DUMMYFUNCTION("IFERROR(INDEX(FILTER('cost master'!$E:$E,('cost master'!$B:$B=C522)*('cost master'!$D:$D=""Storage cost per pallet / week"")*('cost master'!$G:$G&lt;=B522)*(('cost master'!$H:$H&gt;=B522)+ISBLANK('cost master'!$H:$H))),1),0)"),3.9)</f>
        <v>3.9</v>
      </c>
      <c r="I522" s="3">
        <f t="shared" si="4"/>
        <v>0</v>
      </c>
      <c r="J522" s="27">
        <f t="shared" si="5"/>
        <v>45763</v>
      </c>
      <c r="K522" s="27">
        <f t="shared" si="6"/>
        <v>45792</v>
      </c>
    </row>
    <row r="523" hidden="1">
      <c r="A523" s="3" t="str">
        <f t="shared" si="3"/>
        <v>SL-20250421-FMC-CS 009-10</v>
      </c>
      <c r="B523" s="2">
        <f t="array" ref="B523">INDEX(helper!$A$3:$A3996,ROUNDUP((ROW()-1)/COUNTA(helper!$D$3:$D3996),0))</f>
        <v>45768</v>
      </c>
      <c r="C523" s="5" t="str">
        <f t="array" ref="C523">IF(B523="","",INDEX(helper!$D$3:$D3996,MOD(ROW()-2,COUNTA(helper!$D$3:$D3996))+1))</f>
        <v>FMC</v>
      </c>
      <c r="D523" s="3" t="str">
        <f t="array" ref="D523">IF(B523="","",INDEX(helper!$E$3:$E3996,MOD(ROW()-2,COUNTA(helper!$D$3:$D3996))+1))</f>
        <v>CS 009</v>
      </c>
      <c r="E523" s="3">
        <f t="array" ref="E523">IF(B523="","",INDEX(helper!$F$3:$F3996,MOD(ROW()-2,COUNTA(helper!$D$3:$D3996))+1))</f>
        <v>10</v>
      </c>
      <c r="F523" s="3">
        <f>IF(B523="","",SUMIFS('inventory ledger'!$H:$H,'inventory ledger'!$C:$C,C523,'inventory ledger'!$D:$D,D523,'inventory ledger'!$E:$E,E523,'inventory ledger'!$A:$A,"&lt;="&amp;B523+TIME(23,59,59))-SUMIFS('inventory ledger'!$I:$I,'inventory ledger'!$C:$C,C523,'inventory ledger'!$D:$D,D523,'inventory ledger'!$E:$E,E523,'inventory ledger'!$A:$A,"&lt;="&amp;B523+TIME(23,59,59)))</f>
        <v>0</v>
      </c>
      <c r="G523" s="3">
        <f>IFERROR(__xludf.DUMMYFUNCTION("IF(F523&lt;=0,0,IFERROR(ROUNDUP(F523/INDEX(FILTER('warehouse config'!$D:$D,('warehouse config'!$B:$B=C523)*('warehouse config'!$C:$C=D523)*('warehouse config'!$G:$G&lt;=B523)*(('warehouse config'!$H:$H&gt;=B523)+ISBLANK('warehouse config'!$H:$H))),1)),0))"),0.0)</f>
        <v>0</v>
      </c>
      <c r="H523" s="3">
        <f>IFERROR(__xludf.DUMMYFUNCTION("IFERROR(INDEX(FILTER('cost master'!$E:$E,('cost master'!$B:$B=C523)*('cost master'!$D:$D=""Storage cost per pallet / week"")*('cost master'!$G:$G&lt;=B523)*(('cost master'!$H:$H&gt;=B523)+ISBLANK('cost master'!$H:$H))),1),0)"),3.9)</f>
        <v>3.9</v>
      </c>
      <c r="I523" s="3">
        <f t="shared" si="4"/>
        <v>0</v>
      </c>
      <c r="J523" s="27">
        <f t="shared" si="5"/>
        <v>45763</v>
      </c>
      <c r="K523" s="27">
        <f t="shared" si="6"/>
        <v>45792</v>
      </c>
    </row>
    <row r="524" hidden="1">
      <c r="A524" s="3" t="str">
        <f t="shared" si="3"/>
        <v>SL-20250421-FMC-CS 010-10</v>
      </c>
      <c r="B524" s="2">
        <f t="array" ref="B524">INDEX(helper!$A$3:$A3996,ROUNDUP((ROW()-1)/COUNTA(helper!$D$3:$D3996),0))</f>
        <v>45768</v>
      </c>
      <c r="C524" s="5" t="str">
        <f t="array" ref="C524">IF(B524="","",INDEX(helper!$D$3:$D3996,MOD(ROW()-2,COUNTA(helper!$D$3:$D3996))+1))</f>
        <v>FMC</v>
      </c>
      <c r="D524" s="3" t="str">
        <f t="array" ref="D524">IF(B524="","",INDEX(helper!$E$3:$E3996,MOD(ROW()-2,COUNTA(helper!$D$3:$D3996))+1))</f>
        <v>CS 010</v>
      </c>
      <c r="E524" s="3">
        <f t="array" ref="E524">IF(B524="","",INDEX(helper!$F$3:$F3996,MOD(ROW()-2,COUNTA(helper!$D$3:$D3996))+1))</f>
        <v>10</v>
      </c>
      <c r="F524" s="3">
        <f>IF(B524="","",SUMIFS('inventory ledger'!$H:$H,'inventory ledger'!$C:$C,C524,'inventory ledger'!$D:$D,D524,'inventory ledger'!$E:$E,E524,'inventory ledger'!$A:$A,"&lt;="&amp;B524+TIME(23,59,59))-SUMIFS('inventory ledger'!$I:$I,'inventory ledger'!$C:$C,C524,'inventory ledger'!$D:$D,D524,'inventory ledger'!$E:$E,E524,'inventory ledger'!$A:$A,"&lt;="&amp;B524+TIME(23,59,59)))</f>
        <v>13</v>
      </c>
      <c r="G524" s="3">
        <f>IFERROR(__xludf.DUMMYFUNCTION("IF(F524&lt;=0,0,IFERROR(ROUNDUP(F524/INDEX(FILTER('warehouse config'!$D:$D,('warehouse config'!$B:$B=C524)*('warehouse config'!$C:$C=D524)*('warehouse config'!$G:$G&lt;=B524)*(('warehouse config'!$H:$H&gt;=B524)+ISBLANK('warehouse config'!$H:$H))),1)),0))"),1.0)</f>
        <v>1</v>
      </c>
      <c r="H524" s="3">
        <f>IFERROR(__xludf.DUMMYFUNCTION("IFERROR(INDEX(FILTER('cost master'!$E:$E,('cost master'!$B:$B=C524)*('cost master'!$D:$D=""Storage cost per pallet / week"")*('cost master'!$G:$G&lt;=B524)*(('cost master'!$H:$H&gt;=B524)+ISBLANK('cost master'!$H:$H))),1),0)"),3.9)</f>
        <v>3.9</v>
      </c>
      <c r="I524" s="3">
        <f t="shared" si="4"/>
        <v>3.9</v>
      </c>
      <c r="J524" s="27">
        <f t="shared" si="5"/>
        <v>45763</v>
      </c>
      <c r="K524" s="27">
        <f t="shared" si="6"/>
        <v>45792</v>
      </c>
    </row>
    <row r="525" hidden="1">
      <c r="A525" s="3" t="str">
        <f t="shared" si="3"/>
        <v>SL-20250421-FMC-CS-CDS-001-10</v>
      </c>
      <c r="B525" s="2">
        <f t="array" ref="B525">INDEX(helper!$A$3:$A3996,ROUNDUP((ROW()-1)/COUNTA(helper!$D$3:$D3996),0))</f>
        <v>45768</v>
      </c>
      <c r="C525" s="5" t="str">
        <f t="array" ref="C525">IF(B525="","",INDEX(helper!$D$3:$D3996,MOD(ROW()-2,COUNTA(helper!$D$3:$D3996))+1))</f>
        <v>FMC</v>
      </c>
      <c r="D525" s="3" t="str">
        <f t="array" ref="D525">IF(B525="","",INDEX(helper!$E$3:$E3996,MOD(ROW()-2,COUNTA(helper!$D$3:$D3996))+1))</f>
        <v>CS-CDS-001</v>
      </c>
      <c r="E525" s="3">
        <f t="array" ref="E525">IF(B525="","",INDEX(helper!$F$3:$F3996,MOD(ROW()-2,COUNTA(helper!$D$3:$D3996))+1))</f>
        <v>10</v>
      </c>
      <c r="F525" s="3">
        <f>IF(B525="","",SUMIFS('inventory ledger'!$H:$H,'inventory ledger'!$C:$C,C525,'inventory ledger'!$D:$D,D525,'inventory ledger'!$E:$E,E525,'inventory ledger'!$A:$A,"&lt;="&amp;B525+TIME(23,59,59))-SUMIFS('inventory ledger'!$I:$I,'inventory ledger'!$C:$C,C525,'inventory ledger'!$D:$D,D525,'inventory ledger'!$E:$E,E525,'inventory ledger'!$A:$A,"&lt;="&amp;B525+TIME(23,59,59)))</f>
        <v>0</v>
      </c>
      <c r="G525" s="3">
        <f>IFERROR(__xludf.DUMMYFUNCTION("IF(F525&lt;=0,0,IFERROR(ROUNDUP(F525/INDEX(FILTER('warehouse config'!$D:$D,('warehouse config'!$B:$B=C525)*('warehouse config'!$C:$C=D525)*('warehouse config'!$G:$G&lt;=B525)*(('warehouse config'!$H:$H&gt;=B525)+ISBLANK('warehouse config'!$H:$H))),1)),0))"),0.0)</f>
        <v>0</v>
      </c>
      <c r="H525" s="3">
        <f>IFERROR(__xludf.DUMMYFUNCTION("IFERROR(INDEX(FILTER('cost master'!$E:$E,('cost master'!$B:$B=C525)*('cost master'!$D:$D=""Storage cost per pallet / week"")*('cost master'!$G:$G&lt;=B525)*(('cost master'!$H:$H&gt;=B525)+ISBLANK('cost master'!$H:$H))),1),0)"),3.9)</f>
        <v>3.9</v>
      </c>
      <c r="I525" s="3">
        <f t="shared" si="4"/>
        <v>0</v>
      </c>
      <c r="J525" s="27">
        <f t="shared" si="5"/>
        <v>45763</v>
      </c>
      <c r="K525" s="27">
        <f t="shared" si="6"/>
        <v>45792</v>
      </c>
    </row>
    <row r="526" hidden="1">
      <c r="A526" s="3" t="str">
        <f t="shared" si="3"/>
        <v>SL-20250421-FMC-CS 007-11</v>
      </c>
      <c r="B526" s="2">
        <f t="array" ref="B526">INDEX(helper!$A$3:$A3996,ROUNDUP((ROW()-1)/COUNTA(helper!$D$3:$D3996),0))</f>
        <v>45768</v>
      </c>
      <c r="C526" s="5" t="str">
        <f t="array" ref="C526">IF(B526="","",INDEX(helper!$D$3:$D3996,MOD(ROW()-2,COUNTA(helper!$D$3:$D3996))+1))</f>
        <v>FMC</v>
      </c>
      <c r="D526" s="3" t="str">
        <f t="array" ref="D526">IF(B526="","",INDEX(helper!$E$3:$E3996,MOD(ROW()-2,COUNTA(helper!$D$3:$D3996))+1))</f>
        <v>CS 007</v>
      </c>
      <c r="E526" s="3">
        <f t="array" ref="E526">IF(B526="","",INDEX(helper!$F$3:$F3996,MOD(ROW()-2,COUNTA(helper!$D$3:$D3996))+1))</f>
        <v>11</v>
      </c>
      <c r="F526" s="3">
        <f>IF(B526="","",SUMIFS('inventory ledger'!$H:$H,'inventory ledger'!$C:$C,C526,'inventory ledger'!$D:$D,D526,'inventory ledger'!$E:$E,E526,'inventory ledger'!$A:$A,"&lt;="&amp;B526+TIME(23,59,59))-SUMIFS('inventory ledger'!$I:$I,'inventory ledger'!$C:$C,C526,'inventory ledger'!$D:$D,D526,'inventory ledger'!$E:$E,E526,'inventory ledger'!$A:$A,"&lt;="&amp;B526+TIME(23,59,59)))</f>
        <v>0</v>
      </c>
      <c r="G526" s="3">
        <f>IFERROR(__xludf.DUMMYFUNCTION("IF(F526&lt;=0,0,IFERROR(ROUNDUP(F526/INDEX(FILTER('warehouse config'!$D:$D,('warehouse config'!$B:$B=C526)*('warehouse config'!$C:$C=D526)*('warehouse config'!$G:$G&lt;=B526)*(('warehouse config'!$H:$H&gt;=B526)+ISBLANK('warehouse config'!$H:$H))),1)),0))"),0.0)</f>
        <v>0</v>
      </c>
      <c r="H526" s="3">
        <f>IFERROR(__xludf.DUMMYFUNCTION("IFERROR(INDEX(FILTER('cost master'!$E:$E,('cost master'!$B:$B=C526)*('cost master'!$D:$D=""Storage cost per pallet / week"")*('cost master'!$G:$G&lt;=B526)*(('cost master'!$H:$H&gt;=B526)+ISBLANK('cost master'!$H:$H))),1),0)"),3.9)</f>
        <v>3.9</v>
      </c>
      <c r="I526" s="3">
        <f t="shared" si="4"/>
        <v>0</v>
      </c>
      <c r="J526" s="27">
        <f t="shared" si="5"/>
        <v>45763</v>
      </c>
      <c r="K526" s="27">
        <f t="shared" si="6"/>
        <v>45792</v>
      </c>
    </row>
    <row r="527" hidden="1">
      <c r="A527" s="3" t="str">
        <f t="shared" si="3"/>
        <v>SL-20250421-FMC-CS 009-11</v>
      </c>
      <c r="B527" s="2">
        <f t="array" ref="B527">INDEX(helper!$A$3:$A3996,ROUNDUP((ROW()-1)/COUNTA(helper!$D$3:$D3996),0))</f>
        <v>45768</v>
      </c>
      <c r="C527" s="5" t="str">
        <f t="array" ref="C527">IF(B527="","",INDEX(helper!$D$3:$D3996,MOD(ROW()-2,COUNTA(helper!$D$3:$D3996))+1))</f>
        <v>FMC</v>
      </c>
      <c r="D527" s="3" t="str">
        <f t="array" ref="D527">IF(B527="","",INDEX(helper!$E$3:$E3996,MOD(ROW()-2,COUNTA(helper!$D$3:$D3996))+1))</f>
        <v>CS 009</v>
      </c>
      <c r="E527" s="3">
        <f t="array" ref="E527">IF(B527="","",INDEX(helper!$F$3:$F3996,MOD(ROW()-2,COUNTA(helper!$D$3:$D3996))+1))</f>
        <v>11</v>
      </c>
      <c r="F527" s="3">
        <f>IF(B527="","",SUMIFS('inventory ledger'!$H:$H,'inventory ledger'!$C:$C,C527,'inventory ledger'!$D:$D,D527,'inventory ledger'!$E:$E,E527,'inventory ledger'!$A:$A,"&lt;="&amp;B527+TIME(23,59,59))-SUMIFS('inventory ledger'!$I:$I,'inventory ledger'!$C:$C,C527,'inventory ledger'!$D:$D,D527,'inventory ledger'!$E:$E,E527,'inventory ledger'!$A:$A,"&lt;="&amp;B527+TIME(23,59,59)))</f>
        <v>0</v>
      </c>
      <c r="G527" s="3">
        <f>IFERROR(__xludf.DUMMYFUNCTION("IF(F527&lt;=0,0,IFERROR(ROUNDUP(F527/INDEX(FILTER('warehouse config'!$D:$D,('warehouse config'!$B:$B=C527)*('warehouse config'!$C:$C=D527)*('warehouse config'!$G:$G&lt;=B527)*(('warehouse config'!$H:$H&gt;=B527)+ISBLANK('warehouse config'!$H:$H))),1)),0))"),0.0)</f>
        <v>0</v>
      </c>
      <c r="H527" s="3">
        <f>IFERROR(__xludf.DUMMYFUNCTION("IFERROR(INDEX(FILTER('cost master'!$E:$E,('cost master'!$B:$B=C527)*('cost master'!$D:$D=""Storage cost per pallet / week"")*('cost master'!$G:$G&lt;=B527)*(('cost master'!$H:$H&gt;=B527)+ISBLANK('cost master'!$H:$H))),1),0)"),3.9)</f>
        <v>3.9</v>
      </c>
      <c r="I527" s="3">
        <f t="shared" si="4"/>
        <v>0</v>
      </c>
      <c r="J527" s="27">
        <f t="shared" si="5"/>
        <v>45763</v>
      </c>
      <c r="K527" s="27">
        <f t="shared" si="6"/>
        <v>45792</v>
      </c>
    </row>
    <row r="528" hidden="1">
      <c r="A528" s="3" t="str">
        <f t="shared" si="3"/>
        <v>SL-20250421-FMC-CS 010-11</v>
      </c>
      <c r="B528" s="2">
        <f t="array" ref="B528">INDEX(helper!$A$3:$A3996,ROUNDUP((ROW()-1)/COUNTA(helper!$D$3:$D3996),0))</f>
        <v>45768</v>
      </c>
      <c r="C528" s="5" t="str">
        <f t="array" ref="C528">IF(B528="","",INDEX(helper!$D$3:$D3996,MOD(ROW()-2,COUNTA(helper!$D$3:$D3996))+1))</f>
        <v>FMC</v>
      </c>
      <c r="D528" s="3" t="str">
        <f t="array" ref="D528">IF(B528="","",INDEX(helper!$E$3:$E3996,MOD(ROW()-2,COUNTA(helper!$D$3:$D3996))+1))</f>
        <v>CS 010</v>
      </c>
      <c r="E528" s="3">
        <f t="array" ref="E528">IF(B528="","",INDEX(helper!$F$3:$F3996,MOD(ROW()-2,COUNTA(helper!$D$3:$D3996))+1))</f>
        <v>11</v>
      </c>
      <c r="F528" s="3">
        <f>IF(B528="","",SUMIFS('inventory ledger'!$H:$H,'inventory ledger'!$C:$C,C528,'inventory ledger'!$D:$D,D528,'inventory ledger'!$E:$E,E528,'inventory ledger'!$A:$A,"&lt;="&amp;B528+TIME(23,59,59))-SUMIFS('inventory ledger'!$I:$I,'inventory ledger'!$C:$C,C528,'inventory ledger'!$D:$D,D528,'inventory ledger'!$E:$E,E528,'inventory ledger'!$A:$A,"&lt;="&amp;B528+TIME(23,59,59)))</f>
        <v>46</v>
      </c>
      <c r="G528" s="3">
        <f>IFERROR(__xludf.DUMMYFUNCTION("IF(F528&lt;=0,0,IFERROR(ROUNDUP(F528/INDEX(FILTER('warehouse config'!$D:$D,('warehouse config'!$B:$B=C528)*('warehouse config'!$C:$C=D528)*('warehouse config'!$G:$G&lt;=B528)*(('warehouse config'!$H:$H&gt;=B528)+ISBLANK('warehouse config'!$H:$H))),1)),0))"),2.0)</f>
        <v>2</v>
      </c>
      <c r="H528" s="3">
        <f>IFERROR(__xludf.DUMMYFUNCTION("IFERROR(INDEX(FILTER('cost master'!$E:$E,('cost master'!$B:$B=C528)*('cost master'!$D:$D=""Storage cost per pallet / week"")*('cost master'!$G:$G&lt;=B528)*(('cost master'!$H:$H&gt;=B528)+ISBLANK('cost master'!$H:$H))),1),0)"),3.9)</f>
        <v>3.9</v>
      </c>
      <c r="I528" s="3">
        <f t="shared" si="4"/>
        <v>7.8</v>
      </c>
      <c r="J528" s="27">
        <f t="shared" si="5"/>
        <v>45763</v>
      </c>
      <c r="K528" s="27">
        <f t="shared" si="6"/>
        <v>45792</v>
      </c>
    </row>
    <row r="529" hidden="1">
      <c r="A529" s="3" t="str">
        <f t="shared" si="3"/>
        <v>SL-20250421-Vglobal-CS 007-12</v>
      </c>
      <c r="B529" s="2">
        <f t="array" ref="B529">INDEX(helper!$A$3:$A3996,ROUNDUP((ROW()-1)/COUNTA(helper!$D$3:$D3996),0))</f>
        <v>45768</v>
      </c>
      <c r="C529" s="5" t="str">
        <f t="array" ref="C529">IF(B529="","",INDEX(helper!$D$3:$D3996,MOD(ROW()-2,COUNTA(helper!$D$3:$D3996))+1))</f>
        <v>Vglobal</v>
      </c>
      <c r="D529" s="3" t="str">
        <f t="array" ref="D529">IF(B529="","",INDEX(helper!$E$3:$E3996,MOD(ROW()-2,COUNTA(helper!$D$3:$D3996))+1))</f>
        <v>CS 007</v>
      </c>
      <c r="E529" s="3">
        <f t="array" ref="E529">IF(B529="","",INDEX(helper!$F$3:$F3996,MOD(ROW()-2,COUNTA(helper!$D$3:$D3996))+1))</f>
        <v>12</v>
      </c>
      <c r="F529" s="3">
        <f>IF(B529="","",SUMIFS('inventory ledger'!$H:$H,'inventory ledger'!$C:$C,C529,'inventory ledger'!$D:$D,D529,'inventory ledger'!$E:$E,E529,'inventory ledger'!$A:$A,"&lt;="&amp;B529+TIME(23,59,59))-SUMIFS('inventory ledger'!$I:$I,'inventory ledger'!$C:$C,C529,'inventory ledger'!$D:$D,D529,'inventory ledger'!$E:$E,E529,'inventory ledger'!$A:$A,"&lt;="&amp;B529+TIME(23,59,59)))</f>
        <v>0</v>
      </c>
      <c r="G529" s="3">
        <f>IFERROR(__xludf.DUMMYFUNCTION("IF(F529&lt;=0,0,IFERROR(ROUNDUP(F529/INDEX(FILTER('warehouse config'!$D:$D,('warehouse config'!$B:$B=C529)*('warehouse config'!$C:$C=D529)*('warehouse config'!$G:$G&lt;=B529)*(('warehouse config'!$H:$H&gt;=B529)+ISBLANK('warehouse config'!$H:$H))),1)),0))"),0.0)</f>
        <v>0</v>
      </c>
      <c r="H529" s="3">
        <f>IFERROR(__xludf.DUMMYFUNCTION("IFERROR(INDEX(FILTER('cost master'!$E:$E,('cost master'!$B:$B=C529)*('cost master'!$D:$D=""Storage cost per pallet / week"")*('cost master'!$G:$G&lt;=B529)*(('cost master'!$H:$H&gt;=B529)+ISBLANK('cost master'!$H:$H))),1),0)"),2.6)</f>
        <v>2.6</v>
      </c>
      <c r="I529" s="3">
        <f t="shared" si="4"/>
        <v>0</v>
      </c>
      <c r="J529" s="27">
        <f t="shared" si="5"/>
        <v>45763</v>
      </c>
      <c r="K529" s="27">
        <f t="shared" si="6"/>
        <v>45792</v>
      </c>
    </row>
    <row r="530" hidden="1">
      <c r="A530" s="3" t="str">
        <f t="shared" si="3"/>
        <v>SL-20250421-Vglobal-CS 011-12</v>
      </c>
      <c r="B530" s="2">
        <f t="array" ref="B530">INDEX(helper!$A$3:$A3996,ROUNDUP((ROW()-1)/COUNTA(helper!$D$3:$D3996),0))</f>
        <v>45768</v>
      </c>
      <c r="C530" s="5" t="str">
        <f t="array" ref="C530">IF(B530="","",INDEX(helper!$D$3:$D3996,MOD(ROW()-2,COUNTA(helper!$D$3:$D3996))+1))</f>
        <v>Vglobal</v>
      </c>
      <c r="D530" s="3" t="str">
        <f t="array" ref="D530">IF(B530="","",INDEX(helper!$E$3:$E3996,MOD(ROW()-2,COUNTA(helper!$D$3:$D3996))+1))</f>
        <v>CS 011</v>
      </c>
      <c r="E530" s="3">
        <f t="array" ref="E530">IF(B530="","",INDEX(helper!$F$3:$F3996,MOD(ROW()-2,COUNTA(helper!$D$3:$D3996))+1))</f>
        <v>12</v>
      </c>
      <c r="F530" s="3">
        <f>IF(B530="","",SUMIFS('inventory ledger'!$H:$H,'inventory ledger'!$C:$C,C530,'inventory ledger'!$D:$D,D530,'inventory ledger'!$E:$E,E530,'inventory ledger'!$A:$A,"&lt;="&amp;B530+TIME(23,59,59))-SUMIFS('inventory ledger'!$I:$I,'inventory ledger'!$C:$C,C530,'inventory ledger'!$D:$D,D530,'inventory ledger'!$E:$E,E530,'inventory ledger'!$A:$A,"&lt;="&amp;B530+TIME(23,59,59)))</f>
        <v>0</v>
      </c>
      <c r="G530" s="3">
        <f>IFERROR(__xludf.DUMMYFUNCTION("IF(F530&lt;=0,0,IFERROR(ROUNDUP(F530/INDEX(FILTER('warehouse config'!$D:$D,('warehouse config'!$B:$B=C530)*('warehouse config'!$C:$C=D530)*('warehouse config'!$G:$G&lt;=B530)*(('warehouse config'!$H:$H&gt;=B530)+ISBLANK('warehouse config'!$H:$H))),1)),0))"),0.0)</f>
        <v>0</v>
      </c>
      <c r="H530" s="3">
        <f>IFERROR(__xludf.DUMMYFUNCTION("IFERROR(INDEX(FILTER('cost master'!$E:$E,('cost master'!$B:$B=C530)*('cost master'!$D:$D=""Storage cost per pallet / week"")*('cost master'!$G:$G&lt;=B530)*(('cost master'!$H:$H&gt;=B530)+ISBLANK('cost master'!$H:$H))),1),0)"),2.6)</f>
        <v>2.6</v>
      </c>
      <c r="I530" s="3">
        <f t="shared" si="4"/>
        <v>0</v>
      </c>
      <c r="J530" s="27">
        <f t="shared" si="5"/>
        <v>45763</v>
      </c>
      <c r="K530" s="27">
        <f t="shared" si="6"/>
        <v>45792</v>
      </c>
    </row>
    <row r="531" hidden="1">
      <c r="A531" s="3" t="str">
        <f t="shared" si="3"/>
        <v>SL-20250421-Vglobal-CS 008-12</v>
      </c>
      <c r="B531" s="2">
        <f t="array" ref="B531">INDEX(helper!$A$3:$A3996,ROUNDUP((ROW()-1)/COUNTA(helper!$D$3:$D3996),0))</f>
        <v>45768</v>
      </c>
      <c r="C531" s="5" t="str">
        <f t="array" ref="C531">IF(B531="","",INDEX(helper!$D$3:$D3996,MOD(ROW()-2,COUNTA(helper!$D$3:$D3996))+1))</f>
        <v>Vglobal</v>
      </c>
      <c r="D531" s="3" t="str">
        <f t="array" ref="D531">IF(B531="","",INDEX(helper!$E$3:$E3996,MOD(ROW()-2,COUNTA(helper!$D$3:$D3996))+1))</f>
        <v>CS 008</v>
      </c>
      <c r="E531" s="3">
        <f t="array" ref="E531">IF(B531="","",INDEX(helper!$F$3:$F3996,MOD(ROW()-2,COUNTA(helper!$D$3:$D3996))+1))</f>
        <v>12</v>
      </c>
      <c r="F531" s="3">
        <f>IF(B531="","",SUMIFS('inventory ledger'!$H:$H,'inventory ledger'!$C:$C,C531,'inventory ledger'!$D:$D,D531,'inventory ledger'!$E:$E,E531,'inventory ledger'!$A:$A,"&lt;="&amp;B531+TIME(23,59,59))-SUMIFS('inventory ledger'!$I:$I,'inventory ledger'!$C:$C,C531,'inventory ledger'!$D:$D,D531,'inventory ledger'!$E:$E,E531,'inventory ledger'!$A:$A,"&lt;="&amp;B531+TIME(23,59,59)))</f>
        <v>0</v>
      </c>
      <c r="G531" s="3">
        <f>IFERROR(__xludf.DUMMYFUNCTION("IF(F531&lt;=0,0,IFERROR(ROUNDUP(F531/INDEX(FILTER('warehouse config'!$D:$D,('warehouse config'!$B:$B=C531)*('warehouse config'!$C:$C=D531)*('warehouse config'!$G:$G&lt;=B531)*(('warehouse config'!$H:$H&gt;=B531)+ISBLANK('warehouse config'!$H:$H))),1)),0))"),0.0)</f>
        <v>0</v>
      </c>
      <c r="H531" s="3">
        <f>IFERROR(__xludf.DUMMYFUNCTION("IFERROR(INDEX(FILTER('cost master'!$E:$E,('cost master'!$B:$B=C531)*('cost master'!$D:$D=""Storage cost per pallet / week"")*('cost master'!$G:$G&lt;=B531)*(('cost master'!$H:$H&gt;=B531)+ISBLANK('cost master'!$H:$H))),1),0)"),2.6)</f>
        <v>2.6</v>
      </c>
      <c r="I531" s="3">
        <f t="shared" si="4"/>
        <v>0</v>
      </c>
      <c r="J531" s="27">
        <f t="shared" si="5"/>
        <v>45763</v>
      </c>
      <c r="K531" s="27">
        <f t="shared" si="6"/>
        <v>45792</v>
      </c>
    </row>
    <row r="532" hidden="1">
      <c r="A532" s="3" t="str">
        <f t="shared" si="3"/>
        <v>SL-20250421-Vglobal-CS 010-12</v>
      </c>
      <c r="B532" s="2">
        <f t="array" ref="B532">INDEX(helper!$A$3:$A3996,ROUNDUP((ROW()-1)/COUNTA(helper!$D$3:$D3996),0))</f>
        <v>45768</v>
      </c>
      <c r="C532" s="5" t="str">
        <f t="array" ref="C532">IF(B532="","",INDEX(helper!$D$3:$D3996,MOD(ROW()-2,COUNTA(helper!$D$3:$D3996))+1))</f>
        <v>Vglobal</v>
      </c>
      <c r="D532" s="3" t="str">
        <f t="array" ref="D532">IF(B532="","",INDEX(helper!$E$3:$E3996,MOD(ROW()-2,COUNTA(helper!$D$3:$D3996))+1))</f>
        <v>CS 010</v>
      </c>
      <c r="E532" s="3">
        <f t="array" ref="E532">IF(B532="","",INDEX(helper!$F$3:$F3996,MOD(ROW()-2,COUNTA(helper!$D$3:$D3996))+1))</f>
        <v>12</v>
      </c>
      <c r="F532" s="3">
        <f>IF(B532="","",SUMIFS('inventory ledger'!$H:$H,'inventory ledger'!$C:$C,C532,'inventory ledger'!$D:$D,D532,'inventory ledger'!$E:$E,E532,'inventory ledger'!$A:$A,"&lt;="&amp;B532+TIME(23,59,59))-SUMIFS('inventory ledger'!$I:$I,'inventory ledger'!$C:$C,C532,'inventory ledger'!$D:$D,D532,'inventory ledger'!$E:$E,E532,'inventory ledger'!$A:$A,"&lt;="&amp;B532+TIME(23,59,59)))</f>
        <v>70</v>
      </c>
      <c r="G532" s="3">
        <f>IFERROR(__xludf.DUMMYFUNCTION("IF(F532&lt;=0,0,IFERROR(ROUNDUP(F532/INDEX(FILTER('warehouse config'!$D:$D,('warehouse config'!$B:$B=C532)*('warehouse config'!$C:$C=D532)*('warehouse config'!$G:$G&lt;=B532)*(('warehouse config'!$H:$H&gt;=B532)+ISBLANK('warehouse config'!$H:$H))),1)),0))"),3.0)</f>
        <v>3</v>
      </c>
      <c r="H532" s="3">
        <f>IFERROR(__xludf.DUMMYFUNCTION("IFERROR(INDEX(FILTER('cost master'!$E:$E,('cost master'!$B:$B=C532)*('cost master'!$D:$D=""Storage cost per pallet / week"")*('cost master'!$G:$G&lt;=B532)*(('cost master'!$H:$H&gt;=B532)+ISBLANK('cost master'!$H:$H))),1),0)"),2.6)</f>
        <v>2.6</v>
      </c>
      <c r="I532" s="3">
        <f t="shared" si="4"/>
        <v>7.8</v>
      </c>
      <c r="J532" s="27">
        <f t="shared" si="5"/>
        <v>45763</v>
      </c>
      <c r="K532" s="27">
        <f t="shared" si="6"/>
        <v>45792</v>
      </c>
    </row>
    <row r="533" hidden="1">
      <c r="A533" s="3" t="str">
        <f t="shared" si="3"/>
        <v>SL-20250421-Vglobal-CS 009-12</v>
      </c>
      <c r="B533" s="2">
        <f t="array" ref="B533">INDEX(helper!$A$3:$A3996,ROUNDUP((ROW()-1)/COUNTA(helper!$D$3:$D3996),0))</f>
        <v>45768</v>
      </c>
      <c r="C533" s="5" t="str">
        <f t="array" ref="C533">IF(B533="","",INDEX(helper!$D$3:$D3996,MOD(ROW()-2,COUNTA(helper!$D$3:$D3996))+1))</f>
        <v>Vglobal</v>
      </c>
      <c r="D533" s="3" t="str">
        <f t="array" ref="D533">IF(B533="","",INDEX(helper!$E$3:$E3996,MOD(ROW()-2,COUNTA(helper!$D$3:$D3996))+1))</f>
        <v>CS 009</v>
      </c>
      <c r="E533" s="3">
        <f t="array" ref="E533">IF(B533="","",INDEX(helper!$F$3:$F3996,MOD(ROW()-2,COUNTA(helper!$D$3:$D3996))+1))</f>
        <v>12</v>
      </c>
      <c r="F533" s="3">
        <f>IF(B533="","",SUMIFS('inventory ledger'!$H:$H,'inventory ledger'!$C:$C,C533,'inventory ledger'!$D:$D,D533,'inventory ledger'!$E:$E,E533,'inventory ledger'!$A:$A,"&lt;="&amp;B533+TIME(23,59,59))-SUMIFS('inventory ledger'!$I:$I,'inventory ledger'!$C:$C,C533,'inventory ledger'!$D:$D,D533,'inventory ledger'!$E:$E,E533,'inventory ledger'!$A:$A,"&lt;="&amp;B533+TIME(23,59,59)))</f>
        <v>0</v>
      </c>
      <c r="G533" s="3">
        <f>IFERROR(__xludf.DUMMYFUNCTION("IF(F533&lt;=0,0,IFERROR(ROUNDUP(F533/INDEX(FILTER('warehouse config'!$D:$D,('warehouse config'!$B:$B=C533)*('warehouse config'!$C:$C=D533)*('warehouse config'!$G:$G&lt;=B533)*(('warehouse config'!$H:$H&gt;=B533)+ISBLANK('warehouse config'!$H:$H))),1)),0))"),0.0)</f>
        <v>0</v>
      </c>
      <c r="H533" s="3">
        <f>IFERROR(__xludf.DUMMYFUNCTION("IFERROR(INDEX(FILTER('cost master'!$E:$E,('cost master'!$B:$B=C533)*('cost master'!$D:$D=""Storage cost per pallet / week"")*('cost master'!$G:$G&lt;=B533)*(('cost master'!$H:$H&gt;=B533)+ISBLANK('cost master'!$H:$H))),1),0)"),2.6)</f>
        <v>2.6</v>
      </c>
      <c r="I533" s="3">
        <f t="shared" si="4"/>
        <v>0</v>
      </c>
      <c r="J533" s="27">
        <f t="shared" si="5"/>
        <v>45763</v>
      </c>
      <c r="K533" s="27">
        <f t="shared" si="6"/>
        <v>45792</v>
      </c>
    </row>
    <row r="534" hidden="1">
      <c r="A534" s="3" t="str">
        <f t="shared" si="3"/>
        <v>SL-20250421-Vglobal-CS 012-12</v>
      </c>
      <c r="B534" s="2">
        <f t="array" ref="B534">INDEX(helper!$A$3:$A3996,ROUNDUP((ROW()-1)/COUNTA(helper!$D$3:$D3996),0))</f>
        <v>45768</v>
      </c>
      <c r="C534" s="5" t="str">
        <f t="array" ref="C534">IF(B534="","",INDEX(helper!$D$3:$D3996,MOD(ROW()-2,COUNTA(helper!$D$3:$D3996))+1))</f>
        <v>Vglobal</v>
      </c>
      <c r="D534" s="3" t="str">
        <f t="array" ref="D534">IF(B534="","",INDEX(helper!$E$3:$E3996,MOD(ROW()-2,COUNTA(helper!$D$3:$D3996))+1))</f>
        <v>CS 012</v>
      </c>
      <c r="E534" s="3">
        <f t="array" ref="E534">IF(B534="","",INDEX(helper!$F$3:$F3996,MOD(ROW()-2,COUNTA(helper!$D$3:$D3996))+1))</f>
        <v>12</v>
      </c>
      <c r="F534" s="3">
        <f>IF(B534="","",SUMIFS('inventory ledger'!$H:$H,'inventory ledger'!$C:$C,C534,'inventory ledger'!$D:$D,D534,'inventory ledger'!$E:$E,E534,'inventory ledger'!$A:$A,"&lt;="&amp;B534+TIME(23,59,59))-SUMIFS('inventory ledger'!$I:$I,'inventory ledger'!$C:$C,C534,'inventory ledger'!$D:$D,D534,'inventory ledger'!$E:$E,E534,'inventory ledger'!$A:$A,"&lt;="&amp;B534+TIME(23,59,59)))</f>
        <v>0</v>
      </c>
      <c r="G534" s="3">
        <f>IFERROR(__xludf.DUMMYFUNCTION("IF(F534&lt;=0,0,IFERROR(ROUNDUP(F534/INDEX(FILTER('warehouse config'!$D:$D,('warehouse config'!$B:$B=C534)*('warehouse config'!$C:$C=D534)*('warehouse config'!$G:$G&lt;=B534)*(('warehouse config'!$H:$H&gt;=B534)+ISBLANK('warehouse config'!$H:$H))),1)),0))"),0.0)</f>
        <v>0</v>
      </c>
      <c r="H534" s="3">
        <f>IFERROR(__xludf.DUMMYFUNCTION("IFERROR(INDEX(FILTER('cost master'!$E:$E,('cost master'!$B:$B=C534)*('cost master'!$D:$D=""Storage cost per pallet / week"")*('cost master'!$G:$G&lt;=B534)*(('cost master'!$H:$H&gt;=B534)+ISBLANK('cost master'!$H:$H))),1),0)"),2.6)</f>
        <v>2.6</v>
      </c>
      <c r="I534" s="3">
        <f t="shared" si="4"/>
        <v>0</v>
      </c>
      <c r="J534" s="27">
        <f t="shared" si="5"/>
        <v>45763</v>
      </c>
      <c r="K534" s="27">
        <f t="shared" si="6"/>
        <v>45792</v>
      </c>
    </row>
    <row r="535" hidden="1">
      <c r="A535" s="3" t="str">
        <f t="shared" si="3"/>
        <v>SL-20250421-Vglobal-CS-CDS-001-3</v>
      </c>
      <c r="B535" s="2">
        <f t="array" ref="B535">INDEX(helper!$A$3:$A3996,ROUNDUP((ROW()-1)/COUNTA(helper!$D$3:$D3996),0))</f>
        <v>45768</v>
      </c>
      <c r="C535" s="5" t="str">
        <f t="array" ref="C535">IF(B535="","",INDEX(helper!$D$3:$D3996,MOD(ROW()-2,COUNTA(helper!$D$3:$D3996))+1))</f>
        <v>Vglobal</v>
      </c>
      <c r="D535" s="3" t="str">
        <f t="array" ref="D535">IF(B535="","",INDEX(helper!$E$3:$E3996,MOD(ROW()-2,COUNTA(helper!$D$3:$D3996))+1))</f>
        <v>CS-CDS-001</v>
      </c>
      <c r="E535" s="3">
        <f t="array" ref="E535">IF(B535="","",INDEX(helper!$F$3:$F3996,MOD(ROW()-2,COUNTA(helper!$D$3:$D3996))+1))</f>
        <v>3</v>
      </c>
      <c r="F535" s="3">
        <f>IF(B535="","",SUMIFS('inventory ledger'!$H:$H,'inventory ledger'!$C:$C,C535,'inventory ledger'!$D:$D,D535,'inventory ledger'!$E:$E,E535,'inventory ledger'!$A:$A,"&lt;="&amp;B535+TIME(23,59,59))-SUMIFS('inventory ledger'!$I:$I,'inventory ledger'!$C:$C,C535,'inventory ledger'!$D:$D,D535,'inventory ledger'!$E:$E,E535,'inventory ledger'!$A:$A,"&lt;="&amp;B535+TIME(23,59,59)))</f>
        <v>1</v>
      </c>
      <c r="G535" s="3">
        <f>IFERROR(__xludf.DUMMYFUNCTION("IF(F535&lt;=0,0,IFERROR(ROUNDUP(F535/INDEX(FILTER('warehouse config'!$D:$D,('warehouse config'!$B:$B=C535)*('warehouse config'!$C:$C=D535)*('warehouse config'!$G:$G&lt;=B535)*(('warehouse config'!$H:$H&gt;=B535)+ISBLANK('warehouse config'!$H:$H))),1)),0))"),1.0)</f>
        <v>1</v>
      </c>
      <c r="H535" s="3">
        <f>IFERROR(__xludf.DUMMYFUNCTION("IFERROR(INDEX(FILTER('cost master'!$E:$E,('cost master'!$B:$B=C535)*('cost master'!$D:$D=""Storage cost per pallet / week"")*('cost master'!$G:$G&lt;=B535)*(('cost master'!$H:$H&gt;=B535)+ISBLANK('cost master'!$H:$H))),1),0)"),2.6)</f>
        <v>2.6</v>
      </c>
      <c r="I535" s="3">
        <f t="shared" si="4"/>
        <v>2.6</v>
      </c>
      <c r="J535" s="27">
        <f t="shared" si="5"/>
        <v>45763</v>
      </c>
      <c r="K535" s="27">
        <f t="shared" si="6"/>
        <v>45792</v>
      </c>
    </row>
    <row r="536" hidden="1">
      <c r="A536" s="3" t="str">
        <f t="shared" si="3"/>
        <v>SL-20250421-Vglobal-CS-CDS-002-3</v>
      </c>
      <c r="B536" s="2">
        <f t="array" ref="B536">INDEX(helper!$A$3:$A3996,ROUNDUP((ROW()-1)/COUNTA(helper!$D$3:$D3996),0))</f>
        <v>45768</v>
      </c>
      <c r="C536" s="5" t="str">
        <f t="array" ref="C536">IF(B536="","",INDEX(helper!$D$3:$D3996,MOD(ROW()-2,COUNTA(helper!$D$3:$D3996))+1))</f>
        <v>Vglobal</v>
      </c>
      <c r="D536" s="3" t="str">
        <f t="array" ref="D536">IF(B536="","",INDEX(helper!$E$3:$E3996,MOD(ROW()-2,COUNTA(helper!$D$3:$D3996))+1))</f>
        <v>CS-CDS-002</v>
      </c>
      <c r="E536" s="3">
        <f t="array" ref="E536">IF(B536="","",INDEX(helper!$F$3:$F3996,MOD(ROW()-2,COUNTA(helper!$D$3:$D3996))+1))</f>
        <v>3</v>
      </c>
      <c r="F536" s="3">
        <f>IF(B536="","",SUMIFS('inventory ledger'!$H:$H,'inventory ledger'!$C:$C,C536,'inventory ledger'!$D:$D,D536,'inventory ledger'!$E:$E,E536,'inventory ledger'!$A:$A,"&lt;="&amp;B536+TIME(23,59,59))-SUMIFS('inventory ledger'!$I:$I,'inventory ledger'!$C:$C,C536,'inventory ledger'!$D:$D,D536,'inventory ledger'!$E:$E,E536,'inventory ledger'!$A:$A,"&lt;="&amp;B536+TIME(23,59,59)))</f>
        <v>0</v>
      </c>
      <c r="G536" s="3">
        <f>IFERROR(__xludf.DUMMYFUNCTION("IF(F536&lt;=0,0,IFERROR(ROUNDUP(F536/INDEX(FILTER('warehouse config'!$D:$D,('warehouse config'!$B:$B=C536)*('warehouse config'!$C:$C=D536)*('warehouse config'!$G:$G&lt;=B536)*(('warehouse config'!$H:$H&gt;=B536)+ISBLANK('warehouse config'!$H:$H))),1)),0))"),0.0)</f>
        <v>0</v>
      </c>
      <c r="H536" s="3">
        <f>IFERROR(__xludf.DUMMYFUNCTION("IFERROR(INDEX(FILTER('cost master'!$E:$E,('cost master'!$B:$B=C536)*('cost master'!$D:$D=""Storage cost per pallet / week"")*('cost master'!$G:$G&lt;=B536)*(('cost master'!$H:$H&gt;=B536)+ISBLANK('cost master'!$H:$H))),1),0)"),2.6)</f>
        <v>2.6</v>
      </c>
      <c r="I536" s="3">
        <f t="shared" si="4"/>
        <v>0</v>
      </c>
      <c r="J536" s="27">
        <f t="shared" si="5"/>
        <v>45763</v>
      </c>
      <c r="K536" s="27">
        <f t="shared" si="6"/>
        <v>45792</v>
      </c>
    </row>
    <row r="537" hidden="1">
      <c r="A537" s="3" t="str">
        <f t="shared" si="3"/>
        <v>SL-20250421-4as-CS-CDS-001-4</v>
      </c>
      <c r="B537" s="2">
        <f t="array" ref="B537">INDEX(helper!$A$3:$A3996,ROUNDUP((ROW()-1)/COUNTA(helper!$D$3:$D3996),0))</f>
        <v>45768</v>
      </c>
      <c r="C537" s="5" t="str">
        <f t="array" ref="C537">IF(B537="","",INDEX(helper!$D$3:$D3996,MOD(ROW()-2,COUNTA(helper!$D$3:$D3996))+1))</f>
        <v>4as</v>
      </c>
      <c r="D537" s="3" t="str">
        <f t="array" ref="D537">IF(B537="","",INDEX(helper!$E$3:$E3996,MOD(ROW()-2,COUNTA(helper!$D$3:$D3996))+1))</f>
        <v>CS-CDS-001</v>
      </c>
      <c r="E537" s="3">
        <f t="array" ref="E537">IF(B537="","",INDEX(helper!$F$3:$F3996,MOD(ROW()-2,COUNTA(helper!$D$3:$D3996))+1))</f>
        <v>4</v>
      </c>
      <c r="F537" s="3">
        <f>IF(B537="","",SUMIFS('inventory ledger'!$H:$H,'inventory ledger'!$C:$C,C537,'inventory ledger'!$D:$D,D537,'inventory ledger'!$E:$E,E537,'inventory ledger'!$A:$A,"&lt;="&amp;B537+TIME(23,59,59))-SUMIFS('inventory ledger'!$I:$I,'inventory ledger'!$C:$C,C537,'inventory ledger'!$D:$D,D537,'inventory ledger'!$E:$E,E537,'inventory ledger'!$A:$A,"&lt;="&amp;B537+TIME(23,59,59)))</f>
        <v>28</v>
      </c>
      <c r="G537" s="3">
        <f>IFERROR(__xludf.DUMMYFUNCTION("IF(F537&lt;=0,0,IFERROR(ROUNDUP(F537/INDEX(FILTER('warehouse config'!$D:$D,('warehouse config'!$B:$B=C537)*('warehouse config'!$C:$C=D537)*('warehouse config'!$G:$G&lt;=B537)*(('warehouse config'!$H:$H&gt;=B537)+ISBLANK('warehouse config'!$H:$H))),1)),0))"),2.0)</f>
        <v>2</v>
      </c>
      <c r="H537" s="3">
        <f>IFERROR(__xludf.DUMMYFUNCTION("IFERROR(INDEX(FILTER('cost master'!$E:$E,('cost master'!$B:$B=C537)*('cost master'!$D:$D=""Storage cost per pallet / week"")*('cost master'!$G:$G&lt;=B537)*(('cost master'!$H:$H&gt;=B537)+ISBLANK('cost master'!$H:$H))),1),0)"),9.0)</f>
        <v>9</v>
      </c>
      <c r="I537" s="3">
        <f t="shared" si="4"/>
        <v>18</v>
      </c>
      <c r="J537" s="27">
        <f t="shared" si="5"/>
        <v>45763</v>
      </c>
      <c r="K537" s="27">
        <f t="shared" si="6"/>
        <v>45792</v>
      </c>
    </row>
    <row r="538" hidden="1">
      <c r="A538" s="3" t="str">
        <f t="shared" si="3"/>
        <v>SL-20250421-4as-CS-CDS-002-4</v>
      </c>
      <c r="B538" s="2">
        <f t="array" ref="B538">INDEX(helper!$A$3:$A3996,ROUNDUP((ROW()-1)/COUNTA(helper!$D$3:$D3996),0))</f>
        <v>45768</v>
      </c>
      <c r="C538" s="5" t="str">
        <f t="array" ref="C538">IF(B538="","",INDEX(helper!$D$3:$D3996,MOD(ROW()-2,COUNTA(helper!$D$3:$D3996))+1))</f>
        <v>4as</v>
      </c>
      <c r="D538" s="3" t="str">
        <f t="array" ref="D538">IF(B538="","",INDEX(helper!$E$3:$E3996,MOD(ROW()-2,COUNTA(helper!$D$3:$D3996))+1))</f>
        <v>CS-CDS-002</v>
      </c>
      <c r="E538" s="3">
        <f t="array" ref="E538">IF(B538="","",INDEX(helper!$F$3:$F3996,MOD(ROW()-2,COUNTA(helper!$D$3:$D3996))+1))</f>
        <v>4</v>
      </c>
      <c r="F538" s="3">
        <f>IF(B538="","",SUMIFS('inventory ledger'!$H:$H,'inventory ledger'!$C:$C,C538,'inventory ledger'!$D:$D,D538,'inventory ledger'!$E:$E,E538,'inventory ledger'!$A:$A,"&lt;="&amp;B538+TIME(23,59,59))-SUMIFS('inventory ledger'!$I:$I,'inventory ledger'!$C:$C,C538,'inventory ledger'!$D:$D,D538,'inventory ledger'!$E:$E,E538,'inventory ledger'!$A:$A,"&lt;="&amp;B538+TIME(23,59,59)))</f>
        <v>0</v>
      </c>
      <c r="G538" s="3">
        <f>IFERROR(__xludf.DUMMYFUNCTION("IF(F538&lt;=0,0,IFERROR(ROUNDUP(F538/INDEX(FILTER('warehouse config'!$D:$D,('warehouse config'!$B:$B=C538)*('warehouse config'!$C:$C=D538)*('warehouse config'!$G:$G&lt;=B538)*(('warehouse config'!$H:$H&gt;=B538)+ISBLANK('warehouse config'!$H:$H))),1)),0))"),0.0)</f>
        <v>0</v>
      </c>
      <c r="H538" s="3">
        <f>IFERROR(__xludf.DUMMYFUNCTION("IFERROR(INDEX(FILTER('cost master'!$E:$E,('cost master'!$B:$B=C538)*('cost master'!$D:$D=""Storage cost per pallet / week"")*('cost master'!$G:$G&lt;=B538)*(('cost master'!$H:$H&gt;=B538)+ISBLANK('cost master'!$H:$H))),1),0)"),9.0)</f>
        <v>9</v>
      </c>
      <c r="I538" s="3">
        <f t="shared" si="4"/>
        <v>0</v>
      </c>
      <c r="J538" s="27">
        <f t="shared" si="5"/>
        <v>45763</v>
      </c>
      <c r="K538" s="27">
        <f t="shared" si="6"/>
        <v>45792</v>
      </c>
    </row>
    <row r="539" hidden="1">
      <c r="A539" s="3" t="str">
        <f t="shared" si="3"/>
        <v>SL-20250421-Vglobal-CS 007-13</v>
      </c>
      <c r="B539" s="2">
        <f t="array" ref="B539">INDEX(helper!$A$3:$A3996,ROUNDUP((ROW()-1)/COUNTA(helper!$D$3:$D3996),0))</f>
        <v>45768</v>
      </c>
      <c r="C539" s="5" t="str">
        <f t="array" ref="C539">IF(B539="","",INDEX(helper!$D$3:$D3996,MOD(ROW()-2,COUNTA(helper!$D$3:$D3996))+1))</f>
        <v>Vglobal</v>
      </c>
      <c r="D539" s="3" t="str">
        <f t="array" ref="D539">IF(B539="","",INDEX(helper!$E$3:$E3996,MOD(ROW()-2,COUNTA(helper!$D$3:$D3996))+1))</f>
        <v>CS 007</v>
      </c>
      <c r="E539" s="3">
        <f t="array" ref="E539">IF(B539="","",INDEX(helper!$F$3:$F3996,MOD(ROW()-2,COUNTA(helper!$D$3:$D3996))+1))</f>
        <v>13</v>
      </c>
      <c r="F539" s="3">
        <f>IF(B539="","",SUMIFS('inventory ledger'!$H:$H,'inventory ledger'!$C:$C,C539,'inventory ledger'!$D:$D,D539,'inventory ledger'!$E:$E,E539,'inventory ledger'!$A:$A,"&lt;="&amp;B539+TIME(23,59,59))-SUMIFS('inventory ledger'!$I:$I,'inventory ledger'!$C:$C,C539,'inventory ledger'!$D:$D,D539,'inventory ledger'!$E:$E,E539,'inventory ledger'!$A:$A,"&lt;="&amp;B539+TIME(23,59,59)))</f>
        <v>207</v>
      </c>
      <c r="G539" s="3">
        <f>IFERROR(__xludf.DUMMYFUNCTION("IF(F539&lt;=0,0,IFERROR(ROUNDUP(F539/INDEX(FILTER('warehouse config'!$D:$D,('warehouse config'!$B:$B=C539)*('warehouse config'!$C:$C=D539)*('warehouse config'!$G:$G&lt;=B539)*(('warehouse config'!$H:$H&gt;=B539)+ISBLANK('warehouse config'!$H:$H))),1)),0))"),13.0)</f>
        <v>13</v>
      </c>
      <c r="H539" s="3">
        <f>IFERROR(__xludf.DUMMYFUNCTION("IFERROR(INDEX(FILTER('cost master'!$E:$E,('cost master'!$B:$B=C539)*('cost master'!$D:$D=""Storage cost per pallet / week"")*('cost master'!$G:$G&lt;=B539)*(('cost master'!$H:$H&gt;=B539)+ISBLANK('cost master'!$H:$H))),1),0)"),2.6)</f>
        <v>2.6</v>
      </c>
      <c r="I539" s="3">
        <f t="shared" si="4"/>
        <v>33.8</v>
      </c>
      <c r="J539" s="27">
        <f t="shared" si="5"/>
        <v>45763</v>
      </c>
      <c r="K539" s="27">
        <f t="shared" si="6"/>
        <v>45792</v>
      </c>
    </row>
    <row r="540" hidden="1">
      <c r="A540" s="3" t="str">
        <f t="shared" si="3"/>
        <v>SL-20250421-Vglobal-CS 011-13</v>
      </c>
      <c r="B540" s="2">
        <f t="array" ref="B540">INDEX(helper!$A$3:$A3996,ROUNDUP((ROW()-1)/COUNTA(helper!$D$3:$D3996),0))</f>
        <v>45768</v>
      </c>
      <c r="C540" s="5" t="str">
        <f t="array" ref="C540">IF(B540="","",INDEX(helper!$D$3:$D3996,MOD(ROW()-2,COUNTA(helper!$D$3:$D3996))+1))</f>
        <v>Vglobal</v>
      </c>
      <c r="D540" s="3" t="str">
        <f t="array" ref="D540">IF(B540="","",INDEX(helper!$E$3:$E3996,MOD(ROW()-2,COUNTA(helper!$D$3:$D3996))+1))</f>
        <v>CS 011</v>
      </c>
      <c r="E540" s="3">
        <f t="array" ref="E540">IF(B540="","",INDEX(helper!$F$3:$F3996,MOD(ROW()-2,COUNTA(helper!$D$3:$D3996))+1))</f>
        <v>13</v>
      </c>
      <c r="F540" s="3">
        <f>IF(B540="","",SUMIFS('inventory ledger'!$H:$H,'inventory ledger'!$C:$C,C540,'inventory ledger'!$D:$D,D540,'inventory ledger'!$E:$E,E540,'inventory ledger'!$A:$A,"&lt;="&amp;B540+TIME(23,59,59))-SUMIFS('inventory ledger'!$I:$I,'inventory ledger'!$C:$C,C540,'inventory ledger'!$D:$D,D540,'inventory ledger'!$E:$E,E540,'inventory ledger'!$A:$A,"&lt;="&amp;B540+TIME(23,59,59)))</f>
        <v>64</v>
      </c>
      <c r="G540" s="3">
        <f>IFERROR(__xludf.DUMMYFUNCTION("IF(F540&lt;=0,0,IFERROR(ROUNDUP(F540/INDEX(FILTER('warehouse config'!$D:$D,('warehouse config'!$B:$B=C540)*('warehouse config'!$C:$C=D540)*('warehouse config'!$G:$G&lt;=B540)*(('warehouse config'!$H:$H&gt;=B540)+ISBLANK('warehouse config'!$H:$H))),1)),0))"),4.0)</f>
        <v>4</v>
      </c>
      <c r="H540" s="3">
        <f>IFERROR(__xludf.DUMMYFUNCTION("IFERROR(INDEX(FILTER('cost master'!$E:$E,('cost master'!$B:$B=C540)*('cost master'!$D:$D=""Storage cost per pallet / week"")*('cost master'!$G:$G&lt;=B540)*(('cost master'!$H:$H&gt;=B540)+ISBLANK('cost master'!$H:$H))),1),0)"),2.6)</f>
        <v>2.6</v>
      </c>
      <c r="I540" s="3">
        <f t="shared" si="4"/>
        <v>10.4</v>
      </c>
      <c r="J540" s="27">
        <f t="shared" si="5"/>
        <v>45763</v>
      </c>
      <c r="K540" s="27">
        <f t="shared" si="6"/>
        <v>45792</v>
      </c>
    </row>
    <row r="541" hidden="1">
      <c r="A541" s="3" t="str">
        <f t="shared" si="3"/>
        <v>SL-20250421-Vglobal-CS 008-13</v>
      </c>
      <c r="B541" s="2">
        <f t="array" ref="B541">INDEX(helper!$A$3:$A3996,ROUNDUP((ROW()-1)/COUNTA(helper!$D$3:$D3996),0))</f>
        <v>45768</v>
      </c>
      <c r="C541" s="5" t="str">
        <f t="array" ref="C541">IF(B541="","",INDEX(helper!$D$3:$D3996,MOD(ROW()-2,COUNTA(helper!$D$3:$D3996))+1))</f>
        <v>Vglobal</v>
      </c>
      <c r="D541" s="3" t="str">
        <f t="array" ref="D541">IF(B541="","",INDEX(helper!$E$3:$E3996,MOD(ROW()-2,COUNTA(helper!$D$3:$D3996))+1))</f>
        <v>CS 008</v>
      </c>
      <c r="E541" s="3">
        <f t="array" ref="E541">IF(B541="","",INDEX(helper!$F$3:$F3996,MOD(ROW()-2,COUNTA(helper!$D$3:$D3996))+1))</f>
        <v>13</v>
      </c>
      <c r="F541" s="3">
        <f>IF(B541="","",SUMIFS('inventory ledger'!$H:$H,'inventory ledger'!$C:$C,C541,'inventory ledger'!$D:$D,D541,'inventory ledger'!$E:$E,E541,'inventory ledger'!$A:$A,"&lt;="&amp;B541+TIME(23,59,59))-SUMIFS('inventory ledger'!$I:$I,'inventory ledger'!$C:$C,C541,'inventory ledger'!$D:$D,D541,'inventory ledger'!$E:$E,E541,'inventory ledger'!$A:$A,"&lt;="&amp;B541+TIME(23,59,59)))</f>
        <v>20</v>
      </c>
      <c r="G541" s="3">
        <f>IFERROR(__xludf.DUMMYFUNCTION("IF(F541&lt;=0,0,IFERROR(ROUNDUP(F541/INDEX(FILTER('warehouse config'!$D:$D,('warehouse config'!$B:$B=C541)*('warehouse config'!$C:$C=D541)*('warehouse config'!$G:$G&lt;=B541)*(('warehouse config'!$H:$H&gt;=B541)+ISBLANK('warehouse config'!$H:$H))),1)),0))"),1.0)</f>
        <v>1</v>
      </c>
      <c r="H541" s="3">
        <f>IFERROR(__xludf.DUMMYFUNCTION("IFERROR(INDEX(FILTER('cost master'!$E:$E,('cost master'!$B:$B=C541)*('cost master'!$D:$D=""Storage cost per pallet / week"")*('cost master'!$G:$G&lt;=B541)*(('cost master'!$H:$H&gt;=B541)+ISBLANK('cost master'!$H:$H))),1),0)"),2.6)</f>
        <v>2.6</v>
      </c>
      <c r="I541" s="3">
        <f t="shared" si="4"/>
        <v>2.6</v>
      </c>
      <c r="J541" s="27">
        <f t="shared" si="5"/>
        <v>45763</v>
      </c>
      <c r="K541" s="27">
        <f t="shared" si="6"/>
        <v>45792</v>
      </c>
    </row>
    <row r="542" hidden="1">
      <c r="A542" s="3" t="str">
        <f t="shared" si="3"/>
        <v>SL-20250421-Vglobal-CS 010-13</v>
      </c>
      <c r="B542" s="2">
        <f t="array" ref="B542">INDEX(helper!$A$3:$A3996,ROUNDUP((ROW()-1)/COUNTA(helper!$D$3:$D3996),0))</f>
        <v>45768</v>
      </c>
      <c r="C542" s="5" t="str">
        <f t="array" ref="C542">IF(B542="","",INDEX(helper!$D$3:$D3996,MOD(ROW()-2,COUNTA(helper!$D$3:$D3996))+1))</f>
        <v>Vglobal</v>
      </c>
      <c r="D542" s="3" t="str">
        <f t="array" ref="D542">IF(B542="","",INDEX(helper!$E$3:$E3996,MOD(ROW()-2,COUNTA(helper!$D$3:$D3996))+1))</f>
        <v>CS 010</v>
      </c>
      <c r="E542" s="3">
        <f t="array" ref="E542">IF(B542="","",INDEX(helper!$F$3:$F3996,MOD(ROW()-2,COUNTA(helper!$D$3:$D3996))+1))</f>
        <v>13</v>
      </c>
      <c r="F542" s="3">
        <f>IF(B542="","",SUMIFS('inventory ledger'!$H:$H,'inventory ledger'!$C:$C,C542,'inventory ledger'!$D:$D,D542,'inventory ledger'!$E:$E,E542,'inventory ledger'!$A:$A,"&lt;="&amp;B542+TIME(23,59,59))-SUMIFS('inventory ledger'!$I:$I,'inventory ledger'!$C:$C,C542,'inventory ledger'!$D:$D,D542,'inventory ledger'!$E:$E,E542,'inventory ledger'!$A:$A,"&lt;="&amp;B542+TIME(23,59,59)))</f>
        <v>80</v>
      </c>
      <c r="G542" s="3">
        <f>IFERROR(__xludf.DUMMYFUNCTION("IF(F542&lt;=0,0,IFERROR(ROUNDUP(F542/INDEX(FILTER('warehouse config'!$D:$D,('warehouse config'!$B:$B=C542)*('warehouse config'!$C:$C=D542)*('warehouse config'!$G:$G&lt;=B542)*(('warehouse config'!$H:$H&gt;=B542)+ISBLANK('warehouse config'!$H:$H))),1)),0))"),4.0)</f>
        <v>4</v>
      </c>
      <c r="H542" s="3">
        <f>IFERROR(__xludf.DUMMYFUNCTION("IFERROR(INDEX(FILTER('cost master'!$E:$E,('cost master'!$B:$B=C542)*('cost master'!$D:$D=""Storage cost per pallet / week"")*('cost master'!$G:$G&lt;=B542)*(('cost master'!$H:$H&gt;=B542)+ISBLANK('cost master'!$H:$H))),1),0)"),2.6)</f>
        <v>2.6</v>
      </c>
      <c r="I542" s="3">
        <f t="shared" si="4"/>
        <v>10.4</v>
      </c>
      <c r="J542" s="27">
        <f t="shared" si="5"/>
        <v>45763</v>
      </c>
      <c r="K542" s="27">
        <f t="shared" si="6"/>
        <v>45792</v>
      </c>
    </row>
    <row r="543" hidden="1">
      <c r="A543" s="3" t="str">
        <f t="shared" si="3"/>
        <v>SL-20250421-Vglobal-CS 009-13</v>
      </c>
      <c r="B543" s="2">
        <f t="array" ref="B543">INDEX(helper!$A$3:$A3996,ROUNDUP((ROW()-1)/COUNTA(helper!$D$3:$D3996),0))</f>
        <v>45768</v>
      </c>
      <c r="C543" s="5" t="str">
        <f t="array" ref="C543">IF(B543="","",INDEX(helper!$D$3:$D3996,MOD(ROW()-2,COUNTA(helper!$D$3:$D3996))+1))</f>
        <v>Vglobal</v>
      </c>
      <c r="D543" s="3" t="str">
        <f t="array" ref="D543">IF(B543="","",INDEX(helper!$E$3:$E3996,MOD(ROW()-2,COUNTA(helper!$D$3:$D3996))+1))</f>
        <v>CS 009</v>
      </c>
      <c r="E543" s="3">
        <f t="array" ref="E543">IF(B543="","",INDEX(helper!$F$3:$F3996,MOD(ROW()-2,COUNTA(helper!$D$3:$D3996))+1))</f>
        <v>13</v>
      </c>
      <c r="F543" s="3">
        <f>IF(B543="","",SUMIFS('inventory ledger'!$H:$H,'inventory ledger'!$C:$C,C543,'inventory ledger'!$D:$D,D543,'inventory ledger'!$E:$E,E543,'inventory ledger'!$A:$A,"&lt;="&amp;B543+TIME(23,59,59))-SUMIFS('inventory ledger'!$I:$I,'inventory ledger'!$C:$C,C543,'inventory ledger'!$D:$D,D543,'inventory ledger'!$E:$E,E543,'inventory ledger'!$A:$A,"&lt;="&amp;B543+TIME(23,59,59)))</f>
        <v>0</v>
      </c>
      <c r="G543" s="3">
        <f>IFERROR(__xludf.DUMMYFUNCTION("IF(F543&lt;=0,0,IFERROR(ROUNDUP(F543/INDEX(FILTER('warehouse config'!$D:$D,('warehouse config'!$B:$B=C543)*('warehouse config'!$C:$C=D543)*('warehouse config'!$G:$G&lt;=B543)*(('warehouse config'!$H:$H&gt;=B543)+ISBLANK('warehouse config'!$H:$H))),1)),0))"),0.0)</f>
        <v>0</v>
      </c>
      <c r="H543" s="3">
        <f>IFERROR(__xludf.DUMMYFUNCTION("IFERROR(INDEX(FILTER('cost master'!$E:$E,('cost master'!$B:$B=C543)*('cost master'!$D:$D=""Storage cost per pallet / week"")*('cost master'!$G:$G&lt;=B543)*(('cost master'!$H:$H&gt;=B543)+ISBLANK('cost master'!$H:$H))),1),0)"),2.6)</f>
        <v>2.6</v>
      </c>
      <c r="I543" s="3">
        <f t="shared" si="4"/>
        <v>0</v>
      </c>
      <c r="J543" s="27">
        <f t="shared" si="5"/>
        <v>45763</v>
      </c>
      <c r="K543" s="27">
        <f t="shared" si="6"/>
        <v>45792</v>
      </c>
    </row>
    <row r="544" hidden="1">
      <c r="A544" s="3" t="str">
        <f t="shared" si="3"/>
        <v>SL-20250421-Vglobal-CS 012-13</v>
      </c>
      <c r="B544" s="2">
        <f t="array" ref="B544">INDEX(helper!$A$3:$A3996,ROUNDUP((ROW()-1)/COUNTA(helper!$D$3:$D3996),0))</f>
        <v>45768</v>
      </c>
      <c r="C544" s="5" t="str">
        <f t="array" ref="C544">IF(B544="","",INDEX(helper!$D$3:$D3996,MOD(ROW()-2,COUNTA(helper!$D$3:$D3996))+1))</f>
        <v>Vglobal</v>
      </c>
      <c r="D544" s="3" t="str">
        <f t="array" ref="D544">IF(B544="","",INDEX(helper!$E$3:$E3996,MOD(ROW()-2,COUNTA(helper!$D$3:$D3996))+1))</f>
        <v>CS 012</v>
      </c>
      <c r="E544" s="3">
        <f t="array" ref="E544">IF(B544="","",INDEX(helper!$F$3:$F3996,MOD(ROW()-2,COUNTA(helper!$D$3:$D3996))+1))</f>
        <v>13</v>
      </c>
      <c r="F544" s="3">
        <f>IF(B544="","",SUMIFS('inventory ledger'!$H:$H,'inventory ledger'!$C:$C,C544,'inventory ledger'!$D:$D,D544,'inventory ledger'!$E:$E,E544,'inventory ledger'!$A:$A,"&lt;="&amp;B544+TIME(23,59,59))-SUMIFS('inventory ledger'!$I:$I,'inventory ledger'!$C:$C,C544,'inventory ledger'!$D:$D,D544,'inventory ledger'!$E:$E,E544,'inventory ledger'!$A:$A,"&lt;="&amp;B544+TIME(23,59,59)))</f>
        <v>0</v>
      </c>
      <c r="G544" s="3">
        <f>IFERROR(__xludf.DUMMYFUNCTION("IF(F544&lt;=0,0,IFERROR(ROUNDUP(F544/INDEX(FILTER('warehouse config'!$D:$D,('warehouse config'!$B:$B=C544)*('warehouse config'!$C:$C=D544)*('warehouse config'!$G:$G&lt;=B544)*(('warehouse config'!$H:$H&gt;=B544)+ISBLANK('warehouse config'!$H:$H))),1)),0))"),0.0)</f>
        <v>0</v>
      </c>
      <c r="H544" s="3">
        <f>IFERROR(__xludf.DUMMYFUNCTION("IFERROR(INDEX(FILTER('cost master'!$E:$E,('cost master'!$B:$B=C544)*('cost master'!$D:$D=""Storage cost per pallet / week"")*('cost master'!$G:$G&lt;=B544)*(('cost master'!$H:$H&gt;=B544)+ISBLANK('cost master'!$H:$H))),1),0)"),2.6)</f>
        <v>2.6</v>
      </c>
      <c r="I544" s="3">
        <f t="shared" si="4"/>
        <v>0</v>
      </c>
      <c r="J544" s="27">
        <f t="shared" si="5"/>
        <v>45763</v>
      </c>
      <c r="K544" s="27">
        <f t="shared" si="6"/>
        <v>45792</v>
      </c>
    </row>
    <row r="545" hidden="1">
      <c r="A545" s="3" t="str">
        <f t="shared" si="3"/>
        <v>SL-20250421-FMC-CS 008-11</v>
      </c>
      <c r="B545" s="2">
        <f t="array" ref="B545">INDEX(helper!$A$3:$A3996,ROUNDUP((ROW()-1)/COUNTA(helper!$D$3:$D3996),0))</f>
        <v>45768</v>
      </c>
      <c r="C545" s="5" t="str">
        <f t="array" ref="C545">IF(B545="","",INDEX(helper!$D$3:$D3996,MOD(ROW()-2,COUNTA(helper!$D$3:$D3996))+1))</f>
        <v>FMC</v>
      </c>
      <c r="D545" s="3" t="str">
        <f t="array" ref="D545">IF(B545="","",INDEX(helper!$E$3:$E3996,MOD(ROW()-2,COUNTA(helper!$D$3:$D3996))+1))</f>
        <v>CS 008</v>
      </c>
      <c r="E545" s="3">
        <f t="array" ref="E545">IF(B545="","",INDEX(helper!$F$3:$F3996,MOD(ROW()-2,COUNTA(helper!$D$3:$D3996))+1))</f>
        <v>11</v>
      </c>
      <c r="F545" s="3">
        <f>IF(B545="","",SUMIFS('inventory ledger'!$H:$H,'inventory ledger'!$C:$C,C545,'inventory ledger'!$D:$D,D545,'inventory ledger'!$E:$E,E545,'inventory ledger'!$A:$A,"&lt;="&amp;B545+TIME(23,59,59))-SUMIFS('inventory ledger'!$I:$I,'inventory ledger'!$C:$C,C545,'inventory ledger'!$D:$D,D545,'inventory ledger'!$E:$E,E545,'inventory ledger'!$A:$A,"&lt;="&amp;B545+TIME(23,59,59)))</f>
        <v>0</v>
      </c>
      <c r="G545" s="3">
        <f>IFERROR(__xludf.DUMMYFUNCTION("IF(F545&lt;=0,0,IFERROR(ROUNDUP(F545/INDEX(FILTER('warehouse config'!$D:$D,('warehouse config'!$B:$B=C545)*('warehouse config'!$C:$C=D545)*('warehouse config'!$G:$G&lt;=B545)*(('warehouse config'!$H:$H&gt;=B545)+ISBLANK('warehouse config'!$H:$H))),1)),0))"),0.0)</f>
        <v>0</v>
      </c>
      <c r="H545" s="3">
        <f>IFERROR(__xludf.DUMMYFUNCTION("IFERROR(INDEX(FILTER('cost master'!$E:$E,('cost master'!$B:$B=C545)*('cost master'!$D:$D=""Storage cost per pallet / week"")*('cost master'!$G:$G&lt;=B545)*(('cost master'!$H:$H&gt;=B545)+ISBLANK('cost master'!$H:$H))),1),0)"),3.9)</f>
        <v>3.9</v>
      </c>
      <c r="I545" s="3">
        <f t="shared" si="4"/>
        <v>0</v>
      </c>
      <c r="J545" s="27">
        <f t="shared" si="5"/>
        <v>45763</v>
      </c>
      <c r="K545" s="27">
        <f t="shared" si="6"/>
        <v>45792</v>
      </c>
    </row>
    <row r="546" hidden="1">
      <c r="A546" s="3" t="str">
        <f t="shared" si="3"/>
        <v>SL-20250428-FMC-CS 007-8</v>
      </c>
      <c r="B546" s="2">
        <f t="array" ref="B546">INDEX(helper!$A$3:$A3996,ROUNDUP((ROW()-1)/COUNTA(helper!$D$3:$D3996),0))</f>
        <v>45775</v>
      </c>
      <c r="C546" s="5" t="str">
        <f t="array" ref="C546">IF(B546="","",INDEX(helper!$D$3:$D3996,MOD(ROW()-2,COUNTA(helper!$D$3:$D3996))+1))</f>
        <v>FMC</v>
      </c>
      <c r="D546" s="3" t="str">
        <f t="array" ref="D546">IF(B546="","",INDEX(helper!$E$3:$E3996,MOD(ROW()-2,COUNTA(helper!$D$3:$D3996))+1))</f>
        <v>CS 007</v>
      </c>
      <c r="E546" s="3">
        <f t="array" ref="E546">IF(B546="","",INDEX(helper!$F$3:$F3996,MOD(ROW()-2,COUNTA(helper!$D$3:$D3996))+1))</f>
        <v>8</v>
      </c>
      <c r="F546" s="3">
        <f>IF(B546="","",SUMIFS('inventory ledger'!$H:$H,'inventory ledger'!$C:$C,C546,'inventory ledger'!$D:$D,D546,'inventory ledger'!$E:$E,E546,'inventory ledger'!$A:$A,"&lt;="&amp;B546+TIME(23,59,59))-SUMIFS('inventory ledger'!$I:$I,'inventory ledger'!$C:$C,C546,'inventory ledger'!$D:$D,D546,'inventory ledger'!$E:$E,E546,'inventory ledger'!$A:$A,"&lt;="&amp;B546+TIME(23,59,59)))</f>
        <v>0</v>
      </c>
      <c r="G546" s="3">
        <f>IFERROR(__xludf.DUMMYFUNCTION("IF(F546&lt;=0,0,IFERROR(ROUNDUP(F546/INDEX(FILTER('warehouse config'!$D:$D,('warehouse config'!$B:$B=C546)*('warehouse config'!$C:$C=D546)*('warehouse config'!$G:$G&lt;=B546)*(('warehouse config'!$H:$H&gt;=B546)+ISBLANK('warehouse config'!$H:$H))),1)),0))"),0.0)</f>
        <v>0</v>
      </c>
      <c r="H546" s="3">
        <f>IFERROR(__xludf.DUMMYFUNCTION("IFERROR(INDEX(FILTER('cost master'!$E:$E,('cost master'!$B:$B=C546)*('cost master'!$D:$D=""Storage cost per pallet / week"")*('cost master'!$G:$G&lt;=B546)*(('cost master'!$H:$H&gt;=B546)+ISBLANK('cost master'!$H:$H))),1),0)"),3.9)</f>
        <v>3.9</v>
      </c>
      <c r="I546" s="3">
        <f t="shared" si="4"/>
        <v>0</v>
      </c>
      <c r="J546" s="27">
        <f t="shared" si="5"/>
        <v>45763</v>
      </c>
      <c r="K546" s="27">
        <f t="shared" si="6"/>
        <v>45792</v>
      </c>
    </row>
    <row r="547" hidden="1">
      <c r="A547" s="3" t="str">
        <f t="shared" si="3"/>
        <v>SL-20250428-FMC-CS 008-8</v>
      </c>
      <c r="B547" s="2">
        <f t="array" ref="B547">INDEX(helper!$A$3:$A3996,ROUNDUP((ROW()-1)/COUNTA(helper!$D$3:$D3996),0))</f>
        <v>45775</v>
      </c>
      <c r="C547" s="5" t="str">
        <f t="array" ref="C547">IF(B547="","",INDEX(helper!$D$3:$D3996,MOD(ROW()-2,COUNTA(helper!$D$3:$D3996))+1))</f>
        <v>FMC</v>
      </c>
      <c r="D547" s="3" t="str">
        <f t="array" ref="D547">IF(B547="","",INDEX(helper!$E$3:$E3996,MOD(ROW()-2,COUNTA(helper!$D$3:$D3996))+1))</f>
        <v>CS 008</v>
      </c>
      <c r="E547" s="3">
        <f t="array" ref="E547">IF(B547="","",INDEX(helper!$F$3:$F3996,MOD(ROW()-2,COUNTA(helper!$D$3:$D3996))+1))</f>
        <v>8</v>
      </c>
      <c r="F547" s="3">
        <f>IF(B547="","",SUMIFS('inventory ledger'!$H:$H,'inventory ledger'!$C:$C,C547,'inventory ledger'!$D:$D,D547,'inventory ledger'!$E:$E,E547,'inventory ledger'!$A:$A,"&lt;="&amp;B547+TIME(23,59,59))-SUMIFS('inventory ledger'!$I:$I,'inventory ledger'!$C:$C,C547,'inventory ledger'!$D:$D,D547,'inventory ledger'!$E:$E,E547,'inventory ledger'!$A:$A,"&lt;="&amp;B547+TIME(23,59,59)))</f>
        <v>0</v>
      </c>
      <c r="G547" s="3">
        <f>IFERROR(__xludf.DUMMYFUNCTION("IF(F547&lt;=0,0,IFERROR(ROUNDUP(F547/INDEX(FILTER('warehouse config'!$D:$D,('warehouse config'!$B:$B=C547)*('warehouse config'!$C:$C=D547)*('warehouse config'!$G:$G&lt;=B547)*(('warehouse config'!$H:$H&gt;=B547)+ISBLANK('warehouse config'!$H:$H))),1)),0))"),0.0)</f>
        <v>0</v>
      </c>
      <c r="H547" s="3">
        <f>IFERROR(__xludf.DUMMYFUNCTION("IFERROR(INDEX(FILTER('cost master'!$E:$E,('cost master'!$B:$B=C547)*('cost master'!$D:$D=""Storage cost per pallet / week"")*('cost master'!$G:$G&lt;=B547)*(('cost master'!$H:$H&gt;=B547)+ISBLANK('cost master'!$H:$H))),1),0)"),3.9)</f>
        <v>3.9</v>
      </c>
      <c r="I547" s="3">
        <f t="shared" si="4"/>
        <v>0</v>
      </c>
      <c r="J547" s="27">
        <f t="shared" si="5"/>
        <v>45763</v>
      </c>
      <c r="K547" s="27">
        <f t="shared" si="6"/>
        <v>45792</v>
      </c>
    </row>
    <row r="548" hidden="1">
      <c r="A548" s="3" t="str">
        <f t="shared" si="3"/>
        <v>SL-20250428-FMC-CS 009-8</v>
      </c>
      <c r="B548" s="2">
        <f t="array" ref="B548">INDEX(helper!$A$3:$A3996,ROUNDUP((ROW()-1)/COUNTA(helper!$D$3:$D3996),0))</f>
        <v>45775</v>
      </c>
      <c r="C548" s="5" t="str">
        <f t="array" ref="C548">IF(B548="","",INDEX(helper!$D$3:$D3996,MOD(ROW()-2,COUNTA(helper!$D$3:$D3996))+1))</f>
        <v>FMC</v>
      </c>
      <c r="D548" s="3" t="str">
        <f t="array" ref="D548">IF(B548="","",INDEX(helper!$E$3:$E3996,MOD(ROW()-2,COUNTA(helper!$D$3:$D3996))+1))</f>
        <v>CS 009</v>
      </c>
      <c r="E548" s="3">
        <f t="array" ref="E548">IF(B548="","",INDEX(helper!$F$3:$F3996,MOD(ROW()-2,COUNTA(helper!$D$3:$D3996))+1))</f>
        <v>8</v>
      </c>
      <c r="F548" s="3">
        <f>IF(B548="","",SUMIFS('inventory ledger'!$H:$H,'inventory ledger'!$C:$C,C548,'inventory ledger'!$D:$D,D548,'inventory ledger'!$E:$E,E548,'inventory ledger'!$A:$A,"&lt;="&amp;B548+TIME(23,59,59))-SUMIFS('inventory ledger'!$I:$I,'inventory ledger'!$C:$C,C548,'inventory ledger'!$D:$D,D548,'inventory ledger'!$E:$E,E548,'inventory ledger'!$A:$A,"&lt;="&amp;B548+TIME(23,59,59)))</f>
        <v>0</v>
      </c>
      <c r="G548" s="3">
        <f>IFERROR(__xludf.DUMMYFUNCTION("IF(F548&lt;=0,0,IFERROR(ROUNDUP(F548/INDEX(FILTER('warehouse config'!$D:$D,('warehouse config'!$B:$B=C548)*('warehouse config'!$C:$C=D548)*('warehouse config'!$G:$G&lt;=B548)*(('warehouse config'!$H:$H&gt;=B548)+ISBLANK('warehouse config'!$H:$H))),1)),0))"),0.0)</f>
        <v>0</v>
      </c>
      <c r="H548" s="3">
        <f>IFERROR(__xludf.DUMMYFUNCTION("IFERROR(INDEX(FILTER('cost master'!$E:$E,('cost master'!$B:$B=C548)*('cost master'!$D:$D=""Storage cost per pallet / week"")*('cost master'!$G:$G&lt;=B548)*(('cost master'!$H:$H&gt;=B548)+ISBLANK('cost master'!$H:$H))),1),0)"),3.9)</f>
        <v>3.9</v>
      </c>
      <c r="I548" s="3">
        <f t="shared" si="4"/>
        <v>0</v>
      </c>
      <c r="J548" s="27">
        <f t="shared" si="5"/>
        <v>45763</v>
      </c>
      <c r="K548" s="27">
        <f t="shared" si="6"/>
        <v>45792</v>
      </c>
    </row>
    <row r="549" hidden="1">
      <c r="A549" s="3" t="str">
        <f t="shared" si="3"/>
        <v>SL-20250428-FMC-CS 010-8</v>
      </c>
      <c r="B549" s="2">
        <f t="array" ref="B549">INDEX(helper!$A$3:$A3996,ROUNDUP((ROW()-1)/COUNTA(helper!$D$3:$D3996),0))</f>
        <v>45775</v>
      </c>
      <c r="C549" s="5" t="str">
        <f t="array" ref="C549">IF(B549="","",INDEX(helper!$D$3:$D3996,MOD(ROW()-2,COUNTA(helper!$D$3:$D3996))+1))</f>
        <v>FMC</v>
      </c>
      <c r="D549" s="3" t="str">
        <f t="array" ref="D549">IF(B549="","",INDEX(helper!$E$3:$E3996,MOD(ROW()-2,COUNTA(helper!$D$3:$D3996))+1))</f>
        <v>CS 010</v>
      </c>
      <c r="E549" s="3">
        <f t="array" ref="E549">IF(B549="","",INDEX(helper!$F$3:$F3996,MOD(ROW()-2,COUNTA(helper!$D$3:$D3996))+1))</f>
        <v>8</v>
      </c>
      <c r="F549" s="3">
        <f>IF(B549="","",SUMIFS('inventory ledger'!$H:$H,'inventory ledger'!$C:$C,C549,'inventory ledger'!$D:$D,D549,'inventory ledger'!$E:$E,E549,'inventory ledger'!$A:$A,"&lt;="&amp;B549+TIME(23,59,59))-SUMIFS('inventory ledger'!$I:$I,'inventory ledger'!$C:$C,C549,'inventory ledger'!$D:$D,D549,'inventory ledger'!$E:$E,E549,'inventory ledger'!$A:$A,"&lt;="&amp;B549+TIME(23,59,59)))</f>
        <v>0</v>
      </c>
      <c r="G549" s="3">
        <f>IFERROR(__xludf.DUMMYFUNCTION("IF(F549&lt;=0,0,IFERROR(ROUNDUP(F549/INDEX(FILTER('warehouse config'!$D:$D,('warehouse config'!$B:$B=C549)*('warehouse config'!$C:$C=D549)*('warehouse config'!$G:$G&lt;=B549)*(('warehouse config'!$H:$H&gt;=B549)+ISBLANK('warehouse config'!$H:$H))),1)),0))"),0.0)</f>
        <v>0</v>
      </c>
      <c r="H549" s="3">
        <f>IFERROR(__xludf.DUMMYFUNCTION("IFERROR(INDEX(FILTER('cost master'!$E:$E,('cost master'!$B:$B=C549)*('cost master'!$D:$D=""Storage cost per pallet / week"")*('cost master'!$G:$G&lt;=B549)*(('cost master'!$H:$H&gt;=B549)+ISBLANK('cost master'!$H:$H))),1),0)"),3.9)</f>
        <v>3.9</v>
      </c>
      <c r="I549" s="3">
        <f t="shared" si="4"/>
        <v>0</v>
      </c>
      <c r="J549" s="27">
        <f t="shared" si="5"/>
        <v>45763</v>
      </c>
      <c r="K549" s="27">
        <f t="shared" si="6"/>
        <v>45792</v>
      </c>
    </row>
    <row r="550" hidden="1">
      <c r="A550" s="3" t="str">
        <f t="shared" si="3"/>
        <v>SL-20250428-FMC-CS 007-9</v>
      </c>
      <c r="B550" s="2">
        <f t="array" ref="B550">INDEX(helper!$A$3:$A3996,ROUNDUP((ROW()-1)/COUNTA(helper!$D$3:$D3996),0))</f>
        <v>45775</v>
      </c>
      <c r="C550" s="5" t="str">
        <f t="array" ref="C550">IF(B550="","",INDEX(helper!$D$3:$D3996,MOD(ROW()-2,COUNTA(helper!$D$3:$D3996))+1))</f>
        <v>FMC</v>
      </c>
      <c r="D550" s="3" t="str">
        <f t="array" ref="D550">IF(B550="","",INDEX(helper!$E$3:$E3996,MOD(ROW()-2,COUNTA(helper!$D$3:$D3996))+1))</f>
        <v>CS 007</v>
      </c>
      <c r="E550" s="3">
        <f t="array" ref="E550">IF(B550="","",INDEX(helper!$F$3:$F3996,MOD(ROW()-2,COUNTA(helper!$D$3:$D3996))+1))</f>
        <v>9</v>
      </c>
      <c r="F550" s="3">
        <f>IF(B550="","",SUMIFS('inventory ledger'!$H:$H,'inventory ledger'!$C:$C,C550,'inventory ledger'!$D:$D,D550,'inventory ledger'!$E:$E,E550,'inventory ledger'!$A:$A,"&lt;="&amp;B550+TIME(23,59,59))-SUMIFS('inventory ledger'!$I:$I,'inventory ledger'!$C:$C,C550,'inventory ledger'!$D:$D,D550,'inventory ledger'!$E:$E,E550,'inventory ledger'!$A:$A,"&lt;="&amp;B550+TIME(23,59,59)))</f>
        <v>0</v>
      </c>
      <c r="G550" s="3">
        <f>IFERROR(__xludf.DUMMYFUNCTION("IF(F550&lt;=0,0,IFERROR(ROUNDUP(F550/INDEX(FILTER('warehouse config'!$D:$D,('warehouse config'!$B:$B=C550)*('warehouse config'!$C:$C=D550)*('warehouse config'!$G:$G&lt;=B550)*(('warehouse config'!$H:$H&gt;=B550)+ISBLANK('warehouse config'!$H:$H))),1)),0))"),0.0)</f>
        <v>0</v>
      </c>
      <c r="H550" s="3">
        <f>IFERROR(__xludf.DUMMYFUNCTION("IFERROR(INDEX(FILTER('cost master'!$E:$E,('cost master'!$B:$B=C550)*('cost master'!$D:$D=""Storage cost per pallet / week"")*('cost master'!$G:$G&lt;=B550)*(('cost master'!$H:$H&gt;=B550)+ISBLANK('cost master'!$H:$H))),1),0)"),3.9)</f>
        <v>3.9</v>
      </c>
      <c r="I550" s="3">
        <f t="shared" si="4"/>
        <v>0</v>
      </c>
      <c r="J550" s="27">
        <f t="shared" si="5"/>
        <v>45763</v>
      </c>
      <c r="K550" s="27">
        <f t="shared" si="6"/>
        <v>45792</v>
      </c>
    </row>
    <row r="551" hidden="1">
      <c r="A551" s="3" t="str">
        <f t="shared" si="3"/>
        <v>SL-20250428-FMC-CS 008-9</v>
      </c>
      <c r="B551" s="2">
        <f t="array" ref="B551">INDEX(helper!$A$3:$A3996,ROUNDUP((ROW()-1)/COUNTA(helper!$D$3:$D3996),0))</f>
        <v>45775</v>
      </c>
      <c r="C551" s="5" t="str">
        <f t="array" ref="C551">IF(B551="","",INDEX(helper!$D$3:$D3996,MOD(ROW()-2,COUNTA(helper!$D$3:$D3996))+1))</f>
        <v>FMC</v>
      </c>
      <c r="D551" s="3" t="str">
        <f t="array" ref="D551">IF(B551="","",INDEX(helper!$E$3:$E3996,MOD(ROW()-2,COUNTA(helper!$D$3:$D3996))+1))</f>
        <v>CS 008</v>
      </c>
      <c r="E551" s="3">
        <f t="array" ref="E551">IF(B551="","",INDEX(helper!$F$3:$F3996,MOD(ROW()-2,COUNTA(helper!$D$3:$D3996))+1))</f>
        <v>9</v>
      </c>
      <c r="F551" s="3">
        <f>IF(B551="","",SUMIFS('inventory ledger'!$H:$H,'inventory ledger'!$C:$C,C551,'inventory ledger'!$D:$D,D551,'inventory ledger'!$E:$E,E551,'inventory ledger'!$A:$A,"&lt;="&amp;B551+TIME(23,59,59))-SUMIFS('inventory ledger'!$I:$I,'inventory ledger'!$C:$C,C551,'inventory ledger'!$D:$D,D551,'inventory ledger'!$E:$E,E551,'inventory ledger'!$A:$A,"&lt;="&amp;B551+TIME(23,59,59)))</f>
        <v>2</v>
      </c>
      <c r="G551" s="3">
        <f>IFERROR(__xludf.DUMMYFUNCTION("IF(F551&lt;=0,0,IFERROR(ROUNDUP(F551/INDEX(FILTER('warehouse config'!$D:$D,('warehouse config'!$B:$B=C551)*('warehouse config'!$C:$C=D551)*('warehouse config'!$G:$G&lt;=B551)*(('warehouse config'!$H:$H&gt;=B551)+ISBLANK('warehouse config'!$H:$H))),1)),0))"),1.0)</f>
        <v>1</v>
      </c>
      <c r="H551" s="3">
        <f>IFERROR(__xludf.DUMMYFUNCTION("IFERROR(INDEX(FILTER('cost master'!$E:$E,('cost master'!$B:$B=C551)*('cost master'!$D:$D=""Storage cost per pallet / week"")*('cost master'!$G:$G&lt;=B551)*(('cost master'!$H:$H&gt;=B551)+ISBLANK('cost master'!$H:$H))),1),0)"),3.9)</f>
        <v>3.9</v>
      </c>
      <c r="I551" s="3">
        <f t="shared" si="4"/>
        <v>3.9</v>
      </c>
      <c r="J551" s="27">
        <f t="shared" si="5"/>
        <v>45763</v>
      </c>
      <c r="K551" s="27">
        <f t="shared" si="6"/>
        <v>45792</v>
      </c>
    </row>
    <row r="552" hidden="1">
      <c r="A552" s="3" t="str">
        <f t="shared" si="3"/>
        <v>SL-20250428-FMC-CS 009-9</v>
      </c>
      <c r="B552" s="2">
        <f t="array" ref="B552">INDEX(helper!$A$3:$A3996,ROUNDUP((ROW()-1)/COUNTA(helper!$D$3:$D3996),0))</f>
        <v>45775</v>
      </c>
      <c r="C552" s="5" t="str">
        <f t="array" ref="C552">IF(B552="","",INDEX(helper!$D$3:$D3996,MOD(ROW()-2,COUNTA(helper!$D$3:$D3996))+1))</f>
        <v>FMC</v>
      </c>
      <c r="D552" s="3" t="str">
        <f t="array" ref="D552">IF(B552="","",INDEX(helper!$E$3:$E3996,MOD(ROW()-2,COUNTA(helper!$D$3:$D3996))+1))</f>
        <v>CS 009</v>
      </c>
      <c r="E552" s="3">
        <f t="array" ref="E552">IF(B552="","",INDEX(helper!$F$3:$F3996,MOD(ROW()-2,COUNTA(helper!$D$3:$D3996))+1))</f>
        <v>9</v>
      </c>
      <c r="F552" s="3">
        <f>IF(B552="","",SUMIFS('inventory ledger'!$H:$H,'inventory ledger'!$C:$C,C552,'inventory ledger'!$D:$D,D552,'inventory ledger'!$E:$E,E552,'inventory ledger'!$A:$A,"&lt;="&amp;B552+TIME(23,59,59))-SUMIFS('inventory ledger'!$I:$I,'inventory ledger'!$C:$C,C552,'inventory ledger'!$D:$D,D552,'inventory ledger'!$E:$E,E552,'inventory ledger'!$A:$A,"&lt;="&amp;B552+TIME(23,59,59)))</f>
        <v>0</v>
      </c>
      <c r="G552" s="3">
        <f>IFERROR(__xludf.DUMMYFUNCTION("IF(F552&lt;=0,0,IFERROR(ROUNDUP(F552/INDEX(FILTER('warehouse config'!$D:$D,('warehouse config'!$B:$B=C552)*('warehouse config'!$C:$C=D552)*('warehouse config'!$G:$G&lt;=B552)*(('warehouse config'!$H:$H&gt;=B552)+ISBLANK('warehouse config'!$H:$H))),1)),0))"),0.0)</f>
        <v>0</v>
      </c>
      <c r="H552" s="3">
        <f>IFERROR(__xludf.DUMMYFUNCTION("IFERROR(INDEX(FILTER('cost master'!$E:$E,('cost master'!$B:$B=C552)*('cost master'!$D:$D=""Storage cost per pallet / week"")*('cost master'!$G:$G&lt;=B552)*(('cost master'!$H:$H&gt;=B552)+ISBLANK('cost master'!$H:$H))),1),0)"),3.9)</f>
        <v>3.9</v>
      </c>
      <c r="I552" s="3">
        <f t="shared" si="4"/>
        <v>0</v>
      </c>
      <c r="J552" s="27">
        <f t="shared" si="5"/>
        <v>45763</v>
      </c>
      <c r="K552" s="27">
        <f t="shared" si="6"/>
        <v>45792</v>
      </c>
    </row>
    <row r="553" hidden="1">
      <c r="A553" s="3" t="str">
        <f t="shared" si="3"/>
        <v>SL-20250428-FMC-CS 010-9</v>
      </c>
      <c r="B553" s="2">
        <f t="array" ref="B553">INDEX(helper!$A$3:$A3996,ROUNDUP((ROW()-1)/COUNTA(helper!$D$3:$D3996),0))</f>
        <v>45775</v>
      </c>
      <c r="C553" s="5" t="str">
        <f t="array" ref="C553">IF(B553="","",INDEX(helper!$D$3:$D3996,MOD(ROW()-2,COUNTA(helper!$D$3:$D3996))+1))</f>
        <v>FMC</v>
      </c>
      <c r="D553" s="3" t="str">
        <f t="array" ref="D553">IF(B553="","",INDEX(helper!$E$3:$E3996,MOD(ROW()-2,COUNTA(helper!$D$3:$D3996))+1))</f>
        <v>CS 010</v>
      </c>
      <c r="E553" s="3">
        <f t="array" ref="E553">IF(B553="","",INDEX(helper!$F$3:$F3996,MOD(ROW()-2,COUNTA(helper!$D$3:$D3996))+1))</f>
        <v>9</v>
      </c>
      <c r="F553" s="3">
        <f>IF(B553="","",SUMIFS('inventory ledger'!$H:$H,'inventory ledger'!$C:$C,C553,'inventory ledger'!$D:$D,D553,'inventory ledger'!$E:$E,E553,'inventory ledger'!$A:$A,"&lt;="&amp;B553+TIME(23,59,59))-SUMIFS('inventory ledger'!$I:$I,'inventory ledger'!$C:$C,C553,'inventory ledger'!$D:$D,D553,'inventory ledger'!$E:$E,E553,'inventory ledger'!$A:$A,"&lt;="&amp;B553+TIME(23,59,59)))</f>
        <v>0</v>
      </c>
      <c r="G553" s="3">
        <f>IFERROR(__xludf.DUMMYFUNCTION("IF(F553&lt;=0,0,IFERROR(ROUNDUP(F553/INDEX(FILTER('warehouse config'!$D:$D,('warehouse config'!$B:$B=C553)*('warehouse config'!$C:$C=D553)*('warehouse config'!$G:$G&lt;=B553)*(('warehouse config'!$H:$H&gt;=B553)+ISBLANK('warehouse config'!$H:$H))),1)),0))"),0.0)</f>
        <v>0</v>
      </c>
      <c r="H553" s="3">
        <f>IFERROR(__xludf.DUMMYFUNCTION("IFERROR(INDEX(FILTER('cost master'!$E:$E,('cost master'!$B:$B=C553)*('cost master'!$D:$D=""Storage cost per pallet / week"")*('cost master'!$G:$G&lt;=B553)*(('cost master'!$H:$H&gt;=B553)+ISBLANK('cost master'!$H:$H))),1),0)"),3.9)</f>
        <v>3.9</v>
      </c>
      <c r="I553" s="3">
        <f t="shared" si="4"/>
        <v>0</v>
      </c>
      <c r="J553" s="27">
        <f t="shared" si="5"/>
        <v>45763</v>
      </c>
      <c r="K553" s="27">
        <f t="shared" si="6"/>
        <v>45792</v>
      </c>
    </row>
    <row r="554" hidden="1">
      <c r="A554" s="3" t="str">
        <f t="shared" si="3"/>
        <v>SL-20250428-FMC-CS-CDS-001-9</v>
      </c>
      <c r="B554" s="2">
        <f t="array" ref="B554">INDEX(helper!$A$3:$A3996,ROUNDUP((ROW()-1)/COUNTA(helper!$D$3:$D3996),0))</f>
        <v>45775</v>
      </c>
      <c r="C554" s="5" t="str">
        <f t="array" ref="C554">IF(B554="","",INDEX(helper!$D$3:$D3996,MOD(ROW()-2,COUNTA(helper!$D$3:$D3996))+1))</f>
        <v>FMC</v>
      </c>
      <c r="D554" s="3" t="str">
        <f t="array" ref="D554">IF(B554="","",INDEX(helper!$E$3:$E3996,MOD(ROW()-2,COUNTA(helper!$D$3:$D3996))+1))</f>
        <v>CS-CDS-001</v>
      </c>
      <c r="E554" s="3">
        <f t="array" ref="E554">IF(B554="","",INDEX(helper!$F$3:$F3996,MOD(ROW()-2,COUNTA(helper!$D$3:$D3996))+1))</f>
        <v>9</v>
      </c>
      <c r="F554" s="3">
        <f>IF(B554="","",SUMIFS('inventory ledger'!$H:$H,'inventory ledger'!$C:$C,C554,'inventory ledger'!$D:$D,D554,'inventory ledger'!$E:$E,E554,'inventory ledger'!$A:$A,"&lt;="&amp;B554+TIME(23,59,59))-SUMIFS('inventory ledger'!$I:$I,'inventory ledger'!$C:$C,C554,'inventory ledger'!$D:$D,D554,'inventory ledger'!$E:$E,E554,'inventory ledger'!$A:$A,"&lt;="&amp;B554+TIME(23,59,59)))</f>
        <v>0</v>
      </c>
      <c r="G554" s="3">
        <f>IFERROR(__xludf.DUMMYFUNCTION("IF(F554&lt;=0,0,IFERROR(ROUNDUP(F554/INDEX(FILTER('warehouse config'!$D:$D,('warehouse config'!$B:$B=C554)*('warehouse config'!$C:$C=D554)*('warehouse config'!$G:$G&lt;=B554)*(('warehouse config'!$H:$H&gt;=B554)+ISBLANK('warehouse config'!$H:$H))),1)),0))"),0.0)</f>
        <v>0</v>
      </c>
      <c r="H554" s="3">
        <f>IFERROR(__xludf.DUMMYFUNCTION("IFERROR(INDEX(FILTER('cost master'!$E:$E,('cost master'!$B:$B=C554)*('cost master'!$D:$D=""Storage cost per pallet / week"")*('cost master'!$G:$G&lt;=B554)*(('cost master'!$H:$H&gt;=B554)+ISBLANK('cost master'!$H:$H))),1),0)"),3.9)</f>
        <v>3.9</v>
      </c>
      <c r="I554" s="3">
        <f t="shared" si="4"/>
        <v>0</v>
      </c>
      <c r="J554" s="27">
        <f t="shared" si="5"/>
        <v>45763</v>
      </c>
      <c r="K554" s="27">
        <f t="shared" si="6"/>
        <v>45792</v>
      </c>
    </row>
    <row r="555" hidden="1">
      <c r="A555" s="3" t="str">
        <f t="shared" si="3"/>
        <v>SL-20250428-FMC-CS-CDS-002-9</v>
      </c>
      <c r="B555" s="2">
        <f t="array" ref="B555">INDEX(helper!$A$3:$A3996,ROUNDUP((ROW()-1)/COUNTA(helper!$D$3:$D3996),0))</f>
        <v>45775</v>
      </c>
      <c r="C555" s="5" t="str">
        <f t="array" ref="C555">IF(B555="","",INDEX(helper!$D$3:$D3996,MOD(ROW()-2,COUNTA(helper!$D$3:$D3996))+1))</f>
        <v>FMC</v>
      </c>
      <c r="D555" s="3" t="str">
        <f t="array" ref="D555">IF(B555="","",INDEX(helper!$E$3:$E3996,MOD(ROW()-2,COUNTA(helper!$D$3:$D3996))+1))</f>
        <v>CS-CDS-002</v>
      </c>
      <c r="E555" s="3">
        <f t="array" ref="E555">IF(B555="","",INDEX(helper!$F$3:$F3996,MOD(ROW()-2,COUNTA(helper!$D$3:$D3996))+1))</f>
        <v>9</v>
      </c>
      <c r="F555" s="3">
        <f>IF(B555="","",SUMIFS('inventory ledger'!$H:$H,'inventory ledger'!$C:$C,C555,'inventory ledger'!$D:$D,D555,'inventory ledger'!$E:$E,E555,'inventory ledger'!$A:$A,"&lt;="&amp;B555+TIME(23,59,59))-SUMIFS('inventory ledger'!$I:$I,'inventory ledger'!$C:$C,C555,'inventory ledger'!$D:$D,D555,'inventory ledger'!$E:$E,E555,'inventory ledger'!$A:$A,"&lt;="&amp;B555+TIME(23,59,59)))</f>
        <v>0</v>
      </c>
      <c r="G555" s="3">
        <f>IFERROR(__xludf.DUMMYFUNCTION("IF(F555&lt;=0,0,IFERROR(ROUNDUP(F555/INDEX(FILTER('warehouse config'!$D:$D,('warehouse config'!$B:$B=C555)*('warehouse config'!$C:$C=D555)*('warehouse config'!$G:$G&lt;=B555)*(('warehouse config'!$H:$H&gt;=B555)+ISBLANK('warehouse config'!$H:$H))),1)),0))"),0.0)</f>
        <v>0</v>
      </c>
      <c r="H555" s="3">
        <f>IFERROR(__xludf.DUMMYFUNCTION("IFERROR(INDEX(FILTER('cost master'!$E:$E,('cost master'!$B:$B=C555)*('cost master'!$D:$D=""Storage cost per pallet / week"")*('cost master'!$G:$G&lt;=B555)*(('cost master'!$H:$H&gt;=B555)+ISBLANK('cost master'!$H:$H))),1),0)"),3.9)</f>
        <v>3.9</v>
      </c>
      <c r="I555" s="3">
        <f t="shared" si="4"/>
        <v>0</v>
      </c>
      <c r="J555" s="27">
        <f t="shared" si="5"/>
        <v>45763</v>
      </c>
      <c r="K555" s="27">
        <f t="shared" si="6"/>
        <v>45792</v>
      </c>
    </row>
    <row r="556" hidden="1">
      <c r="A556" s="3" t="str">
        <f t="shared" si="3"/>
        <v>SL-20250428-FMC-CS 007-10</v>
      </c>
      <c r="B556" s="2">
        <f t="array" ref="B556">INDEX(helper!$A$3:$A3996,ROUNDUP((ROW()-1)/COUNTA(helper!$D$3:$D3996),0))</f>
        <v>45775</v>
      </c>
      <c r="C556" s="5" t="str">
        <f t="array" ref="C556">IF(B556="","",INDEX(helper!$D$3:$D3996,MOD(ROW()-2,COUNTA(helper!$D$3:$D3996))+1))</f>
        <v>FMC</v>
      </c>
      <c r="D556" s="3" t="str">
        <f t="array" ref="D556">IF(B556="","",INDEX(helper!$E$3:$E3996,MOD(ROW()-2,COUNTA(helper!$D$3:$D3996))+1))</f>
        <v>CS 007</v>
      </c>
      <c r="E556" s="3">
        <f t="array" ref="E556">IF(B556="","",INDEX(helper!$F$3:$F3996,MOD(ROW()-2,COUNTA(helper!$D$3:$D3996))+1))</f>
        <v>10</v>
      </c>
      <c r="F556" s="3">
        <f>IF(B556="","",SUMIFS('inventory ledger'!$H:$H,'inventory ledger'!$C:$C,C556,'inventory ledger'!$D:$D,D556,'inventory ledger'!$E:$E,E556,'inventory ledger'!$A:$A,"&lt;="&amp;B556+TIME(23,59,59))-SUMIFS('inventory ledger'!$I:$I,'inventory ledger'!$C:$C,C556,'inventory ledger'!$D:$D,D556,'inventory ledger'!$E:$E,E556,'inventory ledger'!$A:$A,"&lt;="&amp;B556+TIME(23,59,59)))</f>
        <v>0</v>
      </c>
      <c r="G556" s="3">
        <f>IFERROR(__xludf.DUMMYFUNCTION("IF(F556&lt;=0,0,IFERROR(ROUNDUP(F556/INDEX(FILTER('warehouse config'!$D:$D,('warehouse config'!$B:$B=C556)*('warehouse config'!$C:$C=D556)*('warehouse config'!$G:$G&lt;=B556)*(('warehouse config'!$H:$H&gt;=B556)+ISBLANK('warehouse config'!$H:$H))),1)),0))"),0.0)</f>
        <v>0</v>
      </c>
      <c r="H556" s="3">
        <f>IFERROR(__xludf.DUMMYFUNCTION("IFERROR(INDEX(FILTER('cost master'!$E:$E,('cost master'!$B:$B=C556)*('cost master'!$D:$D=""Storage cost per pallet / week"")*('cost master'!$G:$G&lt;=B556)*(('cost master'!$H:$H&gt;=B556)+ISBLANK('cost master'!$H:$H))),1),0)"),3.9)</f>
        <v>3.9</v>
      </c>
      <c r="I556" s="3">
        <f t="shared" si="4"/>
        <v>0</v>
      </c>
      <c r="J556" s="27">
        <f t="shared" si="5"/>
        <v>45763</v>
      </c>
      <c r="K556" s="27">
        <f t="shared" si="6"/>
        <v>45792</v>
      </c>
    </row>
    <row r="557" hidden="1">
      <c r="A557" s="3" t="str">
        <f t="shared" si="3"/>
        <v>SL-20250428-FMC-CS 009-10</v>
      </c>
      <c r="B557" s="2">
        <f t="array" ref="B557">INDEX(helper!$A$3:$A3996,ROUNDUP((ROW()-1)/COUNTA(helper!$D$3:$D3996),0))</f>
        <v>45775</v>
      </c>
      <c r="C557" s="5" t="str">
        <f t="array" ref="C557">IF(B557="","",INDEX(helper!$D$3:$D3996,MOD(ROW()-2,COUNTA(helper!$D$3:$D3996))+1))</f>
        <v>FMC</v>
      </c>
      <c r="D557" s="3" t="str">
        <f t="array" ref="D557">IF(B557="","",INDEX(helper!$E$3:$E3996,MOD(ROW()-2,COUNTA(helper!$D$3:$D3996))+1))</f>
        <v>CS 009</v>
      </c>
      <c r="E557" s="3">
        <f t="array" ref="E557">IF(B557="","",INDEX(helper!$F$3:$F3996,MOD(ROW()-2,COUNTA(helper!$D$3:$D3996))+1))</f>
        <v>10</v>
      </c>
      <c r="F557" s="3">
        <f>IF(B557="","",SUMIFS('inventory ledger'!$H:$H,'inventory ledger'!$C:$C,C557,'inventory ledger'!$D:$D,D557,'inventory ledger'!$E:$E,E557,'inventory ledger'!$A:$A,"&lt;="&amp;B557+TIME(23,59,59))-SUMIFS('inventory ledger'!$I:$I,'inventory ledger'!$C:$C,C557,'inventory ledger'!$D:$D,D557,'inventory ledger'!$E:$E,E557,'inventory ledger'!$A:$A,"&lt;="&amp;B557+TIME(23,59,59)))</f>
        <v>0</v>
      </c>
      <c r="G557" s="3">
        <f>IFERROR(__xludf.DUMMYFUNCTION("IF(F557&lt;=0,0,IFERROR(ROUNDUP(F557/INDEX(FILTER('warehouse config'!$D:$D,('warehouse config'!$B:$B=C557)*('warehouse config'!$C:$C=D557)*('warehouse config'!$G:$G&lt;=B557)*(('warehouse config'!$H:$H&gt;=B557)+ISBLANK('warehouse config'!$H:$H))),1)),0))"),0.0)</f>
        <v>0</v>
      </c>
      <c r="H557" s="3">
        <f>IFERROR(__xludf.DUMMYFUNCTION("IFERROR(INDEX(FILTER('cost master'!$E:$E,('cost master'!$B:$B=C557)*('cost master'!$D:$D=""Storage cost per pallet / week"")*('cost master'!$G:$G&lt;=B557)*(('cost master'!$H:$H&gt;=B557)+ISBLANK('cost master'!$H:$H))),1),0)"),3.9)</f>
        <v>3.9</v>
      </c>
      <c r="I557" s="3">
        <f t="shared" si="4"/>
        <v>0</v>
      </c>
      <c r="J557" s="27">
        <f t="shared" si="5"/>
        <v>45763</v>
      </c>
      <c r="K557" s="27">
        <f t="shared" si="6"/>
        <v>45792</v>
      </c>
    </row>
    <row r="558" hidden="1">
      <c r="A558" s="3" t="str">
        <f t="shared" si="3"/>
        <v>SL-20250428-FMC-CS 010-10</v>
      </c>
      <c r="B558" s="2">
        <f t="array" ref="B558">INDEX(helper!$A$3:$A3996,ROUNDUP((ROW()-1)/COUNTA(helper!$D$3:$D3996),0))</f>
        <v>45775</v>
      </c>
      <c r="C558" s="5" t="str">
        <f t="array" ref="C558">IF(B558="","",INDEX(helper!$D$3:$D3996,MOD(ROW()-2,COUNTA(helper!$D$3:$D3996))+1))</f>
        <v>FMC</v>
      </c>
      <c r="D558" s="3" t="str">
        <f t="array" ref="D558">IF(B558="","",INDEX(helper!$E$3:$E3996,MOD(ROW()-2,COUNTA(helper!$D$3:$D3996))+1))</f>
        <v>CS 010</v>
      </c>
      <c r="E558" s="3">
        <f t="array" ref="E558">IF(B558="","",INDEX(helper!$F$3:$F3996,MOD(ROW()-2,COUNTA(helper!$D$3:$D3996))+1))</f>
        <v>10</v>
      </c>
      <c r="F558" s="3">
        <f>IF(B558="","",SUMIFS('inventory ledger'!$H:$H,'inventory ledger'!$C:$C,C558,'inventory ledger'!$D:$D,D558,'inventory ledger'!$E:$E,E558,'inventory ledger'!$A:$A,"&lt;="&amp;B558+TIME(23,59,59))-SUMIFS('inventory ledger'!$I:$I,'inventory ledger'!$C:$C,C558,'inventory ledger'!$D:$D,D558,'inventory ledger'!$E:$E,E558,'inventory ledger'!$A:$A,"&lt;="&amp;B558+TIME(23,59,59)))</f>
        <v>13</v>
      </c>
      <c r="G558" s="3">
        <f>IFERROR(__xludf.DUMMYFUNCTION("IF(F558&lt;=0,0,IFERROR(ROUNDUP(F558/INDEX(FILTER('warehouse config'!$D:$D,('warehouse config'!$B:$B=C558)*('warehouse config'!$C:$C=D558)*('warehouse config'!$G:$G&lt;=B558)*(('warehouse config'!$H:$H&gt;=B558)+ISBLANK('warehouse config'!$H:$H))),1)),0))"),1.0)</f>
        <v>1</v>
      </c>
      <c r="H558" s="3">
        <f>IFERROR(__xludf.DUMMYFUNCTION("IFERROR(INDEX(FILTER('cost master'!$E:$E,('cost master'!$B:$B=C558)*('cost master'!$D:$D=""Storage cost per pallet / week"")*('cost master'!$G:$G&lt;=B558)*(('cost master'!$H:$H&gt;=B558)+ISBLANK('cost master'!$H:$H))),1),0)"),3.9)</f>
        <v>3.9</v>
      </c>
      <c r="I558" s="3">
        <f t="shared" si="4"/>
        <v>3.9</v>
      </c>
      <c r="J558" s="27">
        <f t="shared" si="5"/>
        <v>45763</v>
      </c>
      <c r="K558" s="27">
        <f t="shared" si="6"/>
        <v>45792</v>
      </c>
    </row>
    <row r="559" hidden="1">
      <c r="A559" s="3" t="str">
        <f t="shared" si="3"/>
        <v>SL-20250428-FMC-CS-CDS-001-10</v>
      </c>
      <c r="B559" s="2">
        <f t="array" ref="B559">INDEX(helper!$A$3:$A3996,ROUNDUP((ROW()-1)/COUNTA(helper!$D$3:$D3996),0))</f>
        <v>45775</v>
      </c>
      <c r="C559" s="5" t="str">
        <f t="array" ref="C559">IF(B559="","",INDEX(helper!$D$3:$D3996,MOD(ROW()-2,COUNTA(helper!$D$3:$D3996))+1))</f>
        <v>FMC</v>
      </c>
      <c r="D559" s="3" t="str">
        <f t="array" ref="D559">IF(B559="","",INDEX(helper!$E$3:$E3996,MOD(ROW()-2,COUNTA(helper!$D$3:$D3996))+1))</f>
        <v>CS-CDS-001</v>
      </c>
      <c r="E559" s="3">
        <f t="array" ref="E559">IF(B559="","",INDEX(helper!$F$3:$F3996,MOD(ROW()-2,COUNTA(helper!$D$3:$D3996))+1))</f>
        <v>10</v>
      </c>
      <c r="F559" s="3">
        <f>IF(B559="","",SUMIFS('inventory ledger'!$H:$H,'inventory ledger'!$C:$C,C559,'inventory ledger'!$D:$D,D559,'inventory ledger'!$E:$E,E559,'inventory ledger'!$A:$A,"&lt;="&amp;B559+TIME(23,59,59))-SUMIFS('inventory ledger'!$I:$I,'inventory ledger'!$C:$C,C559,'inventory ledger'!$D:$D,D559,'inventory ledger'!$E:$E,E559,'inventory ledger'!$A:$A,"&lt;="&amp;B559+TIME(23,59,59)))</f>
        <v>0</v>
      </c>
      <c r="G559" s="3">
        <f>IFERROR(__xludf.DUMMYFUNCTION("IF(F559&lt;=0,0,IFERROR(ROUNDUP(F559/INDEX(FILTER('warehouse config'!$D:$D,('warehouse config'!$B:$B=C559)*('warehouse config'!$C:$C=D559)*('warehouse config'!$G:$G&lt;=B559)*(('warehouse config'!$H:$H&gt;=B559)+ISBLANK('warehouse config'!$H:$H))),1)),0))"),0.0)</f>
        <v>0</v>
      </c>
      <c r="H559" s="3">
        <f>IFERROR(__xludf.DUMMYFUNCTION("IFERROR(INDEX(FILTER('cost master'!$E:$E,('cost master'!$B:$B=C559)*('cost master'!$D:$D=""Storage cost per pallet / week"")*('cost master'!$G:$G&lt;=B559)*(('cost master'!$H:$H&gt;=B559)+ISBLANK('cost master'!$H:$H))),1),0)"),3.9)</f>
        <v>3.9</v>
      </c>
      <c r="I559" s="3">
        <f t="shared" si="4"/>
        <v>0</v>
      </c>
      <c r="J559" s="27">
        <f t="shared" si="5"/>
        <v>45763</v>
      </c>
      <c r="K559" s="27">
        <f t="shared" si="6"/>
        <v>45792</v>
      </c>
    </row>
    <row r="560" hidden="1">
      <c r="A560" s="3" t="str">
        <f t="shared" si="3"/>
        <v>SL-20250428-FMC-CS 007-11</v>
      </c>
      <c r="B560" s="2">
        <f t="array" ref="B560">INDEX(helper!$A$3:$A3996,ROUNDUP((ROW()-1)/COUNTA(helper!$D$3:$D3996),0))</f>
        <v>45775</v>
      </c>
      <c r="C560" s="5" t="str">
        <f t="array" ref="C560">IF(B560="","",INDEX(helper!$D$3:$D3996,MOD(ROW()-2,COUNTA(helper!$D$3:$D3996))+1))</f>
        <v>FMC</v>
      </c>
      <c r="D560" s="3" t="str">
        <f t="array" ref="D560">IF(B560="","",INDEX(helper!$E$3:$E3996,MOD(ROW()-2,COUNTA(helper!$D$3:$D3996))+1))</f>
        <v>CS 007</v>
      </c>
      <c r="E560" s="3">
        <f t="array" ref="E560">IF(B560="","",INDEX(helper!$F$3:$F3996,MOD(ROW()-2,COUNTA(helper!$D$3:$D3996))+1))</f>
        <v>11</v>
      </c>
      <c r="F560" s="3">
        <f>IF(B560="","",SUMIFS('inventory ledger'!$H:$H,'inventory ledger'!$C:$C,C560,'inventory ledger'!$D:$D,D560,'inventory ledger'!$E:$E,E560,'inventory ledger'!$A:$A,"&lt;="&amp;B560+TIME(23,59,59))-SUMIFS('inventory ledger'!$I:$I,'inventory ledger'!$C:$C,C560,'inventory ledger'!$D:$D,D560,'inventory ledger'!$E:$E,E560,'inventory ledger'!$A:$A,"&lt;="&amp;B560+TIME(23,59,59)))</f>
        <v>0</v>
      </c>
      <c r="G560" s="3">
        <f>IFERROR(__xludf.DUMMYFUNCTION("IF(F560&lt;=0,0,IFERROR(ROUNDUP(F560/INDEX(FILTER('warehouse config'!$D:$D,('warehouse config'!$B:$B=C560)*('warehouse config'!$C:$C=D560)*('warehouse config'!$G:$G&lt;=B560)*(('warehouse config'!$H:$H&gt;=B560)+ISBLANK('warehouse config'!$H:$H))),1)),0))"),0.0)</f>
        <v>0</v>
      </c>
      <c r="H560" s="3">
        <f>IFERROR(__xludf.DUMMYFUNCTION("IFERROR(INDEX(FILTER('cost master'!$E:$E,('cost master'!$B:$B=C560)*('cost master'!$D:$D=""Storage cost per pallet / week"")*('cost master'!$G:$G&lt;=B560)*(('cost master'!$H:$H&gt;=B560)+ISBLANK('cost master'!$H:$H))),1),0)"),3.9)</f>
        <v>3.9</v>
      </c>
      <c r="I560" s="3">
        <f t="shared" si="4"/>
        <v>0</v>
      </c>
      <c r="J560" s="27">
        <f t="shared" si="5"/>
        <v>45763</v>
      </c>
      <c r="K560" s="27">
        <f t="shared" si="6"/>
        <v>45792</v>
      </c>
    </row>
    <row r="561" hidden="1">
      <c r="A561" s="3" t="str">
        <f t="shared" si="3"/>
        <v>SL-20250428-FMC-CS 009-11</v>
      </c>
      <c r="B561" s="2">
        <f t="array" ref="B561">INDEX(helper!$A$3:$A3996,ROUNDUP((ROW()-1)/COUNTA(helper!$D$3:$D3996),0))</f>
        <v>45775</v>
      </c>
      <c r="C561" s="5" t="str">
        <f t="array" ref="C561">IF(B561="","",INDEX(helper!$D$3:$D3996,MOD(ROW()-2,COUNTA(helper!$D$3:$D3996))+1))</f>
        <v>FMC</v>
      </c>
      <c r="D561" s="3" t="str">
        <f t="array" ref="D561">IF(B561="","",INDEX(helper!$E$3:$E3996,MOD(ROW()-2,COUNTA(helper!$D$3:$D3996))+1))</f>
        <v>CS 009</v>
      </c>
      <c r="E561" s="3">
        <f t="array" ref="E561">IF(B561="","",INDEX(helper!$F$3:$F3996,MOD(ROW()-2,COUNTA(helper!$D$3:$D3996))+1))</f>
        <v>11</v>
      </c>
      <c r="F561" s="3">
        <f>IF(B561="","",SUMIFS('inventory ledger'!$H:$H,'inventory ledger'!$C:$C,C561,'inventory ledger'!$D:$D,D561,'inventory ledger'!$E:$E,E561,'inventory ledger'!$A:$A,"&lt;="&amp;B561+TIME(23,59,59))-SUMIFS('inventory ledger'!$I:$I,'inventory ledger'!$C:$C,C561,'inventory ledger'!$D:$D,D561,'inventory ledger'!$E:$E,E561,'inventory ledger'!$A:$A,"&lt;="&amp;B561+TIME(23,59,59)))</f>
        <v>0</v>
      </c>
      <c r="G561" s="3">
        <f>IFERROR(__xludf.DUMMYFUNCTION("IF(F561&lt;=0,0,IFERROR(ROUNDUP(F561/INDEX(FILTER('warehouse config'!$D:$D,('warehouse config'!$B:$B=C561)*('warehouse config'!$C:$C=D561)*('warehouse config'!$G:$G&lt;=B561)*(('warehouse config'!$H:$H&gt;=B561)+ISBLANK('warehouse config'!$H:$H))),1)),0))"),0.0)</f>
        <v>0</v>
      </c>
      <c r="H561" s="3">
        <f>IFERROR(__xludf.DUMMYFUNCTION("IFERROR(INDEX(FILTER('cost master'!$E:$E,('cost master'!$B:$B=C561)*('cost master'!$D:$D=""Storage cost per pallet / week"")*('cost master'!$G:$G&lt;=B561)*(('cost master'!$H:$H&gt;=B561)+ISBLANK('cost master'!$H:$H))),1),0)"),3.9)</f>
        <v>3.9</v>
      </c>
      <c r="I561" s="3">
        <f t="shared" si="4"/>
        <v>0</v>
      </c>
      <c r="J561" s="27">
        <f t="shared" si="5"/>
        <v>45763</v>
      </c>
      <c r="K561" s="27">
        <f t="shared" si="6"/>
        <v>45792</v>
      </c>
    </row>
    <row r="562" hidden="1">
      <c r="A562" s="3" t="str">
        <f t="shared" si="3"/>
        <v>SL-20250428-FMC-CS 010-11</v>
      </c>
      <c r="B562" s="2">
        <f t="array" ref="B562">INDEX(helper!$A$3:$A3996,ROUNDUP((ROW()-1)/COUNTA(helper!$D$3:$D3996),0))</f>
        <v>45775</v>
      </c>
      <c r="C562" s="5" t="str">
        <f t="array" ref="C562">IF(B562="","",INDEX(helper!$D$3:$D3996,MOD(ROW()-2,COUNTA(helper!$D$3:$D3996))+1))</f>
        <v>FMC</v>
      </c>
      <c r="D562" s="3" t="str">
        <f t="array" ref="D562">IF(B562="","",INDEX(helper!$E$3:$E3996,MOD(ROW()-2,COUNTA(helper!$D$3:$D3996))+1))</f>
        <v>CS 010</v>
      </c>
      <c r="E562" s="3">
        <f t="array" ref="E562">IF(B562="","",INDEX(helper!$F$3:$F3996,MOD(ROW()-2,COUNTA(helper!$D$3:$D3996))+1))</f>
        <v>11</v>
      </c>
      <c r="F562" s="3">
        <f>IF(B562="","",SUMIFS('inventory ledger'!$H:$H,'inventory ledger'!$C:$C,C562,'inventory ledger'!$D:$D,D562,'inventory ledger'!$E:$E,E562,'inventory ledger'!$A:$A,"&lt;="&amp;B562+TIME(23,59,59))-SUMIFS('inventory ledger'!$I:$I,'inventory ledger'!$C:$C,C562,'inventory ledger'!$D:$D,D562,'inventory ledger'!$E:$E,E562,'inventory ledger'!$A:$A,"&lt;="&amp;B562+TIME(23,59,59)))</f>
        <v>46</v>
      </c>
      <c r="G562" s="3">
        <f>IFERROR(__xludf.DUMMYFUNCTION("IF(F562&lt;=0,0,IFERROR(ROUNDUP(F562/INDEX(FILTER('warehouse config'!$D:$D,('warehouse config'!$B:$B=C562)*('warehouse config'!$C:$C=D562)*('warehouse config'!$G:$G&lt;=B562)*(('warehouse config'!$H:$H&gt;=B562)+ISBLANK('warehouse config'!$H:$H))),1)),0))"),2.0)</f>
        <v>2</v>
      </c>
      <c r="H562" s="3">
        <f>IFERROR(__xludf.DUMMYFUNCTION("IFERROR(INDEX(FILTER('cost master'!$E:$E,('cost master'!$B:$B=C562)*('cost master'!$D:$D=""Storage cost per pallet / week"")*('cost master'!$G:$G&lt;=B562)*(('cost master'!$H:$H&gt;=B562)+ISBLANK('cost master'!$H:$H))),1),0)"),3.9)</f>
        <v>3.9</v>
      </c>
      <c r="I562" s="3">
        <f t="shared" si="4"/>
        <v>7.8</v>
      </c>
      <c r="J562" s="27">
        <f t="shared" si="5"/>
        <v>45763</v>
      </c>
      <c r="K562" s="27">
        <f t="shared" si="6"/>
        <v>45792</v>
      </c>
    </row>
    <row r="563" hidden="1">
      <c r="A563" s="3" t="str">
        <f t="shared" si="3"/>
        <v>SL-20250428-Vglobal-CS 007-12</v>
      </c>
      <c r="B563" s="2">
        <f t="array" ref="B563">INDEX(helper!$A$3:$A3996,ROUNDUP((ROW()-1)/COUNTA(helper!$D$3:$D3996),0))</f>
        <v>45775</v>
      </c>
      <c r="C563" s="5" t="str">
        <f t="array" ref="C563">IF(B563="","",INDEX(helper!$D$3:$D3996,MOD(ROW()-2,COUNTA(helper!$D$3:$D3996))+1))</f>
        <v>Vglobal</v>
      </c>
      <c r="D563" s="3" t="str">
        <f t="array" ref="D563">IF(B563="","",INDEX(helper!$E$3:$E3996,MOD(ROW()-2,COUNTA(helper!$D$3:$D3996))+1))</f>
        <v>CS 007</v>
      </c>
      <c r="E563" s="3">
        <f t="array" ref="E563">IF(B563="","",INDEX(helper!$F$3:$F3996,MOD(ROW()-2,COUNTA(helper!$D$3:$D3996))+1))</f>
        <v>12</v>
      </c>
      <c r="F563" s="3">
        <f>IF(B563="","",SUMIFS('inventory ledger'!$H:$H,'inventory ledger'!$C:$C,C563,'inventory ledger'!$D:$D,D563,'inventory ledger'!$E:$E,E563,'inventory ledger'!$A:$A,"&lt;="&amp;B563+TIME(23,59,59))-SUMIFS('inventory ledger'!$I:$I,'inventory ledger'!$C:$C,C563,'inventory ledger'!$D:$D,D563,'inventory ledger'!$E:$E,E563,'inventory ledger'!$A:$A,"&lt;="&amp;B563+TIME(23,59,59)))</f>
        <v>0</v>
      </c>
      <c r="G563" s="3">
        <f>IFERROR(__xludf.DUMMYFUNCTION("IF(F563&lt;=0,0,IFERROR(ROUNDUP(F563/INDEX(FILTER('warehouse config'!$D:$D,('warehouse config'!$B:$B=C563)*('warehouse config'!$C:$C=D563)*('warehouse config'!$G:$G&lt;=B563)*(('warehouse config'!$H:$H&gt;=B563)+ISBLANK('warehouse config'!$H:$H))),1)),0))"),0.0)</f>
        <v>0</v>
      </c>
      <c r="H563" s="3">
        <f>IFERROR(__xludf.DUMMYFUNCTION("IFERROR(INDEX(FILTER('cost master'!$E:$E,('cost master'!$B:$B=C563)*('cost master'!$D:$D=""Storage cost per pallet / week"")*('cost master'!$G:$G&lt;=B563)*(('cost master'!$H:$H&gt;=B563)+ISBLANK('cost master'!$H:$H))),1),0)"),2.6)</f>
        <v>2.6</v>
      </c>
      <c r="I563" s="3">
        <f t="shared" si="4"/>
        <v>0</v>
      </c>
      <c r="J563" s="27">
        <f t="shared" si="5"/>
        <v>45763</v>
      </c>
      <c r="K563" s="27">
        <f t="shared" si="6"/>
        <v>45792</v>
      </c>
    </row>
    <row r="564" hidden="1">
      <c r="A564" s="3" t="str">
        <f t="shared" si="3"/>
        <v>SL-20250428-Vglobal-CS 011-12</v>
      </c>
      <c r="B564" s="2">
        <f t="array" ref="B564">INDEX(helper!$A$3:$A3996,ROUNDUP((ROW()-1)/COUNTA(helper!$D$3:$D3996),0))</f>
        <v>45775</v>
      </c>
      <c r="C564" s="5" t="str">
        <f t="array" ref="C564">IF(B564="","",INDEX(helper!$D$3:$D3996,MOD(ROW()-2,COUNTA(helper!$D$3:$D3996))+1))</f>
        <v>Vglobal</v>
      </c>
      <c r="D564" s="3" t="str">
        <f t="array" ref="D564">IF(B564="","",INDEX(helper!$E$3:$E3996,MOD(ROW()-2,COUNTA(helper!$D$3:$D3996))+1))</f>
        <v>CS 011</v>
      </c>
      <c r="E564" s="3">
        <f t="array" ref="E564">IF(B564="","",INDEX(helper!$F$3:$F3996,MOD(ROW()-2,COUNTA(helper!$D$3:$D3996))+1))</f>
        <v>12</v>
      </c>
      <c r="F564" s="3">
        <f>IF(B564="","",SUMIFS('inventory ledger'!$H:$H,'inventory ledger'!$C:$C,C564,'inventory ledger'!$D:$D,D564,'inventory ledger'!$E:$E,E564,'inventory ledger'!$A:$A,"&lt;="&amp;B564+TIME(23,59,59))-SUMIFS('inventory ledger'!$I:$I,'inventory ledger'!$C:$C,C564,'inventory ledger'!$D:$D,D564,'inventory ledger'!$E:$E,E564,'inventory ledger'!$A:$A,"&lt;="&amp;B564+TIME(23,59,59)))</f>
        <v>0</v>
      </c>
      <c r="G564" s="3">
        <f>IFERROR(__xludf.DUMMYFUNCTION("IF(F564&lt;=0,0,IFERROR(ROUNDUP(F564/INDEX(FILTER('warehouse config'!$D:$D,('warehouse config'!$B:$B=C564)*('warehouse config'!$C:$C=D564)*('warehouse config'!$G:$G&lt;=B564)*(('warehouse config'!$H:$H&gt;=B564)+ISBLANK('warehouse config'!$H:$H))),1)),0))"),0.0)</f>
        <v>0</v>
      </c>
      <c r="H564" s="3">
        <f>IFERROR(__xludf.DUMMYFUNCTION("IFERROR(INDEX(FILTER('cost master'!$E:$E,('cost master'!$B:$B=C564)*('cost master'!$D:$D=""Storage cost per pallet / week"")*('cost master'!$G:$G&lt;=B564)*(('cost master'!$H:$H&gt;=B564)+ISBLANK('cost master'!$H:$H))),1),0)"),2.6)</f>
        <v>2.6</v>
      </c>
      <c r="I564" s="3">
        <f t="shared" si="4"/>
        <v>0</v>
      </c>
      <c r="J564" s="27">
        <f t="shared" si="5"/>
        <v>45763</v>
      </c>
      <c r="K564" s="27">
        <f t="shared" si="6"/>
        <v>45792</v>
      </c>
    </row>
    <row r="565" hidden="1">
      <c r="A565" s="3" t="str">
        <f t="shared" si="3"/>
        <v>SL-20250428-Vglobal-CS 008-12</v>
      </c>
      <c r="B565" s="2">
        <f t="array" ref="B565">INDEX(helper!$A$3:$A3996,ROUNDUP((ROW()-1)/COUNTA(helper!$D$3:$D3996),0))</f>
        <v>45775</v>
      </c>
      <c r="C565" s="5" t="str">
        <f t="array" ref="C565">IF(B565="","",INDEX(helper!$D$3:$D3996,MOD(ROW()-2,COUNTA(helper!$D$3:$D3996))+1))</f>
        <v>Vglobal</v>
      </c>
      <c r="D565" s="3" t="str">
        <f t="array" ref="D565">IF(B565="","",INDEX(helper!$E$3:$E3996,MOD(ROW()-2,COUNTA(helper!$D$3:$D3996))+1))</f>
        <v>CS 008</v>
      </c>
      <c r="E565" s="3">
        <f t="array" ref="E565">IF(B565="","",INDEX(helper!$F$3:$F3996,MOD(ROW()-2,COUNTA(helper!$D$3:$D3996))+1))</f>
        <v>12</v>
      </c>
      <c r="F565" s="3">
        <f>IF(B565="","",SUMIFS('inventory ledger'!$H:$H,'inventory ledger'!$C:$C,C565,'inventory ledger'!$D:$D,D565,'inventory ledger'!$E:$E,E565,'inventory ledger'!$A:$A,"&lt;="&amp;B565+TIME(23,59,59))-SUMIFS('inventory ledger'!$I:$I,'inventory ledger'!$C:$C,C565,'inventory ledger'!$D:$D,D565,'inventory ledger'!$E:$E,E565,'inventory ledger'!$A:$A,"&lt;="&amp;B565+TIME(23,59,59)))</f>
        <v>0</v>
      </c>
      <c r="G565" s="3">
        <f>IFERROR(__xludf.DUMMYFUNCTION("IF(F565&lt;=0,0,IFERROR(ROUNDUP(F565/INDEX(FILTER('warehouse config'!$D:$D,('warehouse config'!$B:$B=C565)*('warehouse config'!$C:$C=D565)*('warehouse config'!$G:$G&lt;=B565)*(('warehouse config'!$H:$H&gt;=B565)+ISBLANK('warehouse config'!$H:$H))),1)),0))"),0.0)</f>
        <v>0</v>
      </c>
      <c r="H565" s="3">
        <f>IFERROR(__xludf.DUMMYFUNCTION("IFERROR(INDEX(FILTER('cost master'!$E:$E,('cost master'!$B:$B=C565)*('cost master'!$D:$D=""Storage cost per pallet / week"")*('cost master'!$G:$G&lt;=B565)*(('cost master'!$H:$H&gt;=B565)+ISBLANK('cost master'!$H:$H))),1),0)"),2.6)</f>
        <v>2.6</v>
      </c>
      <c r="I565" s="3">
        <f t="shared" si="4"/>
        <v>0</v>
      </c>
      <c r="J565" s="27">
        <f t="shared" si="5"/>
        <v>45763</v>
      </c>
      <c r="K565" s="27">
        <f t="shared" si="6"/>
        <v>45792</v>
      </c>
    </row>
    <row r="566" hidden="1">
      <c r="A566" s="3" t="str">
        <f t="shared" si="3"/>
        <v>SL-20250428-Vglobal-CS 010-12</v>
      </c>
      <c r="B566" s="2">
        <f t="array" ref="B566">INDEX(helper!$A$3:$A3996,ROUNDUP((ROW()-1)/COUNTA(helper!$D$3:$D3996),0))</f>
        <v>45775</v>
      </c>
      <c r="C566" s="5" t="str">
        <f t="array" ref="C566">IF(B566="","",INDEX(helper!$D$3:$D3996,MOD(ROW()-2,COUNTA(helper!$D$3:$D3996))+1))</f>
        <v>Vglobal</v>
      </c>
      <c r="D566" s="3" t="str">
        <f t="array" ref="D566">IF(B566="","",INDEX(helper!$E$3:$E3996,MOD(ROW()-2,COUNTA(helper!$D$3:$D3996))+1))</f>
        <v>CS 010</v>
      </c>
      <c r="E566" s="3">
        <f t="array" ref="E566">IF(B566="","",INDEX(helper!$F$3:$F3996,MOD(ROW()-2,COUNTA(helper!$D$3:$D3996))+1))</f>
        <v>12</v>
      </c>
      <c r="F566" s="3">
        <f>IF(B566="","",SUMIFS('inventory ledger'!$H:$H,'inventory ledger'!$C:$C,C566,'inventory ledger'!$D:$D,D566,'inventory ledger'!$E:$E,E566,'inventory ledger'!$A:$A,"&lt;="&amp;B566+TIME(23,59,59))-SUMIFS('inventory ledger'!$I:$I,'inventory ledger'!$C:$C,C566,'inventory ledger'!$D:$D,D566,'inventory ledger'!$E:$E,E566,'inventory ledger'!$A:$A,"&lt;="&amp;B566+TIME(23,59,59)))</f>
        <v>70</v>
      </c>
      <c r="G566" s="3">
        <f>IFERROR(__xludf.DUMMYFUNCTION("IF(F566&lt;=0,0,IFERROR(ROUNDUP(F566/INDEX(FILTER('warehouse config'!$D:$D,('warehouse config'!$B:$B=C566)*('warehouse config'!$C:$C=D566)*('warehouse config'!$G:$G&lt;=B566)*(('warehouse config'!$H:$H&gt;=B566)+ISBLANK('warehouse config'!$H:$H))),1)),0))"),3.0)</f>
        <v>3</v>
      </c>
      <c r="H566" s="3">
        <f>IFERROR(__xludf.DUMMYFUNCTION("IFERROR(INDEX(FILTER('cost master'!$E:$E,('cost master'!$B:$B=C566)*('cost master'!$D:$D=""Storage cost per pallet / week"")*('cost master'!$G:$G&lt;=B566)*(('cost master'!$H:$H&gt;=B566)+ISBLANK('cost master'!$H:$H))),1),0)"),2.6)</f>
        <v>2.6</v>
      </c>
      <c r="I566" s="3">
        <f t="shared" si="4"/>
        <v>7.8</v>
      </c>
      <c r="J566" s="27">
        <f t="shared" si="5"/>
        <v>45763</v>
      </c>
      <c r="K566" s="27">
        <f t="shared" si="6"/>
        <v>45792</v>
      </c>
    </row>
    <row r="567" hidden="1">
      <c r="A567" s="3" t="str">
        <f t="shared" si="3"/>
        <v>SL-20250428-Vglobal-CS 009-12</v>
      </c>
      <c r="B567" s="2">
        <f t="array" ref="B567">INDEX(helper!$A$3:$A3996,ROUNDUP((ROW()-1)/COUNTA(helper!$D$3:$D3996),0))</f>
        <v>45775</v>
      </c>
      <c r="C567" s="5" t="str">
        <f t="array" ref="C567">IF(B567="","",INDEX(helper!$D$3:$D3996,MOD(ROW()-2,COUNTA(helper!$D$3:$D3996))+1))</f>
        <v>Vglobal</v>
      </c>
      <c r="D567" s="3" t="str">
        <f t="array" ref="D567">IF(B567="","",INDEX(helper!$E$3:$E3996,MOD(ROW()-2,COUNTA(helper!$D$3:$D3996))+1))</f>
        <v>CS 009</v>
      </c>
      <c r="E567" s="3">
        <f t="array" ref="E567">IF(B567="","",INDEX(helper!$F$3:$F3996,MOD(ROW()-2,COUNTA(helper!$D$3:$D3996))+1))</f>
        <v>12</v>
      </c>
      <c r="F567" s="3">
        <f>IF(B567="","",SUMIFS('inventory ledger'!$H:$H,'inventory ledger'!$C:$C,C567,'inventory ledger'!$D:$D,D567,'inventory ledger'!$E:$E,E567,'inventory ledger'!$A:$A,"&lt;="&amp;B567+TIME(23,59,59))-SUMIFS('inventory ledger'!$I:$I,'inventory ledger'!$C:$C,C567,'inventory ledger'!$D:$D,D567,'inventory ledger'!$E:$E,E567,'inventory ledger'!$A:$A,"&lt;="&amp;B567+TIME(23,59,59)))</f>
        <v>0</v>
      </c>
      <c r="G567" s="3">
        <f>IFERROR(__xludf.DUMMYFUNCTION("IF(F567&lt;=0,0,IFERROR(ROUNDUP(F567/INDEX(FILTER('warehouse config'!$D:$D,('warehouse config'!$B:$B=C567)*('warehouse config'!$C:$C=D567)*('warehouse config'!$G:$G&lt;=B567)*(('warehouse config'!$H:$H&gt;=B567)+ISBLANK('warehouse config'!$H:$H))),1)),0))"),0.0)</f>
        <v>0</v>
      </c>
      <c r="H567" s="3">
        <f>IFERROR(__xludf.DUMMYFUNCTION("IFERROR(INDEX(FILTER('cost master'!$E:$E,('cost master'!$B:$B=C567)*('cost master'!$D:$D=""Storage cost per pallet / week"")*('cost master'!$G:$G&lt;=B567)*(('cost master'!$H:$H&gt;=B567)+ISBLANK('cost master'!$H:$H))),1),0)"),2.6)</f>
        <v>2.6</v>
      </c>
      <c r="I567" s="3">
        <f t="shared" si="4"/>
        <v>0</v>
      </c>
      <c r="J567" s="27">
        <f t="shared" si="5"/>
        <v>45763</v>
      </c>
      <c r="K567" s="27">
        <f t="shared" si="6"/>
        <v>45792</v>
      </c>
    </row>
    <row r="568" hidden="1">
      <c r="A568" s="3" t="str">
        <f t="shared" si="3"/>
        <v>SL-20250428-Vglobal-CS 012-12</v>
      </c>
      <c r="B568" s="2">
        <f t="array" ref="B568">INDEX(helper!$A$3:$A3996,ROUNDUP((ROW()-1)/COUNTA(helper!$D$3:$D3996),0))</f>
        <v>45775</v>
      </c>
      <c r="C568" s="5" t="str">
        <f t="array" ref="C568">IF(B568="","",INDEX(helper!$D$3:$D3996,MOD(ROW()-2,COUNTA(helper!$D$3:$D3996))+1))</f>
        <v>Vglobal</v>
      </c>
      <c r="D568" s="3" t="str">
        <f t="array" ref="D568">IF(B568="","",INDEX(helper!$E$3:$E3996,MOD(ROW()-2,COUNTA(helper!$D$3:$D3996))+1))</f>
        <v>CS 012</v>
      </c>
      <c r="E568" s="3">
        <f t="array" ref="E568">IF(B568="","",INDEX(helper!$F$3:$F3996,MOD(ROW()-2,COUNTA(helper!$D$3:$D3996))+1))</f>
        <v>12</v>
      </c>
      <c r="F568" s="3">
        <f>IF(B568="","",SUMIFS('inventory ledger'!$H:$H,'inventory ledger'!$C:$C,C568,'inventory ledger'!$D:$D,D568,'inventory ledger'!$E:$E,E568,'inventory ledger'!$A:$A,"&lt;="&amp;B568+TIME(23,59,59))-SUMIFS('inventory ledger'!$I:$I,'inventory ledger'!$C:$C,C568,'inventory ledger'!$D:$D,D568,'inventory ledger'!$E:$E,E568,'inventory ledger'!$A:$A,"&lt;="&amp;B568+TIME(23,59,59)))</f>
        <v>0</v>
      </c>
      <c r="G568" s="3">
        <f>IFERROR(__xludf.DUMMYFUNCTION("IF(F568&lt;=0,0,IFERROR(ROUNDUP(F568/INDEX(FILTER('warehouse config'!$D:$D,('warehouse config'!$B:$B=C568)*('warehouse config'!$C:$C=D568)*('warehouse config'!$G:$G&lt;=B568)*(('warehouse config'!$H:$H&gt;=B568)+ISBLANK('warehouse config'!$H:$H))),1)),0))"),0.0)</f>
        <v>0</v>
      </c>
      <c r="H568" s="3">
        <f>IFERROR(__xludf.DUMMYFUNCTION("IFERROR(INDEX(FILTER('cost master'!$E:$E,('cost master'!$B:$B=C568)*('cost master'!$D:$D=""Storage cost per pallet / week"")*('cost master'!$G:$G&lt;=B568)*(('cost master'!$H:$H&gt;=B568)+ISBLANK('cost master'!$H:$H))),1),0)"),2.6)</f>
        <v>2.6</v>
      </c>
      <c r="I568" s="3">
        <f t="shared" si="4"/>
        <v>0</v>
      </c>
      <c r="J568" s="27">
        <f t="shared" si="5"/>
        <v>45763</v>
      </c>
      <c r="K568" s="27">
        <f t="shared" si="6"/>
        <v>45792</v>
      </c>
    </row>
    <row r="569" hidden="1">
      <c r="A569" s="3" t="str">
        <f t="shared" si="3"/>
        <v>SL-20250428-Vglobal-CS-CDS-001-3</v>
      </c>
      <c r="B569" s="2">
        <f t="array" ref="B569">INDEX(helper!$A$3:$A3996,ROUNDUP((ROW()-1)/COUNTA(helper!$D$3:$D3996),0))</f>
        <v>45775</v>
      </c>
      <c r="C569" s="5" t="str">
        <f t="array" ref="C569">IF(B569="","",INDEX(helper!$D$3:$D3996,MOD(ROW()-2,COUNTA(helper!$D$3:$D3996))+1))</f>
        <v>Vglobal</v>
      </c>
      <c r="D569" s="3" t="str">
        <f t="array" ref="D569">IF(B569="","",INDEX(helper!$E$3:$E3996,MOD(ROW()-2,COUNTA(helper!$D$3:$D3996))+1))</f>
        <v>CS-CDS-001</v>
      </c>
      <c r="E569" s="3">
        <f t="array" ref="E569">IF(B569="","",INDEX(helper!$F$3:$F3996,MOD(ROW()-2,COUNTA(helper!$D$3:$D3996))+1))</f>
        <v>3</v>
      </c>
      <c r="F569" s="3">
        <f>IF(B569="","",SUMIFS('inventory ledger'!$H:$H,'inventory ledger'!$C:$C,C569,'inventory ledger'!$D:$D,D569,'inventory ledger'!$E:$E,E569,'inventory ledger'!$A:$A,"&lt;="&amp;B569+TIME(23,59,59))-SUMIFS('inventory ledger'!$I:$I,'inventory ledger'!$C:$C,C569,'inventory ledger'!$D:$D,D569,'inventory ledger'!$E:$E,E569,'inventory ledger'!$A:$A,"&lt;="&amp;B569+TIME(23,59,59)))</f>
        <v>1</v>
      </c>
      <c r="G569" s="3">
        <f>IFERROR(__xludf.DUMMYFUNCTION("IF(F569&lt;=0,0,IFERROR(ROUNDUP(F569/INDEX(FILTER('warehouse config'!$D:$D,('warehouse config'!$B:$B=C569)*('warehouse config'!$C:$C=D569)*('warehouse config'!$G:$G&lt;=B569)*(('warehouse config'!$H:$H&gt;=B569)+ISBLANK('warehouse config'!$H:$H))),1)),0))"),1.0)</f>
        <v>1</v>
      </c>
      <c r="H569" s="3">
        <f>IFERROR(__xludf.DUMMYFUNCTION("IFERROR(INDEX(FILTER('cost master'!$E:$E,('cost master'!$B:$B=C569)*('cost master'!$D:$D=""Storage cost per pallet / week"")*('cost master'!$G:$G&lt;=B569)*(('cost master'!$H:$H&gt;=B569)+ISBLANK('cost master'!$H:$H))),1),0)"),2.6)</f>
        <v>2.6</v>
      </c>
      <c r="I569" s="3">
        <f t="shared" si="4"/>
        <v>2.6</v>
      </c>
      <c r="J569" s="27">
        <f t="shared" si="5"/>
        <v>45763</v>
      </c>
      <c r="K569" s="27">
        <f t="shared" si="6"/>
        <v>45792</v>
      </c>
    </row>
    <row r="570" hidden="1">
      <c r="A570" s="3" t="str">
        <f t="shared" si="3"/>
        <v>SL-20250428-Vglobal-CS-CDS-002-3</v>
      </c>
      <c r="B570" s="2">
        <f t="array" ref="B570">INDEX(helper!$A$3:$A3996,ROUNDUP((ROW()-1)/COUNTA(helper!$D$3:$D3996),0))</f>
        <v>45775</v>
      </c>
      <c r="C570" s="5" t="str">
        <f t="array" ref="C570">IF(B570="","",INDEX(helper!$D$3:$D3996,MOD(ROW()-2,COUNTA(helper!$D$3:$D3996))+1))</f>
        <v>Vglobal</v>
      </c>
      <c r="D570" s="3" t="str">
        <f t="array" ref="D570">IF(B570="","",INDEX(helper!$E$3:$E3996,MOD(ROW()-2,COUNTA(helper!$D$3:$D3996))+1))</f>
        <v>CS-CDS-002</v>
      </c>
      <c r="E570" s="3">
        <f t="array" ref="E570">IF(B570="","",INDEX(helper!$F$3:$F3996,MOD(ROW()-2,COUNTA(helper!$D$3:$D3996))+1))</f>
        <v>3</v>
      </c>
      <c r="F570" s="3">
        <f>IF(B570="","",SUMIFS('inventory ledger'!$H:$H,'inventory ledger'!$C:$C,C570,'inventory ledger'!$D:$D,D570,'inventory ledger'!$E:$E,E570,'inventory ledger'!$A:$A,"&lt;="&amp;B570+TIME(23,59,59))-SUMIFS('inventory ledger'!$I:$I,'inventory ledger'!$C:$C,C570,'inventory ledger'!$D:$D,D570,'inventory ledger'!$E:$E,E570,'inventory ledger'!$A:$A,"&lt;="&amp;B570+TIME(23,59,59)))</f>
        <v>0</v>
      </c>
      <c r="G570" s="3">
        <f>IFERROR(__xludf.DUMMYFUNCTION("IF(F570&lt;=0,0,IFERROR(ROUNDUP(F570/INDEX(FILTER('warehouse config'!$D:$D,('warehouse config'!$B:$B=C570)*('warehouse config'!$C:$C=D570)*('warehouse config'!$G:$G&lt;=B570)*(('warehouse config'!$H:$H&gt;=B570)+ISBLANK('warehouse config'!$H:$H))),1)),0))"),0.0)</f>
        <v>0</v>
      </c>
      <c r="H570" s="3">
        <f>IFERROR(__xludf.DUMMYFUNCTION("IFERROR(INDEX(FILTER('cost master'!$E:$E,('cost master'!$B:$B=C570)*('cost master'!$D:$D=""Storage cost per pallet / week"")*('cost master'!$G:$G&lt;=B570)*(('cost master'!$H:$H&gt;=B570)+ISBLANK('cost master'!$H:$H))),1),0)"),2.6)</f>
        <v>2.6</v>
      </c>
      <c r="I570" s="3">
        <f t="shared" si="4"/>
        <v>0</v>
      </c>
      <c r="J570" s="27">
        <f t="shared" si="5"/>
        <v>45763</v>
      </c>
      <c r="K570" s="27">
        <f t="shared" si="6"/>
        <v>45792</v>
      </c>
    </row>
    <row r="571" hidden="1">
      <c r="A571" s="3" t="str">
        <f t="shared" si="3"/>
        <v>SL-20250428-4as-CS-CDS-001-4</v>
      </c>
      <c r="B571" s="2">
        <f t="array" ref="B571">INDEX(helper!$A$3:$A3996,ROUNDUP((ROW()-1)/COUNTA(helper!$D$3:$D3996),0))</f>
        <v>45775</v>
      </c>
      <c r="C571" s="5" t="str">
        <f t="array" ref="C571">IF(B571="","",INDEX(helper!$D$3:$D3996,MOD(ROW()-2,COUNTA(helper!$D$3:$D3996))+1))</f>
        <v>4as</v>
      </c>
      <c r="D571" s="3" t="str">
        <f t="array" ref="D571">IF(B571="","",INDEX(helper!$E$3:$E3996,MOD(ROW()-2,COUNTA(helper!$D$3:$D3996))+1))</f>
        <v>CS-CDS-001</v>
      </c>
      <c r="E571" s="3">
        <f t="array" ref="E571">IF(B571="","",INDEX(helper!$F$3:$F3996,MOD(ROW()-2,COUNTA(helper!$D$3:$D3996))+1))</f>
        <v>4</v>
      </c>
      <c r="F571" s="3">
        <f>IF(B571="","",SUMIFS('inventory ledger'!$H:$H,'inventory ledger'!$C:$C,C571,'inventory ledger'!$D:$D,D571,'inventory ledger'!$E:$E,E571,'inventory ledger'!$A:$A,"&lt;="&amp;B571+TIME(23,59,59))-SUMIFS('inventory ledger'!$I:$I,'inventory ledger'!$C:$C,C571,'inventory ledger'!$D:$D,D571,'inventory ledger'!$E:$E,E571,'inventory ledger'!$A:$A,"&lt;="&amp;B571+TIME(23,59,59)))</f>
        <v>28</v>
      </c>
      <c r="G571" s="3">
        <f>IFERROR(__xludf.DUMMYFUNCTION("IF(F571&lt;=0,0,IFERROR(ROUNDUP(F571/INDEX(FILTER('warehouse config'!$D:$D,('warehouse config'!$B:$B=C571)*('warehouse config'!$C:$C=D571)*('warehouse config'!$G:$G&lt;=B571)*(('warehouse config'!$H:$H&gt;=B571)+ISBLANK('warehouse config'!$H:$H))),1)),0))"),2.0)</f>
        <v>2</v>
      </c>
      <c r="H571" s="3">
        <f>IFERROR(__xludf.DUMMYFUNCTION("IFERROR(INDEX(FILTER('cost master'!$E:$E,('cost master'!$B:$B=C571)*('cost master'!$D:$D=""Storage cost per pallet / week"")*('cost master'!$G:$G&lt;=B571)*(('cost master'!$H:$H&gt;=B571)+ISBLANK('cost master'!$H:$H))),1),0)"),9.0)</f>
        <v>9</v>
      </c>
      <c r="I571" s="3">
        <f t="shared" si="4"/>
        <v>18</v>
      </c>
      <c r="J571" s="27">
        <f t="shared" si="5"/>
        <v>45763</v>
      </c>
      <c r="K571" s="27">
        <f t="shared" si="6"/>
        <v>45792</v>
      </c>
    </row>
    <row r="572" hidden="1">
      <c r="A572" s="3" t="str">
        <f t="shared" si="3"/>
        <v>SL-20250428-4as-CS-CDS-002-4</v>
      </c>
      <c r="B572" s="2">
        <f t="array" ref="B572">INDEX(helper!$A$3:$A3996,ROUNDUP((ROW()-1)/COUNTA(helper!$D$3:$D3996),0))</f>
        <v>45775</v>
      </c>
      <c r="C572" s="5" t="str">
        <f t="array" ref="C572">IF(B572="","",INDEX(helper!$D$3:$D3996,MOD(ROW()-2,COUNTA(helper!$D$3:$D3996))+1))</f>
        <v>4as</v>
      </c>
      <c r="D572" s="3" t="str">
        <f t="array" ref="D572">IF(B572="","",INDEX(helper!$E$3:$E3996,MOD(ROW()-2,COUNTA(helper!$D$3:$D3996))+1))</f>
        <v>CS-CDS-002</v>
      </c>
      <c r="E572" s="3">
        <f t="array" ref="E572">IF(B572="","",INDEX(helper!$F$3:$F3996,MOD(ROW()-2,COUNTA(helper!$D$3:$D3996))+1))</f>
        <v>4</v>
      </c>
      <c r="F572" s="3">
        <f>IF(B572="","",SUMIFS('inventory ledger'!$H:$H,'inventory ledger'!$C:$C,C572,'inventory ledger'!$D:$D,D572,'inventory ledger'!$E:$E,E572,'inventory ledger'!$A:$A,"&lt;="&amp;B572+TIME(23,59,59))-SUMIFS('inventory ledger'!$I:$I,'inventory ledger'!$C:$C,C572,'inventory ledger'!$D:$D,D572,'inventory ledger'!$E:$E,E572,'inventory ledger'!$A:$A,"&lt;="&amp;B572+TIME(23,59,59)))</f>
        <v>0</v>
      </c>
      <c r="G572" s="3">
        <f>IFERROR(__xludf.DUMMYFUNCTION("IF(F572&lt;=0,0,IFERROR(ROUNDUP(F572/INDEX(FILTER('warehouse config'!$D:$D,('warehouse config'!$B:$B=C572)*('warehouse config'!$C:$C=D572)*('warehouse config'!$G:$G&lt;=B572)*(('warehouse config'!$H:$H&gt;=B572)+ISBLANK('warehouse config'!$H:$H))),1)),0))"),0.0)</f>
        <v>0</v>
      </c>
      <c r="H572" s="3">
        <f>IFERROR(__xludf.DUMMYFUNCTION("IFERROR(INDEX(FILTER('cost master'!$E:$E,('cost master'!$B:$B=C572)*('cost master'!$D:$D=""Storage cost per pallet / week"")*('cost master'!$G:$G&lt;=B572)*(('cost master'!$H:$H&gt;=B572)+ISBLANK('cost master'!$H:$H))),1),0)"),9.0)</f>
        <v>9</v>
      </c>
      <c r="I572" s="3">
        <f t="shared" si="4"/>
        <v>0</v>
      </c>
      <c r="J572" s="27">
        <f t="shared" si="5"/>
        <v>45763</v>
      </c>
      <c r="K572" s="27">
        <f t="shared" si="6"/>
        <v>45792</v>
      </c>
    </row>
    <row r="573" hidden="1">
      <c r="A573" s="3" t="str">
        <f t="shared" si="3"/>
        <v>SL-20250428-Vglobal-CS 007-13</v>
      </c>
      <c r="B573" s="2">
        <f t="array" ref="B573">INDEX(helper!$A$3:$A3996,ROUNDUP((ROW()-1)/COUNTA(helper!$D$3:$D3996),0))</f>
        <v>45775</v>
      </c>
      <c r="C573" s="5" t="str">
        <f t="array" ref="C573">IF(B573="","",INDEX(helper!$D$3:$D3996,MOD(ROW()-2,COUNTA(helper!$D$3:$D3996))+1))</f>
        <v>Vglobal</v>
      </c>
      <c r="D573" s="3" t="str">
        <f t="array" ref="D573">IF(B573="","",INDEX(helper!$E$3:$E3996,MOD(ROW()-2,COUNTA(helper!$D$3:$D3996))+1))</f>
        <v>CS 007</v>
      </c>
      <c r="E573" s="3">
        <f t="array" ref="E573">IF(B573="","",INDEX(helper!$F$3:$F3996,MOD(ROW()-2,COUNTA(helper!$D$3:$D3996))+1))</f>
        <v>13</v>
      </c>
      <c r="F573" s="3">
        <f>IF(B573="","",SUMIFS('inventory ledger'!$H:$H,'inventory ledger'!$C:$C,C573,'inventory ledger'!$D:$D,D573,'inventory ledger'!$E:$E,E573,'inventory ledger'!$A:$A,"&lt;="&amp;B573+TIME(23,59,59))-SUMIFS('inventory ledger'!$I:$I,'inventory ledger'!$C:$C,C573,'inventory ledger'!$D:$D,D573,'inventory ledger'!$E:$E,E573,'inventory ledger'!$A:$A,"&lt;="&amp;B573+TIME(23,59,59)))</f>
        <v>207</v>
      </c>
      <c r="G573" s="3">
        <f>IFERROR(__xludf.DUMMYFUNCTION("IF(F573&lt;=0,0,IFERROR(ROUNDUP(F573/INDEX(FILTER('warehouse config'!$D:$D,('warehouse config'!$B:$B=C573)*('warehouse config'!$C:$C=D573)*('warehouse config'!$G:$G&lt;=B573)*(('warehouse config'!$H:$H&gt;=B573)+ISBLANK('warehouse config'!$H:$H))),1)),0))"),13.0)</f>
        <v>13</v>
      </c>
      <c r="H573" s="3">
        <f>IFERROR(__xludf.DUMMYFUNCTION("IFERROR(INDEX(FILTER('cost master'!$E:$E,('cost master'!$B:$B=C573)*('cost master'!$D:$D=""Storage cost per pallet / week"")*('cost master'!$G:$G&lt;=B573)*(('cost master'!$H:$H&gt;=B573)+ISBLANK('cost master'!$H:$H))),1),0)"),2.6)</f>
        <v>2.6</v>
      </c>
      <c r="I573" s="3">
        <f t="shared" si="4"/>
        <v>33.8</v>
      </c>
      <c r="J573" s="27">
        <f t="shared" si="5"/>
        <v>45763</v>
      </c>
      <c r="K573" s="27">
        <f t="shared" si="6"/>
        <v>45792</v>
      </c>
    </row>
    <row r="574" hidden="1">
      <c r="A574" s="3" t="str">
        <f t="shared" si="3"/>
        <v>SL-20250428-Vglobal-CS 011-13</v>
      </c>
      <c r="B574" s="2">
        <f t="array" ref="B574">INDEX(helper!$A$3:$A3996,ROUNDUP((ROW()-1)/COUNTA(helper!$D$3:$D3996),0))</f>
        <v>45775</v>
      </c>
      <c r="C574" s="5" t="str">
        <f t="array" ref="C574">IF(B574="","",INDEX(helper!$D$3:$D3996,MOD(ROW()-2,COUNTA(helper!$D$3:$D3996))+1))</f>
        <v>Vglobal</v>
      </c>
      <c r="D574" s="3" t="str">
        <f t="array" ref="D574">IF(B574="","",INDEX(helper!$E$3:$E3996,MOD(ROW()-2,COUNTA(helper!$D$3:$D3996))+1))</f>
        <v>CS 011</v>
      </c>
      <c r="E574" s="3">
        <f t="array" ref="E574">IF(B574="","",INDEX(helper!$F$3:$F3996,MOD(ROW()-2,COUNTA(helper!$D$3:$D3996))+1))</f>
        <v>13</v>
      </c>
      <c r="F574" s="3">
        <f>IF(B574="","",SUMIFS('inventory ledger'!$H:$H,'inventory ledger'!$C:$C,C574,'inventory ledger'!$D:$D,D574,'inventory ledger'!$E:$E,E574,'inventory ledger'!$A:$A,"&lt;="&amp;B574+TIME(23,59,59))-SUMIFS('inventory ledger'!$I:$I,'inventory ledger'!$C:$C,C574,'inventory ledger'!$D:$D,D574,'inventory ledger'!$E:$E,E574,'inventory ledger'!$A:$A,"&lt;="&amp;B574+TIME(23,59,59)))</f>
        <v>64</v>
      </c>
      <c r="G574" s="3">
        <f>IFERROR(__xludf.DUMMYFUNCTION("IF(F574&lt;=0,0,IFERROR(ROUNDUP(F574/INDEX(FILTER('warehouse config'!$D:$D,('warehouse config'!$B:$B=C574)*('warehouse config'!$C:$C=D574)*('warehouse config'!$G:$G&lt;=B574)*(('warehouse config'!$H:$H&gt;=B574)+ISBLANK('warehouse config'!$H:$H))),1)),0))"),4.0)</f>
        <v>4</v>
      </c>
      <c r="H574" s="3">
        <f>IFERROR(__xludf.DUMMYFUNCTION("IFERROR(INDEX(FILTER('cost master'!$E:$E,('cost master'!$B:$B=C574)*('cost master'!$D:$D=""Storage cost per pallet / week"")*('cost master'!$G:$G&lt;=B574)*(('cost master'!$H:$H&gt;=B574)+ISBLANK('cost master'!$H:$H))),1),0)"),2.6)</f>
        <v>2.6</v>
      </c>
      <c r="I574" s="3">
        <f t="shared" si="4"/>
        <v>10.4</v>
      </c>
      <c r="J574" s="27">
        <f t="shared" si="5"/>
        <v>45763</v>
      </c>
      <c r="K574" s="27">
        <f t="shared" si="6"/>
        <v>45792</v>
      </c>
    </row>
    <row r="575" hidden="1">
      <c r="A575" s="3" t="str">
        <f t="shared" si="3"/>
        <v>SL-20250428-Vglobal-CS 008-13</v>
      </c>
      <c r="B575" s="2">
        <f t="array" ref="B575">INDEX(helper!$A$3:$A3996,ROUNDUP((ROW()-1)/COUNTA(helper!$D$3:$D3996),0))</f>
        <v>45775</v>
      </c>
      <c r="C575" s="5" t="str">
        <f t="array" ref="C575">IF(B575="","",INDEX(helper!$D$3:$D3996,MOD(ROW()-2,COUNTA(helper!$D$3:$D3996))+1))</f>
        <v>Vglobal</v>
      </c>
      <c r="D575" s="3" t="str">
        <f t="array" ref="D575">IF(B575="","",INDEX(helper!$E$3:$E3996,MOD(ROW()-2,COUNTA(helper!$D$3:$D3996))+1))</f>
        <v>CS 008</v>
      </c>
      <c r="E575" s="3">
        <f t="array" ref="E575">IF(B575="","",INDEX(helper!$F$3:$F3996,MOD(ROW()-2,COUNTA(helper!$D$3:$D3996))+1))</f>
        <v>13</v>
      </c>
      <c r="F575" s="3">
        <f>IF(B575="","",SUMIFS('inventory ledger'!$H:$H,'inventory ledger'!$C:$C,C575,'inventory ledger'!$D:$D,D575,'inventory ledger'!$E:$E,E575,'inventory ledger'!$A:$A,"&lt;="&amp;B575+TIME(23,59,59))-SUMIFS('inventory ledger'!$I:$I,'inventory ledger'!$C:$C,C575,'inventory ledger'!$D:$D,D575,'inventory ledger'!$E:$E,E575,'inventory ledger'!$A:$A,"&lt;="&amp;B575+TIME(23,59,59)))</f>
        <v>20</v>
      </c>
      <c r="G575" s="3">
        <f>IFERROR(__xludf.DUMMYFUNCTION("IF(F575&lt;=0,0,IFERROR(ROUNDUP(F575/INDEX(FILTER('warehouse config'!$D:$D,('warehouse config'!$B:$B=C575)*('warehouse config'!$C:$C=D575)*('warehouse config'!$G:$G&lt;=B575)*(('warehouse config'!$H:$H&gt;=B575)+ISBLANK('warehouse config'!$H:$H))),1)),0))"),1.0)</f>
        <v>1</v>
      </c>
      <c r="H575" s="3">
        <f>IFERROR(__xludf.DUMMYFUNCTION("IFERROR(INDEX(FILTER('cost master'!$E:$E,('cost master'!$B:$B=C575)*('cost master'!$D:$D=""Storage cost per pallet / week"")*('cost master'!$G:$G&lt;=B575)*(('cost master'!$H:$H&gt;=B575)+ISBLANK('cost master'!$H:$H))),1),0)"),2.6)</f>
        <v>2.6</v>
      </c>
      <c r="I575" s="3">
        <f t="shared" si="4"/>
        <v>2.6</v>
      </c>
      <c r="J575" s="27">
        <f t="shared" si="5"/>
        <v>45763</v>
      </c>
      <c r="K575" s="27">
        <f t="shared" si="6"/>
        <v>45792</v>
      </c>
    </row>
    <row r="576" hidden="1">
      <c r="A576" s="3" t="str">
        <f t="shared" si="3"/>
        <v>SL-20250428-Vglobal-CS 010-13</v>
      </c>
      <c r="B576" s="2">
        <f t="array" ref="B576">INDEX(helper!$A$3:$A3996,ROUNDUP((ROW()-1)/COUNTA(helper!$D$3:$D3996),0))</f>
        <v>45775</v>
      </c>
      <c r="C576" s="5" t="str">
        <f t="array" ref="C576">IF(B576="","",INDEX(helper!$D$3:$D3996,MOD(ROW()-2,COUNTA(helper!$D$3:$D3996))+1))</f>
        <v>Vglobal</v>
      </c>
      <c r="D576" s="3" t="str">
        <f t="array" ref="D576">IF(B576="","",INDEX(helper!$E$3:$E3996,MOD(ROW()-2,COUNTA(helper!$D$3:$D3996))+1))</f>
        <v>CS 010</v>
      </c>
      <c r="E576" s="3">
        <f t="array" ref="E576">IF(B576="","",INDEX(helper!$F$3:$F3996,MOD(ROW()-2,COUNTA(helper!$D$3:$D3996))+1))</f>
        <v>13</v>
      </c>
      <c r="F576" s="3">
        <f>IF(B576="","",SUMIFS('inventory ledger'!$H:$H,'inventory ledger'!$C:$C,C576,'inventory ledger'!$D:$D,D576,'inventory ledger'!$E:$E,E576,'inventory ledger'!$A:$A,"&lt;="&amp;B576+TIME(23,59,59))-SUMIFS('inventory ledger'!$I:$I,'inventory ledger'!$C:$C,C576,'inventory ledger'!$D:$D,D576,'inventory ledger'!$E:$E,E576,'inventory ledger'!$A:$A,"&lt;="&amp;B576+TIME(23,59,59)))</f>
        <v>80</v>
      </c>
      <c r="G576" s="3">
        <f>IFERROR(__xludf.DUMMYFUNCTION("IF(F576&lt;=0,0,IFERROR(ROUNDUP(F576/INDEX(FILTER('warehouse config'!$D:$D,('warehouse config'!$B:$B=C576)*('warehouse config'!$C:$C=D576)*('warehouse config'!$G:$G&lt;=B576)*(('warehouse config'!$H:$H&gt;=B576)+ISBLANK('warehouse config'!$H:$H))),1)),0))"),4.0)</f>
        <v>4</v>
      </c>
      <c r="H576" s="3">
        <f>IFERROR(__xludf.DUMMYFUNCTION("IFERROR(INDEX(FILTER('cost master'!$E:$E,('cost master'!$B:$B=C576)*('cost master'!$D:$D=""Storage cost per pallet / week"")*('cost master'!$G:$G&lt;=B576)*(('cost master'!$H:$H&gt;=B576)+ISBLANK('cost master'!$H:$H))),1),0)"),2.6)</f>
        <v>2.6</v>
      </c>
      <c r="I576" s="3">
        <f t="shared" si="4"/>
        <v>10.4</v>
      </c>
      <c r="J576" s="27">
        <f t="shared" si="5"/>
        <v>45763</v>
      </c>
      <c r="K576" s="27">
        <f t="shared" si="6"/>
        <v>45792</v>
      </c>
    </row>
    <row r="577" hidden="1">
      <c r="A577" s="3" t="str">
        <f t="shared" si="3"/>
        <v>SL-20250428-Vglobal-CS 009-13</v>
      </c>
      <c r="B577" s="2">
        <f t="array" ref="B577">INDEX(helper!$A$3:$A3996,ROUNDUP((ROW()-1)/COUNTA(helper!$D$3:$D3996),0))</f>
        <v>45775</v>
      </c>
      <c r="C577" s="5" t="str">
        <f t="array" ref="C577">IF(B577="","",INDEX(helper!$D$3:$D3996,MOD(ROW()-2,COUNTA(helper!$D$3:$D3996))+1))</f>
        <v>Vglobal</v>
      </c>
      <c r="D577" s="3" t="str">
        <f t="array" ref="D577">IF(B577="","",INDEX(helper!$E$3:$E3996,MOD(ROW()-2,COUNTA(helper!$D$3:$D3996))+1))</f>
        <v>CS 009</v>
      </c>
      <c r="E577" s="3">
        <f t="array" ref="E577">IF(B577="","",INDEX(helper!$F$3:$F3996,MOD(ROW()-2,COUNTA(helper!$D$3:$D3996))+1))</f>
        <v>13</v>
      </c>
      <c r="F577" s="3">
        <f>IF(B577="","",SUMIFS('inventory ledger'!$H:$H,'inventory ledger'!$C:$C,C577,'inventory ledger'!$D:$D,D577,'inventory ledger'!$E:$E,E577,'inventory ledger'!$A:$A,"&lt;="&amp;B577+TIME(23,59,59))-SUMIFS('inventory ledger'!$I:$I,'inventory ledger'!$C:$C,C577,'inventory ledger'!$D:$D,D577,'inventory ledger'!$E:$E,E577,'inventory ledger'!$A:$A,"&lt;="&amp;B577+TIME(23,59,59)))</f>
        <v>0</v>
      </c>
      <c r="G577" s="3">
        <f>IFERROR(__xludf.DUMMYFUNCTION("IF(F577&lt;=0,0,IFERROR(ROUNDUP(F577/INDEX(FILTER('warehouse config'!$D:$D,('warehouse config'!$B:$B=C577)*('warehouse config'!$C:$C=D577)*('warehouse config'!$G:$G&lt;=B577)*(('warehouse config'!$H:$H&gt;=B577)+ISBLANK('warehouse config'!$H:$H))),1)),0))"),0.0)</f>
        <v>0</v>
      </c>
      <c r="H577" s="3">
        <f>IFERROR(__xludf.DUMMYFUNCTION("IFERROR(INDEX(FILTER('cost master'!$E:$E,('cost master'!$B:$B=C577)*('cost master'!$D:$D=""Storage cost per pallet / week"")*('cost master'!$G:$G&lt;=B577)*(('cost master'!$H:$H&gt;=B577)+ISBLANK('cost master'!$H:$H))),1),0)"),2.6)</f>
        <v>2.6</v>
      </c>
      <c r="I577" s="3">
        <f t="shared" si="4"/>
        <v>0</v>
      </c>
      <c r="J577" s="27">
        <f t="shared" si="5"/>
        <v>45763</v>
      </c>
      <c r="K577" s="27">
        <f t="shared" si="6"/>
        <v>45792</v>
      </c>
    </row>
    <row r="578" hidden="1">
      <c r="A578" s="3" t="str">
        <f t="shared" si="3"/>
        <v>SL-20250428-Vglobal-CS 012-13</v>
      </c>
      <c r="B578" s="2">
        <f t="array" ref="B578">INDEX(helper!$A$3:$A3996,ROUNDUP((ROW()-1)/COUNTA(helper!$D$3:$D3996),0))</f>
        <v>45775</v>
      </c>
      <c r="C578" s="5" t="str">
        <f t="array" ref="C578">IF(B578="","",INDEX(helper!$D$3:$D3996,MOD(ROW()-2,COUNTA(helper!$D$3:$D3996))+1))</f>
        <v>Vglobal</v>
      </c>
      <c r="D578" s="3" t="str">
        <f t="array" ref="D578">IF(B578="","",INDEX(helper!$E$3:$E3996,MOD(ROW()-2,COUNTA(helper!$D$3:$D3996))+1))</f>
        <v>CS 012</v>
      </c>
      <c r="E578" s="3">
        <f t="array" ref="E578">IF(B578="","",INDEX(helper!$F$3:$F3996,MOD(ROW()-2,COUNTA(helper!$D$3:$D3996))+1))</f>
        <v>13</v>
      </c>
      <c r="F578" s="3">
        <f>IF(B578="","",SUMIFS('inventory ledger'!$H:$H,'inventory ledger'!$C:$C,C578,'inventory ledger'!$D:$D,D578,'inventory ledger'!$E:$E,E578,'inventory ledger'!$A:$A,"&lt;="&amp;B578+TIME(23,59,59))-SUMIFS('inventory ledger'!$I:$I,'inventory ledger'!$C:$C,C578,'inventory ledger'!$D:$D,D578,'inventory ledger'!$E:$E,E578,'inventory ledger'!$A:$A,"&lt;="&amp;B578+TIME(23,59,59)))</f>
        <v>0</v>
      </c>
      <c r="G578" s="3">
        <f>IFERROR(__xludf.DUMMYFUNCTION("IF(F578&lt;=0,0,IFERROR(ROUNDUP(F578/INDEX(FILTER('warehouse config'!$D:$D,('warehouse config'!$B:$B=C578)*('warehouse config'!$C:$C=D578)*('warehouse config'!$G:$G&lt;=B578)*(('warehouse config'!$H:$H&gt;=B578)+ISBLANK('warehouse config'!$H:$H))),1)),0))"),0.0)</f>
        <v>0</v>
      </c>
      <c r="H578" s="3">
        <f>IFERROR(__xludf.DUMMYFUNCTION("IFERROR(INDEX(FILTER('cost master'!$E:$E,('cost master'!$B:$B=C578)*('cost master'!$D:$D=""Storage cost per pallet / week"")*('cost master'!$G:$G&lt;=B578)*(('cost master'!$H:$H&gt;=B578)+ISBLANK('cost master'!$H:$H))),1),0)"),2.6)</f>
        <v>2.6</v>
      </c>
      <c r="I578" s="3">
        <f t="shared" si="4"/>
        <v>0</v>
      </c>
      <c r="J578" s="27">
        <f t="shared" si="5"/>
        <v>45763</v>
      </c>
      <c r="K578" s="27">
        <f t="shared" si="6"/>
        <v>45792</v>
      </c>
    </row>
    <row r="579" hidden="1">
      <c r="A579" s="3" t="str">
        <f t="shared" si="3"/>
        <v>SL-20250428-FMC-CS 008-11</v>
      </c>
      <c r="B579" s="2">
        <f t="array" ref="B579">INDEX(helper!$A$3:$A3996,ROUNDUP((ROW()-1)/COUNTA(helper!$D$3:$D3996),0))</f>
        <v>45775</v>
      </c>
      <c r="C579" s="5" t="str">
        <f t="array" ref="C579">IF(B579="","",INDEX(helper!$D$3:$D3996,MOD(ROW()-2,COUNTA(helper!$D$3:$D3996))+1))</f>
        <v>FMC</v>
      </c>
      <c r="D579" s="3" t="str">
        <f t="array" ref="D579">IF(B579="","",INDEX(helper!$E$3:$E3996,MOD(ROW()-2,COUNTA(helper!$D$3:$D3996))+1))</f>
        <v>CS 008</v>
      </c>
      <c r="E579" s="3">
        <f t="array" ref="E579">IF(B579="","",INDEX(helper!$F$3:$F3996,MOD(ROW()-2,COUNTA(helper!$D$3:$D3996))+1))</f>
        <v>11</v>
      </c>
      <c r="F579" s="3">
        <f>IF(B579="","",SUMIFS('inventory ledger'!$H:$H,'inventory ledger'!$C:$C,C579,'inventory ledger'!$D:$D,D579,'inventory ledger'!$E:$E,E579,'inventory ledger'!$A:$A,"&lt;="&amp;B579+TIME(23,59,59))-SUMIFS('inventory ledger'!$I:$I,'inventory ledger'!$C:$C,C579,'inventory ledger'!$D:$D,D579,'inventory ledger'!$E:$E,E579,'inventory ledger'!$A:$A,"&lt;="&amp;B579+TIME(23,59,59)))</f>
        <v>0</v>
      </c>
      <c r="G579" s="3">
        <f>IFERROR(__xludf.DUMMYFUNCTION("IF(F579&lt;=0,0,IFERROR(ROUNDUP(F579/INDEX(FILTER('warehouse config'!$D:$D,('warehouse config'!$B:$B=C579)*('warehouse config'!$C:$C=D579)*('warehouse config'!$G:$G&lt;=B579)*(('warehouse config'!$H:$H&gt;=B579)+ISBLANK('warehouse config'!$H:$H))),1)),0))"),0.0)</f>
        <v>0</v>
      </c>
      <c r="H579" s="3">
        <f>IFERROR(__xludf.DUMMYFUNCTION("IFERROR(INDEX(FILTER('cost master'!$E:$E,('cost master'!$B:$B=C579)*('cost master'!$D:$D=""Storage cost per pallet / week"")*('cost master'!$G:$G&lt;=B579)*(('cost master'!$H:$H&gt;=B579)+ISBLANK('cost master'!$H:$H))),1),0)"),3.9)</f>
        <v>3.9</v>
      </c>
      <c r="I579" s="3">
        <f t="shared" si="4"/>
        <v>0</v>
      </c>
      <c r="J579" s="27">
        <f t="shared" si="5"/>
        <v>45763</v>
      </c>
      <c r="K579" s="27">
        <f t="shared" si="6"/>
        <v>45792</v>
      </c>
    </row>
    <row r="580" hidden="1">
      <c r="A580" s="3" t="str">
        <f t="shared" si="3"/>
        <v>SL-20250505-FMC-CS 007-8</v>
      </c>
      <c r="B580" s="2">
        <f t="array" ref="B580">INDEX(helper!$A$3:$A3996,ROUNDUP((ROW()-1)/COUNTA(helper!$D$3:$D3996),0))</f>
        <v>45782</v>
      </c>
      <c r="C580" s="5" t="str">
        <f t="array" ref="C580">IF(B580="","",INDEX(helper!$D$3:$D3996,MOD(ROW()-2,COUNTA(helper!$D$3:$D3996))+1))</f>
        <v>FMC</v>
      </c>
      <c r="D580" s="3" t="str">
        <f t="array" ref="D580">IF(B580="","",INDEX(helper!$E$3:$E3996,MOD(ROW()-2,COUNTA(helper!$D$3:$D3996))+1))</f>
        <v>CS 007</v>
      </c>
      <c r="E580" s="3">
        <f t="array" ref="E580">IF(B580="","",INDEX(helper!$F$3:$F3996,MOD(ROW()-2,COUNTA(helper!$D$3:$D3996))+1))</f>
        <v>8</v>
      </c>
      <c r="F580" s="3">
        <f>IF(B580="","",SUMIFS('inventory ledger'!$H:$H,'inventory ledger'!$C:$C,C580,'inventory ledger'!$D:$D,D580,'inventory ledger'!$E:$E,E580,'inventory ledger'!$A:$A,"&lt;="&amp;B580+TIME(23,59,59))-SUMIFS('inventory ledger'!$I:$I,'inventory ledger'!$C:$C,C580,'inventory ledger'!$D:$D,D580,'inventory ledger'!$E:$E,E580,'inventory ledger'!$A:$A,"&lt;="&amp;B580+TIME(23,59,59)))</f>
        <v>0</v>
      </c>
      <c r="G580" s="3">
        <f>IFERROR(__xludf.DUMMYFUNCTION("IF(F580&lt;=0,0,IFERROR(ROUNDUP(F580/INDEX(FILTER('warehouse config'!$D:$D,('warehouse config'!$B:$B=C580)*('warehouse config'!$C:$C=D580)*('warehouse config'!$G:$G&lt;=B580)*(('warehouse config'!$H:$H&gt;=B580)+ISBLANK('warehouse config'!$H:$H))),1)),0))"),0.0)</f>
        <v>0</v>
      </c>
      <c r="H580" s="3">
        <f>IFERROR(__xludf.DUMMYFUNCTION("IFERROR(INDEX(FILTER('cost master'!$E:$E,('cost master'!$B:$B=C580)*('cost master'!$D:$D=""Storage cost per pallet / week"")*('cost master'!$G:$G&lt;=B580)*(('cost master'!$H:$H&gt;=B580)+ISBLANK('cost master'!$H:$H))),1),0)"),3.9)</f>
        <v>3.9</v>
      </c>
      <c r="I580" s="3">
        <f t="shared" si="4"/>
        <v>0</v>
      </c>
      <c r="J580" s="27">
        <f t="shared" si="5"/>
        <v>45763</v>
      </c>
      <c r="K580" s="27">
        <f t="shared" si="6"/>
        <v>45792</v>
      </c>
    </row>
    <row r="581" hidden="1">
      <c r="A581" s="3" t="str">
        <f t="shared" si="3"/>
        <v>SL-20250505-FMC-CS 008-8</v>
      </c>
      <c r="B581" s="2">
        <f t="array" ref="B581">INDEX(helper!$A$3:$A3996,ROUNDUP((ROW()-1)/COUNTA(helper!$D$3:$D3996),0))</f>
        <v>45782</v>
      </c>
      <c r="C581" s="5" t="str">
        <f t="array" ref="C581">IF(B581="","",INDEX(helper!$D$3:$D3996,MOD(ROW()-2,COUNTA(helper!$D$3:$D3996))+1))</f>
        <v>FMC</v>
      </c>
      <c r="D581" s="3" t="str">
        <f t="array" ref="D581">IF(B581="","",INDEX(helper!$E$3:$E3996,MOD(ROW()-2,COUNTA(helper!$D$3:$D3996))+1))</f>
        <v>CS 008</v>
      </c>
      <c r="E581" s="3">
        <f t="array" ref="E581">IF(B581="","",INDEX(helper!$F$3:$F3996,MOD(ROW()-2,COUNTA(helper!$D$3:$D3996))+1))</f>
        <v>8</v>
      </c>
      <c r="F581" s="3">
        <f>IF(B581="","",SUMIFS('inventory ledger'!$H:$H,'inventory ledger'!$C:$C,C581,'inventory ledger'!$D:$D,D581,'inventory ledger'!$E:$E,E581,'inventory ledger'!$A:$A,"&lt;="&amp;B581+TIME(23,59,59))-SUMIFS('inventory ledger'!$I:$I,'inventory ledger'!$C:$C,C581,'inventory ledger'!$D:$D,D581,'inventory ledger'!$E:$E,E581,'inventory ledger'!$A:$A,"&lt;="&amp;B581+TIME(23,59,59)))</f>
        <v>0</v>
      </c>
      <c r="G581" s="3">
        <f>IFERROR(__xludf.DUMMYFUNCTION("IF(F581&lt;=0,0,IFERROR(ROUNDUP(F581/INDEX(FILTER('warehouse config'!$D:$D,('warehouse config'!$B:$B=C581)*('warehouse config'!$C:$C=D581)*('warehouse config'!$G:$G&lt;=B581)*(('warehouse config'!$H:$H&gt;=B581)+ISBLANK('warehouse config'!$H:$H))),1)),0))"),0.0)</f>
        <v>0</v>
      </c>
      <c r="H581" s="3">
        <f>IFERROR(__xludf.DUMMYFUNCTION("IFERROR(INDEX(FILTER('cost master'!$E:$E,('cost master'!$B:$B=C581)*('cost master'!$D:$D=""Storage cost per pallet / week"")*('cost master'!$G:$G&lt;=B581)*(('cost master'!$H:$H&gt;=B581)+ISBLANK('cost master'!$H:$H))),1),0)"),3.9)</f>
        <v>3.9</v>
      </c>
      <c r="I581" s="3">
        <f t="shared" si="4"/>
        <v>0</v>
      </c>
      <c r="J581" s="27">
        <f t="shared" si="5"/>
        <v>45763</v>
      </c>
      <c r="K581" s="27">
        <f t="shared" si="6"/>
        <v>45792</v>
      </c>
    </row>
    <row r="582" hidden="1">
      <c r="A582" s="3" t="str">
        <f t="shared" si="3"/>
        <v>SL-20250505-FMC-CS 009-8</v>
      </c>
      <c r="B582" s="2">
        <f t="array" ref="B582">INDEX(helper!$A$3:$A3996,ROUNDUP((ROW()-1)/COUNTA(helper!$D$3:$D3996),0))</f>
        <v>45782</v>
      </c>
      <c r="C582" s="5" t="str">
        <f t="array" ref="C582">IF(B582="","",INDEX(helper!$D$3:$D3996,MOD(ROW()-2,COUNTA(helper!$D$3:$D3996))+1))</f>
        <v>FMC</v>
      </c>
      <c r="D582" s="3" t="str">
        <f t="array" ref="D582">IF(B582="","",INDEX(helper!$E$3:$E3996,MOD(ROW()-2,COUNTA(helper!$D$3:$D3996))+1))</f>
        <v>CS 009</v>
      </c>
      <c r="E582" s="3">
        <f t="array" ref="E582">IF(B582="","",INDEX(helper!$F$3:$F3996,MOD(ROW()-2,COUNTA(helper!$D$3:$D3996))+1))</f>
        <v>8</v>
      </c>
      <c r="F582" s="3">
        <f>IF(B582="","",SUMIFS('inventory ledger'!$H:$H,'inventory ledger'!$C:$C,C582,'inventory ledger'!$D:$D,D582,'inventory ledger'!$E:$E,E582,'inventory ledger'!$A:$A,"&lt;="&amp;B582+TIME(23,59,59))-SUMIFS('inventory ledger'!$I:$I,'inventory ledger'!$C:$C,C582,'inventory ledger'!$D:$D,D582,'inventory ledger'!$E:$E,E582,'inventory ledger'!$A:$A,"&lt;="&amp;B582+TIME(23,59,59)))</f>
        <v>0</v>
      </c>
      <c r="G582" s="3">
        <f>IFERROR(__xludf.DUMMYFUNCTION("IF(F582&lt;=0,0,IFERROR(ROUNDUP(F582/INDEX(FILTER('warehouse config'!$D:$D,('warehouse config'!$B:$B=C582)*('warehouse config'!$C:$C=D582)*('warehouse config'!$G:$G&lt;=B582)*(('warehouse config'!$H:$H&gt;=B582)+ISBLANK('warehouse config'!$H:$H))),1)),0))"),0.0)</f>
        <v>0</v>
      </c>
      <c r="H582" s="3">
        <f>IFERROR(__xludf.DUMMYFUNCTION("IFERROR(INDEX(FILTER('cost master'!$E:$E,('cost master'!$B:$B=C582)*('cost master'!$D:$D=""Storage cost per pallet / week"")*('cost master'!$G:$G&lt;=B582)*(('cost master'!$H:$H&gt;=B582)+ISBLANK('cost master'!$H:$H))),1),0)"),3.9)</f>
        <v>3.9</v>
      </c>
      <c r="I582" s="3">
        <f t="shared" si="4"/>
        <v>0</v>
      </c>
      <c r="J582" s="27">
        <f t="shared" si="5"/>
        <v>45763</v>
      </c>
      <c r="K582" s="27">
        <f t="shared" si="6"/>
        <v>45792</v>
      </c>
    </row>
    <row r="583" hidden="1">
      <c r="A583" s="3" t="str">
        <f t="shared" si="3"/>
        <v>SL-20250505-FMC-CS 010-8</v>
      </c>
      <c r="B583" s="2">
        <f t="array" ref="B583">INDEX(helper!$A$3:$A3996,ROUNDUP((ROW()-1)/COUNTA(helper!$D$3:$D3996),0))</f>
        <v>45782</v>
      </c>
      <c r="C583" s="5" t="str">
        <f t="array" ref="C583">IF(B583="","",INDEX(helper!$D$3:$D3996,MOD(ROW()-2,COUNTA(helper!$D$3:$D3996))+1))</f>
        <v>FMC</v>
      </c>
      <c r="D583" s="3" t="str">
        <f t="array" ref="D583">IF(B583="","",INDEX(helper!$E$3:$E3996,MOD(ROW()-2,COUNTA(helper!$D$3:$D3996))+1))</f>
        <v>CS 010</v>
      </c>
      <c r="E583" s="3">
        <f t="array" ref="E583">IF(B583="","",INDEX(helper!$F$3:$F3996,MOD(ROW()-2,COUNTA(helper!$D$3:$D3996))+1))</f>
        <v>8</v>
      </c>
      <c r="F583" s="3">
        <f>IF(B583="","",SUMIFS('inventory ledger'!$H:$H,'inventory ledger'!$C:$C,C583,'inventory ledger'!$D:$D,D583,'inventory ledger'!$E:$E,E583,'inventory ledger'!$A:$A,"&lt;="&amp;B583+TIME(23,59,59))-SUMIFS('inventory ledger'!$I:$I,'inventory ledger'!$C:$C,C583,'inventory ledger'!$D:$D,D583,'inventory ledger'!$E:$E,E583,'inventory ledger'!$A:$A,"&lt;="&amp;B583+TIME(23,59,59)))</f>
        <v>0</v>
      </c>
      <c r="G583" s="3">
        <f>IFERROR(__xludf.DUMMYFUNCTION("IF(F583&lt;=0,0,IFERROR(ROUNDUP(F583/INDEX(FILTER('warehouse config'!$D:$D,('warehouse config'!$B:$B=C583)*('warehouse config'!$C:$C=D583)*('warehouse config'!$G:$G&lt;=B583)*(('warehouse config'!$H:$H&gt;=B583)+ISBLANK('warehouse config'!$H:$H))),1)),0))"),0.0)</f>
        <v>0</v>
      </c>
      <c r="H583" s="3">
        <f>IFERROR(__xludf.DUMMYFUNCTION("IFERROR(INDEX(FILTER('cost master'!$E:$E,('cost master'!$B:$B=C583)*('cost master'!$D:$D=""Storage cost per pallet / week"")*('cost master'!$G:$G&lt;=B583)*(('cost master'!$H:$H&gt;=B583)+ISBLANK('cost master'!$H:$H))),1),0)"),3.9)</f>
        <v>3.9</v>
      </c>
      <c r="I583" s="3">
        <f t="shared" si="4"/>
        <v>0</v>
      </c>
      <c r="J583" s="27">
        <f t="shared" si="5"/>
        <v>45763</v>
      </c>
      <c r="K583" s="27">
        <f t="shared" si="6"/>
        <v>45792</v>
      </c>
    </row>
    <row r="584" hidden="1">
      <c r="A584" s="3" t="str">
        <f t="shared" si="3"/>
        <v>SL-20250505-FMC-CS 007-9</v>
      </c>
      <c r="B584" s="2">
        <f t="array" ref="B584">INDEX(helper!$A$3:$A3996,ROUNDUP((ROW()-1)/COUNTA(helper!$D$3:$D3996),0))</f>
        <v>45782</v>
      </c>
      <c r="C584" s="5" t="str">
        <f t="array" ref="C584">IF(B584="","",INDEX(helper!$D$3:$D3996,MOD(ROW()-2,COUNTA(helper!$D$3:$D3996))+1))</f>
        <v>FMC</v>
      </c>
      <c r="D584" s="3" t="str">
        <f t="array" ref="D584">IF(B584="","",INDEX(helper!$E$3:$E3996,MOD(ROW()-2,COUNTA(helper!$D$3:$D3996))+1))</f>
        <v>CS 007</v>
      </c>
      <c r="E584" s="3">
        <f t="array" ref="E584">IF(B584="","",INDEX(helper!$F$3:$F3996,MOD(ROW()-2,COUNTA(helper!$D$3:$D3996))+1))</f>
        <v>9</v>
      </c>
      <c r="F584" s="3">
        <f>IF(B584="","",SUMIFS('inventory ledger'!$H:$H,'inventory ledger'!$C:$C,C584,'inventory ledger'!$D:$D,D584,'inventory ledger'!$E:$E,E584,'inventory ledger'!$A:$A,"&lt;="&amp;B584+TIME(23,59,59))-SUMIFS('inventory ledger'!$I:$I,'inventory ledger'!$C:$C,C584,'inventory ledger'!$D:$D,D584,'inventory ledger'!$E:$E,E584,'inventory ledger'!$A:$A,"&lt;="&amp;B584+TIME(23,59,59)))</f>
        <v>0</v>
      </c>
      <c r="G584" s="3">
        <f>IFERROR(__xludf.DUMMYFUNCTION("IF(F584&lt;=0,0,IFERROR(ROUNDUP(F584/INDEX(FILTER('warehouse config'!$D:$D,('warehouse config'!$B:$B=C584)*('warehouse config'!$C:$C=D584)*('warehouse config'!$G:$G&lt;=B584)*(('warehouse config'!$H:$H&gt;=B584)+ISBLANK('warehouse config'!$H:$H))),1)),0))"),0.0)</f>
        <v>0</v>
      </c>
      <c r="H584" s="3">
        <f>IFERROR(__xludf.DUMMYFUNCTION("IFERROR(INDEX(FILTER('cost master'!$E:$E,('cost master'!$B:$B=C584)*('cost master'!$D:$D=""Storage cost per pallet / week"")*('cost master'!$G:$G&lt;=B584)*(('cost master'!$H:$H&gt;=B584)+ISBLANK('cost master'!$H:$H))),1),0)"),3.9)</f>
        <v>3.9</v>
      </c>
      <c r="I584" s="3">
        <f t="shared" si="4"/>
        <v>0</v>
      </c>
      <c r="J584" s="27">
        <f t="shared" si="5"/>
        <v>45763</v>
      </c>
      <c r="K584" s="27">
        <f t="shared" si="6"/>
        <v>45792</v>
      </c>
    </row>
    <row r="585" hidden="1">
      <c r="A585" s="3" t="str">
        <f t="shared" si="3"/>
        <v>SL-20250505-FMC-CS 008-9</v>
      </c>
      <c r="B585" s="2">
        <f t="array" ref="B585">INDEX(helper!$A$3:$A3996,ROUNDUP((ROW()-1)/COUNTA(helper!$D$3:$D3996),0))</f>
        <v>45782</v>
      </c>
      <c r="C585" s="5" t="str">
        <f t="array" ref="C585">IF(B585="","",INDEX(helper!$D$3:$D3996,MOD(ROW()-2,COUNTA(helper!$D$3:$D3996))+1))</f>
        <v>FMC</v>
      </c>
      <c r="D585" s="3" t="str">
        <f t="array" ref="D585">IF(B585="","",INDEX(helper!$E$3:$E3996,MOD(ROW()-2,COUNTA(helper!$D$3:$D3996))+1))</f>
        <v>CS 008</v>
      </c>
      <c r="E585" s="3">
        <f t="array" ref="E585">IF(B585="","",INDEX(helper!$F$3:$F3996,MOD(ROW()-2,COUNTA(helper!$D$3:$D3996))+1))</f>
        <v>9</v>
      </c>
      <c r="F585" s="3">
        <f>IF(B585="","",SUMIFS('inventory ledger'!$H:$H,'inventory ledger'!$C:$C,C585,'inventory ledger'!$D:$D,D585,'inventory ledger'!$E:$E,E585,'inventory ledger'!$A:$A,"&lt;="&amp;B585+TIME(23,59,59))-SUMIFS('inventory ledger'!$I:$I,'inventory ledger'!$C:$C,C585,'inventory ledger'!$D:$D,D585,'inventory ledger'!$E:$E,E585,'inventory ledger'!$A:$A,"&lt;="&amp;B585+TIME(23,59,59)))</f>
        <v>2</v>
      </c>
      <c r="G585" s="3">
        <f>IFERROR(__xludf.DUMMYFUNCTION("IF(F585&lt;=0,0,IFERROR(ROUNDUP(F585/INDEX(FILTER('warehouse config'!$D:$D,('warehouse config'!$B:$B=C585)*('warehouse config'!$C:$C=D585)*('warehouse config'!$G:$G&lt;=B585)*(('warehouse config'!$H:$H&gt;=B585)+ISBLANK('warehouse config'!$H:$H))),1)),0))"),1.0)</f>
        <v>1</v>
      </c>
      <c r="H585" s="3">
        <f>IFERROR(__xludf.DUMMYFUNCTION("IFERROR(INDEX(FILTER('cost master'!$E:$E,('cost master'!$B:$B=C585)*('cost master'!$D:$D=""Storage cost per pallet / week"")*('cost master'!$G:$G&lt;=B585)*(('cost master'!$H:$H&gt;=B585)+ISBLANK('cost master'!$H:$H))),1),0)"),3.9)</f>
        <v>3.9</v>
      </c>
      <c r="I585" s="3">
        <f t="shared" si="4"/>
        <v>3.9</v>
      </c>
      <c r="J585" s="27">
        <f t="shared" si="5"/>
        <v>45763</v>
      </c>
      <c r="K585" s="27">
        <f t="shared" si="6"/>
        <v>45792</v>
      </c>
    </row>
    <row r="586" hidden="1">
      <c r="A586" s="3" t="str">
        <f t="shared" si="3"/>
        <v>SL-20250505-FMC-CS 009-9</v>
      </c>
      <c r="B586" s="2">
        <f t="array" ref="B586">INDEX(helper!$A$3:$A3996,ROUNDUP((ROW()-1)/COUNTA(helper!$D$3:$D3996),0))</f>
        <v>45782</v>
      </c>
      <c r="C586" s="5" t="str">
        <f t="array" ref="C586">IF(B586="","",INDEX(helper!$D$3:$D3996,MOD(ROW()-2,COUNTA(helper!$D$3:$D3996))+1))</f>
        <v>FMC</v>
      </c>
      <c r="D586" s="3" t="str">
        <f t="array" ref="D586">IF(B586="","",INDEX(helper!$E$3:$E3996,MOD(ROW()-2,COUNTA(helper!$D$3:$D3996))+1))</f>
        <v>CS 009</v>
      </c>
      <c r="E586" s="3">
        <f t="array" ref="E586">IF(B586="","",INDEX(helper!$F$3:$F3996,MOD(ROW()-2,COUNTA(helper!$D$3:$D3996))+1))</f>
        <v>9</v>
      </c>
      <c r="F586" s="3">
        <f>IF(B586="","",SUMIFS('inventory ledger'!$H:$H,'inventory ledger'!$C:$C,C586,'inventory ledger'!$D:$D,D586,'inventory ledger'!$E:$E,E586,'inventory ledger'!$A:$A,"&lt;="&amp;B586+TIME(23,59,59))-SUMIFS('inventory ledger'!$I:$I,'inventory ledger'!$C:$C,C586,'inventory ledger'!$D:$D,D586,'inventory ledger'!$E:$E,E586,'inventory ledger'!$A:$A,"&lt;="&amp;B586+TIME(23,59,59)))</f>
        <v>0</v>
      </c>
      <c r="G586" s="3">
        <f>IFERROR(__xludf.DUMMYFUNCTION("IF(F586&lt;=0,0,IFERROR(ROUNDUP(F586/INDEX(FILTER('warehouse config'!$D:$D,('warehouse config'!$B:$B=C586)*('warehouse config'!$C:$C=D586)*('warehouse config'!$G:$G&lt;=B586)*(('warehouse config'!$H:$H&gt;=B586)+ISBLANK('warehouse config'!$H:$H))),1)),0))"),0.0)</f>
        <v>0</v>
      </c>
      <c r="H586" s="3">
        <f>IFERROR(__xludf.DUMMYFUNCTION("IFERROR(INDEX(FILTER('cost master'!$E:$E,('cost master'!$B:$B=C586)*('cost master'!$D:$D=""Storage cost per pallet / week"")*('cost master'!$G:$G&lt;=B586)*(('cost master'!$H:$H&gt;=B586)+ISBLANK('cost master'!$H:$H))),1),0)"),3.9)</f>
        <v>3.9</v>
      </c>
      <c r="I586" s="3">
        <f t="shared" si="4"/>
        <v>0</v>
      </c>
      <c r="J586" s="27">
        <f t="shared" si="5"/>
        <v>45763</v>
      </c>
      <c r="K586" s="27">
        <f t="shared" si="6"/>
        <v>45792</v>
      </c>
    </row>
    <row r="587" hidden="1">
      <c r="A587" s="3" t="str">
        <f t="shared" si="3"/>
        <v>SL-20250505-FMC-CS 010-9</v>
      </c>
      <c r="B587" s="2">
        <f t="array" ref="B587">INDEX(helper!$A$3:$A3996,ROUNDUP((ROW()-1)/COUNTA(helper!$D$3:$D3996),0))</f>
        <v>45782</v>
      </c>
      <c r="C587" s="5" t="str">
        <f t="array" ref="C587">IF(B587="","",INDEX(helper!$D$3:$D3996,MOD(ROW()-2,COUNTA(helper!$D$3:$D3996))+1))</f>
        <v>FMC</v>
      </c>
      <c r="D587" s="3" t="str">
        <f t="array" ref="D587">IF(B587="","",INDEX(helper!$E$3:$E3996,MOD(ROW()-2,COUNTA(helper!$D$3:$D3996))+1))</f>
        <v>CS 010</v>
      </c>
      <c r="E587" s="3">
        <f t="array" ref="E587">IF(B587="","",INDEX(helper!$F$3:$F3996,MOD(ROW()-2,COUNTA(helper!$D$3:$D3996))+1))</f>
        <v>9</v>
      </c>
      <c r="F587" s="3">
        <f>IF(B587="","",SUMIFS('inventory ledger'!$H:$H,'inventory ledger'!$C:$C,C587,'inventory ledger'!$D:$D,D587,'inventory ledger'!$E:$E,E587,'inventory ledger'!$A:$A,"&lt;="&amp;B587+TIME(23,59,59))-SUMIFS('inventory ledger'!$I:$I,'inventory ledger'!$C:$C,C587,'inventory ledger'!$D:$D,D587,'inventory ledger'!$E:$E,E587,'inventory ledger'!$A:$A,"&lt;="&amp;B587+TIME(23,59,59)))</f>
        <v>0</v>
      </c>
      <c r="G587" s="3">
        <f>IFERROR(__xludf.DUMMYFUNCTION("IF(F587&lt;=0,0,IFERROR(ROUNDUP(F587/INDEX(FILTER('warehouse config'!$D:$D,('warehouse config'!$B:$B=C587)*('warehouse config'!$C:$C=D587)*('warehouse config'!$G:$G&lt;=B587)*(('warehouse config'!$H:$H&gt;=B587)+ISBLANK('warehouse config'!$H:$H))),1)),0))"),0.0)</f>
        <v>0</v>
      </c>
      <c r="H587" s="3">
        <f>IFERROR(__xludf.DUMMYFUNCTION("IFERROR(INDEX(FILTER('cost master'!$E:$E,('cost master'!$B:$B=C587)*('cost master'!$D:$D=""Storage cost per pallet / week"")*('cost master'!$G:$G&lt;=B587)*(('cost master'!$H:$H&gt;=B587)+ISBLANK('cost master'!$H:$H))),1),0)"),3.9)</f>
        <v>3.9</v>
      </c>
      <c r="I587" s="3">
        <f t="shared" si="4"/>
        <v>0</v>
      </c>
      <c r="J587" s="27">
        <f t="shared" si="5"/>
        <v>45763</v>
      </c>
      <c r="K587" s="27">
        <f t="shared" si="6"/>
        <v>45792</v>
      </c>
    </row>
    <row r="588" hidden="1">
      <c r="A588" s="3" t="str">
        <f t="shared" si="3"/>
        <v>SL-20250505-FMC-CS-CDS-001-9</v>
      </c>
      <c r="B588" s="2">
        <f t="array" ref="B588">INDEX(helper!$A$3:$A3996,ROUNDUP((ROW()-1)/COUNTA(helper!$D$3:$D3996),0))</f>
        <v>45782</v>
      </c>
      <c r="C588" s="5" t="str">
        <f t="array" ref="C588">IF(B588="","",INDEX(helper!$D$3:$D3996,MOD(ROW()-2,COUNTA(helper!$D$3:$D3996))+1))</f>
        <v>FMC</v>
      </c>
      <c r="D588" s="3" t="str">
        <f t="array" ref="D588">IF(B588="","",INDEX(helper!$E$3:$E3996,MOD(ROW()-2,COUNTA(helper!$D$3:$D3996))+1))</f>
        <v>CS-CDS-001</v>
      </c>
      <c r="E588" s="3">
        <f t="array" ref="E588">IF(B588="","",INDEX(helper!$F$3:$F3996,MOD(ROW()-2,COUNTA(helper!$D$3:$D3996))+1))</f>
        <v>9</v>
      </c>
      <c r="F588" s="3">
        <f>IF(B588="","",SUMIFS('inventory ledger'!$H:$H,'inventory ledger'!$C:$C,C588,'inventory ledger'!$D:$D,D588,'inventory ledger'!$E:$E,E588,'inventory ledger'!$A:$A,"&lt;="&amp;B588+TIME(23,59,59))-SUMIFS('inventory ledger'!$I:$I,'inventory ledger'!$C:$C,C588,'inventory ledger'!$D:$D,D588,'inventory ledger'!$E:$E,E588,'inventory ledger'!$A:$A,"&lt;="&amp;B588+TIME(23,59,59)))</f>
        <v>0</v>
      </c>
      <c r="G588" s="3">
        <f>IFERROR(__xludf.DUMMYFUNCTION("IF(F588&lt;=0,0,IFERROR(ROUNDUP(F588/INDEX(FILTER('warehouse config'!$D:$D,('warehouse config'!$B:$B=C588)*('warehouse config'!$C:$C=D588)*('warehouse config'!$G:$G&lt;=B588)*(('warehouse config'!$H:$H&gt;=B588)+ISBLANK('warehouse config'!$H:$H))),1)),0))"),0.0)</f>
        <v>0</v>
      </c>
      <c r="H588" s="3">
        <f>IFERROR(__xludf.DUMMYFUNCTION("IFERROR(INDEX(FILTER('cost master'!$E:$E,('cost master'!$B:$B=C588)*('cost master'!$D:$D=""Storage cost per pallet / week"")*('cost master'!$G:$G&lt;=B588)*(('cost master'!$H:$H&gt;=B588)+ISBLANK('cost master'!$H:$H))),1),0)"),3.9)</f>
        <v>3.9</v>
      </c>
      <c r="I588" s="3">
        <f t="shared" si="4"/>
        <v>0</v>
      </c>
      <c r="J588" s="27">
        <f t="shared" si="5"/>
        <v>45763</v>
      </c>
      <c r="K588" s="27">
        <f t="shared" si="6"/>
        <v>45792</v>
      </c>
    </row>
    <row r="589" hidden="1">
      <c r="A589" s="3" t="str">
        <f t="shared" si="3"/>
        <v>SL-20250505-FMC-CS-CDS-002-9</v>
      </c>
      <c r="B589" s="2">
        <f t="array" ref="B589">INDEX(helper!$A$3:$A3996,ROUNDUP((ROW()-1)/COUNTA(helper!$D$3:$D3996),0))</f>
        <v>45782</v>
      </c>
      <c r="C589" s="5" t="str">
        <f t="array" ref="C589">IF(B589="","",INDEX(helper!$D$3:$D3996,MOD(ROW()-2,COUNTA(helper!$D$3:$D3996))+1))</f>
        <v>FMC</v>
      </c>
      <c r="D589" s="3" t="str">
        <f t="array" ref="D589">IF(B589="","",INDEX(helper!$E$3:$E3996,MOD(ROW()-2,COUNTA(helper!$D$3:$D3996))+1))</f>
        <v>CS-CDS-002</v>
      </c>
      <c r="E589" s="3">
        <f t="array" ref="E589">IF(B589="","",INDEX(helper!$F$3:$F3996,MOD(ROW()-2,COUNTA(helper!$D$3:$D3996))+1))</f>
        <v>9</v>
      </c>
      <c r="F589" s="3">
        <f>IF(B589="","",SUMIFS('inventory ledger'!$H:$H,'inventory ledger'!$C:$C,C589,'inventory ledger'!$D:$D,D589,'inventory ledger'!$E:$E,E589,'inventory ledger'!$A:$A,"&lt;="&amp;B589+TIME(23,59,59))-SUMIFS('inventory ledger'!$I:$I,'inventory ledger'!$C:$C,C589,'inventory ledger'!$D:$D,D589,'inventory ledger'!$E:$E,E589,'inventory ledger'!$A:$A,"&lt;="&amp;B589+TIME(23,59,59)))</f>
        <v>0</v>
      </c>
      <c r="G589" s="3">
        <f>IFERROR(__xludf.DUMMYFUNCTION("IF(F589&lt;=0,0,IFERROR(ROUNDUP(F589/INDEX(FILTER('warehouse config'!$D:$D,('warehouse config'!$B:$B=C589)*('warehouse config'!$C:$C=D589)*('warehouse config'!$G:$G&lt;=B589)*(('warehouse config'!$H:$H&gt;=B589)+ISBLANK('warehouse config'!$H:$H))),1)),0))"),0.0)</f>
        <v>0</v>
      </c>
      <c r="H589" s="3">
        <f>IFERROR(__xludf.DUMMYFUNCTION("IFERROR(INDEX(FILTER('cost master'!$E:$E,('cost master'!$B:$B=C589)*('cost master'!$D:$D=""Storage cost per pallet / week"")*('cost master'!$G:$G&lt;=B589)*(('cost master'!$H:$H&gt;=B589)+ISBLANK('cost master'!$H:$H))),1),0)"),3.9)</f>
        <v>3.9</v>
      </c>
      <c r="I589" s="3">
        <f t="shared" si="4"/>
        <v>0</v>
      </c>
      <c r="J589" s="27">
        <f t="shared" si="5"/>
        <v>45763</v>
      </c>
      <c r="K589" s="27">
        <f t="shared" si="6"/>
        <v>45792</v>
      </c>
    </row>
    <row r="590" hidden="1">
      <c r="A590" s="3" t="str">
        <f t="shared" si="3"/>
        <v>SL-20250505-FMC-CS 007-10</v>
      </c>
      <c r="B590" s="2">
        <f t="array" ref="B590">INDEX(helper!$A$3:$A3996,ROUNDUP((ROW()-1)/COUNTA(helper!$D$3:$D3996),0))</f>
        <v>45782</v>
      </c>
      <c r="C590" s="5" t="str">
        <f t="array" ref="C590">IF(B590="","",INDEX(helper!$D$3:$D3996,MOD(ROW()-2,COUNTA(helper!$D$3:$D3996))+1))</f>
        <v>FMC</v>
      </c>
      <c r="D590" s="3" t="str">
        <f t="array" ref="D590">IF(B590="","",INDEX(helper!$E$3:$E3996,MOD(ROW()-2,COUNTA(helper!$D$3:$D3996))+1))</f>
        <v>CS 007</v>
      </c>
      <c r="E590" s="3">
        <f t="array" ref="E590">IF(B590="","",INDEX(helper!$F$3:$F3996,MOD(ROW()-2,COUNTA(helper!$D$3:$D3996))+1))</f>
        <v>10</v>
      </c>
      <c r="F590" s="3">
        <f>IF(B590="","",SUMIFS('inventory ledger'!$H:$H,'inventory ledger'!$C:$C,C590,'inventory ledger'!$D:$D,D590,'inventory ledger'!$E:$E,E590,'inventory ledger'!$A:$A,"&lt;="&amp;B590+TIME(23,59,59))-SUMIFS('inventory ledger'!$I:$I,'inventory ledger'!$C:$C,C590,'inventory ledger'!$D:$D,D590,'inventory ledger'!$E:$E,E590,'inventory ledger'!$A:$A,"&lt;="&amp;B590+TIME(23,59,59)))</f>
        <v>0</v>
      </c>
      <c r="G590" s="3">
        <f>IFERROR(__xludf.DUMMYFUNCTION("IF(F590&lt;=0,0,IFERROR(ROUNDUP(F590/INDEX(FILTER('warehouse config'!$D:$D,('warehouse config'!$B:$B=C590)*('warehouse config'!$C:$C=D590)*('warehouse config'!$G:$G&lt;=B590)*(('warehouse config'!$H:$H&gt;=B590)+ISBLANK('warehouse config'!$H:$H))),1)),0))"),0.0)</f>
        <v>0</v>
      </c>
      <c r="H590" s="3">
        <f>IFERROR(__xludf.DUMMYFUNCTION("IFERROR(INDEX(FILTER('cost master'!$E:$E,('cost master'!$B:$B=C590)*('cost master'!$D:$D=""Storage cost per pallet / week"")*('cost master'!$G:$G&lt;=B590)*(('cost master'!$H:$H&gt;=B590)+ISBLANK('cost master'!$H:$H))),1),0)"),3.9)</f>
        <v>3.9</v>
      </c>
      <c r="I590" s="3">
        <f t="shared" si="4"/>
        <v>0</v>
      </c>
      <c r="J590" s="27">
        <f t="shared" si="5"/>
        <v>45763</v>
      </c>
      <c r="K590" s="27">
        <f t="shared" si="6"/>
        <v>45792</v>
      </c>
    </row>
    <row r="591" hidden="1">
      <c r="A591" s="3" t="str">
        <f t="shared" si="3"/>
        <v>SL-20250505-FMC-CS 009-10</v>
      </c>
      <c r="B591" s="2">
        <f t="array" ref="B591">INDEX(helper!$A$3:$A3996,ROUNDUP((ROW()-1)/COUNTA(helper!$D$3:$D3996),0))</f>
        <v>45782</v>
      </c>
      <c r="C591" s="5" t="str">
        <f t="array" ref="C591">IF(B591="","",INDEX(helper!$D$3:$D3996,MOD(ROW()-2,COUNTA(helper!$D$3:$D3996))+1))</f>
        <v>FMC</v>
      </c>
      <c r="D591" s="3" t="str">
        <f t="array" ref="D591">IF(B591="","",INDEX(helper!$E$3:$E3996,MOD(ROW()-2,COUNTA(helper!$D$3:$D3996))+1))</f>
        <v>CS 009</v>
      </c>
      <c r="E591" s="3">
        <f t="array" ref="E591">IF(B591="","",INDEX(helper!$F$3:$F3996,MOD(ROW()-2,COUNTA(helper!$D$3:$D3996))+1))</f>
        <v>10</v>
      </c>
      <c r="F591" s="3">
        <f>IF(B591="","",SUMIFS('inventory ledger'!$H:$H,'inventory ledger'!$C:$C,C591,'inventory ledger'!$D:$D,D591,'inventory ledger'!$E:$E,E591,'inventory ledger'!$A:$A,"&lt;="&amp;B591+TIME(23,59,59))-SUMIFS('inventory ledger'!$I:$I,'inventory ledger'!$C:$C,C591,'inventory ledger'!$D:$D,D591,'inventory ledger'!$E:$E,E591,'inventory ledger'!$A:$A,"&lt;="&amp;B591+TIME(23,59,59)))</f>
        <v>0</v>
      </c>
      <c r="G591" s="3">
        <f>IFERROR(__xludf.DUMMYFUNCTION("IF(F591&lt;=0,0,IFERROR(ROUNDUP(F591/INDEX(FILTER('warehouse config'!$D:$D,('warehouse config'!$B:$B=C591)*('warehouse config'!$C:$C=D591)*('warehouse config'!$G:$G&lt;=B591)*(('warehouse config'!$H:$H&gt;=B591)+ISBLANK('warehouse config'!$H:$H))),1)),0))"),0.0)</f>
        <v>0</v>
      </c>
      <c r="H591" s="3">
        <f>IFERROR(__xludf.DUMMYFUNCTION("IFERROR(INDEX(FILTER('cost master'!$E:$E,('cost master'!$B:$B=C591)*('cost master'!$D:$D=""Storage cost per pallet / week"")*('cost master'!$G:$G&lt;=B591)*(('cost master'!$H:$H&gt;=B591)+ISBLANK('cost master'!$H:$H))),1),0)"),3.9)</f>
        <v>3.9</v>
      </c>
      <c r="I591" s="3">
        <f t="shared" si="4"/>
        <v>0</v>
      </c>
      <c r="J591" s="27">
        <f t="shared" si="5"/>
        <v>45763</v>
      </c>
      <c r="K591" s="27">
        <f t="shared" si="6"/>
        <v>45792</v>
      </c>
    </row>
    <row r="592" hidden="1">
      <c r="A592" s="3" t="str">
        <f t="shared" si="3"/>
        <v>SL-20250505-FMC-CS 010-10</v>
      </c>
      <c r="B592" s="2">
        <f t="array" ref="B592">INDEX(helper!$A$3:$A3996,ROUNDUP((ROW()-1)/COUNTA(helper!$D$3:$D3996),0))</f>
        <v>45782</v>
      </c>
      <c r="C592" s="5" t="str">
        <f t="array" ref="C592">IF(B592="","",INDEX(helper!$D$3:$D3996,MOD(ROW()-2,COUNTA(helper!$D$3:$D3996))+1))</f>
        <v>FMC</v>
      </c>
      <c r="D592" s="3" t="str">
        <f t="array" ref="D592">IF(B592="","",INDEX(helper!$E$3:$E3996,MOD(ROW()-2,COUNTA(helper!$D$3:$D3996))+1))</f>
        <v>CS 010</v>
      </c>
      <c r="E592" s="3">
        <f t="array" ref="E592">IF(B592="","",INDEX(helper!$F$3:$F3996,MOD(ROW()-2,COUNTA(helper!$D$3:$D3996))+1))</f>
        <v>10</v>
      </c>
      <c r="F592" s="3">
        <f>IF(B592="","",SUMIFS('inventory ledger'!$H:$H,'inventory ledger'!$C:$C,C592,'inventory ledger'!$D:$D,D592,'inventory ledger'!$E:$E,E592,'inventory ledger'!$A:$A,"&lt;="&amp;B592+TIME(23,59,59))-SUMIFS('inventory ledger'!$I:$I,'inventory ledger'!$C:$C,C592,'inventory ledger'!$D:$D,D592,'inventory ledger'!$E:$E,E592,'inventory ledger'!$A:$A,"&lt;="&amp;B592+TIME(23,59,59)))</f>
        <v>13</v>
      </c>
      <c r="G592" s="3">
        <f>IFERROR(__xludf.DUMMYFUNCTION("IF(F592&lt;=0,0,IFERROR(ROUNDUP(F592/INDEX(FILTER('warehouse config'!$D:$D,('warehouse config'!$B:$B=C592)*('warehouse config'!$C:$C=D592)*('warehouse config'!$G:$G&lt;=B592)*(('warehouse config'!$H:$H&gt;=B592)+ISBLANK('warehouse config'!$H:$H))),1)),0))"),1.0)</f>
        <v>1</v>
      </c>
      <c r="H592" s="3">
        <f>IFERROR(__xludf.DUMMYFUNCTION("IFERROR(INDEX(FILTER('cost master'!$E:$E,('cost master'!$B:$B=C592)*('cost master'!$D:$D=""Storage cost per pallet / week"")*('cost master'!$G:$G&lt;=B592)*(('cost master'!$H:$H&gt;=B592)+ISBLANK('cost master'!$H:$H))),1),0)"),3.9)</f>
        <v>3.9</v>
      </c>
      <c r="I592" s="3">
        <f t="shared" si="4"/>
        <v>3.9</v>
      </c>
      <c r="J592" s="27">
        <f t="shared" si="5"/>
        <v>45763</v>
      </c>
      <c r="K592" s="27">
        <f t="shared" si="6"/>
        <v>45792</v>
      </c>
    </row>
    <row r="593" hidden="1">
      <c r="A593" s="3" t="str">
        <f t="shared" si="3"/>
        <v>SL-20250505-FMC-CS-CDS-001-10</v>
      </c>
      <c r="B593" s="2">
        <f t="array" ref="B593">INDEX(helper!$A$3:$A3996,ROUNDUP((ROW()-1)/COUNTA(helper!$D$3:$D3996),0))</f>
        <v>45782</v>
      </c>
      <c r="C593" s="5" t="str">
        <f t="array" ref="C593">IF(B593="","",INDEX(helper!$D$3:$D3996,MOD(ROW()-2,COUNTA(helper!$D$3:$D3996))+1))</f>
        <v>FMC</v>
      </c>
      <c r="D593" s="3" t="str">
        <f t="array" ref="D593">IF(B593="","",INDEX(helper!$E$3:$E3996,MOD(ROW()-2,COUNTA(helper!$D$3:$D3996))+1))</f>
        <v>CS-CDS-001</v>
      </c>
      <c r="E593" s="3">
        <f t="array" ref="E593">IF(B593="","",INDEX(helper!$F$3:$F3996,MOD(ROW()-2,COUNTA(helper!$D$3:$D3996))+1))</f>
        <v>10</v>
      </c>
      <c r="F593" s="3">
        <f>IF(B593="","",SUMIFS('inventory ledger'!$H:$H,'inventory ledger'!$C:$C,C593,'inventory ledger'!$D:$D,D593,'inventory ledger'!$E:$E,E593,'inventory ledger'!$A:$A,"&lt;="&amp;B593+TIME(23,59,59))-SUMIFS('inventory ledger'!$I:$I,'inventory ledger'!$C:$C,C593,'inventory ledger'!$D:$D,D593,'inventory ledger'!$E:$E,E593,'inventory ledger'!$A:$A,"&lt;="&amp;B593+TIME(23,59,59)))</f>
        <v>0</v>
      </c>
      <c r="G593" s="3">
        <f>IFERROR(__xludf.DUMMYFUNCTION("IF(F593&lt;=0,0,IFERROR(ROUNDUP(F593/INDEX(FILTER('warehouse config'!$D:$D,('warehouse config'!$B:$B=C593)*('warehouse config'!$C:$C=D593)*('warehouse config'!$G:$G&lt;=B593)*(('warehouse config'!$H:$H&gt;=B593)+ISBLANK('warehouse config'!$H:$H))),1)),0))"),0.0)</f>
        <v>0</v>
      </c>
      <c r="H593" s="3">
        <f>IFERROR(__xludf.DUMMYFUNCTION("IFERROR(INDEX(FILTER('cost master'!$E:$E,('cost master'!$B:$B=C593)*('cost master'!$D:$D=""Storage cost per pallet / week"")*('cost master'!$G:$G&lt;=B593)*(('cost master'!$H:$H&gt;=B593)+ISBLANK('cost master'!$H:$H))),1),0)"),3.9)</f>
        <v>3.9</v>
      </c>
      <c r="I593" s="3">
        <f t="shared" si="4"/>
        <v>0</v>
      </c>
      <c r="J593" s="27">
        <f t="shared" si="5"/>
        <v>45763</v>
      </c>
      <c r="K593" s="27">
        <f t="shared" si="6"/>
        <v>45792</v>
      </c>
    </row>
    <row r="594" hidden="1">
      <c r="A594" s="3" t="str">
        <f t="shared" si="3"/>
        <v>SL-20250505-FMC-CS 007-11</v>
      </c>
      <c r="B594" s="2">
        <f t="array" ref="B594">INDEX(helper!$A$3:$A3996,ROUNDUP((ROW()-1)/COUNTA(helper!$D$3:$D3996),0))</f>
        <v>45782</v>
      </c>
      <c r="C594" s="5" t="str">
        <f t="array" ref="C594">IF(B594="","",INDEX(helper!$D$3:$D3996,MOD(ROW()-2,COUNTA(helper!$D$3:$D3996))+1))</f>
        <v>FMC</v>
      </c>
      <c r="D594" s="3" t="str">
        <f t="array" ref="D594">IF(B594="","",INDEX(helper!$E$3:$E3996,MOD(ROW()-2,COUNTA(helper!$D$3:$D3996))+1))</f>
        <v>CS 007</v>
      </c>
      <c r="E594" s="3">
        <f t="array" ref="E594">IF(B594="","",INDEX(helper!$F$3:$F3996,MOD(ROW()-2,COUNTA(helper!$D$3:$D3996))+1))</f>
        <v>11</v>
      </c>
      <c r="F594" s="3">
        <f>IF(B594="","",SUMIFS('inventory ledger'!$H:$H,'inventory ledger'!$C:$C,C594,'inventory ledger'!$D:$D,D594,'inventory ledger'!$E:$E,E594,'inventory ledger'!$A:$A,"&lt;="&amp;B594+TIME(23,59,59))-SUMIFS('inventory ledger'!$I:$I,'inventory ledger'!$C:$C,C594,'inventory ledger'!$D:$D,D594,'inventory ledger'!$E:$E,E594,'inventory ledger'!$A:$A,"&lt;="&amp;B594+TIME(23,59,59)))</f>
        <v>0</v>
      </c>
      <c r="G594" s="3">
        <f>IFERROR(__xludf.DUMMYFUNCTION("IF(F594&lt;=0,0,IFERROR(ROUNDUP(F594/INDEX(FILTER('warehouse config'!$D:$D,('warehouse config'!$B:$B=C594)*('warehouse config'!$C:$C=D594)*('warehouse config'!$G:$G&lt;=B594)*(('warehouse config'!$H:$H&gt;=B594)+ISBLANK('warehouse config'!$H:$H))),1)),0))"),0.0)</f>
        <v>0</v>
      </c>
      <c r="H594" s="3">
        <f>IFERROR(__xludf.DUMMYFUNCTION("IFERROR(INDEX(FILTER('cost master'!$E:$E,('cost master'!$B:$B=C594)*('cost master'!$D:$D=""Storage cost per pallet / week"")*('cost master'!$G:$G&lt;=B594)*(('cost master'!$H:$H&gt;=B594)+ISBLANK('cost master'!$H:$H))),1),0)"),3.9)</f>
        <v>3.9</v>
      </c>
      <c r="I594" s="3">
        <f t="shared" si="4"/>
        <v>0</v>
      </c>
      <c r="J594" s="27">
        <f t="shared" si="5"/>
        <v>45763</v>
      </c>
      <c r="K594" s="27">
        <f t="shared" si="6"/>
        <v>45792</v>
      </c>
    </row>
    <row r="595" hidden="1">
      <c r="A595" s="3" t="str">
        <f t="shared" si="3"/>
        <v>SL-20250505-FMC-CS 009-11</v>
      </c>
      <c r="B595" s="2">
        <f t="array" ref="B595">INDEX(helper!$A$3:$A3996,ROUNDUP((ROW()-1)/COUNTA(helper!$D$3:$D3996),0))</f>
        <v>45782</v>
      </c>
      <c r="C595" s="5" t="str">
        <f t="array" ref="C595">IF(B595="","",INDEX(helper!$D$3:$D3996,MOD(ROW()-2,COUNTA(helper!$D$3:$D3996))+1))</f>
        <v>FMC</v>
      </c>
      <c r="D595" s="3" t="str">
        <f t="array" ref="D595">IF(B595="","",INDEX(helper!$E$3:$E3996,MOD(ROW()-2,COUNTA(helper!$D$3:$D3996))+1))</f>
        <v>CS 009</v>
      </c>
      <c r="E595" s="3">
        <f t="array" ref="E595">IF(B595="","",INDEX(helper!$F$3:$F3996,MOD(ROW()-2,COUNTA(helper!$D$3:$D3996))+1))</f>
        <v>11</v>
      </c>
      <c r="F595" s="3">
        <f>IF(B595="","",SUMIFS('inventory ledger'!$H:$H,'inventory ledger'!$C:$C,C595,'inventory ledger'!$D:$D,D595,'inventory ledger'!$E:$E,E595,'inventory ledger'!$A:$A,"&lt;="&amp;B595+TIME(23,59,59))-SUMIFS('inventory ledger'!$I:$I,'inventory ledger'!$C:$C,C595,'inventory ledger'!$D:$D,D595,'inventory ledger'!$E:$E,E595,'inventory ledger'!$A:$A,"&lt;="&amp;B595+TIME(23,59,59)))</f>
        <v>0</v>
      </c>
      <c r="G595" s="3">
        <f>IFERROR(__xludf.DUMMYFUNCTION("IF(F595&lt;=0,0,IFERROR(ROUNDUP(F595/INDEX(FILTER('warehouse config'!$D:$D,('warehouse config'!$B:$B=C595)*('warehouse config'!$C:$C=D595)*('warehouse config'!$G:$G&lt;=B595)*(('warehouse config'!$H:$H&gt;=B595)+ISBLANK('warehouse config'!$H:$H))),1)),0))"),0.0)</f>
        <v>0</v>
      </c>
      <c r="H595" s="3">
        <f>IFERROR(__xludf.DUMMYFUNCTION("IFERROR(INDEX(FILTER('cost master'!$E:$E,('cost master'!$B:$B=C595)*('cost master'!$D:$D=""Storage cost per pallet / week"")*('cost master'!$G:$G&lt;=B595)*(('cost master'!$H:$H&gt;=B595)+ISBLANK('cost master'!$H:$H))),1),0)"),3.9)</f>
        <v>3.9</v>
      </c>
      <c r="I595" s="3">
        <f t="shared" si="4"/>
        <v>0</v>
      </c>
      <c r="J595" s="27">
        <f t="shared" si="5"/>
        <v>45763</v>
      </c>
      <c r="K595" s="27">
        <f t="shared" si="6"/>
        <v>45792</v>
      </c>
    </row>
    <row r="596" hidden="1">
      <c r="A596" s="3" t="str">
        <f t="shared" si="3"/>
        <v>SL-20250505-FMC-CS 010-11</v>
      </c>
      <c r="B596" s="2">
        <f t="array" ref="B596">INDEX(helper!$A$3:$A3996,ROUNDUP((ROW()-1)/COUNTA(helper!$D$3:$D3996),0))</f>
        <v>45782</v>
      </c>
      <c r="C596" s="5" t="str">
        <f t="array" ref="C596">IF(B596="","",INDEX(helper!$D$3:$D3996,MOD(ROW()-2,COUNTA(helper!$D$3:$D3996))+1))</f>
        <v>FMC</v>
      </c>
      <c r="D596" s="3" t="str">
        <f t="array" ref="D596">IF(B596="","",INDEX(helper!$E$3:$E3996,MOD(ROW()-2,COUNTA(helper!$D$3:$D3996))+1))</f>
        <v>CS 010</v>
      </c>
      <c r="E596" s="3">
        <f t="array" ref="E596">IF(B596="","",INDEX(helper!$F$3:$F3996,MOD(ROW()-2,COUNTA(helper!$D$3:$D3996))+1))</f>
        <v>11</v>
      </c>
      <c r="F596" s="3">
        <f>IF(B596="","",SUMIFS('inventory ledger'!$H:$H,'inventory ledger'!$C:$C,C596,'inventory ledger'!$D:$D,D596,'inventory ledger'!$E:$E,E596,'inventory ledger'!$A:$A,"&lt;="&amp;B596+TIME(23,59,59))-SUMIFS('inventory ledger'!$I:$I,'inventory ledger'!$C:$C,C596,'inventory ledger'!$D:$D,D596,'inventory ledger'!$E:$E,E596,'inventory ledger'!$A:$A,"&lt;="&amp;B596+TIME(23,59,59)))</f>
        <v>46</v>
      </c>
      <c r="G596" s="3">
        <f>IFERROR(__xludf.DUMMYFUNCTION("IF(F596&lt;=0,0,IFERROR(ROUNDUP(F596/INDEX(FILTER('warehouse config'!$D:$D,('warehouse config'!$B:$B=C596)*('warehouse config'!$C:$C=D596)*('warehouse config'!$G:$G&lt;=B596)*(('warehouse config'!$H:$H&gt;=B596)+ISBLANK('warehouse config'!$H:$H))),1)),0))"),2.0)</f>
        <v>2</v>
      </c>
      <c r="H596" s="3">
        <f>IFERROR(__xludf.DUMMYFUNCTION("IFERROR(INDEX(FILTER('cost master'!$E:$E,('cost master'!$B:$B=C596)*('cost master'!$D:$D=""Storage cost per pallet / week"")*('cost master'!$G:$G&lt;=B596)*(('cost master'!$H:$H&gt;=B596)+ISBLANK('cost master'!$H:$H))),1),0)"),3.9)</f>
        <v>3.9</v>
      </c>
      <c r="I596" s="3">
        <f t="shared" si="4"/>
        <v>7.8</v>
      </c>
      <c r="J596" s="27">
        <f t="shared" si="5"/>
        <v>45763</v>
      </c>
      <c r="K596" s="27">
        <f t="shared" si="6"/>
        <v>45792</v>
      </c>
    </row>
    <row r="597" hidden="1">
      <c r="A597" s="3" t="str">
        <f t="shared" si="3"/>
        <v>SL-20250505-Vglobal-CS 007-12</v>
      </c>
      <c r="B597" s="2">
        <f t="array" ref="B597">INDEX(helper!$A$3:$A3996,ROUNDUP((ROW()-1)/COUNTA(helper!$D$3:$D3996),0))</f>
        <v>45782</v>
      </c>
      <c r="C597" s="5" t="str">
        <f t="array" ref="C597">IF(B597="","",INDEX(helper!$D$3:$D3996,MOD(ROW()-2,COUNTA(helper!$D$3:$D3996))+1))</f>
        <v>Vglobal</v>
      </c>
      <c r="D597" s="3" t="str">
        <f t="array" ref="D597">IF(B597="","",INDEX(helper!$E$3:$E3996,MOD(ROW()-2,COUNTA(helper!$D$3:$D3996))+1))</f>
        <v>CS 007</v>
      </c>
      <c r="E597" s="3">
        <f t="array" ref="E597">IF(B597="","",INDEX(helper!$F$3:$F3996,MOD(ROW()-2,COUNTA(helper!$D$3:$D3996))+1))</f>
        <v>12</v>
      </c>
      <c r="F597" s="3">
        <f>IF(B597="","",SUMIFS('inventory ledger'!$H:$H,'inventory ledger'!$C:$C,C597,'inventory ledger'!$D:$D,D597,'inventory ledger'!$E:$E,E597,'inventory ledger'!$A:$A,"&lt;="&amp;B597+TIME(23,59,59))-SUMIFS('inventory ledger'!$I:$I,'inventory ledger'!$C:$C,C597,'inventory ledger'!$D:$D,D597,'inventory ledger'!$E:$E,E597,'inventory ledger'!$A:$A,"&lt;="&amp;B597+TIME(23,59,59)))</f>
        <v>0</v>
      </c>
      <c r="G597" s="3">
        <f>IFERROR(__xludf.DUMMYFUNCTION("IF(F597&lt;=0,0,IFERROR(ROUNDUP(F597/INDEX(FILTER('warehouse config'!$D:$D,('warehouse config'!$B:$B=C597)*('warehouse config'!$C:$C=D597)*('warehouse config'!$G:$G&lt;=B597)*(('warehouse config'!$H:$H&gt;=B597)+ISBLANK('warehouse config'!$H:$H))),1)),0))"),0.0)</f>
        <v>0</v>
      </c>
      <c r="H597" s="3">
        <f>IFERROR(__xludf.DUMMYFUNCTION("IFERROR(INDEX(FILTER('cost master'!$E:$E,('cost master'!$B:$B=C597)*('cost master'!$D:$D=""Storage cost per pallet / week"")*('cost master'!$G:$G&lt;=B597)*(('cost master'!$H:$H&gt;=B597)+ISBLANK('cost master'!$H:$H))),1),0)"),2.6)</f>
        <v>2.6</v>
      </c>
      <c r="I597" s="3">
        <f t="shared" si="4"/>
        <v>0</v>
      </c>
      <c r="J597" s="27">
        <f t="shared" si="5"/>
        <v>45763</v>
      </c>
      <c r="K597" s="27">
        <f t="shared" si="6"/>
        <v>45792</v>
      </c>
    </row>
    <row r="598" hidden="1">
      <c r="A598" s="3" t="str">
        <f t="shared" si="3"/>
        <v>SL-20250505-Vglobal-CS 011-12</v>
      </c>
      <c r="B598" s="2">
        <f t="array" ref="B598">INDEX(helper!$A$3:$A3996,ROUNDUP((ROW()-1)/COUNTA(helper!$D$3:$D3996),0))</f>
        <v>45782</v>
      </c>
      <c r="C598" s="5" t="str">
        <f t="array" ref="C598">IF(B598="","",INDEX(helper!$D$3:$D3996,MOD(ROW()-2,COUNTA(helper!$D$3:$D3996))+1))</f>
        <v>Vglobal</v>
      </c>
      <c r="D598" s="3" t="str">
        <f t="array" ref="D598">IF(B598="","",INDEX(helper!$E$3:$E3996,MOD(ROW()-2,COUNTA(helper!$D$3:$D3996))+1))</f>
        <v>CS 011</v>
      </c>
      <c r="E598" s="3">
        <f t="array" ref="E598">IF(B598="","",INDEX(helper!$F$3:$F3996,MOD(ROW()-2,COUNTA(helper!$D$3:$D3996))+1))</f>
        <v>12</v>
      </c>
      <c r="F598" s="3">
        <f>IF(B598="","",SUMIFS('inventory ledger'!$H:$H,'inventory ledger'!$C:$C,C598,'inventory ledger'!$D:$D,D598,'inventory ledger'!$E:$E,E598,'inventory ledger'!$A:$A,"&lt;="&amp;B598+TIME(23,59,59))-SUMIFS('inventory ledger'!$I:$I,'inventory ledger'!$C:$C,C598,'inventory ledger'!$D:$D,D598,'inventory ledger'!$E:$E,E598,'inventory ledger'!$A:$A,"&lt;="&amp;B598+TIME(23,59,59)))</f>
        <v>0</v>
      </c>
      <c r="G598" s="3">
        <f>IFERROR(__xludf.DUMMYFUNCTION("IF(F598&lt;=0,0,IFERROR(ROUNDUP(F598/INDEX(FILTER('warehouse config'!$D:$D,('warehouse config'!$B:$B=C598)*('warehouse config'!$C:$C=D598)*('warehouse config'!$G:$G&lt;=B598)*(('warehouse config'!$H:$H&gt;=B598)+ISBLANK('warehouse config'!$H:$H))),1)),0))"),0.0)</f>
        <v>0</v>
      </c>
      <c r="H598" s="3">
        <f>IFERROR(__xludf.DUMMYFUNCTION("IFERROR(INDEX(FILTER('cost master'!$E:$E,('cost master'!$B:$B=C598)*('cost master'!$D:$D=""Storage cost per pallet / week"")*('cost master'!$G:$G&lt;=B598)*(('cost master'!$H:$H&gt;=B598)+ISBLANK('cost master'!$H:$H))),1),0)"),2.6)</f>
        <v>2.6</v>
      </c>
      <c r="I598" s="3">
        <f t="shared" si="4"/>
        <v>0</v>
      </c>
      <c r="J598" s="27">
        <f t="shared" si="5"/>
        <v>45763</v>
      </c>
      <c r="K598" s="27">
        <f t="shared" si="6"/>
        <v>45792</v>
      </c>
    </row>
    <row r="599" hidden="1">
      <c r="A599" s="3" t="str">
        <f t="shared" si="3"/>
        <v>SL-20250505-Vglobal-CS 008-12</v>
      </c>
      <c r="B599" s="2">
        <f t="array" ref="B599">INDEX(helper!$A$3:$A3996,ROUNDUP((ROW()-1)/COUNTA(helper!$D$3:$D3996),0))</f>
        <v>45782</v>
      </c>
      <c r="C599" s="5" t="str">
        <f t="array" ref="C599">IF(B599="","",INDEX(helper!$D$3:$D3996,MOD(ROW()-2,COUNTA(helper!$D$3:$D3996))+1))</f>
        <v>Vglobal</v>
      </c>
      <c r="D599" s="3" t="str">
        <f t="array" ref="D599">IF(B599="","",INDEX(helper!$E$3:$E3996,MOD(ROW()-2,COUNTA(helper!$D$3:$D3996))+1))</f>
        <v>CS 008</v>
      </c>
      <c r="E599" s="3">
        <f t="array" ref="E599">IF(B599="","",INDEX(helper!$F$3:$F3996,MOD(ROW()-2,COUNTA(helper!$D$3:$D3996))+1))</f>
        <v>12</v>
      </c>
      <c r="F599" s="3">
        <f>IF(B599="","",SUMIFS('inventory ledger'!$H:$H,'inventory ledger'!$C:$C,C599,'inventory ledger'!$D:$D,D599,'inventory ledger'!$E:$E,E599,'inventory ledger'!$A:$A,"&lt;="&amp;B599+TIME(23,59,59))-SUMIFS('inventory ledger'!$I:$I,'inventory ledger'!$C:$C,C599,'inventory ledger'!$D:$D,D599,'inventory ledger'!$E:$E,E599,'inventory ledger'!$A:$A,"&lt;="&amp;B599+TIME(23,59,59)))</f>
        <v>0</v>
      </c>
      <c r="G599" s="3">
        <f>IFERROR(__xludf.DUMMYFUNCTION("IF(F599&lt;=0,0,IFERROR(ROUNDUP(F599/INDEX(FILTER('warehouse config'!$D:$D,('warehouse config'!$B:$B=C599)*('warehouse config'!$C:$C=D599)*('warehouse config'!$G:$G&lt;=B599)*(('warehouse config'!$H:$H&gt;=B599)+ISBLANK('warehouse config'!$H:$H))),1)),0))"),0.0)</f>
        <v>0</v>
      </c>
      <c r="H599" s="3">
        <f>IFERROR(__xludf.DUMMYFUNCTION("IFERROR(INDEX(FILTER('cost master'!$E:$E,('cost master'!$B:$B=C599)*('cost master'!$D:$D=""Storage cost per pallet / week"")*('cost master'!$G:$G&lt;=B599)*(('cost master'!$H:$H&gt;=B599)+ISBLANK('cost master'!$H:$H))),1),0)"),2.6)</f>
        <v>2.6</v>
      </c>
      <c r="I599" s="3">
        <f t="shared" si="4"/>
        <v>0</v>
      </c>
      <c r="J599" s="27">
        <f t="shared" si="5"/>
        <v>45763</v>
      </c>
      <c r="K599" s="27">
        <f t="shared" si="6"/>
        <v>45792</v>
      </c>
    </row>
    <row r="600" hidden="1">
      <c r="A600" s="3" t="str">
        <f t="shared" si="3"/>
        <v>SL-20250505-Vglobal-CS 010-12</v>
      </c>
      <c r="B600" s="2">
        <f t="array" ref="B600">INDEX(helper!$A$3:$A3996,ROUNDUP((ROW()-1)/COUNTA(helper!$D$3:$D3996),0))</f>
        <v>45782</v>
      </c>
      <c r="C600" s="5" t="str">
        <f t="array" ref="C600">IF(B600="","",INDEX(helper!$D$3:$D3996,MOD(ROW()-2,COUNTA(helper!$D$3:$D3996))+1))</f>
        <v>Vglobal</v>
      </c>
      <c r="D600" s="3" t="str">
        <f t="array" ref="D600">IF(B600="","",INDEX(helper!$E$3:$E3996,MOD(ROW()-2,COUNTA(helper!$D$3:$D3996))+1))</f>
        <v>CS 010</v>
      </c>
      <c r="E600" s="3">
        <f t="array" ref="E600">IF(B600="","",INDEX(helper!$F$3:$F3996,MOD(ROW()-2,COUNTA(helper!$D$3:$D3996))+1))</f>
        <v>12</v>
      </c>
      <c r="F600" s="3">
        <f>IF(B600="","",SUMIFS('inventory ledger'!$H:$H,'inventory ledger'!$C:$C,C600,'inventory ledger'!$D:$D,D600,'inventory ledger'!$E:$E,E600,'inventory ledger'!$A:$A,"&lt;="&amp;B600+TIME(23,59,59))-SUMIFS('inventory ledger'!$I:$I,'inventory ledger'!$C:$C,C600,'inventory ledger'!$D:$D,D600,'inventory ledger'!$E:$E,E600,'inventory ledger'!$A:$A,"&lt;="&amp;B600+TIME(23,59,59)))</f>
        <v>70</v>
      </c>
      <c r="G600" s="3">
        <f>IFERROR(__xludf.DUMMYFUNCTION("IF(F600&lt;=0,0,IFERROR(ROUNDUP(F600/INDEX(FILTER('warehouse config'!$D:$D,('warehouse config'!$B:$B=C600)*('warehouse config'!$C:$C=D600)*('warehouse config'!$G:$G&lt;=B600)*(('warehouse config'!$H:$H&gt;=B600)+ISBLANK('warehouse config'!$H:$H))),1)),0))"),3.0)</f>
        <v>3</v>
      </c>
      <c r="H600" s="3">
        <f>IFERROR(__xludf.DUMMYFUNCTION("IFERROR(INDEX(FILTER('cost master'!$E:$E,('cost master'!$B:$B=C600)*('cost master'!$D:$D=""Storage cost per pallet / week"")*('cost master'!$G:$G&lt;=B600)*(('cost master'!$H:$H&gt;=B600)+ISBLANK('cost master'!$H:$H))),1),0)"),2.6)</f>
        <v>2.6</v>
      </c>
      <c r="I600" s="3">
        <f t="shared" si="4"/>
        <v>7.8</v>
      </c>
      <c r="J600" s="27">
        <f t="shared" si="5"/>
        <v>45763</v>
      </c>
      <c r="K600" s="27">
        <f t="shared" si="6"/>
        <v>45792</v>
      </c>
    </row>
    <row r="601" hidden="1">
      <c r="A601" s="3" t="str">
        <f t="shared" si="3"/>
        <v>SL-20250505-Vglobal-CS 009-12</v>
      </c>
      <c r="B601" s="2">
        <f t="array" ref="B601">INDEX(helper!$A$3:$A3996,ROUNDUP((ROW()-1)/COUNTA(helper!$D$3:$D3996),0))</f>
        <v>45782</v>
      </c>
      <c r="C601" s="5" t="str">
        <f t="array" ref="C601">IF(B601="","",INDEX(helper!$D$3:$D3996,MOD(ROW()-2,COUNTA(helper!$D$3:$D3996))+1))</f>
        <v>Vglobal</v>
      </c>
      <c r="D601" s="3" t="str">
        <f t="array" ref="D601">IF(B601="","",INDEX(helper!$E$3:$E3996,MOD(ROW()-2,COUNTA(helper!$D$3:$D3996))+1))</f>
        <v>CS 009</v>
      </c>
      <c r="E601" s="3">
        <f t="array" ref="E601">IF(B601="","",INDEX(helper!$F$3:$F3996,MOD(ROW()-2,COUNTA(helper!$D$3:$D3996))+1))</f>
        <v>12</v>
      </c>
      <c r="F601" s="3">
        <f>IF(B601="","",SUMIFS('inventory ledger'!$H:$H,'inventory ledger'!$C:$C,C601,'inventory ledger'!$D:$D,D601,'inventory ledger'!$E:$E,E601,'inventory ledger'!$A:$A,"&lt;="&amp;B601+TIME(23,59,59))-SUMIFS('inventory ledger'!$I:$I,'inventory ledger'!$C:$C,C601,'inventory ledger'!$D:$D,D601,'inventory ledger'!$E:$E,E601,'inventory ledger'!$A:$A,"&lt;="&amp;B601+TIME(23,59,59)))</f>
        <v>0</v>
      </c>
      <c r="G601" s="3">
        <f>IFERROR(__xludf.DUMMYFUNCTION("IF(F601&lt;=0,0,IFERROR(ROUNDUP(F601/INDEX(FILTER('warehouse config'!$D:$D,('warehouse config'!$B:$B=C601)*('warehouse config'!$C:$C=D601)*('warehouse config'!$G:$G&lt;=B601)*(('warehouse config'!$H:$H&gt;=B601)+ISBLANK('warehouse config'!$H:$H))),1)),0))"),0.0)</f>
        <v>0</v>
      </c>
      <c r="H601" s="3">
        <f>IFERROR(__xludf.DUMMYFUNCTION("IFERROR(INDEX(FILTER('cost master'!$E:$E,('cost master'!$B:$B=C601)*('cost master'!$D:$D=""Storage cost per pallet / week"")*('cost master'!$G:$G&lt;=B601)*(('cost master'!$H:$H&gt;=B601)+ISBLANK('cost master'!$H:$H))),1),0)"),2.6)</f>
        <v>2.6</v>
      </c>
      <c r="I601" s="3">
        <f t="shared" si="4"/>
        <v>0</v>
      </c>
      <c r="J601" s="27">
        <f t="shared" si="5"/>
        <v>45763</v>
      </c>
      <c r="K601" s="27">
        <f t="shared" si="6"/>
        <v>45792</v>
      </c>
    </row>
    <row r="602" hidden="1">
      <c r="A602" s="3" t="str">
        <f t="shared" si="3"/>
        <v>SL-20250505-Vglobal-CS 012-12</v>
      </c>
      <c r="B602" s="2">
        <f t="array" ref="B602">INDEX(helper!$A$3:$A3996,ROUNDUP((ROW()-1)/COUNTA(helper!$D$3:$D3996),0))</f>
        <v>45782</v>
      </c>
      <c r="C602" s="5" t="str">
        <f t="array" ref="C602">IF(B602="","",INDEX(helper!$D$3:$D3996,MOD(ROW()-2,COUNTA(helper!$D$3:$D3996))+1))</f>
        <v>Vglobal</v>
      </c>
      <c r="D602" s="3" t="str">
        <f t="array" ref="D602">IF(B602="","",INDEX(helper!$E$3:$E3996,MOD(ROW()-2,COUNTA(helper!$D$3:$D3996))+1))</f>
        <v>CS 012</v>
      </c>
      <c r="E602" s="3">
        <f t="array" ref="E602">IF(B602="","",INDEX(helper!$F$3:$F3996,MOD(ROW()-2,COUNTA(helper!$D$3:$D3996))+1))</f>
        <v>12</v>
      </c>
      <c r="F602" s="3">
        <f>IF(B602="","",SUMIFS('inventory ledger'!$H:$H,'inventory ledger'!$C:$C,C602,'inventory ledger'!$D:$D,D602,'inventory ledger'!$E:$E,E602,'inventory ledger'!$A:$A,"&lt;="&amp;B602+TIME(23,59,59))-SUMIFS('inventory ledger'!$I:$I,'inventory ledger'!$C:$C,C602,'inventory ledger'!$D:$D,D602,'inventory ledger'!$E:$E,E602,'inventory ledger'!$A:$A,"&lt;="&amp;B602+TIME(23,59,59)))</f>
        <v>0</v>
      </c>
      <c r="G602" s="3">
        <f>IFERROR(__xludf.DUMMYFUNCTION("IF(F602&lt;=0,0,IFERROR(ROUNDUP(F602/INDEX(FILTER('warehouse config'!$D:$D,('warehouse config'!$B:$B=C602)*('warehouse config'!$C:$C=D602)*('warehouse config'!$G:$G&lt;=B602)*(('warehouse config'!$H:$H&gt;=B602)+ISBLANK('warehouse config'!$H:$H))),1)),0))"),0.0)</f>
        <v>0</v>
      </c>
      <c r="H602" s="3">
        <f>IFERROR(__xludf.DUMMYFUNCTION("IFERROR(INDEX(FILTER('cost master'!$E:$E,('cost master'!$B:$B=C602)*('cost master'!$D:$D=""Storage cost per pallet / week"")*('cost master'!$G:$G&lt;=B602)*(('cost master'!$H:$H&gt;=B602)+ISBLANK('cost master'!$H:$H))),1),0)"),2.6)</f>
        <v>2.6</v>
      </c>
      <c r="I602" s="3">
        <f t="shared" si="4"/>
        <v>0</v>
      </c>
      <c r="J602" s="27">
        <f t="shared" si="5"/>
        <v>45763</v>
      </c>
      <c r="K602" s="27">
        <f t="shared" si="6"/>
        <v>45792</v>
      </c>
    </row>
    <row r="603" hidden="1">
      <c r="A603" s="3" t="str">
        <f t="shared" si="3"/>
        <v>SL-20250505-Vglobal-CS-CDS-001-3</v>
      </c>
      <c r="B603" s="2">
        <f t="array" ref="B603">INDEX(helper!$A$3:$A3996,ROUNDUP((ROW()-1)/COUNTA(helper!$D$3:$D3996),0))</f>
        <v>45782</v>
      </c>
      <c r="C603" s="5" t="str">
        <f t="array" ref="C603">IF(B603="","",INDEX(helper!$D$3:$D3996,MOD(ROW()-2,COUNTA(helper!$D$3:$D3996))+1))</f>
        <v>Vglobal</v>
      </c>
      <c r="D603" s="3" t="str">
        <f t="array" ref="D603">IF(B603="","",INDEX(helper!$E$3:$E3996,MOD(ROW()-2,COUNTA(helper!$D$3:$D3996))+1))</f>
        <v>CS-CDS-001</v>
      </c>
      <c r="E603" s="3">
        <f t="array" ref="E603">IF(B603="","",INDEX(helper!$F$3:$F3996,MOD(ROW()-2,COUNTA(helper!$D$3:$D3996))+1))</f>
        <v>3</v>
      </c>
      <c r="F603" s="3">
        <f>IF(B603="","",SUMIFS('inventory ledger'!$H:$H,'inventory ledger'!$C:$C,C603,'inventory ledger'!$D:$D,D603,'inventory ledger'!$E:$E,E603,'inventory ledger'!$A:$A,"&lt;="&amp;B603+TIME(23,59,59))-SUMIFS('inventory ledger'!$I:$I,'inventory ledger'!$C:$C,C603,'inventory ledger'!$D:$D,D603,'inventory ledger'!$E:$E,E603,'inventory ledger'!$A:$A,"&lt;="&amp;B603+TIME(23,59,59)))</f>
        <v>1</v>
      </c>
      <c r="G603" s="3">
        <f>IFERROR(__xludf.DUMMYFUNCTION("IF(F603&lt;=0,0,IFERROR(ROUNDUP(F603/INDEX(FILTER('warehouse config'!$D:$D,('warehouse config'!$B:$B=C603)*('warehouse config'!$C:$C=D603)*('warehouse config'!$G:$G&lt;=B603)*(('warehouse config'!$H:$H&gt;=B603)+ISBLANK('warehouse config'!$H:$H))),1)),0))"),1.0)</f>
        <v>1</v>
      </c>
      <c r="H603" s="3">
        <f>IFERROR(__xludf.DUMMYFUNCTION("IFERROR(INDEX(FILTER('cost master'!$E:$E,('cost master'!$B:$B=C603)*('cost master'!$D:$D=""Storage cost per pallet / week"")*('cost master'!$G:$G&lt;=B603)*(('cost master'!$H:$H&gt;=B603)+ISBLANK('cost master'!$H:$H))),1),0)"),2.6)</f>
        <v>2.6</v>
      </c>
      <c r="I603" s="3">
        <f t="shared" si="4"/>
        <v>2.6</v>
      </c>
      <c r="J603" s="27">
        <f t="shared" si="5"/>
        <v>45763</v>
      </c>
      <c r="K603" s="27">
        <f t="shared" si="6"/>
        <v>45792</v>
      </c>
    </row>
    <row r="604" hidden="1">
      <c r="A604" s="3" t="str">
        <f t="shared" si="3"/>
        <v>SL-20250505-Vglobal-CS-CDS-002-3</v>
      </c>
      <c r="B604" s="2">
        <f t="array" ref="B604">INDEX(helper!$A$3:$A3996,ROUNDUP((ROW()-1)/COUNTA(helper!$D$3:$D3996),0))</f>
        <v>45782</v>
      </c>
      <c r="C604" s="5" t="str">
        <f t="array" ref="C604">IF(B604="","",INDEX(helper!$D$3:$D3996,MOD(ROW()-2,COUNTA(helper!$D$3:$D3996))+1))</f>
        <v>Vglobal</v>
      </c>
      <c r="D604" s="3" t="str">
        <f t="array" ref="D604">IF(B604="","",INDEX(helper!$E$3:$E3996,MOD(ROW()-2,COUNTA(helper!$D$3:$D3996))+1))</f>
        <v>CS-CDS-002</v>
      </c>
      <c r="E604" s="3">
        <f t="array" ref="E604">IF(B604="","",INDEX(helper!$F$3:$F3996,MOD(ROW()-2,COUNTA(helper!$D$3:$D3996))+1))</f>
        <v>3</v>
      </c>
      <c r="F604" s="3">
        <f>IF(B604="","",SUMIFS('inventory ledger'!$H:$H,'inventory ledger'!$C:$C,C604,'inventory ledger'!$D:$D,D604,'inventory ledger'!$E:$E,E604,'inventory ledger'!$A:$A,"&lt;="&amp;B604+TIME(23,59,59))-SUMIFS('inventory ledger'!$I:$I,'inventory ledger'!$C:$C,C604,'inventory ledger'!$D:$D,D604,'inventory ledger'!$E:$E,E604,'inventory ledger'!$A:$A,"&lt;="&amp;B604+TIME(23,59,59)))</f>
        <v>0</v>
      </c>
      <c r="G604" s="3">
        <f>IFERROR(__xludf.DUMMYFUNCTION("IF(F604&lt;=0,0,IFERROR(ROUNDUP(F604/INDEX(FILTER('warehouse config'!$D:$D,('warehouse config'!$B:$B=C604)*('warehouse config'!$C:$C=D604)*('warehouse config'!$G:$G&lt;=B604)*(('warehouse config'!$H:$H&gt;=B604)+ISBLANK('warehouse config'!$H:$H))),1)),0))"),0.0)</f>
        <v>0</v>
      </c>
      <c r="H604" s="3">
        <f>IFERROR(__xludf.DUMMYFUNCTION("IFERROR(INDEX(FILTER('cost master'!$E:$E,('cost master'!$B:$B=C604)*('cost master'!$D:$D=""Storage cost per pallet / week"")*('cost master'!$G:$G&lt;=B604)*(('cost master'!$H:$H&gt;=B604)+ISBLANK('cost master'!$H:$H))),1),0)"),2.6)</f>
        <v>2.6</v>
      </c>
      <c r="I604" s="3">
        <f t="shared" si="4"/>
        <v>0</v>
      </c>
      <c r="J604" s="27">
        <f t="shared" si="5"/>
        <v>45763</v>
      </c>
      <c r="K604" s="27">
        <f t="shared" si="6"/>
        <v>45792</v>
      </c>
    </row>
    <row r="605" hidden="1">
      <c r="A605" s="3" t="str">
        <f t="shared" si="3"/>
        <v>SL-20250505-4as-CS-CDS-001-4</v>
      </c>
      <c r="B605" s="2">
        <f t="array" ref="B605">INDEX(helper!$A$3:$A3996,ROUNDUP((ROW()-1)/COUNTA(helper!$D$3:$D3996),0))</f>
        <v>45782</v>
      </c>
      <c r="C605" s="5" t="str">
        <f t="array" ref="C605">IF(B605="","",INDEX(helper!$D$3:$D3996,MOD(ROW()-2,COUNTA(helper!$D$3:$D3996))+1))</f>
        <v>4as</v>
      </c>
      <c r="D605" s="3" t="str">
        <f t="array" ref="D605">IF(B605="","",INDEX(helper!$E$3:$E3996,MOD(ROW()-2,COUNTA(helper!$D$3:$D3996))+1))</f>
        <v>CS-CDS-001</v>
      </c>
      <c r="E605" s="3">
        <f t="array" ref="E605">IF(B605="","",INDEX(helper!$F$3:$F3996,MOD(ROW()-2,COUNTA(helper!$D$3:$D3996))+1))</f>
        <v>4</v>
      </c>
      <c r="F605" s="3">
        <f>IF(B605="","",SUMIFS('inventory ledger'!$H:$H,'inventory ledger'!$C:$C,C605,'inventory ledger'!$D:$D,D605,'inventory ledger'!$E:$E,E605,'inventory ledger'!$A:$A,"&lt;="&amp;B605+TIME(23,59,59))-SUMIFS('inventory ledger'!$I:$I,'inventory ledger'!$C:$C,C605,'inventory ledger'!$D:$D,D605,'inventory ledger'!$E:$E,E605,'inventory ledger'!$A:$A,"&lt;="&amp;B605+TIME(23,59,59)))</f>
        <v>28</v>
      </c>
      <c r="G605" s="3">
        <f>IFERROR(__xludf.DUMMYFUNCTION("IF(F605&lt;=0,0,IFERROR(ROUNDUP(F605/INDEX(FILTER('warehouse config'!$D:$D,('warehouse config'!$B:$B=C605)*('warehouse config'!$C:$C=D605)*('warehouse config'!$G:$G&lt;=B605)*(('warehouse config'!$H:$H&gt;=B605)+ISBLANK('warehouse config'!$H:$H))),1)),0))"),2.0)</f>
        <v>2</v>
      </c>
      <c r="H605" s="3">
        <f>IFERROR(__xludf.DUMMYFUNCTION("IFERROR(INDEX(FILTER('cost master'!$E:$E,('cost master'!$B:$B=C605)*('cost master'!$D:$D=""Storage cost per pallet / week"")*('cost master'!$G:$G&lt;=B605)*(('cost master'!$H:$H&gt;=B605)+ISBLANK('cost master'!$H:$H))),1),0)"),9.0)</f>
        <v>9</v>
      </c>
      <c r="I605" s="3">
        <f t="shared" si="4"/>
        <v>18</v>
      </c>
      <c r="J605" s="27">
        <f t="shared" si="5"/>
        <v>45763</v>
      </c>
      <c r="K605" s="27">
        <f t="shared" si="6"/>
        <v>45792</v>
      </c>
    </row>
    <row r="606" hidden="1">
      <c r="A606" s="3" t="str">
        <f t="shared" si="3"/>
        <v>SL-20250505-4as-CS-CDS-002-4</v>
      </c>
      <c r="B606" s="2">
        <f t="array" ref="B606">INDEX(helper!$A$3:$A3996,ROUNDUP((ROW()-1)/COUNTA(helper!$D$3:$D3996),0))</f>
        <v>45782</v>
      </c>
      <c r="C606" s="5" t="str">
        <f t="array" ref="C606">IF(B606="","",INDEX(helper!$D$3:$D3996,MOD(ROW()-2,COUNTA(helper!$D$3:$D3996))+1))</f>
        <v>4as</v>
      </c>
      <c r="D606" s="3" t="str">
        <f t="array" ref="D606">IF(B606="","",INDEX(helper!$E$3:$E3996,MOD(ROW()-2,COUNTA(helper!$D$3:$D3996))+1))</f>
        <v>CS-CDS-002</v>
      </c>
      <c r="E606" s="3">
        <f t="array" ref="E606">IF(B606="","",INDEX(helper!$F$3:$F3996,MOD(ROW()-2,COUNTA(helper!$D$3:$D3996))+1))</f>
        <v>4</v>
      </c>
      <c r="F606" s="3">
        <f>IF(B606="","",SUMIFS('inventory ledger'!$H:$H,'inventory ledger'!$C:$C,C606,'inventory ledger'!$D:$D,D606,'inventory ledger'!$E:$E,E606,'inventory ledger'!$A:$A,"&lt;="&amp;B606+TIME(23,59,59))-SUMIFS('inventory ledger'!$I:$I,'inventory ledger'!$C:$C,C606,'inventory ledger'!$D:$D,D606,'inventory ledger'!$E:$E,E606,'inventory ledger'!$A:$A,"&lt;="&amp;B606+TIME(23,59,59)))</f>
        <v>0</v>
      </c>
      <c r="G606" s="3">
        <f>IFERROR(__xludf.DUMMYFUNCTION("IF(F606&lt;=0,0,IFERROR(ROUNDUP(F606/INDEX(FILTER('warehouse config'!$D:$D,('warehouse config'!$B:$B=C606)*('warehouse config'!$C:$C=D606)*('warehouse config'!$G:$G&lt;=B606)*(('warehouse config'!$H:$H&gt;=B606)+ISBLANK('warehouse config'!$H:$H))),1)),0))"),0.0)</f>
        <v>0</v>
      </c>
      <c r="H606" s="3">
        <f>IFERROR(__xludf.DUMMYFUNCTION("IFERROR(INDEX(FILTER('cost master'!$E:$E,('cost master'!$B:$B=C606)*('cost master'!$D:$D=""Storage cost per pallet / week"")*('cost master'!$G:$G&lt;=B606)*(('cost master'!$H:$H&gt;=B606)+ISBLANK('cost master'!$H:$H))),1),0)"),9.0)</f>
        <v>9</v>
      </c>
      <c r="I606" s="3">
        <f t="shared" si="4"/>
        <v>0</v>
      </c>
      <c r="J606" s="27">
        <f t="shared" si="5"/>
        <v>45763</v>
      </c>
      <c r="K606" s="27">
        <f t="shared" si="6"/>
        <v>45792</v>
      </c>
    </row>
    <row r="607" hidden="1">
      <c r="A607" s="3" t="str">
        <f t="shared" si="3"/>
        <v>SL-20250505-Vglobal-CS 007-13</v>
      </c>
      <c r="B607" s="2">
        <f t="array" ref="B607">INDEX(helper!$A$3:$A3996,ROUNDUP((ROW()-1)/COUNTA(helper!$D$3:$D3996),0))</f>
        <v>45782</v>
      </c>
      <c r="C607" s="5" t="str">
        <f t="array" ref="C607">IF(B607="","",INDEX(helper!$D$3:$D3996,MOD(ROW()-2,COUNTA(helper!$D$3:$D3996))+1))</f>
        <v>Vglobal</v>
      </c>
      <c r="D607" s="3" t="str">
        <f t="array" ref="D607">IF(B607="","",INDEX(helper!$E$3:$E3996,MOD(ROW()-2,COUNTA(helper!$D$3:$D3996))+1))</f>
        <v>CS 007</v>
      </c>
      <c r="E607" s="3">
        <f t="array" ref="E607">IF(B607="","",INDEX(helper!$F$3:$F3996,MOD(ROW()-2,COUNTA(helper!$D$3:$D3996))+1))</f>
        <v>13</v>
      </c>
      <c r="F607" s="3">
        <f>IF(B607="","",SUMIFS('inventory ledger'!$H:$H,'inventory ledger'!$C:$C,C607,'inventory ledger'!$D:$D,D607,'inventory ledger'!$E:$E,E607,'inventory ledger'!$A:$A,"&lt;="&amp;B607+TIME(23,59,59))-SUMIFS('inventory ledger'!$I:$I,'inventory ledger'!$C:$C,C607,'inventory ledger'!$D:$D,D607,'inventory ledger'!$E:$E,E607,'inventory ledger'!$A:$A,"&lt;="&amp;B607+TIME(23,59,59)))</f>
        <v>45</v>
      </c>
      <c r="G607" s="3">
        <f>IFERROR(__xludf.DUMMYFUNCTION("IF(F607&lt;=0,0,IFERROR(ROUNDUP(F607/INDEX(FILTER('warehouse config'!$D:$D,('warehouse config'!$B:$B=C607)*('warehouse config'!$C:$C=D607)*('warehouse config'!$G:$G&lt;=B607)*(('warehouse config'!$H:$H&gt;=B607)+ISBLANK('warehouse config'!$H:$H))),1)),0))"),3.0)</f>
        <v>3</v>
      </c>
      <c r="H607" s="3">
        <f>IFERROR(__xludf.DUMMYFUNCTION("IFERROR(INDEX(FILTER('cost master'!$E:$E,('cost master'!$B:$B=C607)*('cost master'!$D:$D=""Storage cost per pallet / week"")*('cost master'!$G:$G&lt;=B607)*(('cost master'!$H:$H&gt;=B607)+ISBLANK('cost master'!$H:$H))),1),0)"),2.6)</f>
        <v>2.6</v>
      </c>
      <c r="I607" s="3">
        <f t="shared" si="4"/>
        <v>7.8</v>
      </c>
      <c r="J607" s="27">
        <f t="shared" si="5"/>
        <v>45763</v>
      </c>
      <c r="K607" s="27">
        <f t="shared" si="6"/>
        <v>45792</v>
      </c>
    </row>
    <row r="608" hidden="1">
      <c r="A608" s="3" t="str">
        <f t="shared" si="3"/>
        <v>SL-20250505-Vglobal-CS 011-13</v>
      </c>
      <c r="B608" s="2">
        <f t="array" ref="B608">INDEX(helper!$A$3:$A3996,ROUNDUP((ROW()-1)/COUNTA(helper!$D$3:$D3996),0))</f>
        <v>45782</v>
      </c>
      <c r="C608" s="5" t="str">
        <f t="array" ref="C608">IF(B608="","",INDEX(helper!$D$3:$D3996,MOD(ROW()-2,COUNTA(helper!$D$3:$D3996))+1))</f>
        <v>Vglobal</v>
      </c>
      <c r="D608" s="3" t="str">
        <f t="array" ref="D608">IF(B608="","",INDEX(helper!$E$3:$E3996,MOD(ROW()-2,COUNTA(helper!$D$3:$D3996))+1))</f>
        <v>CS 011</v>
      </c>
      <c r="E608" s="3">
        <f t="array" ref="E608">IF(B608="","",INDEX(helper!$F$3:$F3996,MOD(ROW()-2,COUNTA(helper!$D$3:$D3996))+1))</f>
        <v>13</v>
      </c>
      <c r="F608" s="3">
        <f>IF(B608="","",SUMIFS('inventory ledger'!$H:$H,'inventory ledger'!$C:$C,C608,'inventory ledger'!$D:$D,D608,'inventory ledger'!$E:$E,E608,'inventory ledger'!$A:$A,"&lt;="&amp;B608+TIME(23,59,59))-SUMIFS('inventory ledger'!$I:$I,'inventory ledger'!$C:$C,C608,'inventory ledger'!$D:$D,D608,'inventory ledger'!$E:$E,E608,'inventory ledger'!$A:$A,"&lt;="&amp;B608+TIME(23,59,59)))</f>
        <v>64</v>
      </c>
      <c r="G608" s="3">
        <f>IFERROR(__xludf.DUMMYFUNCTION("IF(F608&lt;=0,0,IFERROR(ROUNDUP(F608/INDEX(FILTER('warehouse config'!$D:$D,('warehouse config'!$B:$B=C608)*('warehouse config'!$C:$C=D608)*('warehouse config'!$G:$G&lt;=B608)*(('warehouse config'!$H:$H&gt;=B608)+ISBLANK('warehouse config'!$H:$H))),1)),0))"),4.0)</f>
        <v>4</v>
      </c>
      <c r="H608" s="3">
        <f>IFERROR(__xludf.DUMMYFUNCTION("IFERROR(INDEX(FILTER('cost master'!$E:$E,('cost master'!$B:$B=C608)*('cost master'!$D:$D=""Storage cost per pallet / week"")*('cost master'!$G:$G&lt;=B608)*(('cost master'!$H:$H&gt;=B608)+ISBLANK('cost master'!$H:$H))),1),0)"),2.6)</f>
        <v>2.6</v>
      </c>
      <c r="I608" s="3">
        <f t="shared" si="4"/>
        <v>10.4</v>
      </c>
      <c r="J608" s="27">
        <f t="shared" si="5"/>
        <v>45763</v>
      </c>
      <c r="K608" s="27">
        <f t="shared" si="6"/>
        <v>45792</v>
      </c>
    </row>
    <row r="609" hidden="1">
      <c r="A609" s="3" t="str">
        <f t="shared" si="3"/>
        <v>SL-20250505-Vglobal-CS 008-13</v>
      </c>
      <c r="B609" s="2">
        <f t="array" ref="B609">INDEX(helper!$A$3:$A3996,ROUNDUP((ROW()-1)/COUNTA(helper!$D$3:$D3996),0))</f>
        <v>45782</v>
      </c>
      <c r="C609" s="5" t="str">
        <f t="array" ref="C609">IF(B609="","",INDEX(helper!$D$3:$D3996,MOD(ROW()-2,COUNTA(helper!$D$3:$D3996))+1))</f>
        <v>Vglobal</v>
      </c>
      <c r="D609" s="3" t="str">
        <f t="array" ref="D609">IF(B609="","",INDEX(helper!$E$3:$E3996,MOD(ROW()-2,COUNTA(helper!$D$3:$D3996))+1))</f>
        <v>CS 008</v>
      </c>
      <c r="E609" s="3">
        <f t="array" ref="E609">IF(B609="","",INDEX(helper!$F$3:$F3996,MOD(ROW()-2,COUNTA(helper!$D$3:$D3996))+1))</f>
        <v>13</v>
      </c>
      <c r="F609" s="3">
        <f>IF(B609="","",SUMIFS('inventory ledger'!$H:$H,'inventory ledger'!$C:$C,C609,'inventory ledger'!$D:$D,D609,'inventory ledger'!$E:$E,E609,'inventory ledger'!$A:$A,"&lt;="&amp;B609+TIME(23,59,59))-SUMIFS('inventory ledger'!$I:$I,'inventory ledger'!$C:$C,C609,'inventory ledger'!$D:$D,D609,'inventory ledger'!$E:$E,E609,'inventory ledger'!$A:$A,"&lt;="&amp;B609+TIME(23,59,59)))</f>
        <v>20</v>
      </c>
      <c r="G609" s="3">
        <f>IFERROR(__xludf.DUMMYFUNCTION("IF(F609&lt;=0,0,IFERROR(ROUNDUP(F609/INDEX(FILTER('warehouse config'!$D:$D,('warehouse config'!$B:$B=C609)*('warehouse config'!$C:$C=D609)*('warehouse config'!$G:$G&lt;=B609)*(('warehouse config'!$H:$H&gt;=B609)+ISBLANK('warehouse config'!$H:$H))),1)),0))"),1.0)</f>
        <v>1</v>
      </c>
      <c r="H609" s="3">
        <f>IFERROR(__xludf.DUMMYFUNCTION("IFERROR(INDEX(FILTER('cost master'!$E:$E,('cost master'!$B:$B=C609)*('cost master'!$D:$D=""Storage cost per pallet / week"")*('cost master'!$G:$G&lt;=B609)*(('cost master'!$H:$H&gt;=B609)+ISBLANK('cost master'!$H:$H))),1),0)"),2.6)</f>
        <v>2.6</v>
      </c>
      <c r="I609" s="3">
        <f t="shared" si="4"/>
        <v>2.6</v>
      </c>
      <c r="J609" s="27">
        <f t="shared" si="5"/>
        <v>45763</v>
      </c>
      <c r="K609" s="27">
        <f t="shared" si="6"/>
        <v>45792</v>
      </c>
    </row>
    <row r="610" hidden="1">
      <c r="A610" s="3" t="str">
        <f t="shared" si="3"/>
        <v>SL-20250505-Vglobal-CS 010-13</v>
      </c>
      <c r="B610" s="2">
        <f t="array" ref="B610">INDEX(helper!$A$3:$A3996,ROUNDUP((ROW()-1)/COUNTA(helper!$D$3:$D3996),0))</f>
        <v>45782</v>
      </c>
      <c r="C610" s="5" t="str">
        <f t="array" ref="C610">IF(B610="","",INDEX(helper!$D$3:$D3996,MOD(ROW()-2,COUNTA(helper!$D$3:$D3996))+1))</f>
        <v>Vglobal</v>
      </c>
      <c r="D610" s="3" t="str">
        <f t="array" ref="D610">IF(B610="","",INDEX(helper!$E$3:$E3996,MOD(ROW()-2,COUNTA(helper!$D$3:$D3996))+1))</f>
        <v>CS 010</v>
      </c>
      <c r="E610" s="3">
        <f t="array" ref="E610">IF(B610="","",INDEX(helper!$F$3:$F3996,MOD(ROW()-2,COUNTA(helper!$D$3:$D3996))+1))</f>
        <v>13</v>
      </c>
      <c r="F610" s="3">
        <f>IF(B610="","",SUMIFS('inventory ledger'!$H:$H,'inventory ledger'!$C:$C,C610,'inventory ledger'!$D:$D,D610,'inventory ledger'!$E:$E,E610,'inventory ledger'!$A:$A,"&lt;="&amp;B610+TIME(23,59,59))-SUMIFS('inventory ledger'!$I:$I,'inventory ledger'!$C:$C,C610,'inventory ledger'!$D:$D,D610,'inventory ledger'!$E:$E,E610,'inventory ledger'!$A:$A,"&lt;="&amp;B610+TIME(23,59,59)))</f>
        <v>80</v>
      </c>
      <c r="G610" s="3">
        <f>IFERROR(__xludf.DUMMYFUNCTION("IF(F610&lt;=0,0,IFERROR(ROUNDUP(F610/INDEX(FILTER('warehouse config'!$D:$D,('warehouse config'!$B:$B=C610)*('warehouse config'!$C:$C=D610)*('warehouse config'!$G:$G&lt;=B610)*(('warehouse config'!$H:$H&gt;=B610)+ISBLANK('warehouse config'!$H:$H))),1)),0))"),4.0)</f>
        <v>4</v>
      </c>
      <c r="H610" s="3">
        <f>IFERROR(__xludf.DUMMYFUNCTION("IFERROR(INDEX(FILTER('cost master'!$E:$E,('cost master'!$B:$B=C610)*('cost master'!$D:$D=""Storage cost per pallet / week"")*('cost master'!$G:$G&lt;=B610)*(('cost master'!$H:$H&gt;=B610)+ISBLANK('cost master'!$H:$H))),1),0)"),2.6)</f>
        <v>2.6</v>
      </c>
      <c r="I610" s="3">
        <f t="shared" si="4"/>
        <v>10.4</v>
      </c>
      <c r="J610" s="27">
        <f t="shared" si="5"/>
        <v>45763</v>
      </c>
      <c r="K610" s="27">
        <f t="shared" si="6"/>
        <v>45792</v>
      </c>
    </row>
    <row r="611" hidden="1">
      <c r="A611" s="3" t="str">
        <f t="shared" si="3"/>
        <v>SL-20250505-Vglobal-CS 009-13</v>
      </c>
      <c r="B611" s="2">
        <f t="array" ref="B611">INDEX(helper!$A$3:$A3996,ROUNDUP((ROW()-1)/COUNTA(helper!$D$3:$D3996),0))</f>
        <v>45782</v>
      </c>
      <c r="C611" s="5" t="str">
        <f t="array" ref="C611">IF(B611="","",INDEX(helper!$D$3:$D3996,MOD(ROW()-2,COUNTA(helper!$D$3:$D3996))+1))</f>
        <v>Vglobal</v>
      </c>
      <c r="D611" s="3" t="str">
        <f t="array" ref="D611">IF(B611="","",INDEX(helper!$E$3:$E3996,MOD(ROW()-2,COUNTA(helper!$D$3:$D3996))+1))</f>
        <v>CS 009</v>
      </c>
      <c r="E611" s="3">
        <f t="array" ref="E611">IF(B611="","",INDEX(helper!$F$3:$F3996,MOD(ROW()-2,COUNTA(helper!$D$3:$D3996))+1))</f>
        <v>13</v>
      </c>
      <c r="F611" s="3">
        <f>IF(B611="","",SUMIFS('inventory ledger'!$H:$H,'inventory ledger'!$C:$C,C611,'inventory ledger'!$D:$D,D611,'inventory ledger'!$E:$E,E611,'inventory ledger'!$A:$A,"&lt;="&amp;B611+TIME(23,59,59))-SUMIFS('inventory ledger'!$I:$I,'inventory ledger'!$C:$C,C611,'inventory ledger'!$D:$D,D611,'inventory ledger'!$E:$E,E611,'inventory ledger'!$A:$A,"&lt;="&amp;B611+TIME(23,59,59)))</f>
        <v>0</v>
      </c>
      <c r="G611" s="3">
        <f>IFERROR(__xludf.DUMMYFUNCTION("IF(F611&lt;=0,0,IFERROR(ROUNDUP(F611/INDEX(FILTER('warehouse config'!$D:$D,('warehouse config'!$B:$B=C611)*('warehouse config'!$C:$C=D611)*('warehouse config'!$G:$G&lt;=B611)*(('warehouse config'!$H:$H&gt;=B611)+ISBLANK('warehouse config'!$H:$H))),1)),0))"),0.0)</f>
        <v>0</v>
      </c>
      <c r="H611" s="3">
        <f>IFERROR(__xludf.DUMMYFUNCTION("IFERROR(INDEX(FILTER('cost master'!$E:$E,('cost master'!$B:$B=C611)*('cost master'!$D:$D=""Storage cost per pallet / week"")*('cost master'!$G:$G&lt;=B611)*(('cost master'!$H:$H&gt;=B611)+ISBLANK('cost master'!$H:$H))),1),0)"),2.6)</f>
        <v>2.6</v>
      </c>
      <c r="I611" s="3">
        <f t="shared" si="4"/>
        <v>0</v>
      </c>
      <c r="J611" s="27">
        <f t="shared" si="5"/>
        <v>45763</v>
      </c>
      <c r="K611" s="27">
        <f t="shared" si="6"/>
        <v>45792</v>
      </c>
    </row>
    <row r="612" hidden="1">
      <c r="A612" s="3" t="str">
        <f t="shared" si="3"/>
        <v>SL-20250505-Vglobal-CS 012-13</v>
      </c>
      <c r="B612" s="2">
        <f t="array" ref="B612">INDEX(helper!$A$3:$A3996,ROUNDUP((ROW()-1)/COUNTA(helper!$D$3:$D3996),0))</f>
        <v>45782</v>
      </c>
      <c r="C612" s="5" t="str">
        <f t="array" ref="C612">IF(B612="","",INDEX(helper!$D$3:$D3996,MOD(ROW()-2,COUNTA(helper!$D$3:$D3996))+1))</f>
        <v>Vglobal</v>
      </c>
      <c r="D612" s="3" t="str">
        <f t="array" ref="D612">IF(B612="","",INDEX(helper!$E$3:$E3996,MOD(ROW()-2,COUNTA(helper!$D$3:$D3996))+1))</f>
        <v>CS 012</v>
      </c>
      <c r="E612" s="3">
        <f t="array" ref="E612">IF(B612="","",INDEX(helper!$F$3:$F3996,MOD(ROW()-2,COUNTA(helper!$D$3:$D3996))+1))</f>
        <v>13</v>
      </c>
      <c r="F612" s="3">
        <f>IF(B612="","",SUMIFS('inventory ledger'!$H:$H,'inventory ledger'!$C:$C,C612,'inventory ledger'!$D:$D,D612,'inventory ledger'!$E:$E,E612,'inventory ledger'!$A:$A,"&lt;="&amp;B612+TIME(23,59,59))-SUMIFS('inventory ledger'!$I:$I,'inventory ledger'!$C:$C,C612,'inventory ledger'!$D:$D,D612,'inventory ledger'!$E:$E,E612,'inventory ledger'!$A:$A,"&lt;="&amp;B612+TIME(23,59,59)))</f>
        <v>0</v>
      </c>
      <c r="G612" s="3">
        <f>IFERROR(__xludf.DUMMYFUNCTION("IF(F612&lt;=0,0,IFERROR(ROUNDUP(F612/INDEX(FILTER('warehouse config'!$D:$D,('warehouse config'!$B:$B=C612)*('warehouse config'!$C:$C=D612)*('warehouse config'!$G:$G&lt;=B612)*(('warehouse config'!$H:$H&gt;=B612)+ISBLANK('warehouse config'!$H:$H))),1)),0))"),0.0)</f>
        <v>0</v>
      </c>
      <c r="H612" s="3">
        <f>IFERROR(__xludf.DUMMYFUNCTION("IFERROR(INDEX(FILTER('cost master'!$E:$E,('cost master'!$B:$B=C612)*('cost master'!$D:$D=""Storage cost per pallet / week"")*('cost master'!$G:$G&lt;=B612)*(('cost master'!$H:$H&gt;=B612)+ISBLANK('cost master'!$H:$H))),1),0)"),2.6)</f>
        <v>2.6</v>
      </c>
      <c r="I612" s="3">
        <f t="shared" si="4"/>
        <v>0</v>
      </c>
      <c r="J612" s="27">
        <f t="shared" si="5"/>
        <v>45763</v>
      </c>
      <c r="K612" s="27">
        <f t="shared" si="6"/>
        <v>45792</v>
      </c>
    </row>
    <row r="613" hidden="1">
      <c r="A613" s="3" t="str">
        <f t="shared" si="3"/>
        <v>SL-20250505-FMC-CS 008-11</v>
      </c>
      <c r="B613" s="2">
        <f t="array" ref="B613">INDEX(helper!$A$3:$A3996,ROUNDUP((ROW()-1)/COUNTA(helper!$D$3:$D3996),0))</f>
        <v>45782</v>
      </c>
      <c r="C613" s="5" t="str">
        <f t="array" ref="C613">IF(B613="","",INDEX(helper!$D$3:$D3996,MOD(ROW()-2,COUNTA(helper!$D$3:$D3996))+1))</f>
        <v>FMC</v>
      </c>
      <c r="D613" s="3" t="str">
        <f t="array" ref="D613">IF(B613="","",INDEX(helper!$E$3:$E3996,MOD(ROW()-2,COUNTA(helper!$D$3:$D3996))+1))</f>
        <v>CS 008</v>
      </c>
      <c r="E613" s="3">
        <f t="array" ref="E613">IF(B613="","",INDEX(helper!$F$3:$F3996,MOD(ROW()-2,COUNTA(helper!$D$3:$D3996))+1))</f>
        <v>11</v>
      </c>
      <c r="F613" s="3">
        <f>IF(B613="","",SUMIFS('inventory ledger'!$H:$H,'inventory ledger'!$C:$C,C613,'inventory ledger'!$D:$D,D613,'inventory ledger'!$E:$E,E613,'inventory ledger'!$A:$A,"&lt;="&amp;B613+TIME(23,59,59))-SUMIFS('inventory ledger'!$I:$I,'inventory ledger'!$C:$C,C613,'inventory ledger'!$D:$D,D613,'inventory ledger'!$E:$E,E613,'inventory ledger'!$A:$A,"&lt;="&amp;B613+TIME(23,59,59)))</f>
        <v>0</v>
      </c>
      <c r="G613" s="3">
        <f>IFERROR(__xludf.DUMMYFUNCTION("IF(F613&lt;=0,0,IFERROR(ROUNDUP(F613/INDEX(FILTER('warehouse config'!$D:$D,('warehouse config'!$B:$B=C613)*('warehouse config'!$C:$C=D613)*('warehouse config'!$G:$G&lt;=B613)*(('warehouse config'!$H:$H&gt;=B613)+ISBLANK('warehouse config'!$H:$H))),1)),0))"),0.0)</f>
        <v>0</v>
      </c>
      <c r="H613" s="3">
        <f>IFERROR(__xludf.DUMMYFUNCTION("IFERROR(INDEX(FILTER('cost master'!$E:$E,('cost master'!$B:$B=C613)*('cost master'!$D:$D=""Storage cost per pallet / week"")*('cost master'!$G:$G&lt;=B613)*(('cost master'!$H:$H&gt;=B613)+ISBLANK('cost master'!$H:$H))),1),0)"),3.9)</f>
        <v>3.9</v>
      </c>
      <c r="I613" s="3">
        <f t="shared" si="4"/>
        <v>0</v>
      </c>
      <c r="J613" s="27">
        <f t="shared" si="5"/>
        <v>45763</v>
      </c>
      <c r="K613" s="27">
        <f t="shared" si="6"/>
        <v>45792</v>
      </c>
    </row>
    <row r="614" hidden="1">
      <c r="A614" s="3" t="str">
        <f t="shared" si="3"/>
        <v>SL-20250512-FMC-CS 007-8</v>
      </c>
      <c r="B614" s="2">
        <f t="array" ref="B614">INDEX(helper!$A$3:$A3996,ROUNDUP((ROW()-1)/COUNTA(helper!$D$3:$D3996),0))</f>
        <v>45789</v>
      </c>
      <c r="C614" s="5" t="str">
        <f t="array" ref="C614">IF(B614="","",INDEX(helper!$D$3:$D3996,MOD(ROW()-2,COUNTA(helper!$D$3:$D3996))+1))</f>
        <v>FMC</v>
      </c>
      <c r="D614" s="3" t="str">
        <f t="array" ref="D614">IF(B614="","",INDEX(helper!$E$3:$E3996,MOD(ROW()-2,COUNTA(helper!$D$3:$D3996))+1))</f>
        <v>CS 007</v>
      </c>
      <c r="E614" s="3">
        <f t="array" ref="E614">IF(B614="","",INDEX(helper!$F$3:$F3996,MOD(ROW()-2,COUNTA(helper!$D$3:$D3996))+1))</f>
        <v>8</v>
      </c>
      <c r="F614" s="3">
        <f>IF(B614="","",SUMIFS('inventory ledger'!$H:$H,'inventory ledger'!$C:$C,C614,'inventory ledger'!$D:$D,D614,'inventory ledger'!$E:$E,E614,'inventory ledger'!$A:$A,"&lt;="&amp;B614+TIME(23,59,59))-SUMIFS('inventory ledger'!$I:$I,'inventory ledger'!$C:$C,C614,'inventory ledger'!$D:$D,D614,'inventory ledger'!$E:$E,E614,'inventory ledger'!$A:$A,"&lt;="&amp;B614+TIME(23,59,59)))</f>
        <v>0</v>
      </c>
      <c r="G614" s="3">
        <f>IFERROR(__xludf.DUMMYFUNCTION("IF(F614&lt;=0,0,IFERROR(ROUNDUP(F614/INDEX(FILTER('warehouse config'!$D:$D,('warehouse config'!$B:$B=C614)*('warehouse config'!$C:$C=D614)*('warehouse config'!$G:$G&lt;=B614)*(('warehouse config'!$H:$H&gt;=B614)+ISBLANK('warehouse config'!$H:$H))),1)),0))"),0.0)</f>
        <v>0</v>
      </c>
      <c r="H614" s="3">
        <f>IFERROR(__xludf.DUMMYFUNCTION("IFERROR(INDEX(FILTER('cost master'!$E:$E,('cost master'!$B:$B=C614)*('cost master'!$D:$D=""Storage cost per pallet / week"")*('cost master'!$G:$G&lt;=B614)*(('cost master'!$H:$H&gt;=B614)+ISBLANK('cost master'!$H:$H))),1),0)"),3.9)</f>
        <v>3.9</v>
      </c>
      <c r="I614" s="3">
        <f t="shared" si="4"/>
        <v>0</v>
      </c>
      <c r="J614" s="27">
        <f t="shared" si="5"/>
        <v>45763</v>
      </c>
      <c r="K614" s="27">
        <f t="shared" si="6"/>
        <v>45792</v>
      </c>
    </row>
    <row r="615" hidden="1">
      <c r="A615" s="3" t="str">
        <f t="shared" si="3"/>
        <v>SL-20250512-FMC-CS 008-8</v>
      </c>
      <c r="B615" s="2">
        <f t="array" ref="B615">INDEX(helper!$A$3:$A3996,ROUNDUP((ROW()-1)/COUNTA(helper!$D$3:$D3996),0))</f>
        <v>45789</v>
      </c>
      <c r="C615" s="5" t="str">
        <f t="array" ref="C615">IF(B615="","",INDEX(helper!$D$3:$D3996,MOD(ROW()-2,COUNTA(helper!$D$3:$D3996))+1))</f>
        <v>FMC</v>
      </c>
      <c r="D615" s="3" t="str">
        <f t="array" ref="D615">IF(B615="","",INDEX(helper!$E$3:$E3996,MOD(ROW()-2,COUNTA(helper!$D$3:$D3996))+1))</f>
        <v>CS 008</v>
      </c>
      <c r="E615" s="3">
        <f t="array" ref="E615">IF(B615="","",INDEX(helper!$F$3:$F3996,MOD(ROW()-2,COUNTA(helper!$D$3:$D3996))+1))</f>
        <v>8</v>
      </c>
      <c r="F615" s="3">
        <f>IF(B615="","",SUMIFS('inventory ledger'!$H:$H,'inventory ledger'!$C:$C,C615,'inventory ledger'!$D:$D,D615,'inventory ledger'!$E:$E,E615,'inventory ledger'!$A:$A,"&lt;="&amp;B615+TIME(23,59,59))-SUMIFS('inventory ledger'!$I:$I,'inventory ledger'!$C:$C,C615,'inventory ledger'!$D:$D,D615,'inventory ledger'!$E:$E,E615,'inventory ledger'!$A:$A,"&lt;="&amp;B615+TIME(23,59,59)))</f>
        <v>0</v>
      </c>
      <c r="G615" s="3">
        <f>IFERROR(__xludf.DUMMYFUNCTION("IF(F615&lt;=0,0,IFERROR(ROUNDUP(F615/INDEX(FILTER('warehouse config'!$D:$D,('warehouse config'!$B:$B=C615)*('warehouse config'!$C:$C=D615)*('warehouse config'!$G:$G&lt;=B615)*(('warehouse config'!$H:$H&gt;=B615)+ISBLANK('warehouse config'!$H:$H))),1)),0))"),0.0)</f>
        <v>0</v>
      </c>
      <c r="H615" s="3">
        <f>IFERROR(__xludf.DUMMYFUNCTION("IFERROR(INDEX(FILTER('cost master'!$E:$E,('cost master'!$B:$B=C615)*('cost master'!$D:$D=""Storage cost per pallet / week"")*('cost master'!$G:$G&lt;=B615)*(('cost master'!$H:$H&gt;=B615)+ISBLANK('cost master'!$H:$H))),1),0)"),3.9)</f>
        <v>3.9</v>
      </c>
      <c r="I615" s="3">
        <f t="shared" si="4"/>
        <v>0</v>
      </c>
      <c r="J615" s="27">
        <f t="shared" si="5"/>
        <v>45763</v>
      </c>
      <c r="K615" s="27">
        <f t="shared" si="6"/>
        <v>45792</v>
      </c>
    </row>
    <row r="616" hidden="1">
      <c r="A616" s="3" t="str">
        <f t="shared" si="3"/>
        <v>SL-20250512-FMC-CS 009-8</v>
      </c>
      <c r="B616" s="2">
        <f t="array" ref="B616">INDEX(helper!$A$3:$A3996,ROUNDUP((ROW()-1)/COUNTA(helper!$D$3:$D3996),0))</f>
        <v>45789</v>
      </c>
      <c r="C616" s="5" t="str">
        <f t="array" ref="C616">IF(B616="","",INDEX(helper!$D$3:$D3996,MOD(ROW()-2,COUNTA(helper!$D$3:$D3996))+1))</f>
        <v>FMC</v>
      </c>
      <c r="D616" s="3" t="str">
        <f t="array" ref="D616">IF(B616="","",INDEX(helper!$E$3:$E3996,MOD(ROW()-2,COUNTA(helper!$D$3:$D3996))+1))</f>
        <v>CS 009</v>
      </c>
      <c r="E616" s="3">
        <f t="array" ref="E616">IF(B616="","",INDEX(helper!$F$3:$F3996,MOD(ROW()-2,COUNTA(helper!$D$3:$D3996))+1))</f>
        <v>8</v>
      </c>
      <c r="F616" s="3">
        <f>IF(B616="","",SUMIFS('inventory ledger'!$H:$H,'inventory ledger'!$C:$C,C616,'inventory ledger'!$D:$D,D616,'inventory ledger'!$E:$E,E616,'inventory ledger'!$A:$A,"&lt;="&amp;B616+TIME(23,59,59))-SUMIFS('inventory ledger'!$I:$I,'inventory ledger'!$C:$C,C616,'inventory ledger'!$D:$D,D616,'inventory ledger'!$E:$E,E616,'inventory ledger'!$A:$A,"&lt;="&amp;B616+TIME(23,59,59)))</f>
        <v>0</v>
      </c>
      <c r="G616" s="3">
        <f>IFERROR(__xludf.DUMMYFUNCTION("IF(F616&lt;=0,0,IFERROR(ROUNDUP(F616/INDEX(FILTER('warehouse config'!$D:$D,('warehouse config'!$B:$B=C616)*('warehouse config'!$C:$C=D616)*('warehouse config'!$G:$G&lt;=B616)*(('warehouse config'!$H:$H&gt;=B616)+ISBLANK('warehouse config'!$H:$H))),1)),0))"),0.0)</f>
        <v>0</v>
      </c>
      <c r="H616" s="3">
        <f>IFERROR(__xludf.DUMMYFUNCTION("IFERROR(INDEX(FILTER('cost master'!$E:$E,('cost master'!$B:$B=C616)*('cost master'!$D:$D=""Storage cost per pallet / week"")*('cost master'!$G:$G&lt;=B616)*(('cost master'!$H:$H&gt;=B616)+ISBLANK('cost master'!$H:$H))),1),0)"),3.9)</f>
        <v>3.9</v>
      </c>
      <c r="I616" s="3">
        <f t="shared" si="4"/>
        <v>0</v>
      </c>
      <c r="J616" s="27">
        <f t="shared" si="5"/>
        <v>45763</v>
      </c>
      <c r="K616" s="27">
        <f t="shared" si="6"/>
        <v>45792</v>
      </c>
    </row>
    <row r="617" hidden="1">
      <c r="A617" s="3" t="str">
        <f t="shared" si="3"/>
        <v>SL-20250512-FMC-CS 010-8</v>
      </c>
      <c r="B617" s="2">
        <f t="array" ref="B617">INDEX(helper!$A$3:$A3996,ROUNDUP((ROW()-1)/COUNTA(helper!$D$3:$D3996),0))</f>
        <v>45789</v>
      </c>
      <c r="C617" s="5" t="str">
        <f t="array" ref="C617">IF(B617="","",INDEX(helper!$D$3:$D3996,MOD(ROW()-2,COUNTA(helper!$D$3:$D3996))+1))</f>
        <v>FMC</v>
      </c>
      <c r="D617" s="3" t="str">
        <f t="array" ref="D617">IF(B617="","",INDEX(helper!$E$3:$E3996,MOD(ROW()-2,COUNTA(helper!$D$3:$D3996))+1))</f>
        <v>CS 010</v>
      </c>
      <c r="E617" s="3">
        <f t="array" ref="E617">IF(B617="","",INDEX(helper!$F$3:$F3996,MOD(ROW()-2,COUNTA(helper!$D$3:$D3996))+1))</f>
        <v>8</v>
      </c>
      <c r="F617" s="3">
        <f>IF(B617="","",SUMIFS('inventory ledger'!$H:$H,'inventory ledger'!$C:$C,C617,'inventory ledger'!$D:$D,D617,'inventory ledger'!$E:$E,E617,'inventory ledger'!$A:$A,"&lt;="&amp;B617+TIME(23,59,59))-SUMIFS('inventory ledger'!$I:$I,'inventory ledger'!$C:$C,C617,'inventory ledger'!$D:$D,D617,'inventory ledger'!$E:$E,E617,'inventory ledger'!$A:$A,"&lt;="&amp;B617+TIME(23,59,59)))</f>
        <v>0</v>
      </c>
      <c r="G617" s="3">
        <f>IFERROR(__xludf.DUMMYFUNCTION("IF(F617&lt;=0,0,IFERROR(ROUNDUP(F617/INDEX(FILTER('warehouse config'!$D:$D,('warehouse config'!$B:$B=C617)*('warehouse config'!$C:$C=D617)*('warehouse config'!$G:$G&lt;=B617)*(('warehouse config'!$H:$H&gt;=B617)+ISBLANK('warehouse config'!$H:$H))),1)),0))"),0.0)</f>
        <v>0</v>
      </c>
      <c r="H617" s="3">
        <f>IFERROR(__xludf.DUMMYFUNCTION("IFERROR(INDEX(FILTER('cost master'!$E:$E,('cost master'!$B:$B=C617)*('cost master'!$D:$D=""Storage cost per pallet / week"")*('cost master'!$G:$G&lt;=B617)*(('cost master'!$H:$H&gt;=B617)+ISBLANK('cost master'!$H:$H))),1),0)"),3.9)</f>
        <v>3.9</v>
      </c>
      <c r="I617" s="3">
        <f t="shared" si="4"/>
        <v>0</v>
      </c>
      <c r="J617" s="27">
        <f t="shared" si="5"/>
        <v>45763</v>
      </c>
      <c r="K617" s="27">
        <f t="shared" si="6"/>
        <v>45792</v>
      </c>
    </row>
    <row r="618" hidden="1">
      <c r="A618" s="3" t="str">
        <f t="shared" si="3"/>
        <v>SL-20250512-FMC-CS 007-9</v>
      </c>
      <c r="B618" s="2">
        <f t="array" ref="B618">INDEX(helper!$A$3:$A3996,ROUNDUP((ROW()-1)/COUNTA(helper!$D$3:$D3996),0))</f>
        <v>45789</v>
      </c>
      <c r="C618" s="5" t="str">
        <f t="array" ref="C618">IF(B618="","",INDEX(helper!$D$3:$D3996,MOD(ROW()-2,COUNTA(helper!$D$3:$D3996))+1))</f>
        <v>FMC</v>
      </c>
      <c r="D618" s="3" t="str">
        <f t="array" ref="D618">IF(B618="","",INDEX(helper!$E$3:$E3996,MOD(ROW()-2,COUNTA(helper!$D$3:$D3996))+1))</f>
        <v>CS 007</v>
      </c>
      <c r="E618" s="3">
        <f t="array" ref="E618">IF(B618="","",INDEX(helper!$F$3:$F3996,MOD(ROW()-2,COUNTA(helper!$D$3:$D3996))+1))</f>
        <v>9</v>
      </c>
      <c r="F618" s="3">
        <f>IF(B618="","",SUMIFS('inventory ledger'!$H:$H,'inventory ledger'!$C:$C,C618,'inventory ledger'!$D:$D,D618,'inventory ledger'!$E:$E,E618,'inventory ledger'!$A:$A,"&lt;="&amp;B618+TIME(23,59,59))-SUMIFS('inventory ledger'!$I:$I,'inventory ledger'!$C:$C,C618,'inventory ledger'!$D:$D,D618,'inventory ledger'!$E:$E,E618,'inventory ledger'!$A:$A,"&lt;="&amp;B618+TIME(23,59,59)))</f>
        <v>0</v>
      </c>
      <c r="G618" s="3">
        <f>IFERROR(__xludf.DUMMYFUNCTION("IF(F618&lt;=0,0,IFERROR(ROUNDUP(F618/INDEX(FILTER('warehouse config'!$D:$D,('warehouse config'!$B:$B=C618)*('warehouse config'!$C:$C=D618)*('warehouse config'!$G:$G&lt;=B618)*(('warehouse config'!$H:$H&gt;=B618)+ISBLANK('warehouse config'!$H:$H))),1)),0))"),0.0)</f>
        <v>0</v>
      </c>
      <c r="H618" s="3">
        <f>IFERROR(__xludf.DUMMYFUNCTION("IFERROR(INDEX(FILTER('cost master'!$E:$E,('cost master'!$B:$B=C618)*('cost master'!$D:$D=""Storage cost per pallet / week"")*('cost master'!$G:$G&lt;=B618)*(('cost master'!$H:$H&gt;=B618)+ISBLANK('cost master'!$H:$H))),1),0)"),3.9)</f>
        <v>3.9</v>
      </c>
      <c r="I618" s="3">
        <f t="shared" si="4"/>
        <v>0</v>
      </c>
      <c r="J618" s="27">
        <f t="shared" si="5"/>
        <v>45763</v>
      </c>
      <c r="K618" s="27">
        <f t="shared" si="6"/>
        <v>45792</v>
      </c>
    </row>
    <row r="619" hidden="1">
      <c r="A619" s="3" t="str">
        <f t="shared" si="3"/>
        <v>SL-20250512-FMC-CS 008-9</v>
      </c>
      <c r="B619" s="2">
        <f t="array" ref="B619">INDEX(helper!$A$3:$A3996,ROUNDUP((ROW()-1)/COUNTA(helper!$D$3:$D3996),0))</f>
        <v>45789</v>
      </c>
      <c r="C619" s="5" t="str">
        <f t="array" ref="C619">IF(B619="","",INDEX(helper!$D$3:$D3996,MOD(ROW()-2,COUNTA(helper!$D$3:$D3996))+1))</f>
        <v>FMC</v>
      </c>
      <c r="D619" s="3" t="str">
        <f t="array" ref="D619">IF(B619="","",INDEX(helper!$E$3:$E3996,MOD(ROW()-2,COUNTA(helper!$D$3:$D3996))+1))</f>
        <v>CS 008</v>
      </c>
      <c r="E619" s="3">
        <f t="array" ref="E619">IF(B619="","",INDEX(helper!$F$3:$F3996,MOD(ROW()-2,COUNTA(helper!$D$3:$D3996))+1))</f>
        <v>9</v>
      </c>
      <c r="F619" s="3">
        <f>IF(B619="","",SUMIFS('inventory ledger'!$H:$H,'inventory ledger'!$C:$C,C619,'inventory ledger'!$D:$D,D619,'inventory ledger'!$E:$E,E619,'inventory ledger'!$A:$A,"&lt;="&amp;B619+TIME(23,59,59))-SUMIFS('inventory ledger'!$I:$I,'inventory ledger'!$C:$C,C619,'inventory ledger'!$D:$D,D619,'inventory ledger'!$E:$E,E619,'inventory ledger'!$A:$A,"&lt;="&amp;B619+TIME(23,59,59)))</f>
        <v>2</v>
      </c>
      <c r="G619" s="3">
        <f>IFERROR(__xludf.DUMMYFUNCTION("IF(F619&lt;=0,0,IFERROR(ROUNDUP(F619/INDEX(FILTER('warehouse config'!$D:$D,('warehouse config'!$B:$B=C619)*('warehouse config'!$C:$C=D619)*('warehouse config'!$G:$G&lt;=B619)*(('warehouse config'!$H:$H&gt;=B619)+ISBLANK('warehouse config'!$H:$H))),1)),0))"),1.0)</f>
        <v>1</v>
      </c>
      <c r="H619" s="3">
        <f>IFERROR(__xludf.DUMMYFUNCTION("IFERROR(INDEX(FILTER('cost master'!$E:$E,('cost master'!$B:$B=C619)*('cost master'!$D:$D=""Storage cost per pallet / week"")*('cost master'!$G:$G&lt;=B619)*(('cost master'!$H:$H&gt;=B619)+ISBLANK('cost master'!$H:$H))),1),0)"),3.9)</f>
        <v>3.9</v>
      </c>
      <c r="I619" s="3">
        <f t="shared" si="4"/>
        <v>3.9</v>
      </c>
      <c r="J619" s="27">
        <f t="shared" si="5"/>
        <v>45763</v>
      </c>
      <c r="K619" s="27">
        <f t="shared" si="6"/>
        <v>45792</v>
      </c>
    </row>
    <row r="620" hidden="1">
      <c r="A620" s="3" t="str">
        <f t="shared" si="3"/>
        <v>SL-20250512-FMC-CS 009-9</v>
      </c>
      <c r="B620" s="2">
        <f t="array" ref="B620">INDEX(helper!$A$3:$A3996,ROUNDUP((ROW()-1)/COUNTA(helper!$D$3:$D3996),0))</f>
        <v>45789</v>
      </c>
      <c r="C620" s="5" t="str">
        <f t="array" ref="C620">IF(B620="","",INDEX(helper!$D$3:$D3996,MOD(ROW()-2,COUNTA(helper!$D$3:$D3996))+1))</f>
        <v>FMC</v>
      </c>
      <c r="D620" s="3" t="str">
        <f t="array" ref="D620">IF(B620="","",INDEX(helper!$E$3:$E3996,MOD(ROW()-2,COUNTA(helper!$D$3:$D3996))+1))</f>
        <v>CS 009</v>
      </c>
      <c r="E620" s="3">
        <f t="array" ref="E620">IF(B620="","",INDEX(helper!$F$3:$F3996,MOD(ROW()-2,COUNTA(helper!$D$3:$D3996))+1))</f>
        <v>9</v>
      </c>
      <c r="F620" s="3">
        <f>IF(B620="","",SUMIFS('inventory ledger'!$H:$H,'inventory ledger'!$C:$C,C620,'inventory ledger'!$D:$D,D620,'inventory ledger'!$E:$E,E620,'inventory ledger'!$A:$A,"&lt;="&amp;B620+TIME(23,59,59))-SUMIFS('inventory ledger'!$I:$I,'inventory ledger'!$C:$C,C620,'inventory ledger'!$D:$D,D620,'inventory ledger'!$E:$E,E620,'inventory ledger'!$A:$A,"&lt;="&amp;B620+TIME(23,59,59)))</f>
        <v>0</v>
      </c>
      <c r="G620" s="3">
        <f>IFERROR(__xludf.DUMMYFUNCTION("IF(F620&lt;=0,0,IFERROR(ROUNDUP(F620/INDEX(FILTER('warehouse config'!$D:$D,('warehouse config'!$B:$B=C620)*('warehouse config'!$C:$C=D620)*('warehouse config'!$G:$G&lt;=B620)*(('warehouse config'!$H:$H&gt;=B620)+ISBLANK('warehouse config'!$H:$H))),1)),0))"),0.0)</f>
        <v>0</v>
      </c>
      <c r="H620" s="3">
        <f>IFERROR(__xludf.DUMMYFUNCTION("IFERROR(INDEX(FILTER('cost master'!$E:$E,('cost master'!$B:$B=C620)*('cost master'!$D:$D=""Storage cost per pallet / week"")*('cost master'!$G:$G&lt;=B620)*(('cost master'!$H:$H&gt;=B620)+ISBLANK('cost master'!$H:$H))),1),0)"),3.9)</f>
        <v>3.9</v>
      </c>
      <c r="I620" s="3">
        <f t="shared" si="4"/>
        <v>0</v>
      </c>
      <c r="J620" s="27">
        <f t="shared" si="5"/>
        <v>45763</v>
      </c>
      <c r="K620" s="27">
        <f t="shared" si="6"/>
        <v>45792</v>
      </c>
    </row>
    <row r="621" hidden="1">
      <c r="A621" s="3" t="str">
        <f t="shared" si="3"/>
        <v>SL-20250512-FMC-CS 010-9</v>
      </c>
      <c r="B621" s="2">
        <f t="array" ref="B621">INDEX(helper!$A$3:$A3996,ROUNDUP((ROW()-1)/COUNTA(helper!$D$3:$D3996),0))</f>
        <v>45789</v>
      </c>
      <c r="C621" s="5" t="str">
        <f t="array" ref="C621">IF(B621="","",INDEX(helper!$D$3:$D3996,MOD(ROW()-2,COUNTA(helper!$D$3:$D3996))+1))</f>
        <v>FMC</v>
      </c>
      <c r="D621" s="3" t="str">
        <f t="array" ref="D621">IF(B621="","",INDEX(helper!$E$3:$E3996,MOD(ROW()-2,COUNTA(helper!$D$3:$D3996))+1))</f>
        <v>CS 010</v>
      </c>
      <c r="E621" s="3">
        <f t="array" ref="E621">IF(B621="","",INDEX(helper!$F$3:$F3996,MOD(ROW()-2,COUNTA(helper!$D$3:$D3996))+1))</f>
        <v>9</v>
      </c>
      <c r="F621" s="3">
        <f>IF(B621="","",SUMIFS('inventory ledger'!$H:$H,'inventory ledger'!$C:$C,C621,'inventory ledger'!$D:$D,D621,'inventory ledger'!$E:$E,E621,'inventory ledger'!$A:$A,"&lt;="&amp;B621+TIME(23,59,59))-SUMIFS('inventory ledger'!$I:$I,'inventory ledger'!$C:$C,C621,'inventory ledger'!$D:$D,D621,'inventory ledger'!$E:$E,E621,'inventory ledger'!$A:$A,"&lt;="&amp;B621+TIME(23,59,59)))</f>
        <v>0</v>
      </c>
      <c r="G621" s="3">
        <f>IFERROR(__xludf.DUMMYFUNCTION("IF(F621&lt;=0,0,IFERROR(ROUNDUP(F621/INDEX(FILTER('warehouse config'!$D:$D,('warehouse config'!$B:$B=C621)*('warehouse config'!$C:$C=D621)*('warehouse config'!$G:$G&lt;=B621)*(('warehouse config'!$H:$H&gt;=B621)+ISBLANK('warehouse config'!$H:$H))),1)),0))"),0.0)</f>
        <v>0</v>
      </c>
      <c r="H621" s="3">
        <f>IFERROR(__xludf.DUMMYFUNCTION("IFERROR(INDEX(FILTER('cost master'!$E:$E,('cost master'!$B:$B=C621)*('cost master'!$D:$D=""Storage cost per pallet / week"")*('cost master'!$G:$G&lt;=B621)*(('cost master'!$H:$H&gt;=B621)+ISBLANK('cost master'!$H:$H))),1),0)"),3.9)</f>
        <v>3.9</v>
      </c>
      <c r="I621" s="3">
        <f t="shared" si="4"/>
        <v>0</v>
      </c>
      <c r="J621" s="27">
        <f t="shared" si="5"/>
        <v>45763</v>
      </c>
      <c r="K621" s="27">
        <f t="shared" si="6"/>
        <v>45792</v>
      </c>
    </row>
    <row r="622" hidden="1">
      <c r="A622" s="3" t="str">
        <f t="shared" si="3"/>
        <v>SL-20250512-FMC-CS-CDS-001-9</v>
      </c>
      <c r="B622" s="2">
        <f t="array" ref="B622">INDEX(helper!$A$3:$A3996,ROUNDUP((ROW()-1)/COUNTA(helper!$D$3:$D3996),0))</f>
        <v>45789</v>
      </c>
      <c r="C622" s="5" t="str">
        <f t="array" ref="C622">IF(B622="","",INDEX(helper!$D$3:$D3996,MOD(ROW()-2,COUNTA(helper!$D$3:$D3996))+1))</f>
        <v>FMC</v>
      </c>
      <c r="D622" s="3" t="str">
        <f t="array" ref="D622">IF(B622="","",INDEX(helper!$E$3:$E3996,MOD(ROW()-2,COUNTA(helper!$D$3:$D3996))+1))</f>
        <v>CS-CDS-001</v>
      </c>
      <c r="E622" s="3">
        <f t="array" ref="E622">IF(B622="","",INDEX(helper!$F$3:$F3996,MOD(ROW()-2,COUNTA(helper!$D$3:$D3996))+1))</f>
        <v>9</v>
      </c>
      <c r="F622" s="3">
        <f>IF(B622="","",SUMIFS('inventory ledger'!$H:$H,'inventory ledger'!$C:$C,C622,'inventory ledger'!$D:$D,D622,'inventory ledger'!$E:$E,E622,'inventory ledger'!$A:$A,"&lt;="&amp;B622+TIME(23,59,59))-SUMIFS('inventory ledger'!$I:$I,'inventory ledger'!$C:$C,C622,'inventory ledger'!$D:$D,D622,'inventory ledger'!$E:$E,E622,'inventory ledger'!$A:$A,"&lt;="&amp;B622+TIME(23,59,59)))</f>
        <v>0</v>
      </c>
      <c r="G622" s="3">
        <f>IFERROR(__xludf.DUMMYFUNCTION("IF(F622&lt;=0,0,IFERROR(ROUNDUP(F622/INDEX(FILTER('warehouse config'!$D:$D,('warehouse config'!$B:$B=C622)*('warehouse config'!$C:$C=D622)*('warehouse config'!$G:$G&lt;=B622)*(('warehouse config'!$H:$H&gt;=B622)+ISBLANK('warehouse config'!$H:$H))),1)),0))"),0.0)</f>
        <v>0</v>
      </c>
      <c r="H622" s="3">
        <f>IFERROR(__xludf.DUMMYFUNCTION("IFERROR(INDEX(FILTER('cost master'!$E:$E,('cost master'!$B:$B=C622)*('cost master'!$D:$D=""Storage cost per pallet / week"")*('cost master'!$G:$G&lt;=B622)*(('cost master'!$H:$H&gt;=B622)+ISBLANK('cost master'!$H:$H))),1),0)"),3.9)</f>
        <v>3.9</v>
      </c>
      <c r="I622" s="3">
        <f t="shared" si="4"/>
        <v>0</v>
      </c>
      <c r="J622" s="27">
        <f t="shared" si="5"/>
        <v>45763</v>
      </c>
      <c r="K622" s="27">
        <f t="shared" si="6"/>
        <v>45792</v>
      </c>
    </row>
    <row r="623" hidden="1">
      <c r="A623" s="3" t="str">
        <f t="shared" si="3"/>
        <v>SL-20250512-FMC-CS-CDS-002-9</v>
      </c>
      <c r="B623" s="2">
        <f t="array" ref="B623">INDEX(helper!$A$3:$A3996,ROUNDUP((ROW()-1)/COUNTA(helper!$D$3:$D3996),0))</f>
        <v>45789</v>
      </c>
      <c r="C623" s="5" t="str">
        <f t="array" ref="C623">IF(B623="","",INDEX(helper!$D$3:$D3996,MOD(ROW()-2,COUNTA(helper!$D$3:$D3996))+1))</f>
        <v>FMC</v>
      </c>
      <c r="D623" s="3" t="str">
        <f t="array" ref="D623">IF(B623="","",INDEX(helper!$E$3:$E3996,MOD(ROW()-2,COUNTA(helper!$D$3:$D3996))+1))</f>
        <v>CS-CDS-002</v>
      </c>
      <c r="E623" s="3">
        <f t="array" ref="E623">IF(B623="","",INDEX(helper!$F$3:$F3996,MOD(ROW()-2,COUNTA(helper!$D$3:$D3996))+1))</f>
        <v>9</v>
      </c>
      <c r="F623" s="3">
        <f>IF(B623="","",SUMIFS('inventory ledger'!$H:$H,'inventory ledger'!$C:$C,C623,'inventory ledger'!$D:$D,D623,'inventory ledger'!$E:$E,E623,'inventory ledger'!$A:$A,"&lt;="&amp;B623+TIME(23,59,59))-SUMIFS('inventory ledger'!$I:$I,'inventory ledger'!$C:$C,C623,'inventory ledger'!$D:$D,D623,'inventory ledger'!$E:$E,E623,'inventory ledger'!$A:$A,"&lt;="&amp;B623+TIME(23,59,59)))</f>
        <v>0</v>
      </c>
      <c r="G623" s="3">
        <f>IFERROR(__xludf.DUMMYFUNCTION("IF(F623&lt;=0,0,IFERROR(ROUNDUP(F623/INDEX(FILTER('warehouse config'!$D:$D,('warehouse config'!$B:$B=C623)*('warehouse config'!$C:$C=D623)*('warehouse config'!$G:$G&lt;=B623)*(('warehouse config'!$H:$H&gt;=B623)+ISBLANK('warehouse config'!$H:$H))),1)),0))"),0.0)</f>
        <v>0</v>
      </c>
      <c r="H623" s="3">
        <f>IFERROR(__xludf.DUMMYFUNCTION("IFERROR(INDEX(FILTER('cost master'!$E:$E,('cost master'!$B:$B=C623)*('cost master'!$D:$D=""Storage cost per pallet / week"")*('cost master'!$G:$G&lt;=B623)*(('cost master'!$H:$H&gt;=B623)+ISBLANK('cost master'!$H:$H))),1),0)"),3.9)</f>
        <v>3.9</v>
      </c>
      <c r="I623" s="3">
        <f t="shared" si="4"/>
        <v>0</v>
      </c>
      <c r="J623" s="27">
        <f t="shared" si="5"/>
        <v>45763</v>
      </c>
      <c r="K623" s="27">
        <f t="shared" si="6"/>
        <v>45792</v>
      </c>
    </row>
    <row r="624" hidden="1">
      <c r="A624" s="3" t="str">
        <f t="shared" si="3"/>
        <v>SL-20250512-FMC-CS 007-10</v>
      </c>
      <c r="B624" s="2">
        <f t="array" ref="B624">INDEX(helper!$A$3:$A3996,ROUNDUP((ROW()-1)/COUNTA(helper!$D$3:$D3996),0))</f>
        <v>45789</v>
      </c>
      <c r="C624" s="5" t="str">
        <f t="array" ref="C624">IF(B624="","",INDEX(helper!$D$3:$D3996,MOD(ROW()-2,COUNTA(helper!$D$3:$D3996))+1))</f>
        <v>FMC</v>
      </c>
      <c r="D624" s="3" t="str">
        <f t="array" ref="D624">IF(B624="","",INDEX(helper!$E$3:$E3996,MOD(ROW()-2,COUNTA(helper!$D$3:$D3996))+1))</f>
        <v>CS 007</v>
      </c>
      <c r="E624" s="3">
        <f t="array" ref="E624">IF(B624="","",INDEX(helper!$F$3:$F3996,MOD(ROW()-2,COUNTA(helper!$D$3:$D3996))+1))</f>
        <v>10</v>
      </c>
      <c r="F624" s="3">
        <f>IF(B624="","",SUMIFS('inventory ledger'!$H:$H,'inventory ledger'!$C:$C,C624,'inventory ledger'!$D:$D,D624,'inventory ledger'!$E:$E,E624,'inventory ledger'!$A:$A,"&lt;="&amp;B624+TIME(23,59,59))-SUMIFS('inventory ledger'!$I:$I,'inventory ledger'!$C:$C,C624,'inventory ledger'!$D:$D,D624,'inventory ledger'!$E:$E,E624,'inventory ledger'!$A:$A,"&lt;="&amp;B624+TIME(23,59,59)))</f>
        <v>0</v>
      </c>
      <c r="G624" s="3">
        <f>IFERROR(__xludf.DUMMYFUNCTION("IF(F624&lt;=0,0,IFERROR(ROUNDUP(F624/INDEX(FILTER('warehouse config'!$D:$D,('warehouse config'!$B:$B=C624)*('warehouse config'!$C:$C=D624)*('warehouse config'!$G:$G&lt;=B624)*(('warehouse config'!$H:$H&gt;=B624)+ISBLANK('warehouse config'!$H:$H))),1)),0))"),0.0)</f>
        <v>0</v>
      </c>
      <c r="H624" s="3">
        <f>IFERROR(__xludf.DUMMYFUNCTION("IFERROR(INDEX(FILTER('cost master'!$E:$E,('cost master'!$B:$B=C624)*('cost master'!$D:$D=""Storage cost per pallet / week"")*('cost master'!$G:$G&lt;=B624)*(('cost master'!$H:$H&gt;=B624)+ISBLANK('cost master'!$H:$H))),1),0)"),3.9)</f>
        <v>3.9</v>
      </c>
      <c r="I624" s="3">
        <f t="shared" si="4"/>
        <v>0</v>
      </c>
      <c r="J624" s="27">
        <f t="shared" si="5"/>
        <v>45763</v>
      </c>
      <c r="K624" s="27">
        <f t="shared" si="6"/>
        <v>45792</v>
      </c>
    </row>
    <row r="625" hidden="1">
      <c r="A625" s="3" t="str">
        <f t="shared" si="3"/>
        <v>SL-20250512-FMC-CS 009-10</v>
      </c>
      <c r="B625" s="2">
        <f t="array" ref="B625">INDEX(helper!$A$3:$A3996,ROUNDUP((ROW()-1)/COUNTA(helper!$D$3:$D3996),0))</f>
        <v>45789</v>
      </c>
      <c r="C625" s="5" t="str">
        <f t="array" ref="C625">IF(B625="","",INDEX(helper!$D$3:$D3996,MOD(ROW()-2,COUNTA(helper!$D$3:$D3996))+1))</f>
        <v>FMC</v>
      </c>
      <c r="D625" s="3" t="str">
        <f t="array" ref="D625">IF(B625="","",INDEX(helper!$E$3:$E3996,MOD(ROW()-2,COUNTA(helper!$D$3:$D3996))+1))</f>
        <v>CS 009</v>
      </c>
      <c r="E625" s="3">
        <f t="array" ref="E625">IF(B625="","",INDEX(helper!$F$3:$F3996,MOD(ROW()-2,COUNTA(helper!$D$3:$D3996))+1))</f>
        <v>10</v>
      </c>
      <c r="F625" s="3">
        <f>IF(B625="","",SUMIFS('inventory ledger'!$H:$H,'inventory ledger'!$C:$C,C625,'inventory ledger'!$D:$D,D625,'inventory ledger'!$E:$E,E625,'inventory ledger'!$A:$A,"&lt;="&amp;B625+TIME(23,59,59))-SUMIFS('inventory ledger'!$I:$I,'inventory ledger'!$C:$C,C625,'inventory ledger'!$D:$D,D625,'inventory ledger'!$E:$E,E625,'inventory ledger'!$A:$A,"&lt;="&amp;B625+TIME(23,59,59)))</f>
        <v>0</v>
      </c>
      <c r="G625" s="3">
        <f>IFERROR(__xludf.DUMMYFUNCTION("IF(F625&lt;=0,0,IFERROR(ROUNDUP(F625/INDEX(FILTER('warehouse config'!$D:$D,('warehouse config'!$B:$B=C625)*('warehouse config'!$C:$C=D625)*('warehouse config'!$G:$G&lt;=B625)*(('warehouse config'!$H:$H&gt;=B625)+ISBLANK('warehouse config'!$H:$H))),1)),0))"),0.0)</f>
        <v>0</v>
      </c>
      <c r="H625" s="3">
        <f>IFERROR(__xludf.DUMMYFUNCTION("IFERROR(INDEX(FILTER('cost master'!$E:$E,('cost master'!$B:$B=C625)*('cost master'!$D:$D=""Storage cost per pallet / week"")*('cost master'!$G:$G&lt;=B625)*(('cost master'!$H:$H&gt;=B625)+ISBLANK('cost master'!$H:$H))),1),0)"),3.9)</f>
        <v>3.9</v>
      </c>
      <c r="I625" s="3">
        <f t="shared" si="4"/>
        <v>0</v>
      </c>
      <c r="J625" s="27">
        <f t="shared" si="5"/>
        <v>45763</v>
      </c>
      <c r="K625" s="27">
        <f t="shared" si="6"/>
        <v>45792</v>
      </c>
    </row>
    <row r="626" hidden="1">
      <c r="A626" s="3" t="str">
        <f t="shared" si="3"/>
        <v>SL-20250512-FMC-CS 010-10</v>
      </c>
      <c r="B626" s="2">
        <f t="array" ref="B626">INDEX(helper!$A$3:$A3996,ROUNDUP((ROW()-1)/COUNTA(helper!$D$3:$D3996),0))</f>
        <v>45789</v>
      </c>
      <c r="C626" s="5" t="str">
        <f t="array" ref="C626">IF(B626="","",INDEX(helper!$D$3:$D3996,MOD(ROW()-2,COUNTA(helper!$D$3:$D3996))+1))</f>
        <v>FMC</v>
      </c>
      <c r="D626" s="3" t="str">
        <f t="array" ref="D626">IF(B626="","",INDEX(helper!$E$3:$E3996,MOD(ROW()-2,COUNTA(helper!$D$3:$D3996))+1))</f>
        <v>CS 010</v>
      </c>
      <c r="E626" s="3">
        <f t="array" ref="E626">IF(B626="","",INDEX(helper!$F$3:$F3996,MOD(ROW()-2,COUNTA(helper!$D$3:$D3996))+1))</f>
        <v>10</v>
      </c>
      <c r="F626" s="3">
        <f>IF(B626="","",SUMIFS('inventory ledger'!$H:$H,'inventory ledger'!$C:$C,C626,'inventory ledger'!$D:$D,D626,'inventory ledger'!$E:$E,E626,'inventory ledger'!$A:$A,"&lt;="&amp;B626+TIME(23,59,59))-SUMIFS('inventory ledger'!$I:$I,'inventory ledger'!$C:$C,C626,'inventory ledger'!$D:$D,D626,'inventory ledger'!$E:$E,E626,'inventory ledger'!$A:$A,"&lt;="&amp;B626+TIME(23,59,59)))</f>
        <v>13</v>
      </c>
      <c r="G626" s="3">
        <f>IFERROR(__xludf.DUMMYFUNCTION("IF(F626&lt;=0,0,IFERROR(ROUNDUP(F626/INDEX(FILTER('warehouse config'!$D:$D,('warehouse config'!$B:$B=C626)*('warehouse config'!$C:$C=D626)*('warehouse config'!$G:$G&lt;=B626)*(('warehouse config'!$H:$H&gt;=B626)+ISBLANK('warehouse config'!$H:$H))),1)),0))"),1.0)</f>
        <v>1</v>
      </c>
      <c r="H626" s="3">
        <f>IFERROR(__xludf.DUMMYFUNCTION("IFERROR(INDEX(FILTER('cost master'!$E:$E,('cost master'!$B:$B=C626)*('cost master'!$D:$D=""Storage cost per pallet / week"")*('cost master'!$G:$G&lt;=B626)*(('cost master'!$H:$H&gt;=B626)+ISBLANK('cost master'!$H:$H))),1),0)"),3.9)</f>
        <v>3.9</v>
      </c>
      <c r="I626" s="3">
        <f t="shared" si="4"/>
        <v>3.9</v>
      </c>
      <c r="J626" s="27">
        <f t="shared" si="5"/>
        <v>45763</v>
      </c>
      <c r="K626" s="27">
        <f t="shared" si="6"/>
        <v>45792</v>
      </c>
    </row>
    <row r="627" hidden="1">
      <c r="A627" s="3" t="str">
        <f t="shared" si="3"/>
        <v>SL-20250512-FMC-CS-CDS-001-10</v>
      </c>
      <c r="B627" s="2">
        <f t="array" ref="B627">INDEX(helper!$A$3:$A3996,ROUNDUP((ROW()-1)/COUNTA(helper!$D$3:$D3996),0))</f>
        <v>45789</v>
      </c>
      <c r="C627" s="5" t="str">
        <f t="array" ref="C627">IF(B627="","",INDEX(helper!$D$3:$D3996,MOD(ROW()-2,COUNTA(helper!$D$3:$D3996))+1))</f>
        <v>FMC</v>
      </c>
      <c r="D627" s="3" t="str">
        <f t="array" ref="D627">IF(B627="","",INDEX(helper!$E$3:$E3996,MOD(ROW()-2,COUNTA(helper!$D$3:$D3996))+1))</f>
        <v>CS-CDS-001</v>
      </c>
      <c r="E627" s="3">
        <f t="array" ref="E627">IF(B627="","",INDEX(helper!$F$3:$F3996,MOD(ROW()-2,COUNTA(helper!$D$3:$D3996))+1))</f>
        <v>10</v>
      </c>
      <c r="F627" s="3">
        <f>IF(B627="","",SUMIFS('inventory ledger'!$H:$H,'inventory ledger'!$C:$C,C627,'inventory ledger'!$D:$D,D627,'inventory ledger'!$E:$E,E627,'inventory ledger'!$A:$A,"&lt;="&amp;B627+TIME(23,59,59))-SUMIFS('inventory ledger'!$I:$I,'inventory ledger'!$C:$C,C627,'inventory ledger'!$D:$D,D627,'inventory ledger'!$E:$E,E627,'inventory ledger'!$A:$A,"&lt;="&amp;B627+TIME(23,59,59)))</f>
        <v>0</v>
      </c>
      <c r="G627" s="3">
        <f>IFERROR(__xludf.DUMMYFUNCTION("IF(F627&lt;=0,0,IFERROR(ROUNDUP(F627/INDEX(FILTER('warehouse config'!$D:$D,('warehouse config'!$B:$B=C627)*('warehouse config'!$C:$C=D627)*('warehouse config'!$G:$G&lt;=B627)*(('warehouse config'!$H:$H&gt;=B627)+ISBLANK('warehouse config'!$H:$H))),1)),0))"),0.0)</f>
        <v>0</v>
      </c>
      <c r="H627" s="3">
        <f>IFERROR(__xludf.DUMMYFUNCTION("IFERROR(INDEX(FILTER('cost master'!$E:$E,('cost master'!$B:$B=C627)*('cost master'!$D:$D=""Storage cost per pallet / week"")*('cost master'!$G:$G&lt;=B627)*(('cost master'!$H:$H&gt;=B627)+ISBLANK('cost master'!$H:$H))),1),0)"),3.9)</f>
        <v>3.9</v>
      </c>
      <c r="I627" s="3">
        <f t="shared" si="4"/>
        <v>0</v>
      </c>
      <c r="J627" s="27">
        <f t="shared" si="5"/>
        <v>45763</v>
      </c>
      <c r="K627" s="27">
        <f t="shared" si="6"/>
        <v>45792</v>
      </c>
    </row>
    <row r="628" hidden="1">
      <c r="A628" s="3" t="str">
        <f t="shared" si="3"/>
        <v>SL-20250512-FMC-CS 007-11</v>
      </c>
      <c r="B628" s="2">
        <f t="array" ref="B628">INDEX(helper!$A$3:$A3996,ROUNDUP((ROW()-1)/COUNTA(helper!$D$3:$D3996),0))</f>
        <v>45789</v>
      </c>
      <c r="C628" s="5" t="str">
        <f t="array" ref="C628">IF(B628="","",INDEX(helper!$D$3:$D3996,MOD(ROW()-2,COUNTA(helper!$D$3:$D3996))+1))</f>
        <v>FMC</v>
      </c>
      <c r="D628" s="3" t="str">
        <f t="array" ref="D628">IF(B628="","",INDEX(helper!$E$3:$E3996,MOD(ROW()-2,COUNTA(helper!$D$3:$D3996))+1))</f>
        <v>CS 007</v>
      </c>
      <c r="E628" s="3">
        <f t="array" ref="E628">IF(B628="","",INDEX(helper!$F$3:$F3996,MOD(ROW()-2,COUNTA(helper!$D$3:$D3996))+1))</f>
        <v>11</v>
      </c>
      <c r="F628" s="3">
        <f>IF(B628="","",SUMIFS('inventory ledger'!$H:$H,'inventory ledger'!$C:$C,C628,'inventory ledger'!$D:$D,D628,'inventory ledger'!$E:$E,E628,'inventory ledger'!$A:$A,"&lt;="&amp;B628+TIME(23,59,59))-SUMIFS('inventory ledger'!$I:$I,'inventory ledger'!$C:$C,C628,'inventory ledger'!$D:$D,D628,'inventory ledger'!$E:$E,E628,'inventory ledger'!$A:$A,"&lt;="&amp;B628+TIME(23,59,59)))</f>
        <v>0</v>
      </c>
      <c r="G628" s="3">
        <f>IFERROR(__xludf.DUMMYFUNCTION("IF(F628&lt;=0,0,IFERROR(ROUNDUP(F628/INDEX(FILTER('warehouse config'!$D:$D,('warehouse config'!$B:$B=C628)*('warehouse config'!$C:$C=D628)*('warehouse config'!$G:$G&lt;=B628)*(('warehouse config'!$H:$H&gt;=B628)+ISBLANK('warehouse config'!$H:$H))),1)),0))"),0.0)</f>
        <v>0</v>
      </c>
      <c r="H628" s="3">
        <f>IFERROR(__xludf.DUMMYFUNCTION("IFERROR(INDEX(FILTER('cost master'!$E:$E,('cost master'!$B:$B=C628)*('cost master'!$D:$D=""Storage cost per pallet / week"")*('cost master'!$G:$G&lt;=B628)*(('cost master'!$H:$H&gt;=B628)+ISBLANK('cost master'!$H:$H))),1),0)"),3.9)</f>
        <v>3.9</v>
      </c>
      <c r="I628" s="3">
        <f t="shared" si="4"/>
        <v>0</v>
      </c>
      <c r="J628" s="27">
        <f t="shared" si="5"/>
        <v>45763</v>
      </c>
      <c r="K628" s="27">
        <f t="shared" si="6"/>
        <v>45792</v>
      </c>
    </row>
    <row r="629" hidden="1">
      <c r="A629" s="3" t="str">
        <f t="shared" si="3"/>
        <v>SL-20250512-FMC-CS 009-11</v>
      </c>
      <c r="B629" s="2">
        <f t="array" ref="B629">INDEX(helper!$A$3:$A3996,ROUNDUP((ROW()-1)/COUNTA(helper!$D$3:$D3996),0))</f>
        <v>45789</v>
      </c>
      <c r="C629" s="5" t="str">
        <f t="array" ref="C629">IF(B629="","",INDEX(helper!$D$3:$D3996,MOD(ROW()-2,COUNTA(helper!$D$3:$D3996))+1))</f>
        <v>FMC</v>
      </c>
      <c r="D629" s="3" t="str">
        <f t="array" ref="D629">IF(B629="","",INDEX(helper!$E$3:$E3996,MOD(ROW()-2,COUNTA(helper!$D$3:$D3996))+1))</f>
        <v>CS 009</v>
      </c>
      <c r="E629" s="3">
        <f t="array" ref="E629">IF(B629="","",INDEX(helper!$F$3:$F3996,MOD(ROW()-2,COUNTA(helper!$D$3:$D3996))+1))</f>
        <v>11</v>
      </c>
      <c r="F629" s="3">
        <f>IF(B629="","",SUMIFS('inventory ledger'!$H:$H,'inventory ledger'!$C:$C,C629,'inventory ledger'!$D:$D,D629,'inventory ledger'!$E:$E,E629,'inventory ledger'!$A:$A,"&lt;="&amp;B629+TIME(23,59,59))-SUMIFS('inventory ledger'!$I:$I,'inventory ledger'!$C:$C,C629,'inventory ledger'!$D:$D,D629,'inventory ledger'!$E:$E,E629,'inventory ledger'!$A:$A,"&lt;="&amp;B629+TIME(23,59,59)))</f>
        <v>0</v>
      </c>
      <c r="G629" s="3">
        <f>IFERROR(__xludf.DUMMYFUNCTION("IF(F629&lt;=0,0,IFERROR(ROUNDUP(F629/INDEX(FILTER('warehouse config'!$D:$D,('warehouse config'!$B:$B=C629)*('warehouse config'!$C:$C=D629)*('warehouse config'!$G:$G&lt;=B629)*(('warehouse config'!$H:$H&gt;=B629)+ISBLANK('warehouse config'!$H:$H))),1)),0))"),0.0)</f>
        <v>0</v>
      </c>
      <c r="H629" s="3">
        <f>IFERROR(__xludf.DUMMYFUNCTION("IFERROR(INDEX(FILTER('cost master'!$E:$E,('cost master'!$B:$B=C629)*('cost master'!$D:$D=""Storage cost per pallet / week"")*('cost master'!$G:$G&lt;=B629)*(('cost master'!$H:$H&gt;=B629)+ISBLANK('cost master'!$H:$H))),1),0)"),3.9)</f>
        <v>3.9</v>
      </c>
      <c r="I629" s="3">
        <f t="shared" si="4"/>
        <v>0</v>
      </c>
      <c r="J629" s="27">
        <f t="shared" si="5"/>
        <v>45763</v>
      </c>
      <c r="K629" s="27">
        <f t="shared" si="6"/>
        <v>45792</v>
      </c>
    </row>
    <row r="630" hidden="1">
      <c r="A630" s="3" t="str">
        <f t="shared" si="3"/>
        <v>SL-20250512-FMC-CS 010-11</v>
      </c>
      <c r="B630" s="2">
        <f t="array" ref="B630">INDEX(helper!$A$3:$A3996,ROUNDUP((ROW()-1)/COUNTA(helper!$D$3:$D3996),0))</f>
        <v>45789</v>
      </c>
      <c r="C630" s="5" t="str">
        <f t="array" ref="C630">IF(B630="","",INDEX(helper!$D$3:$D3996,MOD(ROW()-2,COUNTA(helper!$D$3:$D3996))+1))</f>
        <v>FMC</v>
      </c>
      <c r="D630" s="3" t="str">
        <f t="array" ref="D630">IF(B630="","",INDEX(helper!$E$3:$E3996,MOD(ROW()-2,COUNTA(helper!$D$3:$D3996))+1))</f>
        <v>CS 010</v>
      </c>
      <c r="E630" s="3">
        <f t="array" ref="E630">IF(B630="","",INDEX(helper!$F$3:$F3996,MOD(ROW()-2,COUNTA(helper!$D$3:$D3996))+1))</f>
        <v>11</v>
      </c>
      <c r="F630" s="3">
        <f>IF(B630="","",SUMIFS('inventory ledger'!$H:$H,'inventory ledger'!$C:$C,C630,'inventory ledger'!$D:$D,D630,'inventory ledger'!$E:$E,E630,'inventory ledger'!$A:$A,"&lt;="&amp;B630+TIME(23,59,59))-SUMIFS('inventory ledger'!$I:$I,'inventory ledger'!$C:$C,C630,'inventory ledger'!$D:$D,D630,'inventory ledger'!$E:$E,E630,'inventory ledger'!$A:$A,"&lt;="&amp;B630+TIME(23,59,59)))</f>
        <v>46</v>
      </c>
      <c r="G630" s="3">
        <f>IFERROR(__xludf.DUMMYFUNCTION("IF(F630&lt;=0,0,IFERROR(ROUNDUP(F630/INDEX(FILTER('warehouse config'!$D:$D,('warehouse config'!$B:$B=C630)*('warehouse config'!$C:$C=D630)*('warehouse config'!$G:$G&lt;=B630)*(('warehouse config'!$H:$H&gt;=B630)+ISBLANK('warehouse config'!$H:$H))),1)),0))"),2.0)</f>
        <v>2</v>
      </c>
      <c r="H630" s="3">
        <f>IFERROR(__xludf.DUMMYFUNCTION("IFERROR(INDEX(FILTER('cost master'!$E:$E,('cost master'!$B:$B=C630)*('cost master'!$D:$D=""Storage cost per pallet / week"")*('cost master'!$G:$G&lt;=B630)*(('cost master'!$H:$H&gt;=B630)+ISBLANK('cost master'!$H:$H))),1),0)"),3.9)</f>
        <v>3.9</v>
      </c>
      <c r="I630" s="3">
        <f t="shared" si="4"/>
        <v>7.8</v>
      </c>
      <c r="J630" s="27">
        <f t="shared" si="5"/>
        <v>45763</v>
      </c>
      <c r="K630" s="27">
        <f t="shared" si="6"/>
        <v>45792</v>
      </c>
    </row>
    <row r="631" hidden="1">
      <c r="A631" s="3" t="str">
        <f t="shared" si="3"/>
        <v>SL-20250512-Vglobal-CS 007-12</v>
      </c>
      <c r="B631" s="2">
        <f t="array" ref="B631">INDEX(helper!$A$3:$A3996,ROUNDUP((ROW()-1)/COUNTA(helper!$D$3:$D3996),0))</f>
        <v>45789</v>
      </c>
      <c r="C631" s="5" t="str">
        <f t="array" ref="C631">IF(B631="","",INDEX(helper!$D$3:$D3996,MOD(ROW()-2,COUNTA(helper!$D$3:$D3996))+1))</f>
        <v>Vglobal</v>
      </c>
      <c r="D631" s="3" t="str">
        <f t="array" ref="D631">IF(B631="","",INDEX(helper!$E$3:$E3996,MOD(ROW()-2,COUNTA(helper!$D$3:$D3996))+1))</f>
        <v>CS 007</v>
      </c>
      <c r="E631" s="3">
        <f t="array" ref="E631">IF(B631="","",INDEX(helper!$F$3:$F3996,MOD(ROW()-2,COUNTA(helper!$D$3:$D3996))+1))</f>
        <v>12</v>
      </c>
      <c r="F631" s="3">
        <f>IF(B631="","",SUMIFS('inventory ledger'!$H:$H,'inventory ledger'!$C:$C,C631,'inventory ledger'!$D:$D,D631,'inventory ledger'!$E:$E,E631,'inventory ledger'!$A:$A,"&lt;="&amp;B631+TIME(23,59,59))-SUMIFS('inventory ledger'!$I:$I,'inventory ledger'!$C:$C,C631,'inventory ledger'!$D:$D,D631,'inventory ledger'!$E:$E,E631,'inventory ledger'!$A:$A,"&lt;="&amp;B631+TIME(23,59,59)))</f>
        <v>0</v>
      </c>
      <c r="G631" s="3">
        <f>IFERROR(__xludf.DUMMYFUNCTION("IF(F631&lt;=0,0,IFERROR(ROUNDUP(F631/INDEX(FILTER('warehouse config'!$D:$D,('warehouse config'!$B:$B=C631)*('warehouse config'!$C:$C=D631)*('warehouse config'!$G:$G&lt;=B631)*(('warehouse config'!$H:$H&gt;=B631)+ISBLANK('warehouse config'!$H:$H))),1)),0))"),0.0)</f>
        <v>0</v>
      </c>
      <c r="H631" s="3">
        <f>IFERROR(__xludf.DUMMYFUNCTION("IFERROR(INDEX(FILTER('cost master'!$E:$E,('cost master'!$B:$B=C631)*('cost master'!$D:$D=""Storage cost per pallet / week"")*('cost master'!$G:$G&lt;=B631)*(('cost master'!$H:$H&gt;=B631)+ISBLANK('cost master'!$H:$H))),1),0)"),2.6)</f>
        <v>2.6</v>
      </c>
      <c r="I631" s="3">
        <f t="shared" si="4"/>
        <v>0</v>
      </c>
      <c r="J631" s="27">
        <f t="shared" si="5"/>
        <v>45763</v>
      </c>
      <c r="K631" s="27">
        <f t="shared" si="6"/>
        <v>45792</v>
      </c>
    </row>
    <row r="632" hidden="1">
      <c r="A632" s="3" t="str">
        <f t="shared" si="3"/>
        <v>SL-20250512-Vglobal-CS 011-12</v>
      </c>
      <c r="B632" s="2">
        <f t="array" ref="B632">INDEX(helper!$A$3:$A3996,ROUNDUP((ROW()-1)/COUNTA(helper!$D$3:$D3996),0))</f>
        <v>45789</v>
      </c>
      <c r="C632" s="5" t="str">
        <f t="array" ref="C632">IF(B632="","",INDEX(helper!$D$3:$D3996,MOD(ROW()-2,COUNTA(helper!$D$3:$D3996))+1))</f>
        <v>Vglobal</v>
      </c>
      <c r="D632" s="3" t="str">
        <f t="array" ref="D632">IF(B632="","",INDEX(helper!$E$3:$E3996,MOD(ROW()-2,COUNTA(helper!$D$3:$D3996))+1))</f>
        <v>CS 011</v>
      </c>
      <c r="E632" s="3">
        <f t="array" ref="E632">IF(B632="","",INDEX(helper!$F$3:$F3996,MOD(ROW()-2,COUNTA(helper!$D$3:$D3996))+1))</f>
        <v>12</v>
      </c>
      <c r="F632" s="3">
        <f>IF(B632="","",SUMIFS('inventory ledger'!$H:$H,'inventory ledger'!$C:$C,C632,'inventory ledger'!$D:$D,D632,'inventory ledger'!$E:$E,E632,'inventory ledger'!$A:$A,"&lt;="&amp;B632+TIME(23,59,59))-SUMIFS('inventory ledger'!$I:$I,'inventory ledger'!$C:$C,C632,'inventory ledger'!$D:$D,D632,'inventory ledger'!$E:$E,E632,'inventory ledger'!$A:$A,"&lt;="&amp;B632+TIME(23,59,59)))</f>
        <v>0</v>
      </c>
      <c r="G632" s="3">
        <f>IFERROR(__xludf.DUMMYFUNCTION("IF(F632&lt;=0,0,IFERROR(ROUNDUP(F632/INDEX(FILTER('warehouse config'!$D:$D,('warehouse config'!$B:$B=C632)*('warehouse config'!$C:$C=D632)*('warehouse config'!$G:$G&lt;=B632)*(('warehouse config'!$H:$H&gt;=B632)+ISBLANK('warehouse config'!$H:$H))),1)),0))"),0.0)</f>
        <v>0</v>
      </c>
      <c r="H632" s="3">
        <f>IFERROR(__xludf.DUMMYFUNCTION("IFERROR(INDEX(FILTER('cost master'!$E:$E,('cost master'!$B:$B=C632)*('cost master'!$D:$D=""Storage cost per pallet / week"")*('cost master'!$G:$G&lt;=B632)*(('cost master'!$H:$H&gt;=B632)+ISBLANK('cost master'!$H:$H))),1),0)"),2.6)</f>
        <v>2.6</v>
      </c>
      <c r="I632" s="3">
        <f t="shared" si="4"/>
        <v>0</v>
      </c>
      <c r="J632" s="27">
        <f t="shared" si="5"/>
        <v>45763</v>
      </c>
      <c r="K632" s="27">
        <f t="shared" si="6"/>
        <v>45792</v>
      </c>
    </row>
    <row r="633" hidden="1">
      <c r="A633" s="3" t="str">
        <f t="shared" si="3"/>
        <v>SL-20250512-Vglobal-CS 008-12</v>
      </c>
      <c r="B633" s="2">
        <f t="array" ref="B633">INDEX(helper!$A$3:$A3996,ROUNDUP((ROW()-1)/COUNTA(helper!$D$3:$D3996),0))</f>
        <v>45789</v>
      </c>
      <c r="C633" s="5" t="str">
        <f t="array" ref="C633">IF(B633="","",INDEX(helper!$D$3:$D3996,MOD(ROW()-2,COUNTA(helper!$D$3:$D3996))+1))</f>
        <v>Vglobal</v>
      </c>
      <c r="D633" s="3" t="str">
        <f t="array" ref="D633">IF(B633="","",INDEX(helper!$E$3:$E3996,MOD(ROW()-2,COUNTA(helper!$D$3:$D3996))+1))</f>
        <v>CS 008</v>
      </c>
      <c r="E633" s="3">
        <f t="array" ref="E633">IF(B633="","",INDEX(helper!$F$3:$F3996,MOD(ROW()-2,COUNTA(helper!$D$3:$D3996))+1))</f>
        <v>12</v>
      </c>
      <c r="F633" s="3">
        <f>IF(B633="","",SUMIFS('inventory ledger'!$H:$H,'inventory ledger'!$C:$C,C633,'inventory ledger'!$D:$D,D633,'inventory ledger'!$E:$E,E633,'inventory ledger'!$A:$A,"&lt;="&amp;B633+TIME(23,59,59))-SUMIFS('inventory ledger'!$I:$I,'inventory ledger'!$C:$C,C633,'inventory ledger'!$D:$D,D633,'inventory ledger'!$E:$E,E633,'inventory ledger'!$A:$A,"&lt;="&amp;B633+TIME(23,59,59)))</f>
        <v>0</v>
      </c>
      <c r="G633" s="3">
        <f>IFERROR(__xludf.DUMMYFUNCTION("IF(F633&lt;=0,0,IFERROR(ROUNDUP(F633/INDEX(FILTER('warehouse config'!$D:$D,('warehouse config'!$B:$B=C633)*('warehouse config'!$C:$C=D633)*('warehouse config'!$G:$G&lt;=B633)*(('warehouse config'!$H:$H&gt;=B633)+ISBLANK('warehouse config'!$H:$H))),1)),0))"),0.0)</f>
        <v>0</v>
      </c>
      <c r="H633" s="3">
        <f>IFERROR(__xludf.DUMMYFUNCTION("IFERROR(INDEX(FILTER('cost master'!$E:$E,('cost master'!$B:$B=C633)*('cost master'!$D:$D=""Storage cost per pallet / week"")*('cost master'!$G:$G&lt;=B633)*(('cost master'!$H:$H&gt;=B633)+ISBLANK('cost master'!$H:$H))),1),0)"),2.6)</f>
        <v>2.6</v>
      </c>
      <c r="I633" s="3">
        <f t="shared" si="4"/>
        <v>0</v>
      </c>
      <c r="J633" s="27">
        <f t="shared" si="5"/>
        <v>45763</v>
      </c>
      <c r="K633" s="27">
        <f t="shared" si="6"/>
        <v>45792</v>
      </c>
    </row>
    <row r="634" hidden="1">
      <c r="A634" s="3" t="str">
        <f t="shared" si="3"/>
        <v>SL-20250512-Vglobal-CS 010-12</v>
      </c>
      <c r="B634" s="2">
        <f t="array" ref="B634">INDEX(helper!$A$3:$A3996,ROUNDUP((ROW()-1)/COUNTA(helper!$D$3:$D3996),0))</f>
        <v>45789</v>
      </c>
      <c r="C634" s="5" t="str">
        <f t="array" ref="C634">IF(B634="","",INDEX(helper!$D$3:$D3996,MOD(ROW()-2,COUNTA(helper!$D$3:$D3996))+1))</f>
        <v>Vglobal</v>
      </c>
      <c r="D634" s="3" t="str">
        <f t="array" ref="D634">IF(B634="","",INDEX(helper!$E$3:$E3996,MOD(ROW()-2,COUNTA(helper!$D$3:$D3996))+1))</f>
        <v>CS 010</v>
      </c>
      <c r="E634" s="3">
        <f t="array" ref="E634">IF(B634="","",INDEX(helper!$F$3:$F3996,MOD(ROW()-2,COUNTA(helper!$D$3:$D3996))+1))</f>
        <v>12</v>
      </c>
      <c r="F634" s="3">
        <f>IF(B634="","",SUMIFS('inventory ledger'!$H:$H,'inventory ledger'!$C:$C,C634,'inventory ledger'!$D:$D,D634,'inventory ledger'!$E:$E,E634,'inventory ledger'!$A:$A,"&lt;="&amp;B634+TIME(23,59,59))-SUMIFS('inventory ledger'!$I:$I,'inventory ledger'!$C:$C,C634,'inventory ledger'!$D:$D,D634,'inventory ledger'!$E:$E,E634,'inventory ledger'!$A:$A,"&lt;="&amp;B634+TIME(23,59,59)))</f>
        <v>70</v>
      </c>
      <c r="G634" s="3">
        <f>IFERROR(__xludf.DUMMYFUNCTION("IF(F634&lt;=0,0,IFERROR(ROUNDUP(F634/INDEX(FILTER('warehouse config'!$D:$D,('warehouse config'!$B:$B=C634)*('warehouse config'!$C:$C=D634)*('warehouse config'!$G:$G&lt;=B634)*(('warehouse config'!$H:$H&gt;=B634)+ISBLANK('warehouse config'!$H:$H))),1)),0))"),3.0)</f>
        <v>3</v>
      </c>
      <c r="H634" s="3">
        <f>IFERROR(__xludf.DUMMYFUNCTION("IFERROR(INDEX(FILTER('cost master'!$E:$E,('cost master'!$B:$B=C634)*('cost master'!$D:$D=""Storage cost per pallet / week"")*('cost master'!$G:$G&lt;=B634)*(('cost master'!$H:$H&gt;=B634)+ISBLANK('cost master'!$H:$H))),1),0)"),2.6)</f>
        <v>2.6</v>
      </c>
      <c r="I634" s="3">
        <f t="shared" si="4"/>
        <v>7.8</v>
      </c>
      <c r="J634" s="27">
        <f t="shared" si="5"/>
        <v>45763</v>
      </c>
      <c r="K634" s="27">
        <f t="shared" si="6"/>
        <v>45792</v>
      </c>
    </row>
    <row r="635" hidden="1">
      <c r="A635" s="3" t="str">
        <f t="shared" si="3"/>
        <v>SL-20250512-Vglobal-CS 009-12</v>
      </c>
      <c r="B635" s="2">
        <f t="array" ref="B635">INDEX(helper!$A$3:$A3996,ROUNDUP((ROW()-1)/COUNTA(helper!$D$3:$D3996),0))</f>
        <v>45789</v>
      </c>
      <c r="C635" s="5" t="str">
        <f t="array" ref="C635">IF(B635="","",INDEX(helper!$D$3:$D3996,MOD(ROW()-2,COUNTA(helper!$D$3:$D3996))+1))</f>
        <v>Vglobal</v>
      </c>
      <c r="D635" s="3" t="str">
        <f t="array" ref="D635">IF(B635="","",INDEX(helper!$E$3:$E3996,MOD(ROW()-2,COUNTA(helper!$D$3:$D3996))+1))</f>
        <v>CS 009</v>
      </c>
      <c r="E635" s="3">
        <f t="array" ref="E635">IF(B635="","",INDEX(helper!$F$3:$F3996,MOD(ROW()-2,COUNTA(helper!$D$3:$D3996))+1))</f>
        <v>12</v>
      </c>
      <c r="F635" s="3">
        <f>IF(B635="","",SUMIFS('inventory ledger'!$H:$H,'inventory ledger'!$C:$C,C635,'inventory ledger'!$D:$D,D635,'inventory ledger'!$E:$E,E635,'inventory ledger'!$A:$A,"&lt;="&amp;B635+TIME(23,59,59))-SUMIFS('inventory ledger'!$I:$I,'inventory ledger'!$C:$C,C635,'inventory ledger'!$D:$D,D635,'inventory ledger'!$E:$E,E635,'inventory ledger'!$A:$A,"&lt;="&amp;B635+TIME(23,59,59)))</f>
        <v>0</v>
      </c>
      <c r="G635" s="3">
        <f>IFERROR(__xludf.DUMMYFUNCTION("IF(F635&lt;=0,0,IFERROR(ROUNDUP(F635/INDEX(FILTER('warehouse config'!$D:$D,('warehouse config'!$B:$B=C635)*('warehouse config'!$C:$C=D635)*('warehouse config'!$G:$G&lt;=B635)*(('warehouse config'!$H:$H&gt;=B635)+ISBLANK('warehouse config'!$H:$H))),1)),0))"),0.0)</f>
        <v>0</v>
      </c>
      <c r="H635" s="3">
        <f>IFERROR(__xludf.DUMMYFUNCTION("IFERROR(INDEX(FILTER('cost master'!$E:$E,('cost master'!$B:$B=C635)*('cost master'!$D:$D=""Storage cost per pallet / week"")*('cost master'!$G:$G&lt;=B635)*(('cost master'!$H:$H&gt;=B635)+ISBLANK('cost master'!$H:$H))),1),0)"),2.6)</f>
        <v>2.6</v>
      </c>
      <c r="I635" s="3">
        <f t="shared" si="4"/>
        <v>0</v>
      </c>
      <c r="J635" s="27">
        <f t="shared" si="5"/>
        <v>45763</v>
      </c>
      <c r="K635" s="27">
        <f t="shared" si="6"/>
        <v>45792</v>
      </c>
    </row>
    <row r="636" hidden="1">
      <c r="A636" s="3" t="str">
        <f t="shared" si="3"/>
        <v>SL-20250512-Vglobal-CS 012-12</v>
      </c>
      <c r="B636" s="2">
        <f t="array" ref="B636">INDEX(helper!$A$3:$A3996,ROUNDUP((ROW()-1)/COUNTA(helper!$D$3:$D3996),0))</f>
        <v>45789</v>
      </c>
      <c r="C636" s="5" t="str">
        <f t="array" ref="C636">IF(B636="","",INDEX(helper!$D$3:$D3996,MOD(ROW()-2,COUNTA(helper!$D$3:$D3996))+1))</f>
        <v>Vglobal</v>
      </c>
      <c r="D636" s="3" t="str">
        <f t="array" ref="D636">IF(B636="","",INDEX(helper!$E$3:$E3996,MOD(ROW()-2,COUNTA(helper!$D$3:$D3996))+1))</f>
        <v>CS 012</v>
      </c>
      <c r="E636" s="3">
        <f t="array" ref="E636">IF(B636="","",INDEX(helper!$F$3:$F3996,MOD(ROW()-2,COUNTA(helper!$D$3:$D3996))+1))</f>
        <v>12</v>
      </c>
      <c r="F636" s="3">
        <f>IF(B636="","",SUMIFS('inventory ledger'!$H:$H,'inventory ledger'!$C:$C,C636,'inventory ledger'!$D:$D,D636,'inventory ledger'!$E:$E,E636,'inventory ledger'!$A:$A,"&lt;="&amp;B636+TIME(23,59,59))-SUMIFS('inventory ledger'!$I:$I,'inventory ledger'!$C:$C,C636,'inventory ledger'!$D:$D,D636,'inventory ledger'!$E:$E,E636,'inventory ledger'!$A:$A,"&lt;="&amp;B636+TIME(23,59,59)))</f>
        <v>0</v>
      </c>
      <c r="G636" s="3">
        <f>IFERROR(__xludf.DUMMYFUNCTION("IF(F636&lt;=0,0,IFERROR(ROUNDUP(F636/INDEX(FILTER('warehouse config'!$D:$D,('warehouse config'!$B:$B=C636)*('warehouse config'!$C:$C=D636)*('warehouse config'!$G:$G&lt;=B636)*(('warehouse config'!$H:$H&gt;=B636)+ISBLANK('warehouse config'!$H:$H))),1)),0))"),0.0)</f>
        <v>0</v>
      </c>
      <c r="H636" s="3">
        <f>IFERROR(__xludf.DUMMYFUNCTION("IFERROR(INDEX(FILTER('cost master'!$E:$E,('cost master'!$B:$B=C636)*('cost master'!$D:$D=""Storage cost per pallet / week"")*('cost master'!$G:$G&lt;=B636)*(('cost master'!$H:$H&gt;=B636)+ISBLANK('cost master'!$H:$H))),1),0)"),2.6)</f>
        <v>2.6</v>
      </c>
      <c r="I636" s="3">
        <f t="shared" si="4"/>
        <v>0</v>
      </c>
      <c r="J636" s="27">
        <f t="shared" si="5"/>
        <v>45763</v>
      </c>
      <c r="K636" s="27">
        <f t="shared" si="6"/>
        <v>45792</v>
      </c>
    </row>
    <row r="637" hidden="1">
      <c r="A637" s="3" t="str">
        <f t="shared" si="3"/>
        <v>SL-20250512-Vglobal-CS-CDS-001-3</v>
      </c>
      <c r="B637" s="2">
        <f t="array" ref="B637">INDEX(helper!$A$3:$A3996,ROUNDUP((ROW()-1)/COUNTA(helper!$D$3:$D3996),0))</f>
        <v>45789</v>
      </c>
      <c r="C637" s="5" t="str">
        <f t="array" ref="C637">IF(B637="","",INDEX(helper!$D$3:$D3996,MOD(ROW()-2,COUNTA(helper!$D$3:$D3996))+1))</f>
        <v>Vglobal</v>
      </c>
      <c r="D637" s="3" t="str">
        <f t="array" ref="D637">IF(B637="","",INDEX(helper!$E$3:$E3996,MOD(ROW()-2,COUNTA(helper!$D$3:$D3996))+1))</f>
        <v>CS-CDS-001</v>
      </c>
      <c r="E637" s="3">
        <f t="array" ref="E637">IF(B637="","",INDEX(helper!$F$3:$F3996,MOD(ROW()-2,COUNTA(helper!$D$3:$D3996))+1))</f>
        <v>3</v>
      </c>
      <c r="F637" s="3">
        <f>IF(B637="","",SUMIFS('inventory ledger'!$H:$H,'inventory ledger'!$C:$C,C637,'inventory ledger'!$D:$D,D637,'inventory ledger'!$E:$E,E637,'inventory ledger'!$A:$A,"&lt;="&amp;B637+TIME(23,59,59))-SUMIFS('inventory ledger'!$I:$I,'inventory ledger'!$C:$C,C637,'inventory ledger'!$D:$D,D637,'inventory ledger'!$E:$E,E637,'inventory ledger'!$A:$A,"&lt;="&amp;B637+TIME(23,59,59)))</f>
        <v>1</v>
      </c>
      <c r="G637" s="3">
        <f>IFERROR(__xludf.DUMMYFUNCTION("IF(F637&lt;=0,0,IFERROR(ROUNDUP(F637/INDEX(FILTER('warehouse config'!$D:$D,('warehouse config'!$B:$B=C637)*('warehouse config'!$C:$C=D637)*('warehouse config'!$G:$G&lt;=B637)*(('warehouse config'!$H:$H&gt;=B637)+ISBLANK('warehouse config'!$H:$H))),1)),0))"),1.0)</f>
        <v>1</v>
      </c>
      <c r="H637" s="3">
        <f>IFERROR(__xludf.DUMMYFUNCTION("IFERROR(INDEX(FILTER('cost master'!$E:$E,('cost master'!$B:$B=C637)*('cost master'!$D:$D=""Storage cost per pallet / week"")*('cost master'!$G:$G&lt;=B637)*(('cost master'!$H:$H&gt;=B637)+ISBLANK('cost master'!$H:$H))),1),0)"),2.6)</f>
        <v>2.6</v>
      </c>
      <c r="I637" s="3">
        <f t="shared" si="4"/>
        <v>2.6</v>
      </c>
      <c r="J637" s="27">
        <f t="shared" si="5"/>
        <v>45763</v>
      </c>
      <c r="K637" s="27">
        <f t="shared" si="6"/>
        <v>45792</v>
      </c>
    </row>
    <row r="638" hidden="1">
      <c r="A638" s="3" t="str">
        <f t="shared" si="3"/>
        <v>SL-20250512-Vglobal-CS-CDS-002-3</v>
      </c>
      <c r="B638" s="2">
        <f t="array" ref="B638">INDEX(helper!$A$3:$A3996,ROUNDUP((ROW()-1)/COUNTA(helper!$D$3:$D3996),0))</f>
        <v>45789</v>
      </c>
      <c r="C638" s="5" t="str">
        <f t="array" ref="C638">IF(B638="","",INDEX(helper!$D$3:$D3996,MOD(ROW()-2,COUNTA(helper!$D$3:$D3996))+1))</f>
        <v>Vglobal</v>
      </c>
      <c r="D638" s="3" t="str">
        <f t="array" ref="D638">IF(B638="","",INDEX(helper!$E$3:$E3996,MOD(ROW()-2,COUNTA(helper!$D$3:$D3996))+1))</f>
        <v>CS-CDS-002</v>
      </c>
      <c r="E638" s="3">
        <f t="array" ref="E638">IF(B638="","",INDEX(helper!$F$3:$F3996,MOD(ROW()-2,COUNTA(helper!$D$3:$D3996))+1))</f>
        <v>3</v>
      </c>
      <c r="F638" s="3">
        <f>IF(B638="","",SUMIFS('inventory ledger'!$H:$H,'inventory ledger'!$C:$C,C638,'inventory ledger'!$D:$D,D638,'inventory ledger'!$E:$E,E638,'inventory ledger'!$A:$A,"&lt;="&amp;B638+TIME(23,59,59))-SUMIFS('inventory ledger'!$I:$I,'inventory ledger'!$C:$C,C638,'inventory ledger'!$D:$D,D638,'inventory ledger'!$E:$E,E638,'inventory ledger'!$A:$A,"&lt;="&amp;B638+TIME(23,59,59)))</f>
        <v>0</v>
      </c>
      <c r="G638" s="3">
        <f>IFERROR(__xludf.DUMMYFUNCTION("IF(F638&lt;=0,0,IFERROR(ROUNDUP(F638/INDEX(FILTER('warehouse config'!$D:$D,('warehouse config'!$B:$B=C638)*('warehouse config'!$C:$C=D638)*('warehouse config'!$G:$G&lt;=B638)*(('warehouse config'!$H:$H&gt;=B638)+ISBLANK('warehouse config'!$H:$H))),1)),0))"),0.0)</f>
        <v>0</v>
      </c>
      <c r="H638" s="3">
        <f>IFERROR(__xludf.DUMMYFUNCTION("IFERROR(INDEX(FILTER('cost master'!$E:$E,('cost master'!$B:$B=C638)*('cost master'!$D:$D=""Storage cost per pallet / week"")*('cost master'!$G:$G&lt;=B638)*(('cost master'!$H:$H&gt;=B638)+ISBLANK('cost master'!$H:$H))),1),0)"),2.6)</f>
        <v>2.6</v>
      </c>
      <c r="I638" s="3">
        <f t="shared" si="4"/>
        <v>0</v>
      </c>
      <c r="J638" s="27">
        <f t="shared" si="5"/>
        <v>45763</v>
      </c>
      <c r="K638" s="27">
        <f t="shared" si="6"/>
        <v>45792</v>
      </c>
    </row>
    <row r="639" hidden="1">
      <c r="A639" s="3" t="str">
        <f t="shared" si="3"/>
        <v>SL-20250512-4as-CS-CDS-001-4</v>
      </c>
      <c r="B639" s="2">
        <f t="array" ref="B639">INDEX(helper!$A$3:$A3996,ROUNDUP((ROW()-1)/COUNTA(helper!$D$3:$D3996),0))</f>
        <v>45789</v>
      </c>
      <c r="C639" s="5" t="str">
        <f t="array" ref="C639">IF(B639="","",INDEX(helper!$D$3:$D3996,MOD(ROW()-2,COUNTA(helper!$D$3:$D3996))+1))</f>
        <v>4as</v>
      </c>
      <c r="D639" s="3" t="str">
        <f t="array" ref="D639">IF(B639="","",INDEX(helper!$E$3:$E3996,MOD(ROW()-2,COUNTA(helper!$D$3:$D3996))+1))</f>
        <v>CS-CDS-001</v>
      </c>
      <c r="E639" s="3">
        <f t="array" ref="E639">IF(B639="","",INDEX(helper!$F$3:$F3996,MOD(ROW()-2,COUNTA(helper!$D$3:$D3996))+1))</f>
        <v>4</v>
      </c>
      <c r="F639" s="3">
        <f>IF(B639="","",SUMIFS('inventory ledger'!$H:$H,'inventory ledger'!$C:$C,C639,'inventory ledger'!$D:$D,D639,'inventory ledger'!$E:$E,E639,'inventory ledger'!$A:$A,"&lt;="&amp;B639+TIME(23,59,59))-SUMIFS('inventory ledger'!$I:$I,'inventory ledger'!$C:$C,C639,'inventory ledger'!$D:$D,D639,'inventory ledger'!$E:$E,E639,'inventory ledger'!$A:$A,"&lt;="&amp;B639+TIME(23,59,59)))</f>
        <v>28</v>
      </c>
      <c r="G639" s="3">
        <f>IFERROR(__xludf.DUMMYFUNCTION("IF(F639&lt;=0,0,IFERROR(ROUNDUP(F639/INDEX(FILTER('warehouse config'!$D:$D,('warehouse config'!$B:$B=C639)*('warehouse config'!$C:$C=D639)*('warehouse config'!$G:$G&lt;=B639)*(('warehouse config'!$H:$H&gt;=B639)+ISBLANK('warehouse config'!$H:$H))),1)),0))"),2.0)</f>
        <v>2</v>
      </c>
      <c r="H639" s="3">
        <f>IFERROR(__xludf.DUMMYFUNCTION("IFERROR(INDEX(FILTER('cost master'!$E:$E,('cost master'!$B:$B=C639)*('cost master'!$D:$D=""Storage cost per pallet / week"")*('cost master'!$G:$G&lt;=B639)*(('cost master'!$H:$H&gt;=B639)+ISBLANK('cost master'!$H:$H))),1),0)"),9.0)</f>
        <v>9</v>
      </c>
      <c r="I639" s="3">
        <f t="shared" si="4"/>
        <v>18</v>
      </c>
      <c r="J639" s="27">
        <f t="shared" si="5"/>
        <v>45763</v>
      </c>
      <c r="K639" s="27">
        <f t="shared" si="6"/>
        <v>45792</v>
      </c>
    </row>
    <row r="640" hidden="1">
      <c r="A640" s="3" t="str">
        <f t="shared" si="3"/>
        <v>SL-20250512-4as-CS-CDS-002-4</v>
      </c>
      <c r="B640" s="2">
        <f t="array" ref="B640">INDEX(helper!$A$3:$A3996,ROUNDUP((ROW()-1)/COUNTA(helper!$D$3:$D3996),0))</f>
        <v>45789</v>
      </c>
      <c r="C640" s="5" t="str">
        <f t="array" ref="C640">IF(B640="","",INDEX(helper!$D$3:$D3996,MOD(ROW()-2,COUNTA(helper!$D$3:$D3996))+1))</f>
        <v>4as</v>
      </c>
      <c r="D640" s="3" t="str">
        <f t="array" ref="D640">IF(B640="","",INDEX(helper!$E$3:$E3996,MOD(ROW()-2,COUNTA(helper!$D$3:$D3996))+1))</f>
        <v>CS-CDS-002</v>
      </c>
      <c r="E640" s="3">
        <f t="array" ref="E640">IF(B640="","",INDEX(helper!$F$3:$F3996,MOD(ROW()-2,COUNTA(helper!$D$3:$D3996))+1))</f>
        <v>4</v>
      </c>
      <c r="F640" s="3">
        <f>IF(B640="","",SUMIFS('inventory ledger'!$H:$H,'inventory ledger'!$C:$C,C640,'inventory ledger'!$D:$D,D640,'inventory ledger'!$E:$E,E640,'inventory ledger'!$A:$A,"&lt;="&amp;B640+TIME(23,59,59))-SUMIFS('inventory ledger'!$I:$I,'inventory ledger'!$C:$C,C640,'inventory ledger'!$D:$D,D640,'inventory ledger'!$E:$E,E640,'inventory ledger'!$A:$A,"&lt;="&amp;B640+TIME(23,59,59)))</f>
        <v>0</v>
      </c>
      <c r="G640" s="3">
        <f>IFERROR(__xludf.DUMMYFUNCTION("IF(F640&lt;=0,0,IFERROR(ROUNDUP(F640/INDEX(FILTER('warehouse config'!$D:$D,('warehouse config'!$B:$B=C640)*('warehouse config'!$C:$C=D640)*('warehouse config'!$G:$G&lt;=B640)*(('warehouse config'!$H:$H&gt;=B640)+ISBLANK('warehouse config'!$H:$H))),1)),0))"),0.0)</f>
        <v>0</v>
      </c>
      <c r="H640" s="3">
        <f>IFERROR(__xludf.DUMMYFUNCTION("IFERROR(INDEX(FILTER('cost master'!$E:$E,('cost master'!$B:$B=C640)*('cost master'!$D:$D=""Storage cost per pallet / week"")*('cost master'!$G:$G&lt;=B640)*(('cost master'!$H:$H&gt;=B640)+ISBLANK('cost master'!$H:$H))),1),0)"),9.0)</f>
        <v>9</v>
      </c>
      <c r="I640" s="3">
        <f t="shared" si="4"/>
        <v>0</v>
      </c>
      <c r="J640" s="27">
        <f t="shared" si="5"/>
        <v>45763</v>
      </c>
      <c r="K640" s="27">
        <f t="shared" si="6"/>
        <v>45792</v>
      </c>
    </row>
    <row r="641" hidden="1">
      <c r="A641" s="3" t="str">
        <f t="shared" si="3"/>
        <v>SL-20250512-Vglobal-CS 007-13</v>
      </c>
      <c r="B641" s="2">
        <f t="array" ref="B641">INDEX(helper!$A$3:$A3996,ROUNDUP((ROW()-1)/COUNTA(helper!$D$3:$D3996),0))</f>
        <v>45789</v>
      </c>
      <c r="C641" s="5" t="str">
        <f t="array" ref="C641">IF(B641="","",INDEX(helper!$D$3:$D3996,MOD(ROW()-2,COUNTA(helper!$D$3:$D3996))+1))</f>
        <v>Vglobal</v>
      </c>
      <c r="D641" s="3" t="str">
        <f t="array" ref="D641">IF(B641="","",INDEX(helper!$E$3:$E3996,MOD(ROW()-2,COUNTA(helper!$D$3:$D3996))+1))</f>
        <v>CS 007</v>
      </c>
      <c r="E641" s="3">
        <f t="array" ref="E641">IF(B641="","",INDEX(helper!$F$3:$F3996,MOD(ROW()-2,COUNTA(helper!$D$3:$D3996))+1))</f>
        <v>13</v>
      </c>
      <c r="F641" s="3">
        <f>IF(B641="","",SUMIFS('inventory ledger'!$H:$H,'inventory ledger'!$C:$C,C641,'inventory ledger'!$D:$D,D641,'inventory ledger'!$E:$E,E641,'inventory ledger'!$A:$A,"&lt;="&amp;B641+TIME(23,59,59))-SUMIFS('inventory ledger'!$I:$I,'inventory ledger'!$C:$C,C641,'inventory ledger'!$D:$D,D641,'inventory ledger'!$E:$E,E641,'inventory ledger'!$A:$A,"&lt;="&amp;B641+TIME(23,59,59)))</f>
        <v>45</v>
      </c>
      <c r="G641" s="3">
        <f>IFERROR(__xludf.DUMMYFUNCTION("IF(F641&lt;=0,0,IFERROR(ROUNDUP(F641/INDEX(FILTER('warehouse config'!$D:$D,('warehouse config'!$B:$B=C641)*('warehouse config'!$C:$C=D641)*('warehouse config'!$G:$G&lt;=B641)*(('warehouse config'!$H:$H&gt;=B641)+ISBLANK('warehouse config'!$H:$H))),1)),0))"),3.0)</f>
        <v>3</v>
      </c>
      <c r="H641" s="3">
        <f>IFERROR(__xludf.DUMMYFUNCTION("IFERROR(INDEX(FILTER('cost master'!$E:$E,('cost master'!$B:$B=C641)*('cost master'!$D:$D=""Storage cost per pallet / week"")*('cost master'!$G:$G&lt;=B641)*(('cost master'!$H:$H&gt;=B641)+ISBLANK('cost master'!$H:$H))),1),0)"),2.6)</f>
        <v>2.6</v>
      </c>
      <c r="I641" s="3">
        <f t="shared" si="4"/>
        <v>7.8</v>
      </c>
      <c r="J641" s="27">
        <f t="shared" si="5"/>
        <v>45763</v>
      </c>
      <c r="K641" s="27">
        <f t="shared" si="6"/>
        <v>45792</v>
      </c>
    </row>
    <row r="642" hidden="1">
      <c r="A642" s="3" t="str">
        <f t="shared" si="3"/>
        <v>SL-20250512-Vglobal-CS 011-13</v>
      </c>
      <c r="B642" s="2">
        <f t="array" ref="B642">INDEX(helper!$A$3:$A3996,ROUNDUP((ROW()-1)/COUNTA(helper!$D$3:$D3996),0))</f>
        <v>45789</v>
      </c>
      <c r="C642" s="5" t="str">
        <f t="array" ref="C642">IF(B642="","",INDEX(helper!$D$3:$D3996,MOD(ROW()-2,COUNTA(helper!$D$3:$D3996))+1))</f>
        <v>Vglobal</v>
      </c>
      <c r="D642" s="3" t="str">
        <f t="array" ref="D642">IF(B642="","",INDEX(helper!$E$3:$E3996,MOD(ROW()-2,COUNTA(helper!$D$3:$D3996))+1))</f>
        <v>CS 011</v>
      </c>
      <c r="E642" s="3">
        <f t="array" ref="E642">IF(B642="","",INDEX(helper!$F$3:$F3996,MOD(ROW()-2,COUNTA(helper!$D$3:$D3996))+1))</f>
        <v>13</v>
      </c>
      <c r="F642" s="3">
        <f>IF(B642="","",SUMIFS('inventory ledger'!$H:$H,'inventory ledger'!$C:$C,C642,'inventory ledger'!$D:$D,D642,'inventory ledger'!$E:$E,E642,'inventory ledger'!$A:$A,"&lt;="&amp;B642+TIME(23,59,59))-SUMIFS('inventory ledger'!$I:$I,'inventory ledger'!$C:$C,C642,'inventory ledger'!$D:$D,D642,'inventory ledger'!$E:$E,E642,'inventory ledger'!$A:$A,"&lt;="&amp;B642+TIME(23,59,59)))</f>
        <v>64</v>
      </c>
      <c r="G642" s="3">
        <f>IFERROR(__xludf.DUMMYFUNCTION("IF(F642&lt;=0,0,IFERROR(ROUNDUP(F642/INDEX(FILTER('warehouse config'!$D:$D,('warehouse config'!$B:$B=C642)*('warehouse config'!$C:$C=D642)*('warehouse config'!$G:$G&lt;=B642)*(('warehouse config'!$H:$H&gt;=B642)+ISBLANK('warehouse config'!$H:$H))),1)),0))"),4.0)</f>
        <v>4</v>
      </c>
      <c r="H642" s="3">
        <f>IFERROR(__xludf.DUMMYFUNCTION("IFERROR(INDEX(FILTER('cost master'!$E:$E,('cost master'!$B:$B=C642)*('cost master'!$D:$D=""Storage cost per pallet / week"")*('cost master'!$G:$G&lt;=B642)*(('cost master'!$H:$H&gt;=B642)+ISBLANK('cost master'!$H:$H))),1),0)"),2.6)</f>
        <v>2.6</v>
      </c>
      <c r="I642" s="3">
        <f t="shared" si="4"/>
        <v>10.4</v>
      </c>
      <c r="J642" s="27">
        <f t="shared" si="5"/>
        <v>45763</v>
      </c>
      <c r="K642" s="27">
        <f t="shared" si="6"/>
        <v>45792</v>
      </c>
    </row>
    <row r="643" hidden="1">
      <c r="A643" s="3" t="str">
        <f t="shared" si="3"/>
        <v>SL-20250512-Vglobal-CS 008-13</v>
      </c>
      <c r="B643" s="2">
        <f t="array" ref="B643">INDEX(helper!$A$3:$A3996,ROUNDUP((ROW()-1)/COUNTA(helper!$D$3:$D3996),0))</f>
        <v>45789</v>
      </c>
      <c r="C643" s="5" t="str">
        <f t="array" ref="C643">IF(B643="","",INDEX(helper!$D$3:$D3996,MOD(ROW()-2,COUNTA(helper!$D$3:$D3996))+1))</f>
        <v>Vglobal</v>
      </c>
      <c r="D643" s="3" t="str">
        <f t="array" ref="D643">IF(B643="","",INDEX(helper!$E$3:$E3996,MOD(ROW()-2,COUNTA(helper!$D$3:$D3996))+1))</f>
        <v>CS 008</v>
      </c>
      <c r="E643" s="3">
        <f t="array" ref="E643">IF(B643="","",INDEX(helper!$F$3:$F3996,MOD(ROW()-2,COUNTA(helper!$D$3:$D3996))+1))</f>
        <v>13</v>
      </c>
      <c r="F643" s="3">
        <f>IF(B643="","",SUMIFS('inventory ledger'!$H:$H,'inventory ledger'!$C:$C,C643,'inventory ledger'!$D:$D,D643,'inventory ledger'!$E:$E,E643,'inventory ledger'!$A:$A,"&lt;="&amp;B643+TIME(23,59,59))-SUMIFS('inventory ledger'!$I:$I,'inventory ledger'!$C:$C,C643,'inventory ledger'!$D:$D,D643,'inventory ledger'!$E:$E,E643,'inventory ledger'!$A:$A,"&lt;="&amp;B643+TIME(23,59,59)))</f>
        <v>20</v>
      </c>
      <c r="G643" s="3">
        <f>IFERROR(__xludf.DUMMYFUNCTION("IF(F643&lt;=0,0,IFERROR(ROUNDUP(F643/INDEX(FILTER('warehouse config'!$D:$D,('warehouse config'!$B:$B=C643)*('warehouse config'!$C:$C=D643)*('warehouse config'!$G:$G&lt;=B643)*(('warehouse config'!$H:$H&gt;=B643)+ISBLANK('warehouse config'!$H:$H))),1)),0))"),1.0)</f>
        <v>1</v>
      </c>
      <c r="H643" s="3">
        <f>IFERROR(__xludf.DUMMYFUNCTION("IFERROR(INDEX(FILTER('cost master'!$E:$E,('cost master'!$B:$B=C643)*('cost master'!$D:$D=""Storage cost per pallet / week"")*('cost master'!$G:$G&lt;=B643)*(('cost master'!$H:$H&gt;=B643)+ISBLANK('cost master'!$H:$H))),1),0)"),2.6)</f>
        <v>2.6</v>
      </c>
      <c r="I643" s="3">
        <f t="shared" si="4"/>
        <v>2.6</v>
      </c>
      <c r="J643" s="27">
        <f t="shared" si="5"/>
        <v>45763</v>
      </c>
      <c r="K643" s="27">
        <f t="shared" si="6"/>
        <v>45792</v>
      </c>
    </row>
    <row r="644" hidden="1">
      <c r="A644" s="3" t="str">
        <f t="shared" si="3"/>
        <v>SL-20250512-Vglobal-CS 010-13</v>
      </c>
      <c r="B644" s="2">
        <f t="array" ref="B644">INDEX(helper!$A$3:$A3996,ROUNDUP((ROW()-1)/COUNTA(helper!$D$3:$D3996),0))</f>
        <v>45789</v>
      </c>
      <c r="C644" s="5" t="str">
        <f t="array" ref="C644">IF(B644="","",INDEX(helper!$D$3:$D3996,MOD(ROW()-2,COUNTA(helper!$D$3:$D3996))+1))</f>
        <v>Vglobal</v>
      </c>
      <c r="D644" s="3" t="str">
        <f t="array" ref="D644">IF(B644="","",INDEX(helper!$E$3:$E3996,MOD(ROW()-2,COUNTA(helper!$D$3:$D3996))+1))</f>
        <v>CS 010</v>
      </c>
      <c r="E644" s="3">
        <f t="array" ref="E644">IF(B644="","",INDEX(helper!$F$3:$F3996,MOD(ROW()-2,COUNTA(helper!$D$3:$D3996))+1))</f>
        <v>13</v>
      </c>
      <c r="F644" s="3">
        <f>IF(B644="","",SUMIFS('inventory ledger'!$H:$H,'inventory ledger'!$C:$C,C644,'inventory ledger'!$D:$D,D644,'inventory ledger'!$E:$E,E644,'inventory ledger'!$A:$A,"&lt;="&amp;B644+TIME(23,59,59))-SUMIFS('inventory ledger'!$I:$I,'inventory ledger'!$C:$C,C644,'inventory ledger'!$D:$D,D644,'inventory ledger'!$E:$E,E644,'inventory ledger'!$A:$A,"&lt;="&amp;B644+TIME(23,59,59)))</f>
        <v>80</v>
      </c>
      <c r="G644" s="3">
        <f>IFERROR(__xludf.DUMMYFUNCTION("IF(F644&lt;=0,0,IFERROR(ROUNDUP(F644/INDEX(FILTER('warehouse config'!$D:$D,('warehouse config'!$B:$B=C644)*('warehouse config'!$C:$C=D644)*('warehouse config'!$G:$G&lt;=B644)*(('warehouse config'!$H:$H&gt;=B644)+ISBLANK('warehouse config'!$H:$H))),1)),0))"),4.0)</f>
        <v>4</v>
      </c>
      <c r="H644" s="3">
        <f>IFERROR(__xludf.DUMMYFUNCTION("IFERROR(INDEX(FILTER('cost master'!$E:$E,('cost master'!$B:$B=C644)*('cost master'!$D:$D=""Storage cost per pallet / week"")*('cost master'!$G:$G&lt;=B644)*(('cost master'!$H:$H&gt;=B644)+ISBLANK('cost master'!$H:$H))),1),0)"),2.6)</f>
        <v>2.6</v>
      </c>
      <c r="I644" s="3">
        <f t="shared" si="4"/>
        <v>10.4</v>
      </c>
      <c r="J644" s="27">
        <f t="shared" si="5"/>
        <v>45763</v>
      </c>
      <c r="K644" s="27">
        <f t="shared" si="6"/>
        <v>45792</v>
      </c>
    </row>
    <row r="645" hidden="1">
      <c r="A645" s="3" t="str">
        <f t="shared" si="3"/>
        <v>SL-20250512-Vglobal-CS 009-13</v>
      </c>
      <c r="B645" s="2">
        <f t="array" ref="B645">INDEX(helper!$A$3:$A3996,ROUNDUP((ROW()-1)/COUNTA(helper!$D$3:$D3996),0))</f>
        <v>45789</v>
      </c>
      <c r="C645" s="5" t="str">
        <f t="array" ref="C645">IF(B645="","",INDEX(helper!$D$3:$D3996,MOD(ROW()-2,COUNTA(helper!$D$3:$D3996))+1))</f>
        <v>Vglobal</v>
      </c>
      <c r="D645" s="3" t="str">
        <f t="array" ref="D645">IF(B645="","",INDEX(helper!$E$3:$E3996,MOD(ROW()-2,COUNTA(helper!$D$3:$D3996))+1))</f>
        <v>CS 009</v>
      </c>
      <c r="E645" s="3">
        <f t="array" ref="E645">IF(B645="","",INDEX(helper!$F$3:$F3996,MOD(ROW()-2,COUNTA(helper!$D$3:$D3996))+1))</f>
        <v>13</v>
      </c>
      <c r="F645" s="3">
        <f>IF(B645="","",SUMIFS('inventory ledger'!$H:$H,'inventory ledger'!$C:$C,C645,'inventory ledger'!$D:$D,D645,'inventory ledger'!$E:$E,E645,'inventory ledger'!$A:$A,"&lt;="&amp;B645+TIME(23,59,59))-SUMIFS('inventory ledger'!$I:$I,'inventory ledger'!$C:$C,C645,'inventory ledger'!$D:$D,D645,'inventory ledger'!$E:$E,E645,'inventory ledger'!$A:$A,"&lt;="&amp;B645+TIME(23,59,59)))</f>
        <v>0</v>
      </c>
      <c r="G645" s="3">
        <f>IFERROR(__xludf.DUMMYFUNCTION("IF(F645&lt;=0,0,IFERROR(ROUNDUP(F645/INDEX(FILTER('warehouse config'!$D:$D,('warehouse config'!$B:$B=C645)*('warehouse config'!$C:$C=D645)*('warehouse config'!$G:$G&lt;=B645)*(('warehouse config'!$H:$H&gt;=B645)+ISBLANK('warehouse config'!$H:$H))),1)),0))"),0.0)</f>
        <v>0</v>
      </c>
      <c r="H645" s="3">
        <f>IFERROR(__xludf.DUMMYFUNCTION("IFERROR(INDEX(FILTER('cost master'!$E:$E,('cost master'!$B:$B=C645)*('cost master'!$D:$D=""Storage cost per pallet / week"")*('cost master'!$G:$G&lt;=B645)*(('cost master'!$H:$H&gt;=B645)+ISBLANK('cost master'!$H:$H))),1),0)"),2.6)</f>
        <v>2.6</v>
      </c>
      <c r="I645" s="3">
        <f t="shared" si="4"/>
        <v>0</v>
      </c>
      <c r="J645" s="27">
        <f t="shared" si="5"/>
        <v>45763</v>
      </c>
      <c r="K645" s="27">
        <f t="shared" si="6"/>
        <v>45792</v>
      </c>
    </row>
    <row r="646" hidden="1">
      <c r="A646" s="3" t="str">
        <f t="shared" si="3"/>
        <v>SL-20250512-Vglobal-CS 012-13</v>
      </c>
      <c r="B646" s="2">
        <f t="array" ref="B646">INDEX(helper!$A$3:$A3996,ROUNDUP((ROW()-1)/COUNTA(helper!$D$3:$D3996),0))</f>
        <v>45789</v>
      </c>
      <c r="C646" s="5" t="str">
        <f t="array" ref="C646">IF(B646="","",INDEX(helper!$D$3:$D3996,MOD(ROW()-2,COUNTA(helper!$D$3:$D3996))+1))</f>
        <v>Vglobal</v>
      </c>
      <c r="D646" s="3" t="str">
        <f t="array" ref="D646">IF(B646="","",INDEX(helper!$E$3:$E3996,MOD(ROW()-2,COUNTA(helper!$D$3:$D3996))+1))</f>
        <v>CS 012</v>
      </c>
      <c r="E646" s="3">
        <f t="array" ref="E646">IF(B646="","",INDEX(helper!$F$3:$F3996,MOD(ROW()-2,COUNTA(helper!$D$3:$D3996))+1))</f>
        <v>13</v>
      </c>
      <c r="F646" s="3">
        <f>IF(B646="","",SUMIFS('inventory ledger'!$H:$H,'inventory ledger'!$C:$C,C646,'inventory ledger'!$D:$D,D646,'inventory ledger'!$E:$E,E646,'inventory ledger'!$A:$A,"&lt;="&amp;B646+TIME(23,59,59))-SUMIFS('inventory ledger'!$I:$I,'inventory ledger'!$C:$C,C646,'inventory ledger'!$D:$D,D646,'inventory ledger'!$E:$E,E646,'inventory ledger'!$A:$A,"&lt;="&amp;B646+TIME(23,59,59)))</f>
        <v>0</v>
      </c>
      <c r="G646" s="3">
        <f>IFERROR(__xludf.DUMMYFUNCTION("IF(F646&lt;=0,0,IFERROR(ROUNDUP(F646/INDEX(FILTER('warehouse config'!$D:$D,('warehouse config'!$B:$B=C646)*('warehouse config'!$C:$C=D646)*('warehouse config'!$G:$G&lt;=B646)*(('warehouse config'!$H:$H&gt;=B646)+ISBLANK('warehouse config'!$H:$H))),1)),0))"),0.0)</f>
        <v>0</v>
      </c>
      <c r="H646" s="3">
        <f>IFERROR(__xludf.DUMMYFUNCTION("IFERROR(INDEX(FILTER('cost master'!$E:$E,('cost master'!$B:$B=C646)*('cost master'!$D:$D=""Storage cost per pallet / week"")*('cost master'!$G:$G&lt;=B646)*(('cost master'!$H:$H&gt;=B646)+ISBLANK('cost master'!$H:$H))),1),0)"),2.6)</f>
        <v>2.6</v>
      </c>
      <c r="I646" s="3">
        <f t="shared" si="4"/>
        <v>0</v>
      </c>
      <c r="J646" s="27">
        <f t="shared" si="5"/>
        <v>45763</v>
      </c>
      <c r="K646" s="27">
        <f t="shared" si="6"/>
        <v>45792</v>
      </c>
    </row>
    <row r="647" hidden="1">
      <c r="A647" s="3" t="str">
        <f t="shared" si="3"/>
        <v>SL-20250512-FMC-CS 008-11</v>
      </c>
      <c r="B647" s="2">
        <f t="array" ref="B647">INDEX(helper!$A$3:$A3996,ROUNDUP((ROW()-1)/COUNTA(helper!$D$3:$D3996),0))</f>
        <v>45789</v>
      </c>
      <c r="C647" s="5" t="str">
        <f t="array" ref="C647">IF(B647="","",INDEX(helper!$D$3:$D3996,MOD(ROW()-2,COUNTA(helper!$D$3:$D3996))+1))</f>
        <v>FMC</v>
      </c>
      <c r="D647" s="3" t="str">
        <f t="array" ref="D647">IF(B647="","",INDEX(helper!$E$3:$E3996,MOD(ROW()-2,COUNTA(helper!$D$3:$D3996))+1))</f>
        <v>CS 008</v>
      </c>
      <c r="E647" s="3">
        <f t="array" ref="E647">IF(B647="","",INDEX(helper!$F$3:$F3996,MOD(ROW()-2,COUNTA(helper!$D$3:$D3996))+1))</f>
        <v>11</v>
      </c>
      <c r="F647" s="3">
        <f>IF(B647="","",SUMIFS('inventory ledger'!$H:$H,'inventory ledger'!$C:$C,C647,'inventory ledger'!$D:$D,D647,'inventory ledger'!$E:$E,E647,'inventory ledger'!$A:$A,"&lt;="&amp;B647+TIME(23,59,59))-SUMIFS('inventory ledger'!$I:$I,'inventory ledger'!$C:$C,C647,'inventory ledger'!$D:$D,D647,'inventory ledger'!$E:$E,E647,'inventory ledger'!$A:$A,"&lt;="&amp;B647+TIME(23,59,59)))</f>
        <v>0</v>
      </c>
      <c r="G647" s="3">
        <f>IFERROR(__xludf.DUMMYFUNCTION("IF(F647&lt;=0,0,IFERROR(ROUNDUP(F647/INDEX(FILTER('warehouse config'!$D:$D,('warehouse config'!$B:$B=C647)*('warehouse config'!$C:$C=D647)*('warehouse config'!$G:$G&lt;=B647)*(('warehouse config'!$H:$H&gt;=B647)+ISBLANK('warehouse config'!$H:$H))),1)),0))"),0.0)</f>
        <v>0</v>
      </c>
      <c r="H647" s="3">
        <f>IFERROR(__xludf.DUMMYFUNCTION("IFERROR(INDEX(FILTER('cost master'!$E:$E,('cost master'!$B:$B=C647)*('cost master'!$D:$D=""Storage cost per pallet / week"")*('cost master'!$G:$G&lt;=B647)*(('cost master'!$H:$H&gt;=B647)+ISBLANK('cost master'!$H:$H))),1),0)"),3.9)</f>
        <v>3.9</v>
      </c>
      <c r="I647" s="3">
        <f t="shared" si="4"/>
        <v>0</v>
      </c>
      <c r="J647" s="27">
        <f t="shared" si="5"/>
        <v>45763</v>
      </c>
      <c r="K647" s="27">
        <f t="shared" si="6"/>
        <v>45792</v>
      </c>
    </row>
    <row r="648" hidden="1">
      <c r="A648" s="3" t="str">
        <f t="shared" si="3"/>
        <v>SL-20250519-FMC-CS 007-8</v>
      </c>
      <c r="B648" s="2">
        <f t="array" ref="B648">INDEX(helper!$A$3:$A3996,ROUNDUP((ROW()-1)/COUNTA(helper!$D$3:$D3996),0))</f>
        <v>45796</v>
      </c>
      <c r="C648" s="5" t="str">
        <f t="array" ref="C648">IF(B648="","",INDEX(helper!$D$3:$D3996,MOD(ROW()-2,COUNTA(helper!$D$3:$D3996))+1))</f>
        <v>FMC</v>
      </c>
      <c r="D648" s="3" t="str">
        <f t="array" ref="D648">IF(B648="","",INDEX(helper!$E$3:$E3996,MOD(ROW()-2,COUNTA(helper!$D$3:$D3996))+1))</f>
        <v>CS 007</v>
      </c>
      <c r="E648" s="3">
        <f t="array" ref="E648">IF(B648="","",INDEX(helper!$F$3:$F3996,MOD(ROW()-2,COUNTA(helper!$D$3:$D3996))+1))</f>
        <v>8</v>
      </c>
      <c r="F648" s="3">
        <f>IF(B648="","",SUMIFS('inventory ledger'!$H:$H,'inventory ledger'!$C:$C,C648,'inventory ledger'!$D:$D,D648,'inventory ledger'!$E:$E,E648,'inventory ledger'!$A:$A,"&lt;="&amp;B648+TIME(23,59,59))-SUMIFS('inventory ledger'!$I:$I,'inventory ledger'!$C:$C,C648,'inventory ledger'!$D:$D,D648,'inventory ledger'!$E:$E,E648,'inventory ledger'!$A:$A,"&lt;="&amp;B648+TIME(23,59,59)))</f>
        <v>0</v>
      </c>
      <c r="G648" s="3">
        <f>IFERROR(__xludf.DUMMYFUNCTION("IF(F648&lt;=0,0,IFERROR(ROUNDUP(F648/INDEX(FILTER('warehouse config'!$D:$D,('warehouse config'!$B:$B=C648)*('warehouse config'!$C:$C=D648)*('warehouse config'!$G:$G&lt;=B648)*(('warehouse config'!$H:$H&gt;=B648)+ISBLANK('warehouse config'!$H:$H))),1)),0))"),0.0)</f>
        <v>0</v>
      </c>
      <c r="H648" s="3">
        <f>IFERROR(__xludf.DUMMYFUNCTION("IFERROR(INDEX(FILTER('cost master'!$E:$E,('cost master'!$B:$B=C648)*('cost master'!$D:$D=""Storage cost per pallet / week"")*('cost master'!$G:$G&lt;=B648)*(('cost master'!$H:$H&gt;=B648)+ISBLANK('cost master'!$H:$H))),1),0)"),3.9)</f>
        <v>3.9</v>
      </c>
      <c r="I648" s="3">
        <f t="shared" si="4"/>
        <v>0</v>
      </c>
      <c r="J648" s="27">
        <f t="shared" si="5"/>
        <v>45793</v>
      </c>
      <c r="K648" s="27">
        <f t="shared" si="6"/>
        <v>45823</v>
      </c>
    </row>
    <row r="649" hidden="1">
      <c r="A649" s="3" t="str">
        <f t="shared" si="3"/>
        <v>SL-20250519-FMC-CS 008-8</v>
      </c>
      <c r="B649" s="2">
        <f t="array" ref="B649">INDEX(helper!$A$3:$A3996,ROUNDUP((ROW()-1)/COUNTA(helper!$D$3:$D3996),0))</f>
        <v>45796</v>
      </c>
      <c r="C649" s="5" t="str">
        <f t="array" ref="C649">IF(B649="","",INDEX(helper!$D$3:$D3996,MOD(ROW()-2,COUNTA(helper!$D$3:$D3996))+1))</f>
        <v>FMC</v>
      </c>
      <c r="D649" s="3" t="str">
        <f t="array" ref="D649">IF(B649="","",INDEX(helper!$E$3:$E3996,MOD(ROW()-2,COUNTA(helper!$D$3:$D3996))+1))</f>
        <v>CS 008</v>
      </c>
      <c r="E649" s="3">
        <f t="array" ref="E649">IF(B649="","",INDEX(helper!$F$3:$F3996,MOD(ROW()-2,COUNTA(helper!$D$3:$D3996))+1))</f>
        <v>8</v>
      </c>
      <c r="F649" s="3">
        <f>IF(B649="","",SUMIFS('inventory ledger'!$H:$H,'inventory ledger'!$C:$C,C649,'inventory ledger'!$D:$D,D649,'inventory ledger'!$E:$E,E649,'inventory ledger'!$A:$A,"&lt;="&amp;B649+TIME(23,59,59))-SUMIFS('inventory ledger'!$I:$I,'inventory ledger'!$C:$C,C649,'inventory ledger'!$D:$D,D649,'inventory ledger'!$E:$E,E649,'inventory ledger'!$A:$A,"&lt;="&amp;B649+TIME(23,59,59)))</f>
        <v>0</v>
      </c>
      <c r="G649" s="3">
        <f>IFERROR(__xludf.DUMMYFUNCTION("IF(F649&lt;=0,0,IFERROR(ROUNDUP(F649/INDEX(FILTER('warehouse config'!$D:$D,('warehouse config'!$B:$B=C649)*('warehouse config'!$C:$C=D649)*('warehouse config'!$G:$G&lt;=B649)*(('warehouse config'!$H:$H&gt;=B649)+ISBLANK('warehouse config'!$H:$H))),1)),0))"),0.0)</f>
        <v>0</v>
      </c>
      <c r="H649" s="3">
        <f>IFERROR(__xludf.DUMMYFUNCTION("IFERROR(INDEX(FILTER('cost master'!$E:$E,('cost master'!$B:$B=C649)*('cost master'!$D:$D=""Storage cost per pallet / week"")*('cost master'!$G:$G&lt;=B649)*(('cost master'!$H:$H&gt;=B649)+ISBLANK('cost master'!$H:$H))),1),0)"),3.9)</f>
        <v>3.9</v>
      </c>
      <c r="I649" s="3">
        <f t="shared" si="4"/>
        <v>0</v>
      </c>
      <c r="J649" s="27">
        <f t="shared" si="5"/>
        <v>45793</v>
      </c>
      <c r="K649" s="27">
        <f t="shared" si="6"/>
        <v>45823</v>
      </c>
    </row>
    <row r="650" hidden="1">
      <c r="A650" s="3" t="str">
        <f t="shared" si="3"/>
        <v>SL-20250519-FMC-CS 009-8</v>
      </c>
      <c r="B650" s="2">
        <f t="array" ref="B650">INDEX(helper!$A$3:$A3996,ROUNDUP((ROW()-1)/COUNTA(helper!$D$3:$D3996),0))</f>
        <v>45796</v>
      </c>
      <c r="C650" s="5" t="str">
        <f t="array" ref="C650">IF(B650="","",INDEX(helper!$D$3:$D3996,MOD(ROW()-2,COUNTA(helper!$D$3:$D3996))+1))</f>
        <v>FMC</v>
      </c>
      <c r="D650" s="3" t="str">
        <f t="array" ref="D650">IF(B650="","",INDEX(helper!$E$3:$E3996,MOD(ROW()-2,COUNTA(helper!$D$3:$D3996))+1))</f>
        <v>CS 009</v>
      </c>
      <c r="E650" s="3">
        <f t="array" ref="E650">IF(B650="","",INDEX(helper!$F$3:$F3996,MOD(ROW()-2,COUNTA(helper!$D$3:$D3996))+1))</f>
        <v>8</v>
      </c>
      <c r="F650" s="3">
        <f>IF(B650="","",SUMIFS('inventory ledger'!$H:$H,'inventory ledger'!$C:$C,C650,'inventory ledger'!$D:$D,D650,'inventory ledger'!$E:$E,E650,'inventory ledger'!$A:$A,"&lt;="&amp;B650+TIME(23,59,59))-SUMIFS('inventory ledger'!$I:$I,'inventory ledger'!$C:$C,C650,'inventory ledger'!$D:$D,D650,'inventory ledger'!$E:$E,E650,'inventory ledger'!$A:$A,"&lt;="&amp;B650+TIME(23,59,59)))</f>
        <v>0</v>
      </c>
      <c r="G650" s="3">
        <f>IFERROR(__xludf.DUMMYFUNCTION("IF(F650&lt;=0,0,IFERROR(ROUNDUP(F650/INDEX(FILTER('warehouse config'!$D:$D,('warehouse config'!$B:$B=C650)*('warehouse config'!$C:$C=D650)*('warehouse config'!$G:$G&lt;=B650)*(('warehouse config'!$H:$H&gt;=B650)+ISBLANK('warehouse config'!$H:$H))),1)),0))"),0.0)</f>
        <v>0</v>
      </c>
      <c r="H650" s="3">
        <f>IFERROR(__xludf.DUMMYFUNCTION("IFERROR(INDEX(FILTER('cost master'!$E:$E,('cost master'!$B:$B=C650)*('cost master'!$D:$D=""Storage cost per pallet / week"")*('cost master'!$G:$G&lt;=B650)*(('cost master'!$H:$H&gt;=B650)+ISBLANK('cost master'!$H:$H))),1),0)"),3.9)</f>
        <v>3.9</v>
      </c>
      <c r="I650" s="3">
        <f t="shared" si="4"/>
        <v>0</v>
      </c>
      <c r="J650" s="27">
        <f t="shared" si="5"/>
        <v>45793</v>
      </c>
      <c r="K650" s="27">
        <f t="shared" si="6"/>
        <v>45823</v>
      </c>
    </row>
    <row r="651" hidden="1">
      <c r="A651" s="3" t="str">
        <f t="shared" si="3"/>
        <v>SL-20250519-FMC-CS 010-8</v>
      </c>
      <c r="B651" s="2">
        <f t="array" ref="B651">INDEX(helper!$A$3:$A3996,ROUNDUP((ROW()-1)/COUNTA(helper!$D$3:$D3996),0))</f>
        <v>45796</v>
      </c>
      <c r="C651" s="5" t="str">
        <f t="array" ref="C651">IF(B651="","",INDEX(helper!$D$3:$D3996,MOD(ROW()-2,COUNTA(helper!$D$3:$D3996))+1))</f>
        <v>FMC</v>
      </c>
      <c r="D651" s="3" t="str">
        <f t="array" ref="D651">IF(B651="","",INDEX(helper!$E$3:$E3996,MOD(ROW()-2,COUNTA(helper!$D$3:$D3996))+1))</f>
        <v>CS 010</v>
      </c>
      <c r="E651" s="3">
        <f t="array" ref="E651">IF(B651="","",INDEX(helper!$F$3:$F3996,MOD(ROW()-2,COUNTA(helper!$D$3:$D3996))+1))</f>
        <v>8</v>
      </c>
      <c r="F651" s="3">
        <f>IF(B651="","",SUMIFS('inventory ledger'!$H:$H,'inventory ledger'!$C:$C,C651,'inventory ledger'!$D:$D,D651,'inventory ledger'!$E:$E,E651,'inventory ledger'!$A:$A,"&lt;="&amp;B651+TIME(23,59,59))-SUMIFS('inventory ledger'!$I:$I,'inventory ledger'!$C:$C,C651,'inventory ledger'!$D:$D,D651,'inventory ledger'!$E:$E,E651,'inventory ledger'!$A:$A,"&lt;="&amp;B651+TIME(23,59,59)))</f>
        <v>0</v>
      </c>
      <c r="G651" s="3">
        <f>IFERROR(__xludf.DUMMYFUNCTION("IF(F651&lt;=0,0,IFERROR(ROUNDUP(F651/INDEX(FILTER('warehouse config'!$D:$D,('warehouse config'!$B:$B=C651)*('warehouse config'!$C:$C=D651)*('warehouse config'!$G:$G&lt;=B651)*(('warehouse config'!$H:$H&gt;=B651)+ISBLANK('warehouse config'!$H:$H))),1)),0))"),0.0)</f>
        <v>0</v>
      </c>
      <c r="H651" s="3">
        <f>IFERROR(__xludf.DUMMYFUNCTION("IFERROR(INDEX(FILTER('cost master'!$E:$E,('cost master'!$B:$B=C651)*('cost master'!$D:$D=""Storage cost per pallet / week"")*('cost master'!$G:$G&lt;=B651)*(('cost master'!$H:$H&gt;=B651)+ISBLANK('cost master'!$H:$H))),1),0)"),3.9)</f>
        <v>3.9</v>
      </c>
      <c r="I651" s="3">
        <f t="shared" si="4"/>
        <v>0</v>
      </c>
      <c r="J651" s="27">
        <f t="shared" si="5"/>
        <v>45793</v>
      </c>
      <c r="K651" s="27">
        <f t="shared" si="6"/>
        <v>45823</v>
      </c>
    </row>
    <row r="652" hidden="1">
      <c r="A652" s="3" t="str">
        <f t="shared" si="3"/>
        <v>SL-20250519-FMC-CS 007-9</v>
      </c>
      <c r="B652" s="2">
        <f t="array" ref="B652">INDEX(helper!$A$3:$A3996,ROUNDUP((ROW()-1)/COUNTA(helper!$D$3:$D3996),0))</f>
        <v>45796</v>
      </c>
      <c r="C652" s="5" t="str">
        <f t="array" ref="C652">IF(B652="","",INDEX(helper!$D$3:$D3996,MOD(ROW()-2,COUNTA(helper!$D$3:$D3996))+1))</f>
        <v>FMC</v>
      </c>
      <c r="D652" s="3" t="str">
        <f t="array" ref="D652">IF(B652="","",INDEX(helper!$E$3:$E3996,MOD(ROW()-2,COUNTA(helper!$D$3:$D3996))+1))</f>
        <v>CS 007</v>
      </c>
      <c r="E652" s="3">
        <f t="array" ref="E652">IF(B652="","",INDEX(helper!$F$3:$F3996,MOD(ROW()-2,COUNTA(helper!$D$3:$D3996))+1))</f>
        <v>9</v>
      </c>
      <c r="F652" s="3">
        <f>IF(B652="","",SUMIFS('inventory ledger'!$H:$H,'inventory ledger'!$C:$C,C652,'inventory ledger'!$D:$D,D652,'inventory ledger'!$E:$E,E652,'inventory ledger'!$A:$A,"&lt;="&amp;B652+TIME(23,59,59))-SUMIFS('inventory ledger'!$I:$I,'inventory ledger'!$C:$C,C652,'inventory ledger'!$D:$D,D652,'inventory ledger'!$E:$E,E652,'inventory ledger'!$A:$A,"&lt;="&amp;B652+TIME(23,59,59)))</f>
        <v>0</v>
      </c>
      <c r="G652" s="3">
        <f>IFERROR(__xludf.DUMMYFUNCTION("IF(F652&lt;=0,0,IFERROR(ROUNDUP(F652/INDEX(FILTER('warehouse config'!$D:$D,('warehouse config'!$B:$B=C652)*('warehouse config'!$C:$C=D652)*('warehouse config'!$G:$G&lt;=B652)*(('warehouse config'!$H:$H&gt;=B652)+ISBLANK('warehouse config'!$H:$H))),1)),0))"),0.0)</f>
        <v>0</v>
      </c>
      <c r="H652" s="3">
        <f>IFERROR(__xludf.DUMMYFUNCTION("IFERROR(INDEX(FILTER('cost master'!$E:$E,('cost master'!$B:$B=C652)*('cost master'!$D:$D=""Storage cost per pallet / week"")*('cost master'!$G:$G&lt;=B652)*(('cost master'!$H:$H&gt;=B652)+ISBLANK('cost master'!$H:$H))),1),0)"),3.9)</f>
        <v>3.9</v>
      </c>
      <c r="I652" s="3">
        <f t="shared" si="4"/>
        <v>0</v>
      </c>
      <c r="J652" s="27">
        <f t="shared" si="5"/>
        <v>45793</v>
      </c>
      <c r="K652" s="27">
        <f t="shared" si="6"/>
        <v>45823</v>
      </c>
    </row>
    <row r="653" hidden="1">
      <c r="A653" s="3" t="str">
        <f t="shared" si="3"/>
        <v>SL-20250519-FMC-CS 008-9</v>
      </c>
      <c r="B653" s="2">
        <f t="array" ref="B653">INDEX(helper!$A$3:$A3996,ROUNDUP((ROW()-1)/COUNTA(helper!$D$3:$D3996),0))</f>
        <v>45796</v>
      </c>
      <c r="C653" s="5" t="str">
        <f t="array" ref="C653">IF(B653="","",INDEX(helper!$D$3:$D3996,MOD(ROW()-2,COUNTA(helper!$D$3:$D3996))+1))</f>
        <v>FMC</v>
      </c>
      <c r="D653" s="3" t="str">
        <f t="array" ref="D653">IF(B653="","",INDEX(helper!$E$3:$E3996,MOD(ROW()-2,COUNTA(helper!$D$3:$D3996))+1))</f>
        <v>CS 008</v>
      </c>
      <c r="E653" s="3">
        <f t="array" ref="E653">IF(B653="","",INDEX(helper!$F$3:$F3996,MOD(ROW()-2,COUNTA(helper!$D$3:$D3996))+1))</f>
        <v>9</v>
      </c>
      <c r="F653" s="3">
        <f>IF(B653="","",SUMIFS('inventory ledger'!$H:$H,'inventory ledger'!$C:$C,C653,'inventory ledger'!$D:$D,D653,'inventory ledger'!$E:$E,E653,'inventory ledger'!$A:$A,"&lt;="&amp;B653+TIME(23,59,59))-SUMIFS('inventory ledger'!$I:$I,'inventory ledger'!$C:$C,C653,'inventory ledger'!$D:$D,D653,'inventory ledger'!$E:$E,E653,'inventory ledger'!$A:$A,"&lt;="&amp;B653+TIME(23,59,59)))</f>
        <v>2</v>
      </c>
      <c r="G653" s="3">
        <f>IFERROR(__xludf.DUMMYFUNCTION("IF(F653&lt;=0,0,IFERROR(ROUNDUP(F653/INDEX(FILTER('warehouse config'!$D:$D,('warehouse config'!$B:$B=C653)*('warehouse config'!$C:$C=D653)*('warehouse config'!$G:$G&lt;=B653)*(('warehouse config'!$H:$H&gt;=B653)+ISBLANK('warehouse config'!$H:$H))),1)),0))"),1.0)</f>
        <v>1</v>
      </c>
      <c r="H653" s="3">
        <f>IFERROR(__xludf.DUMMYFUNCTION("IFERROR(INDEX(FILTER('cost master'!$E:$E,('cost master'!$B:$B=C653)*('cost master'!$D:$D=""Storage cost per pallet / week"")*('cost master'!$G:$G&lt;=B653)*(('cost master'!$H:$H&gt;=B653)+ISBLANK('cost master'!$H:$H))),1),0)"),3.9)</f>
        <v>3.9</v>
      </c>
      <c r="I653" s="3">
        <f t="shared" si="4"/>
        <v>3.9</v>
      </c>
      <c r="J653" s="27">
        <f t="shared" si="5"/>
        <v>45793</v>
      </c>
      <c r="K653" s="27">
        <f t="shared" si="6"/>
        <v>45823</v>
      </c>
    </row>
    <row r="654" hidden="1">
      <c r="A654" s="3" t="str">
        <f t="shared" si="3"/>
        <v>SL-20250519-FMC-CS 009-9</v>
      </c>
      <c r="B654" s="2">
        <f t="array" ref="B654">INDEX(helper!$A$3:$A3996,ROUNDUP((ROW()-1)/COUNTA(helper!$D$3:$D3996),0))</f>
        <v>45796</v>
      </c>
      <c r="C654" s="5" t="str">
        <f t="array" ref="C654">IF(B654="","",INDEX(helper!$D$3:$D3996,MOD(ROW()-2,COUNTA(helper!$D$3:$D3996))+1))</f>
        <v>FMC</v>
      </c>
      <c r="D654" s="3" t="str">
        <f t="array" ref="D654">IF(B654="","",INDEX(helper!$E$3:$E3996,MOD(ROW()-2,COUNTA(helper!$D$3:$D3996))+1))</f>
        <v>CS 009</v>
      </c>
      <c r="E654" s="3">
        <f t="array" ref="E654">IF(B654="","",INDEX(helper!$F$3:$F3996,MOD(ROW()-2,COUNTA(helper!$D$3:$D3996))+1))</f>
        <v>9</v>
      </c>
      <c r="F654" s="3">
        <f>IF(B654="","",SUMIFS('inventory ledger'!$H:$H,'inventory ledger'!$C:$C,C654,'inventory ledger'!$D:$D,D654,'inventory ledger'!$E:$E,E654,'inventory ledger'!$A:$A,"&lt;="&amp;B654+TIME(23,59,59))-SUMIFS('inventory ledger'!$I:$I,'inventory ledger'!$C:$C,C654,'inventory ledger'!$D:$D,D654,'inventory ledger'!$E:$E,E654,'inventory ledger'!$A:$A,"&lt;="&amp;B654+TIME(23,59,59)))</f>
        <v>0</v>
      </c>
      <c r="G654" s="3">
        <f>IFERROR(__xludf.DUMMYFUNCTION("IF(F654&lt;=0,0,IFERROR(ROUNDUP(F654/INDEX(FILTER('warehouse config'!$D:$D,('warehouse config'!$B:$B=C654)*('warehouse config'!$C:$C=D654)*('warehouse config'!$G:$G&lt;=B654)*(('warehouse config'!$H:$H&gt;=B654)+ISBLANK('warehouse config'!$H:$H))),1)),0))"),0.0)</f>
        <v>0</v>
      </c>
      <c r="H654" s="3">
        <f>IFERROR(__xludf.DUMMYFUNCTION("IFERROR(INDEX(FILTER('cost master'!$E:$E,('cost master'!$B:$B=C654)*('cost master'!$D:$D=""Storage cost per pallet / week"")*('cost master'!$G:$G&lt;=B654)*(('cost master'!$H:$H&gt;=B654)+ISBLANK('cost master'!$H:$H))),1),0)"),3.9)</f>
        <v>3.9</v>
      </c>
      <c r="I654" s="3">
        <f t="shared" si="4"/>
        <v>0</v>
      </c>
      <c r="J654" s="27">
        <f t="shared" si="5"/>
        <v>45793</v>
      </c>
      <c r="K654" s="27">
        <f t="shared" si="6"/>
        <v>45823</v>
      </c>
    </row>
    <row r="655" hidden="1">
      <c r="A655" s="3" t="str">
        <f t="shared" si="3"/>
        <v>SL-20250519-FMC-CS 010-9</v>
      </c>
      <c r="B655" s="2">
        <f t="array" ref="B655">INDEX(helper!$A$3:$A3996,ROUNDUP((ROW()-1)/COUNTA(helper!$D$3:$D3996),0))</f>
        <v>45796</v>
      </c>
      <c r="C655" s="5" t="str">
        <f t="array" ref="C655">IF(B655="","",INDEX(helper!$D$3:$D3996,MOD(ROW()-2,COUNTA(helper!$D$3:$D3996))+1))</f>
        <v>FMC</v>
      </c>
      <c r="D655" s="3" t="str">
        <f t="array" ref="D655">IF(B655="","",INDEX(helper!$E$3:$E3996,MOD(ROW()-2,COUNTA(helper!$D$3:$D3996))+1))</f>
        <v>CS 010</v>
      </c>
      <c r="E655" s="3">
        <f t="array" ref="E655">IF(B655="","",INDEX(helper!$F$3:$F3996,MOD(ROW()-2,COUNTA(helper!$D$3:$D3996))+1))</f>
        <v>9</v>
      </c>
      <c r="F655" s="3">
        <f>IF(B655="","",SUMIFS('inventory ledger'!$H:$H,'inventory ledger'!$C:$C,C655,'inventory ledger'!$D:$D,D655,'inventory ledger'!$E:$E,E655,'inventory ledger'!$A:$A,"&lt;="&amp;B655+TIME(23,59,59))-SUMIFS('inventory ledger'!$I:$I,'inventory ledger'!$C:$C,C655,'inventory ledger'!$D:$D,D655,'inventory ledger'!$E:$E,E655,'inventory ledger'!$A:$A,"&lt;="&amp;B655+TIME(23,59,59)))</f>
        <v>0</v>
      </c>
      <c r="G655" s="3">
        <f>IFERROR(__xludf.DUMMYFUNCTION("IF(F655&lt;=0,0,IFERROR(ROUNDUP(F655/INDEX(FILTER('warehouse config'!$D:$D,('warehouse config'!$B:$B=C655)*('warehouse config'!$C:$C=D655)*('warehouse config'!$G:$G&lt;=B655)*(('warehouse config'!$H:$H&gt;=B655)+ISBLANK('warehouse config'!$H:$H))),1)),0))"),0.0)</f>
        <v>0</v>
      </c>
      <c r="H655" s="3">
        <f>IFERROR(__xludf.DUMMYFUNCTION("IFERROR(INDEX(FILTER('cost master'!$E:$E,('cost master'!$B:$B=C655)*('cost master'!$D:$D=""Storage cost per pallet / week"")*('cost master'!$G:$G&lt;=B655)*(('cost master'!$H:$H&gt;=B655)+ISBLANK('cost master'!$H:$H))),1),0)"),3.9)</f>
        <v>3.9</v>
      </c>
      <c r="I655" s="3">
        <f t="shared" si="4"/>
        <v>0</v>
      </c>
      <c r="J655" s="27">
        <f t="shared" si="5"/>
        <v>45793</v>
      </c>
      <c r="K655" s="27">
        <f t="shared" si="6"/>
        <v>45823</v>
      </c>
    </row>
    <row r="656" hidden="1">
      <c r="A656" s="3" t="str">
        <f t="shared" si="3"/>
        <v>SL-20250519-FMC-CS-CDS-001-9</v>
      </c>
      <c r="B656" s="2">
        <f t="array" ref="B656">INDEX(helper!$A$3:$A3996,ROUNDUP((ROW()-1)/COUNTA(helper!$D$3:$D3996),0))</f>
        <v>45796</v>
      </c>
      <c r="C656" s="5" t="str">
        <f t="array" ref="C656">IF(B656="","",INDEX(helper!$D$3:$D3996,MOD(ROW()-2,COUNTA(helper!$D$3:$D3996))+1))</f>
        <v>FMC</v>
      </c>
      <c r="D656" s="3" t="str">
        <f t="array" ref="D656">IF(B656="","",INDEX(helper!$E$3:$E3996,MOD(ROW()-2,COUNTA(helper!$D$3:$D3996))+1))</f>
        <v>CS-CDS-001</v>
      </c>
      <c r="E656" s="3">
        <f t="array" ref="E656">IF(B656="","",INDEX(helper!$F$3:$F3996,MOD(ROW()-2,COUNTA(helper!$D$3:$D3996))+1))</f>
        <v>9</v>
      </c>
      <c r="F656" s="3">
        <f>IF(B656="","",SUMIFS('inventory ledger'!$H:$H,'inventory ledger'!$C:$C,C656,'inventory ledger'!$D:$D,D656,'inventory ledger'!$E:$E,E656,'inventory ledger'!$A:$A,"&lt;="&amp;B656+TIME(23,59,59))-SUMIFS('inventory ledger'!$I:$I,'inventory ledger'!$C:$C,C656,'inventory ledger'!$D:$D,D656,'inventory ledger'!$E:$E,E656,'inventory ledger'!$A:$A,"&lt;="&amp;B656+TIME(23,59,59)))</f>
        <v>0</v>
      </c>
      <c r="G656" s="3">
        <f>IFERROR(__xludf.DUMMYFUNCTION("IF(F656&lt;=0,0,IFERROR(ROUNDUP(F656/INDEX(FILTER('warehouse config'!$D:$D,('warehouse config'!$B:$B=C656)*('warehouse config'!$C:$C=D656)*('warehouse config'!$G:$G&lt;=B656)*(('warehouse config'!$H:$H&gt;=B656)+ISBLANK('warehouse config'!$H:$H))),1)),0))"),0.0)</f>
        <v>0</v>
      </c>
      <c r="H656" s="3">
        <f>IFERROR(__xludf.DUMMYFUNCTION("IFERROR(INDEX(FILTER('cost master'!$E:$E,('cost master'!$B:$B=C656)*('cost master'!$D:$D=""Storage cost per pallet / week"")*('cost master'!$G:$G&lt;=B656)*(('cost master'!$H:$H&gt;=B656)+ISBLANK('cost master'!$H:$H))),1),0)"),3.9)</f>
        <v>3.9</v>
      </c>
      <c r="I656" s="3">
        <f t="shared" si="4"/>
        <v>0</v>
      </c>
      <c r="J656" s="27">
        <f t="shared" si="5"/>
        <v>45793</v>
      </c>
      <c r="K656" s="27">
        <f t="shared" si="6"/>
        <v>45823</v>
      </c>
    </row>
    <row r="657" hidden="1">
      <c r="A657" s="3" t="str">
        <f t="shared" si="3"/>
        <v>SL-20250519-FMC-CS-CDS-002-9</v>
      </c>
      <c r="B657" s="2">
        <f t="array" ref="B657">INDEX(helper!$A$3:$A3996,ROUNDUP((ROW()-1)/COUNTA(helper!$D$3:$D3996),0))</f>
        <v>45796</v>
      </c>
      <c r="C657" s="5" t="str">
        <f t="array" ref="C657">IF(B657="","",INDEX(helper!$D$3:$D3996,MOD(ROW()-2,COUNTA(helper!$D$3:$D3996))+1))</f>
        <v>FMC</v>
      </c>
      <c r="D657" s="3" t="str">
        <f t="array" ref="D657">IF(B657="","",INDEX(helper!$E$3:$E3996,MOD(ROW()-2,COUNTA(helper!$D$3:$D3996))+1))</f>
        <v>CS-CDS-002</v>
      </c>
      <c r="E657" s="3">
        <f t="array" ref="E657">IF(B657="","",INDEX(helper!$F$3:$F3996,MOD(ROW()-2,COUNTA(helper!$D$3:$D3996))+1))</f>
        <v>9</v>
      </c>
      <c r="F657" s="3">
        <f>IF(B657="","",SUMIFS('inventory ledger'!$H:$H,'inventory ledger'!$C:$C,C657,'inventory ledger'!$D:$D,D657,'inventory ledger'!$E:$E,E657,'inventory ledger'!$A:$A,"&lt;="&amp;B657+TIME(23,59,59))-SUMIFS('inventory ledger'!$I:$I,'inventory ledger'!$C:$C,C657,'inventory ledger'!$D:$D,D657,'inventory ledger'!$E:$E,E657,'inventory ledger'!$A:$A,"&lt;="&amp;B657+TIME(23,59,59)))</f>
        <v>0</v>
      </c>
      <c r="G657" s="3">
        <f>IFERROR(__xludf.DUMMYFUNCTION("IF(F657&lt;=0,0,IFERROR(ROUNDUP(F657/INDEX(FILTER('warehouse config'!$D:$D,('warehouse config'!$B:$B=C657)*('warehouse config'!$C:$C=D657)*('warehouse config'!$G:$G&lt;=B657)*(('warehouse config'!$H:$H&gt;=B657)+ISBLANK('warehouse config'!$H:$H))),1)),0))"),0.0)</f>
        <v>0</v>
      </c>
      <c r="H657" s="3">
        <f>IFERROR(__xludf.DUMMYFUNCTION("IFERROR(INDEX(FILTER('cost master'!$E:$E,('cost master'!$B:$B=C657)*('cost master'!$D:$D=""Storage cost per pallet / week"")*('cost master'!$G:$G&lt;=B657)*(('cost master'!$H:$H&gt;=B657)+ISBLANK('cost master'!$H:$H))),1),0)"),3.9)</f>
        <v>3.9</v>
      </c>
      <c r="I657" s="3">
        <f t="shared" si="4"/>
        <v>0</v>
      </c>
      <c r="J657" s="27">
        <f t="shared" si="5"/>
        <v>45793</v>
      </c>
      <c r="K657" s="27">
        <f t="shared" si="6"/>
        <v>45823</v>
      </c>
    </row>
    <row r="658" hidden="1">
      <c r="A658" s="3" t="str">
        <f t="shared" si="3"/>
        <v>SL-20250519-FMC-CS 007-10</v>
      </c>
      <c r="B658" s="2">
        <f t="array" ref="B658">INDEX(helper!$A$3:$A3996,ROUNDUP((ROW()-1)/COUNTA(helper!$D$3:$D3996),0))</f>
        <v>45796</v>
      </c>
      <c r="C658" s="5" t="str">
        <f t="array" ref="C658">IF(B658="","",INDEX(helper!$D$3:$D3996,MOD(ROW()-2,COUNTA(helper!$D$3:$D3996))+1))</f>
        <v>FMC</v>
      </c>
      <c r="D658" s="3" t="str">
        <f t="array" ref="D658">IF(B658="","",INDEX(helper!$E$3:$E3996,MOD(ROW()-2,COUNTA(helper!$D$3:$D3996))+1))</f>
        <v>CS 007</v>
      </c>
      <c r="E658" s="3">
        <f t="array" ref="E658">IF(B658="","",INDEX(helper!$F$3:$F3996,MOD(ROW()-2,COUNTA(helper!$D$3:$D3996))+1))</f>
        <v>10</v>
      </c>
      <c r="F658" s="3">
        <f>IF(B658="","",SUMIFS('inventory ledger'!$H:$H,'inventory ledger'!$C:$C,C658,'inventory ledger'!$D:$D,D658,'inventory ledger'!$E:$E,E658,'inventory ledger'!$A:$A,"&lt;="&amp;B658+TIME(23,59,59))-SUMIFS('inventory ledger'!$I:$I,'inventory ledger'!$C:$C,C658,'inventory ledger'!$D:$D,D658,'inventory ledger'!$E:$E,E658,'inventory ledger'!$A:$A,"&lt;="&amp;B658+TIME(23,59,59)))</f>
        <v>0</v>
      </c>
      <c r="G658" s="3">
        <f>IFERROR(__xludf.DUMMYFUNCTION("IF(F658&lt;=0,0,IFERROR(ROUNDUP(F658/INDEX(FILTER('warehouse config'!$D:$D,('warehouse config'!$B:$B=C658)*('warehouse config'!$C:$C=D658)*('warehouse config'!$G:$G&lt;=B658)*(('warehouse config'!$H:$H&gt;=B658)+ISBLANK('warehouse config'!$H:$H))),1)),0))"),0.0)</f>
        <v>0</v>
      </c>
      <c r="H658" s="3">
        <f>IFERROR(__xludf.DUMMYFUNCTION("IFERROR(INDEX(FILTER('cost master'!$E:$E,('cost master'!$B:$B=C658)*('cost master'!$D:$D=""Storage cost per pallet / week"")*('cost master'!$G:$G&lt;=B658)*(('cost master'!$H:$H&gt;=B658)+ISBLANK('cost master'!$H:$H))),1),0)"),3.9)</f>
        <v>3.9</v>
      </c>
      <c r="I658" s="3">
        <f t="shared" si="4"/>
        <v>0</v>
      </c>
      <c r="J658" s="27">
        <f t="shared" si="5"/>
        <v>45793</v>
      </c>
      <c r="K658" s="27">
        <f t="shared" si="6"/>
        <v>45823</v>
      </c>
    </row>
    <row r="659" hidden="1">
      <c r="A659" s="3" t="str">
        <f t="shared" si="3"/>
        <v>SL-20250519-FMC-CS 009-10</v>
      </c>
      <c r="B659" s="2">
        <f t="array" ref="B659">INDEX(helper!$A$3:$A3996,ROUNDUP((ROW()-1)/COUNTA(helper!$D$3:$D3996),0))</f>
        <v>45796</v>
      </c>
      <c r="C659" s="5" t="str">
        <f t="array" ref="C659">IF(B659="","",INDEX(helper!$D$3:$D3996,MOD(ROW()-2,COUNTA(helper!$D$3:$D3996))+1))</f>
        <v>FMC</v>
      </c>
      <c r="D659" s="3" t="str">
        <f t="array" ref="D659">IF(B659="","",INDEX(helper!$E$3:$E3996,MOD(ROW()-2,COUNTA(helper!$D$3:$D3996))+1))</f>
        <v>CS 009</v>
      </c>
      <c r="E659" s="3">
        <f t="array" ref="E659">IF(B659="","",INDEX(helper!$F$3:$F3996,MOD(ROW()-2,COUNTA(helper!$D$3:$D3996))+1))</f>
        <v>10</v>
      </c>
      <c r="F659" s="3">
        <f>IF(B659="","",SUMIFS('inventory ledger'!$H:$H,'inventory ledger'!$C:$C,C659,'inventory ledger'!$D:$D,D659,'inventory ledger'!$E:$E,E659,'inventory ledger'!$A:$A,"&lt;="&amp;B659+TIME(23,59,59))-SUMIFS('inventory ledger'!$I:$I,'inventory ledger'!$C:$C,C659,'inventory ledger'!$D:$D,D659,'inventory ledger'!$E:$E,E659,'inventory ledger'!$A:$A,"&lt;="&amp;B659+TIME(23,59,59)))</f>
        <v>0</v>
      </c>
      <c r="G659" s="3">
        <f>IFERROR(__xludf.DUMMYFUNCTION("IF(F659&lt;=0,0,IFERROR(ROUNDUP(F659/INDEX(FILTER('warehouse config'!$D:$D,('warehouse config'!$B:$B=C659)*('warehouse config'!$C:$C=D659)*('warehouse config'!$G:$G&lt;=B659)*(('warehouse config'!$H:$H&gt;=B659)+ISBLANK('warehouse config'!$H:$H))),1)),0))"),0.0)</f>
        <v>0</v>
      </c>
      <c r="H659" s="3">
        <f>IFERROR(__xludf.DUMMYFUNCTION("IFERROR(INDEX(FILTER('cost master'!$E:$E,('cost master'!$B:$B=C659)*('cost master'!$D:$D=""Storage cost per pallet / week"")*('cost master'!$G:$G&lt;=B659)*(('cost master'!$H:$H&gt;=B659)+ISBLANK('cost master'!$H:$H))),1),0)"),3.9)</f>
        <v>3.9</v>
      </c>
      <c r="I659" s="3">
        <f t="shared" si="4"/>
        <v>0</v>
      </c>
      <c r="J659" s="27">
        <f t="shared" si="5"/>
        <v>45793</v>
      </c>
      <c r="K659" s="27">
        <f t="shared" si="6"/>
        <v>45823</v>
      </c>
    </row>
    <row r="660" hidden="1">
      <c r="A660" s="3" t="str">
        <f t="shared" si="3"/>
        <v>SL-20250519-FMC-CS 010-10</v>
      </c>
      <c r="B660" s="2">
        <f t="array" ref="B660">INDEX(helper!$A$3:$A3996,ROUNDUP((ROW()-1)/COUNTA(helper!$D$3:$D3996),0))</f>
        <v>45796</v>
      </c>
      <c r="C660" s="5" t="str">
        <f t="array" ref="C660">IF(B660="","",INDEX(helper!$D$3:$D3996,MOD(ROW()-2,COUNTA(helper!$D$3:$D3996))+1))</f>
        <v>FMC</v>
      </c>
      <c r="D660" s="3" t="str">
        <f t="array" ref="D660">IF(B660="","",INDEX(helper!$E$3:$E3996,MOD(ROW()-2,COUNTA(helper!$D$3:$D3996))+1))</f>
        <v>CS 010</v>
      </c>
      <c r="E660" s="3">
        <f t="array" ref="E660">IF(B660="","",INDEX(helper!$F$3:$F3996,MOD(ROW()-2,COUNTA(helper!$D$3:$D3996))+1))</f>
        <v>10</v>
      </c>
      <c r="F660" s="3">
        <f>IF(B660="","",SUMIFS('inventory ledger'!$H:$H,'inventory ledger'!$C:$C,C660,'inventory ledger'!$D:$D,D660,'inventory ledger'!$E:$E,E660,'inventory ledger'!$A:$A,"&lt;="&amp;B660+TIME(23,59,59))-SUMIFS('inventory ledger'!$I:$I,'inventory ledger'!$C:$C,C660,'inventory ledger'!$D:$D,D660,'inventory ledger'!$E:$E,E660,'inventory ledger'!$A:$A,"&lt;="&amp;B660+TIME(23,59,59)))</f>
        <v>13</v>
      </c>
      <c r="G660" s="3">
        <f>IFERROR(__xludf.DUMMYFUNCTION("IF(F660&lt;=0,0,IFERROR(ROUNDUP(F660/INDEX(FILTER('warehouse config'!$D:$D,('warehouse config'!$B:$B=C660)*('warehouse config'!$C:$C=D660)*('warehouse config'!$G:$G&lt;=B660)*(('warehouse config'!$H:$H&gt;=B660)+ISBLANK('warehouse config'!$H:$H))),1)),0))"),1.0)</f>
        <v>1</v>
      </c>
      <c r="H660" s="3">
        <f>IFERROR(__xludf.DUMMYFUNCTION("IFERROR(INDEX(FILTER('cost master'!$E:$E,('cost master'!$B:$B=C660)*('cost master'!$D:$D=""Storage cost per pallet / week"")*('cost master'!$G:$G&lt;=B660)*(('cost master'!$H:$H&gt;=B660)+ISBLANK('cost master'!$H:$H))),1),0)"),3.9)</f>
        <v>3.9</v>
      </c>
      <c r="I660" s="3">
        <f t="shared" si="4"/>
        <v>3.9</v>
      </c>
      <c r="J660" s="27">
        <f t="shared" si="5"/>
        <v>45793</v>
      </c>
      <c r="K660" s="27">
        <f t="shared" si="6"/>
        <v>45823</v>
      </c>
    </row>
    <row r="661" hidden="1">
      <c r="A661" s="3" t="str">
        <f t="shared" si="3"/>
        <v>SL-20250519-FMC-CS-CDS-001-10</v>
      </c>
      <c r="B661" s="2">
        <f t="array" ref="B661">INDEX(helper!$A$3:$A3996,ROUNDUP((ROW()-1)/COUNTA(helper!$D$3:$D3996),0))</f>
        <v>45796</v>
      </c>
      <c r="C661" s="5" t="str">
        <f t="array" ref="C661">IF(B661="","",INDEX(helper!$D$3:$D3996,MOD(ROW()-2,COUNTA(helper!$D$3:$D3996))+1))</f>
        <v>FMC</v>
      </c>
      <c r="D661" s="3" t="str">
        <f t="array" ref="D661">IF(B661="","",INDEX(helper!$E$3:$E3996,MOD(ROW()-2,COUNTA(helper!$D$3:$D3996))+1))</f>
        <v>CS-CDS-001</v>
      </c>
      <c r="E661" s="3">
        <f t="array" ref="E661">IF(B661="","",INDEX(helper!$F$3:$F3996,MOD(ROW()-2,COUNTA(helper!$D$3:$D3996))+1))</f>
        <v>10</v>
      </c>
      <c r="F661" s="3">
        <f>IF(B661="","",SUMIFS('inventory ledger'!$H:$H,'inventory ledger'!$C:$C,C661,'inventory ledger'!$D:$D,D661,'inventory ledger'!$E:$E,E661,'inventory ledger'!$A:$A,"&lt;="&amp;B661+TIME(23,59,59))-SUMIFS('inventory ledger'!$I:$I,'inventory ledger'!$C:$C,C661,'inventory ledger'!$D:$D,D661,'inventory ledger'!$E:$E,E661,'inventory ledger'!$A:$A,"&lt;="&amp;B661+TIME(23,59,59)))</f>
        <v>0</v>
      </c>
      <c r="G661" s="3">
        <f>IFERROR(__xludf.DUMMYFUNCTION("IF(F661&lt;=0,0,IFERROR(ROUNDUP(F661/INDEX(FILTER('warehouse config'!$D:$D,('warehouse config'!$B:$B=C661)*('warehouse config'!$C:$C=D661)*('warehouse config'!$G:$G&lt;=B661)*(('warehouse config'!$H:$H&gt;=B661)+ISBLANK('warehouse config'!$H:$H))),1)),0))"),0.0)</f>
        <v>0</v>
      </c>
      <c r="H661" s="3">
        <f>IFERROR(__xludf.DUMMYFUNCTION("IFERROR(INDEX(FILTER('cost master'!$E:$E,('cost master'!$B:$B=C661)*('cost master'!$D:$D=""Storage cost per pallet / week"")*('cost master'!$G:$G&lt;=B661)*(('cost master'!$H:$H&gt;=B661)+ISBLANK('cost master'!$H:$H))),1),0)"),3.9)</f>
        <v>3.9</v>
      </c>
      <c r="I661" s="3">
        <f t="shared" si="4"/>
        <v>0</v>
      </c>
      <c r="J661" s="27">
        <f t="shared" si="5"/>
        <v>45793</v>
      </c>
      <c r="K661" s="27">
        <f t="shared" si="6"/>
        <v>45823</v>
      </c>
    </row>
    <row r="662" hidden="1">
      <c r="A662" s="3" t="str">
        <f t="shared" si="3"/>
        <v>SL-20250519-FMC-CS 007-11</v>
      </c>
      <c r="B662" s="2">
        <f t="array" ref="B662">INDEX(helper!$A$3:$A3996,ROUNDUP((ROW()-1)/COUNTA(helper!$D$3:$D3996),0))</f>
        <v>45796</v>
      </c>
      <c r="C662" s="5" t="str">
        <f t="array" ref="C662">IF(B662="","",INDEX(helper!$D$3:$D3996,MOD(ROW()-2,COUNTA(helper!$D$3:$D3996))+1))</f>
        <v>FMC</v>
      </c>
      <c r="D662" s="3" t="str">
        <f t="array" ref="D662">IF(B662="","",INDEX(helper!$E$3:$E3996,MOD(ROW()-2,COUNTA(helper!$D$3:$D3996))+1))</f>
        <v>CS 007</v>
      </c>
      <c r="E662" s="3">
        <f t="array" ref="E662">IF(B662="","",INDEX(helper!$F$3:$F3996,MOD(ROW()-2,COUNTA(helper!$D$3:$D3996))+1))</f>
        <v>11</v>
      </c>
      <c r="F662" s="3">
        <f>IF(B662="","",SUMIFS('inventory ledger'!$H:$H,'inventory ledger'!$C:$C,C662,'inventory ledger'!$D:$D,D662,'inventory ledger'!$E:$E,E662,'inventory ledger'!$A:$A,"&lt;="&amp;B662+TIME(23,59,59))-SUMIFS('inventory ledger'!$I:$I,'inventory ledger'!$C:$C,C662,'inventory ledger'!$D:$D,D662,'inventory ledger'!$E:$E,E662,'inventory ledger'!$A:$A,"&lt;="&amp;B662+TIME(23,59,59)))</f>
        <v>0</v>
      </c>
      <c r="G662" s="3">
        <f>IFERROR(__xludf.DUMMYFUNCTION("IF(F662&lt;=0,0,IFERROR(ROUNDUP(F662/INDEX(FILTER('warehouse config'!$D:$D,('warehouse config'!$B:$B=C662)*('warehouse config'!$C:$C=D662)*('warehouse config'!$G:$G&lt;=B662)*(('warehouse config'!$H:$H&gt;=B662)+ISBLANK('warehouse config'!$H:$H))),1)),0))"),0.0)</f>
        <v>0</v>
      </c>
      <c r="H662" s="3">
        <f>IFERROR(__xludf.DUMMYFUNCTION("IFERROR(INDEX(FILTER('cost master'!$E:$E,('cost master'!$B:$B=C662)*('cost master'!$D:$D=""Storage cost per pallet / week"")*('cost master'!$G:$G&lt;=B662)*(('cost master'!$H:$H&gt;=B662)+ISBLANK('cost master'!$H:$H))),1),0)"),3.9)</f>
        <v>3.9</v>
      </c>
      <c r="I662" s="3">
        <f t="shared" si="4"/>
        <v>0</v>
      </c>
      <c r="J662" s="27">
        <f t="shared" si="5"/>
        <v>45793</v>
      </c>
      <c r="K662" s="27">
        <f t="shared" si="6"/>
        <v>45823</v>
      </c>
    </row>
    <row r="663" hidden="1">
      <c r="A663" s="3" t="str">
        <f t="shared" si="3"/>
        <v>SL-20250519-FMC-CS 009-11</v>
      </c>
      <c r="B663" s="2">
        <f t="array" ref="B663">INDEX(helper!$A$3:$A3996,ROUNDUP((ROW()-1)/COUNTA(helper!$D$3:$D3996),0))</f>
        <v>45796</v>
      </c>
      <c r="C663" s="5" t="str">
        <f t="array" ref="C663">IF(B663="","",INDEX(helper!$D$3:$D3996,MOD(ROW()-2,COUNTA(helper!$D$3:$D3996))+1))</f>
        <v>FMC</v>
      </c>
      <c r="D663" s="3" t="str">
        <f t="array" ref="D663">IF(B663="","",INDEX(helper!$E$3:$E3996,MOD(ROW()-2,COUNTA(helper!$D$3:$D3996))+1))</f>
        <v>CS 009</v>
      </c>
      <c r="E663" s="3">
        <f t="array" ref="E663">IF(B663="","",INDEX(helper!$F$3:$F3996,MOD(ROW()-2,COUNTA(helper!$D$3:$D3996))+1))</f>
        <v>11</v>
      </c>
      <c r="F663" s="3">
        <f>IF(B663="","",SUMIFS('inventory ledger'!$H:$H,'inventory ledger'!$C:$C,C663,'inventory ledger'!$D:$D,D663,'inventory ledger'!$E:$E,E663,'inventory ledger'!$A:$A,"&lt;="&amp;B663+TIME(23,59,59))-SUMIFS('inventory ledger'!$I:$I,'inventory ledger'!$C:$C,C663,'inventory ledger'!$D:$D,D663,'inventory ledger'!$E:$E,E663,'inventory ledger'!$A:$A,"&lt;="&amp;B663+TIME(23,59,59)))</f>
        <v>0</v>
      </c>
      <c r="G663" s="3">
        <f>IFERROR(__xludf.DUMMYFUNCTION("IF(F663&lt;=0,0,IFERROR(ROUNDUP(F663/INDEX(FILTER('warehouse config'!$D:$D,('warehouse config'!$B:$B=C663)*('warehouse config'!$C:$C=D663)*('warehouse config'!$G:$G&lt;=B663)*(('warehouse config'!$H:$H&gt;=B663)+ISBLANK('warehouse config'!$H:$H))),1)),0))"),0.0)</f>
        <v>0</v>
      </c>
      <c r="H663" s="3">
        <f>IFERROR(__xludf.DUMMYFUNCTION("IFERROR(INDEX(FILTER('cost master'!$E:$E,('cost master'!$B:$B=C663)*('cost master'!$D:$D=""Storage cost per pallet / week"")*('cost master'!$G:$G&lt;=B663)*(('cost master'!$H:$H&gt;=B663)+ISBLANK('cost master'!$H:$H))),1),0)"),3.9)</f>
        <v>3.9</v>
      </c>
      <c r="I663" s="3">
        <f t="shared" si="4"/>
        <v>0</v>
      </c>
      <c r="J663" s="27">
        <f t="shared" si="5"/>
        <v>45793</v>
      </c>
      <c r="K663" s="27">
        <f t="shared" si="6"/>
        <v>45823</v>
      </c>
    </row>
    <row r="664" hidden="1">
      <c r="A664" s="3" t="str">
        <f t="shared" si="3"/>
        <v>SL-20250519-FMC-CS 010-11</v>
      </c>
      <c r="B664" s="2">
        <f t="array" ref="B664">INDEX(helper!$A$3:$A3996,ROUNDUP((ROW()-1)/COUNTA(helper!$D$3:$D3996),0))</f>
        <v>45796</v>
      </c>
      <c r="C664" s="5" t="str">
        <f t="array" ref="C664">IF(B664="","",INDEX(helper!$D$3:$D3996,MOD(ROW()-2,COUNTA(helper!$D$3:$D3996))+1))</f>
        <v>FMC</v>
      </c>
      <c r="D664" s="3" t="str">
        <f t="array" ref="D664">IF(B664="","",INDEX(helper!$E$3:$E3996,MOD(ROW()-2,COUNTA(helper!$D$3:$D3996))+1))</f>
        <v>CS 010</v>
      </c>
      <c r="E664" s="3">
        <f t="array" ref="E664">IF(B664="","",INDEX(helper!$F$3:$F3996,MOD(ROW()-2,COUNTA(helper!$D$3:$D3996))+1))</f>
        <v>11</v>
      </c>
      <c r="F664" s="3">
        <f>IF(B664="","",SUMIFS('inventory ledger'!$H:$H,'inventory ledger'!$C:$C,C664,'inventory ledger'!$D:$D,D664,'inventory ledger'!$E:$E,E664,'inventory ledger'!$A:$A,"&lt;="&amp;B664+TIME(23,59,59))-SUMIFS('inventory ledger'!$I:$I,'inventory ledger'!$C:$C,C664,'inventory ledger'!$D:$D,D664,'inventory ledger'!$E:$E,E664,'inventory ledger'!$A:$A,"&lt;="&amp;B664+TIME(23,59,59)))</f>
        <v>46</v>
      </c>
      <c r="G664" s="3">
        <f>IFERROR(__xludf.DUMMYFUNCTION("IF(F664&lt;=0,0,IFERROR(ROUNDUP(F664/INDEX(FILTER('warehouse config'!$D:$D,('warehouse config'!$B:$B=C664)*('warehouse config'!$C:$C=D664)*('warehouse config'!$G:$G&lt;=B664)*(('warehouse config'!$H:$H&gt;=B664)+ISBLANK('warehouse config'!$H:$H))),1)),0))"),2.0)</f>
        <v>2</v>
      </c>
      <c r="H664" s="3">
        <f>IFERROR(__xludf.DUMMYFUNCTION("IFERROR(INDEX(FILTER('cost master'!$E:$E,('cost master'!$B:$B=C664)*('cost master'!$D:$D=""Storage cost per pallet / week"")*('cost master'!$G:$G&lt;=B664)*(('cost master'!$H:$H&gt;=B664)+ISBLANK('cost master'!$H:$H))),1),0)"),3.9)</f>
        <v>3.9</v>
      </c>
      <c r="I664" s="3">
        <f t="shared" si="4"/>
        <v>7.8</v>
      </c>
      <c r="J664" s="27">
        <f t="shared" si="5"/>
        <v>45793</v>
      </c>
      <c r="K664" s="27">
        <f t="shared" si="6"/>
        <v>45823</v>
      </c>
    </row>
    <row r="665" hidden="1">
      <c r="A665" s="3" t="str">
        <f t="shared" si="3"/>
        <v>SL-20250519-Vglobal-CS 007-12</v>
      </c>
      <c r="B665" s="2">
        <f t="array" ref="B665">INDEX(helper!$A$3:$A3996,ROUNDUP((ROW()-1)/COUNTA(helper!$D$3:$D3996),0))</f>
        <v>45796</v>
      </c>
      <c r="C665" s="5" t="str">
        <f t="array" ref="C665">IF(B665="","",INDEX(helper!$D$3:$D3996,MOD(ROW()-2,COUNTA(helper!$D$3:$D3996))+1))</f>
        <v>Vglobal</v>
      </c>
      <c r="D665" s="3" t="str">
        <f t="array" ref="D665">IF(B665="","",INDEX(helper!$E$3:$E3996,MOD(ROW()-2,COUNTA(helper!$D$3:$D3996))+1))</f>
        <v>CS 007</v>
      </c>
      <c r="E665" s="3">
        <f t="array" ref="E665">IF(B665="","",INDEX(helper!$F$3:$F3996,MOD(ROW()-2,COUNTA(helper!$D$3:$D3996))+1))</f>
        <v>12</v>
      </c>
      <c r="F665" s="3">
        <f>IF(B665="","",SUMIFS('inventory ledger'!$H:$H,'inventory ledger'!$C:$C,C665,'inventory ledger'!$D:$D,D665,'inventory ledger'!$E:$E,E665,'inventory ledger'!$A:$A,"&lt;="&amp;B665+TIME(23,59,59))-SUMIFS('inventory ledger'!$I:$I,'inventory ledger'!$C:$C,C665,'inventory ledger'!$D:$D,D665,'inventory ledger'!$E:$E,E665,'inventory ledger'!$A:$A,"&lt;="&amp;B665+TIME(23,59,59)))</f>
        <v>0</v>
      </c>
      <c r="G665" s="3">
        <f>IFERROR(__xludf.DUMMYFUNCTION("IF(F665&lt;=0,0,IFERROR(ROUNDUP(F665/INDEX(FILTER('warehouse config'!$D:$D,('warehouse config'!$B:$B=C665)*('warehouse config'!$C:$C=D665)*('warehouse config'!$G:$G&lt;=B665)*(('warehouse config'!$H:$H&gt;=B665)+ISBLANK('warehouse config'!$H:$H))),1)),0))"),0.0)</f>
        <v>0</v>
      </c>
      <c r="H665" s="3">
        <f>IFERROR(__xludf.DUMMYFUNCTION("IFERROR(INDEX(FILTER('cost master'!$E:$E,('cost master'!$B:$B=C665)*('cost master'!$D:$D=""Storage cost per pallet / week"")*('cost master'!$G:$G&lt;=B665)*(('cost master'!$H:$H&gt;=B665)+ISBLANK('cost master'!$H:$H))),1),0)"),2.6)</f>
        <v>2.6</v>
      </c>
      <c r="I665" s="3">
        <f t="shared" si="4"/>
        <v>0</v>
      </c>
      <c r="J665" s="27">
        <f t="shared" si="5"/>
        <v>45793</v>
      </c>
      <c r="K665" s="27">
        <f t="shared" si="6"/>
        <v>45823</v>
      </c>
    </row>
    <row r="666" hidden="1">
      <c r="A666" s="3" t="str">
        <f t="shared" si="3"/>
        <v>SL-20250519-Vglobal-CS 011-12</v>
      </c>
      <c r="B666" s="2">
        <f t="array" ref="B666">INDEX(helper!$A$3:$A3996,ROUNDUP((ROW()-1)/COUNTA(helper!$D$3:$D3996),0))</f>
        <v>45796</v>
      </c>
      <c r="C666" s="5" t="str">
        <f t="array" ref="C666">IF(B666="","",INDEX(helper!$D$3:$D3996,MOD(ROW()-2,COUNTA(helper!$D$3:$D3996))+1))</f>
        <v>Vglobal</v>
      </c>
      <c r="D666" s="3" t="str">
        <f t="array" ref="D666">IF(B666="","",INDEX(helper!$E$3:$E3996,MOD(ROW()-2,COUNTA(helper!$D$3:$D3996))+1))</f>
        <v>CS 011</v>
      </c>
      <c r="E666" s="3">
        <f t="array" ref="E666">IF(B666="","",INDEX(helper!$F$3:$F3996,MOD(ROW()-2,COUNTA(helper!$D$3:$D3996))+1))</f>
        <v>12</v>
      </c>
      <c r="F666" s="3">
        <f>IF(B666="","",SUMIFS('inventory ledger'!$H:$H,'inventory ledger'!$C:$C,C666,'inventory ledger'!$D:$D,D666,'inventory ledger'!$E:$E,E666,'inventory ledger'!$A:$A,"&lt;="&amp;B666+TIME(23,59,59))-SUMIFS('inventory ledger'!$I:$I,'inventory ledger'!$C:$C,C666,'inventory ledger'!$D:$D,D666,'inventory ledger'!$E:$E,E666,'inventory ledger'!$A:$A,"&lt;="&amp;B666+TIME(23,59,59)))</f>
        <v>0</v>
      </c>
      <c r="G666" s="3">
        <f>IFERROR(__xludf.DUMMYFUNCTION("IF(F666&lt;=0,0,IFERROR(ROUNDUP(F666/INDEX(FILTER('warehouse config'!$D:$D,('warehouse config'!$B:$B=C666)*('warehouse config'!$C:$C=D666)*('warehouse config'!$G:$G&lt;=B666)*(('warehouse config'!$H:$H&gt;=B666)+ISBLANK('warehouse config'!$H:$H))),1)),0))"),0.0)</f>
        <v>0</v>
      </c>
      <c r="H666" s="3">
        <f>IFERROR(__xludf.DUMMYFUNCTION("IFERROR(INDEX(FILTER('cost master'!$E:$E,('cost master'!$B:$B=C666)*('cost master'!$D:$D=""Storage cost per pallet / week"")*('cost master'!$G:$G&lt;=B666)*(('cost master'!$H:$H&gt;=B666)+ISBLANK('cost master'!$H:$H))),1),0)"),2.6)</f>
        <v>2.6</v>
      </c>
      <c r="I666" s="3">
        <f t="shared" si="4"/>
        <v>0</v>
      </c>
      <c r="J666" s="27">
        <f t="shared" si="5"/>
        <v>45793</v>
      </c>
      <c r="K666" s="27">
        <f t="shared" si="6"/>
        <v>45823</v>
      </c>
    </row>
    <row r="667" hidden="1">
      <c r="A667" s="3" t="str">
        <f t="shared" si="3"/>
        <v>SL-20250519-Vglobal-CS 008-12</v>
      </c>
      <c r="B667" s="2">
        <f t="array" ref="B667">INDEX(helper!$A$3:$A3996,ROUNDUP((ROW()-1)/COUNTA(helper!$D$3:$D3996),0))</f>
        <v>45796</v>
      </c>
      <c r="C667" s="5" t="str">
        <f t="array" ref="C667">IF(B667="","",INDEX(helper!$D$3:$D3996,MOD(ROW()-2,COUNTA(helper!$D$3:$D3996))+1))</f>
        <v>Vglobal</v>
      </c>
      <c r="D667" s="3" t="str">
        <f t="array" ref="D667">IF(B667="","",INDEX(helper!$E$3:$E3996,MOD(ROW()-2,COUNTA(helper!$D$3:$D3996))+1))</f>
        <v>CS 008</v>
      </c>
      <c r="E667" s="3">
        <f t="array" ref="E667">IF(B667="","",INDEX(helper!$F$3:$F3996,MOD(ROW()-2,COUNTA(helper!$D$3:$D3996))+1))</f>
        <v>12</v>
      </c>
      <c r="F667" s="3">
        <f>IF(B667="","",SUMIFS('inventory ledger'!$H:$H,'inventory ledger'!$C:$C,C667,'inventory ledger'!$D:$D,D667,'inventory ledger'!$E:$E,E667,'inventory ledger'!$A:$A,"&lt;="&amp;B667+TIME(23,59,59))-SUMIFS('inventory ledger'!$I:$I,'inventory ledger'!$C:$C,C667,'inventory ledger'!$D:$D,D667,'inventory ledger'!$E:$E,E667,'inventory ledger'!$A:$A,"&lt;="&amp;B667+TIME(23,59,59)))</f>
        <v>0</v>
      </c>
      <c r="G667" s="3">
        <f>IFERROR(__xludf.DUMMYFUNCTION("IF(F667&lt;=0,0,IFERROR(ROUNDUP(F667/INDEX(FILTER('warehouse config'!$D:$D,('warehouse config'!$B:$B=C667)*('warehouse config'!$C:$C=D667)*('warehouse config'!$G:$G&lt;=B667)*(('warehouse config'!$H:$H&gt;=B667)+ISBLANK('warehouse config'!$H:$H))),1)),0))"),0.0)</f>
        <v>0</v>
      </c>
      <c r="H667" s="3">
        <f>IFERROR(__xludf.DUMMYFUNCTION("IFERROR(INDEX(FILTER('cost master'!$E:$E,('cost master'!$B:$B=C667)*('cost master'!$D:$D=""Storage cost per pallet / week"")*('cost master'!$G:$G&lt;=B667)*(('cost master'!$H:$H&gt;=B667)+ISBLANK('cost master'!$H:$H))),1),0)"),2.6)</f>
        <v>2.6</v>
      </c>
      <c r="I667" s="3">
        <f t="shared" si="4"/>
        <v>0</v>
      </c>
      <c r="J667" s="27">
        <f t="shared" si="5"/>
        <v>45793</v>
      </c>
      <c r="K667" s="27">
        <f t="shared" si="6"/>
        <v>45823</v>
      </c>
    </row>
    <row r="668" hidden="1">
      <c r="A668" s="3" t="str">
        <f t="shared" si="3"/>
        <v>SL-20250519-Vglobal-CS 010-12</v>
      </c>
      <c r="B668" s="2">
        <f t="array" ref="B668">INDEX(helper!$A$3:$A3996,ROUNDUP((ROW()-1)/COUNTA(helper!$D$3:$D3996),0))</f>
        <v>45796</v>
      </c>
      <c r="C668" s="5" t="str">
        <f t="array" ref="C668">IF(B668="","",INDEX(helper!$D$3:$D3996,MOD(ROW()-2,COUNTA(helper!$D$3:$D3996))+1))</f>
        <v>Vglobal</v>
      </c>
      <c r="D668" s="3" t="str">
        <f t="array" ref="D668">IF(B668="","",INDEX(helper!$E$3:$E3996,MOD(ROW()-2,COUNTA(helper!$D$3:$D3996))+1))</f>
        <v>CS 010</v>
      </c>
      <c r="E668" s="3">
        <f t="array" ref="E668">IF(B668="","",INDEX(helper!$F$3:$F3996,MOD(ROW()-2,COUNTA(helper!$D$3:$D3996))+1))</f>
        <v>12</v>
      </c>
      <c r="F668" s="3">
        <f>IF(B668="","",SUMIFS('inventory ledger'!$H:$H,'inventory ledger'!$C:$C,C668,'inventory ledger'!$D:$D,D668,'inventory ledger'!$E:$E,E668,'inventory ledger'!$A:$A,"&lt;="&amp;B668+TIME(23,59,59))-SUMIFS('inventory ledger'!$I:$I,'inventory ledger'!$C:$C,C668,'inventory ledger'!$D:$D,D668,'inventory ledger'!$E:$E,E668,'inventory ledger'!$A:$A,"&lt;="&amp;B668+TIME(23,59,59)))</f>
        <v>70</v>
      </c>
      <c r="G668" s="3">
        <f>IFERROR(__xludf.DUMMYFUNCTION("IF(F668&lt;=0,0,IFERROR(ROUNDUP(F668/INDEX(FILTER('warehouse config'!$D:$D,('warehouse config'!$B:$B=C668)*('warehouse config'!$C:$C=D668)*('warehouse config'!$G:$G&lt;=B668)*(('warehouse config'!$H:$H&gt;=B668)+ISBLANK('warehouse config'!$H:$H))),1)),0))"),3.0)</f>
        <v>3</v>
      </c>
      <c r="H668" s="3">
        <f>IFERROR(__xludf.DUMMYFUNCTION("IFERROR(INDEX(FILTER('cost master'!$E:$E,('cost master'!$B:$B=C668)*('cost master'!$D:$D=""Storage cost per pallet / week"")*('cost master'!$G:$G&lt;=B668)*(('cost master'!$H:$H&gt;=B668)+ISBLANK('cost master'!$H:$H))),1),0)"),2.6)</f>
        <v>2.6</v>
      </c>
      <c r="I668" s="3">
        <f t="shared" si="4"/>
        <v>7.8</v>
      </c>
      <c r="J668" s="27">
        <f t="shared" si="5"/>
        <v>45793</v>
      </c>
      <c r="K668" s="27">
        <f t="shared" si="6"/>
        <v>45823</v>
      </c>
    </row>
    <row r="669" hidden="1">
      <c r="A669" s="3" t="str">
        <f t="shared" si="3"/>
        <v>SL-20250519-Vglobal-CS 009-12</v>
      </c>
      <c r="B669" s="2">
        <f t="array" ref="B669">INDEX(helper!$A$3:$A3996,ROUNDUP((ROW()-1)/COUNTA(helper!$D$3:$D3996),0))</f>
        <v>45796</v>
      </c>
      <c r="C669" s="5" t="str">
        <f t="array" ref="C669">IF(B669="","",INDEX(helper!$D$3:$D3996,MOD(ROW()-2,COUNTA(helper!$D$3:$D3996))+1))</f>
        <v>Vglobal</v>
      </c>
      <c r="D669" s="3" t="str">
        <f t="array" ref="D669">IF(B669="","",INDEX(helper!$E$3:$E3996,MOD(ROW()-2,COUNTA(helper!$D$3:$D3996))+1))</f>
        <v>CS 009</v>
      </c>
      <c r="E669" s="3">
        <f t="array" ref="E669">IF(B669="","",INDEX(helper!$F$3:$F3996,MOD(ROW()-2,COUNTA(helper!$D$3:$D3996))+1))</f>
        <v>12</v>
      </c>
      <c r="F669" s="3">
        <f>IF(B669="","",SUMIFS('inventory ledger'!$H:$H,'inventory ledger'!$C:$C,C669,'inventory ledger'!$D:$D,D669,'inventory ledger'!$E:$E,E669,'inventory ledger'!$A:$A,"&lt;="&amp;B669+TIME(23,59,59))-SUMIFS('inventory ledger'!$I:$I,'inventory ledger'!$C:$C,C669,'inventory ledger'!$D:$D,D669,'inventory ledger'!$E:$E,E669,'inventory ledger'!$A:$A,"&lt;="&amp;B669+TIME(23,59,59)))</f>
        <v>0</v>
      </c>
      <c r="G669" s="3">
        <f>IFERROR(__xludf.DUMMYFUNCTION("IF(F669&lt;=0,0,IFERROR(ROUNDUP(F669/INDEX(FILTER('warehouse config'!$D:$D,('warehouse config'!$B:$B=C669)*('warehouse config'!$C:$C=D669)*('warehouse config'!$G:$G&lt;=B669)*(('warehouse config'!$H:$H&gt;=B669)+ISBLANK('warehouse config'!$H:$H))),1)),0))"),0.0)</f>
        <v>0</v>
      </c>
      <c r="H669" s="3">
        <f>IFERROR(__xludf.DUMMYFUNCTION("IFERROR(INDEX(FILTER('cost master'!$E:$E,('cost master'!$B:$B=C669)*('cost master'!$D:$D=""Storage cost per pallet / week"")*('cost master'!$G:$G&lt;=B669)*(('cost master'!$H:$H&gt;=B669)+ISBLANK('cost master'!$H:$H))),1),0)"),2.6)</f>
        <v>2.6</v>
      </c>
      <c r="I669" s="3">
        <f t="shared" si="4"/>
        <v>0</v>
      </c>
      <c r="J669" s="27">
        <f t="shared" si="5"/>
        <v>45793</v>
      </c>
      <c r="K669" s="27">
        <f t="shared" si="6"/>
        <v>45823</v>
      </c>
    </row>
    <row r="670" hidden="1">
      <c r="A670" s="3" t="str">
        <f t="shared" si="3"/>
        <v>SL-20250519-Vglobal-CS 012-12</v>
      </c>
      <c r="B670" s="2">
        <f t="array" ref="B670">INDEX(helper!$A$3:$A3996,ROUNDUP((ROW()-1)/COUNTA(helper!$D$3:$D3996),0))</f>
        <v>45796</v>
      </c>
      <c r="C670" s="5" t="str">
        <f t="array" ref="C670">IF(B670="","",INDEX(helper!$D$3:$D3996,MOD(ROW()-2,COUNTA(helper!$D$3:$D3996))+1))</f>
        <v>Vglobal</v>
      </c>
      <c r="D670" s="3" t="str">
        <f t="array" ref="D670">IF(B670="","",INDEX(helper!$E$3:$E3996,MOD(ROW()-2,COUNTA(helper!$D$3:$D3996))+1))</f>
        <v>CS 012</v>
      </c>
      <c r="E670" s="3">
        <f t="array" ref="E670">IF(B670="","",INDEX(helper!$F$3:$F3996,MOD(ROW()-2,COUNTA(helper!$D$3:$D3996))+1))</f>
        <v>12</v>
      </c>
      <c r="F670" s="3">
        <f>IF(B670="","",SUMIFS('inventory ledger'!$H:$H,'inventory ledger'!$C:$C,C670,'inventory ledger'!$D:$D,D670,'inventory ledger'!$E:$E,E670,'inventory ledger'!$A:$A,"&lt;="&amp;B670+TIME(23,59,59))-SUMIFS('inventory ledger'!$I:$I,'inventory ledger'!$C:$C,C670,'inventory ledger'!$D:$D,D670,'inventory ledger'!$E:$E,E670,'inventory ledger'!$A:$A,"&lt;="&amp;B670+TIME(23,59,59)))</f>
        <v>0</v>
      </c>
      <c r="G670" s="3">
        <f>IFERROR(__xludf.DUMMYFUNCTION("IF(F670&lt;=0,0,IFERROR(ROUNDUP(F670/INDEX(FILTER('warehouse config'!$D:$D,('warehouse config'!$B:$B=C670)*('warehouse config'!$C:$C=D670)*('warehouse config'!$G:$G&lt;=B670)*(('warehouse config'!$H:$H&gt;=B670)+ISBLANK('warehouse config'!$H:$H))),1)),0))"),0.0)</f>
        <v>0</v>
      </c>
      <c r="H670" s="3">
        <f>IFERROR(__xludf.DUMMYFUNCTION("IFERROR(INDEX(FILTER('cost master'!$E:$E,('cost master'!$B:$B=C670)*('cost master'!$D:$D=""Storage cost per pallet / week"")*('cost master'!$G:$G&lt;=B670)*(('cost master'!$H:$H&gt;=B670)+ISBLANK('cost master'!$H:$H))),1),0)"),2.6)</f>
        <v>2.6</v>
      </c>
      <c r="I670" s="3">
        <f t="shared" si="4"/>
        <v>0</v>
      </c>
      <c r="J670" s="27">
        <f t="shared" si="5"/>
        <v>45793</v>
      </c>
      <c r="K670" s="27">
        <f t="shared" si="6"/>
        <v>45823</v>
      </c>
    </row>
    <row r="671" hidden="1">
      <c r="A671" s="3" t="str">
        <f t="shared" si="3"/>
        <v>SL-20250519-Vglobal-CS-CDS-001-3</v>
      </c>
      <c r="B671" s="2">
        <f t="array" ref="B671">INDEX(helper!$A$3:$A3996,ROUNDUP((ROW()-1)/COUNTA(helper!$D$3:$D3996),0))</f>
        <v>45796</v>
      </c>
      <c r="C671" s="5" t="str">
        <f t="array" ref="C671">IF(B671="","",INDEX(helper!$D$3:$D3996,MOD(ROW()-2,COUNTA(helper!$D$3:$D3996))+1))</f>
        <v>Vglobal</v>
      </c>
      <c r="D671" s="3" t="str">
        <f t="array" ref="D671">IF(B671="","",INDEX(helper!$E$3:$E3996,MOD(ROW()-2,COUNTA(helper!$D$3:$D3996))+1))</f>
        <v>CS-CDS-001</v>
      </c>
      <c r="E671" s="3">
        <f t="array" ref="E671">IF(B671="","",INDEX(helper!$F$3:$F3996,MOD(ROW()-2,COUNTA(helper!$D$3:$D3996))+1))</f>
        <v>3</v>
      </c>
      <c r="F671" s="3">
        <f>IF(B671="","",SUMIFS('inventory ledger'!$H:$H,'inventory ledger'!$C:$C,C671,'inventory ledger'!$D:$D,D671,'inventory ledger'!$E:$E,E671,'inventory ledger'!$A:$A,"&lt;="&amp;B671+TIME(23,59,59))-SUMIFS('inventory ledger'!$I:$I,'inventory ledger'!$C:$C,C671,'inventory ledger'!$D:$D,D671,'inventory ledger'!$E:$E,E671,'inventory ledger'!$A:$A,"&lt;="&amp;B671+TIME(23,59,59)))</f>
        <v>1</v>
      </c>
      <c r="G671" s="3">
        <f>IFERROR(__xludf.DUMMYFUNCTION("IF(F671&lt;=0,0,IFERROR(ROUNDUP(F671/INDEX(FILTER('warehouse config'!$D:$D,('warehouse config'!$B:$B=C671)*('warehouse config'!$C:$C=D671)*('warehouse config'!$G:$G&lt;=B671)*(('warehouse config'!$H:$H&gt;=B671)+ISBLANK('warehouse config'!$H:$H))),1)),0))"),1.0)</f>
        <v>1</v>
      </c>
      <c r="H671" s="3">
        <f>IFERROR(__xludf.DUMMYFUNCTION("IFERROR(INDEX(FILTER('cost master'!$E:$E,('cost master'!$B:$B=C671)*('cost master'!$D:$D=""Storage cost per pallet / week"")*('cost master'!$G:$G&lt;=B671)*(('cost master'!$H:$H&gt;=B671)+ISBLANK('cost master'!$H:$H))),1),0)"),2.6)</f>
        <v>2.6</v>
      </c>
      <c r="I671" s="3">
        <f t="shared" si="4"/>
        <v>2.6</v>
      </c>
      <c r="J671" s="27">
        <f t="shared" si="5"/>
        <v>45793</v>
      </c>
      <c r="K671" s="27">
        <f t="shared" si="6"/>
        <v>45823</v>
      </c>
    </row>
    <row r="672" hidden="1">
      <c r="A672" s="3" t="str">
        <f t="shared" si="3"/>
        <v>SL-20250519-Vglobal-CS-CDS-002-3</v>
      </c>
      <c r="B672" s="2">
        <f t="array" ref="B672">INDEX(helper!$A$3:$A3996,ROUNDUP((ROW()-1)/COUNTA(helper!$D$3:$D3996),0))</f>
        <v>45796</v>
      </c>
      <c r="C672" s="5" t="str">
        <f t="array" ref="C672">IF(B672="","",INDEX(helper!$D$3:$D3996,MOD(ROW()-2,COUNTA(helper!$D$3:$D3996))+1))</f>
        <v>Vglobal</v>
      </c>
      <c r="D672" s="3" t="str">
        <f t="array" ref="D672">IF(B672="","",INDEX(helper!$E$3:$E3996,MOD(ROW()-2,COUNTA(helper!$D$3:$D3996))+1))</f>
        <v>CS-CDS-002</v>
      </c>
      <c r="E672" s="3">
        <f t="array" ref="E672">IF(B672="","",INDEX(helper!$F$3:$F3996,MOD(ROW()-2,COUNTA(helper!$D$3:$D3996))+1))</f>
        <v>3</v>
      </c>
      <c r="F672" s="3">
        <f>IF(B672="","",SUMIFS('inventory ledger'!$H:$H,'inventory ledger'!$C:$C,C672,'inventory ledger'!$D:$D,D672,'inventory ledger'!$E:$E,E672,'inventory ledger'!$A:$A,"&lt;="&amp;B672+TIME(23,59,59))-SUMIFS('inventory ledger'!$I:$I,'inventory ledger'!$C:$C,C672,'inventory ledger'!$D:$D,D672,'inventory ledger'!$E:$E,E672,'inventory ledger'!$A:$A,"&lt;="&amp;B672+TIME(23,59,59)))</f>
        <v>0</v>
      </c>
      <c r="G672" s="3">
        <f>IFERROR(__xludf.DUMMYFUNCTION("IF(F672&lt;=0,0,IFERROR(ROUNDUP(F672/INDEX(FILTER('warehouse config'!$D:$D,('warehouse config'!$B:$B=C672)*('warehouse config'!$C:$C=D672)*('warehouse config'!$G:$G&lt;=B672)*(('warehouse config'!$H:$H&gt;=B672)+ISBLANK('warehouse config'!$H:$H))),1)),0))"),0.0)</f>
        <v>0</v>
      </c>
      <c r="H672" s="3">
        <f>IFERROR(__xludf.DUMMYFUNCTION("IFERROR(INDEX(FILTER('cost master'!$E:$E,('cost master'!$B:$B=C672)*('cost master'!$D:$D=""Storage cost per pallet / week"")*('cost master'!$G:$G&lt;=B672)*(('cost master'!$H:$H&gt;=B672)+ISBLANK('cost master'!$H:$H))),1),0)"),2.6)</f>
        <v>2.6</v>
      </c>
      <c r="I672" s="3">
        <f t="shared" si="4"/>
        <v>0</v>
      </c>
      <c r="J672" s="27">
        <f t="shared" si="5"/>
        <v>45793</v>
      </c>
      <c r="K672" s="27">
        <f t="shared" si="6"/>
        <v>45823</v>
      </c>
    </row>
    <row r="673" hidden="1">
      <c r="A673" s="3" t="str">
        <f t="shared" si="3"/>
        <v>SL-20250519-4as-CS-CDS-001-4</v>
      </c>
      <c r="B673" s="2">
        <f t="array" ref="B673">INDEX(helper!$A$3:$A3996,ROUNDUP((ROW()-1)/COUNTA(helper!$D$3:$D3996),0))</f>
        <v>45796</v>
      </c>
      <c r="C673" s="5" t="str">
        <f t="array" ref="C673">IF(B673="","",INDEX(helper!$D$3:$D3996,MOD(ROW()-2,COUNTA(helper!$D$3:$D3996))+1))</f>
        <v>4as</v>
      </c>
      <c r="D673" s="3" t="str">
        <f t="array" ref="D673">IF(B673="","",INDEX(helper!$E$3:$E3996,MOD(ROW()-2,COUNTA(helper!$D$3:$D3996))+1))</f>
        <v>CS-CDS-001</v>
      </c>
      <c r="E673" s="3">
        <f t="array" ref="E673">IF(B673="","",INDEX(helper!$F$3:$F3996,MOD(ROW()-2,COUNTA(helper!$D$3:$D3996))+1))</f>
        <v>4</v>
      </c>
      <c r="F673" s="3">
        <f>IF(B673="","",SUMIFS('inventory ledger'!$H:$H,'inventory ledger'!$C:$C,C673,'inventory ledger'!$D:$D,D673,'inventory ledger'!$E:$E,E673,'inventory ledger'!$A:$A,"&lt;="&amp;B673+TIME(23,59,59))-SUMIFS('inventory ledger'!$I:$I,'inventory ledger'!$C:$C,C673,'inventory ledger'!$D:$D,D673,'inventory ledger'!$E:$E,E673,'inventory ledger'!$A:$A,"&lt;="&amp;B673+TIME(23,59,59)))</f>
        <v>28</v>
      </c>
      <c r="G673" s="3">
        <f>IFERROR(__xludf.DUMMYFUNCTION("IF(F673&lt;=0,0,IFERROR(ROUNDUP(F673/INDEX(FILTER('warehouse config'!$D:$D,('warehouse config'!$B:$B=C673)*('warehouse config'!$C:$C=D673)*('warehouse config'!$G:$G&lt;=B673)*(('warehouse config'!$H:$H&gt;=B673)+ISBLANK('warehouse config'!$H:$H))),1)),0))"),2.0)</f>
        <v>2</v>
      </c>
      <c r="H673" s="3">
        <f>IFERROR(__xludf.DUMMYFUNCTION("IFERROR(INDEX(FILTER('cost master'!$E:$E,('cost master'!$B:$B=C673)*('cost master'!$D:$D=""Storage cost per pallet / week"")*('cost master'!$G:$G&lt;=B673)*(('cost master'!$H:$H&gt;=B673)+ISBLANK('cost master'!$H:$H))),1),0)"),9.0)</f>
        <v>9</v>
      </c>
      <c r="I673" s="3">
        <f t="shared" si="4"/>
        <v>18</v>
      </c>
      <c r="J673" s="27">
        <f t="shared" si="5"/>
        <v>45793</v>
      </c>
      <c r="K673" s="27">
        <f t="shared" si="6"/>
        <v>45823</v>
      </c>
    </row>
    <row r="674" hidden="1">
      <c r="A674" s="3" t="str">
        <f t="shared" si="3"/>
        <v>SL-20250519-4as-CS-CDS-002-4</v>
      </c>
      <c r="B674" s="2">
        <f t="array" ref="B674">INDEX(helper!$A$3:$A3996,ROUNDUP((ROW()-1)/COUNTA(helper!$D$3:$D3996),0))</f>
        <v>45796</v>
      </c>
      <c r="C674" s="5" t="str">
        <f t="array" ref="C674">IF(B674="","",INDEX(helper!$D$3:$D3996,MOD(ROW()-2,COUNTA(helper!$D$3:$D3996))+1))</f>
        <v>4as</v>
      </c>
      <c r="D674" s="3" t="str">
        <f t="array" ref="D674">IF(B674="","",INDEX(helper!$E$3:$E3996,MOD(ROW()-2,COUNTA(helper!$D$3:$D3996))+1))</f>
        <v>CS-CDS-002</v>
      </c>
      <c r="E674" s="3">
        <f t="array" ref="E674">IF(B674="","",INDEX(helper!$F$3:$F3996,MOD(ROW()-2,COUNTA(helper!$D$3:$D3996))+1))</f>
        <v>4</v>
      </c>
      <c r="F674" s="3">
        <f>IF(B674="","",SUMIFS('inventory ledger'!$H:$H,'inventory ledger'!$C:$C,C674,'inventory ledger'!$D:$D,D674,'inventory ledger'!$E:$E,E674,'inventory ledger'!$A:$A,"&lt;="&amp;B674+TIME(23,59,59))-SUMIFS('inventory ledger'!$I:$I,'inventory ledger'!$C:$C,C674,'inventory ledger'!$D:$D,D674,'inventory ledger'!$E:$E,E674,'inventory ledger'!$A:$A,"&lt;="&amp;B674+TIME(23,59,59)))</f>
        <v>0</v>
      </c>
      <c r="G674" s="3">
        <f>IFERROR(__xludf.DUMMYFUNCTION("IF(F674&lt;=0,0,IFERROR(ROUNDUP(F674/INDEX(FILTER('warehouse config'!$D:$D,('warehouse config'!$B:$B=C674)*('warehouse config'!$C:$C=D674)*('warehouse config'!$G:$G&lt;=B674)*(('warehouse config'!$H:$H&gt;=B674)+ISBLANK('warehouse config'!$H:$H))),1)),0))"),0.0)</f>
        <v>0</v>
      </c>
      <c r="H674" s="3">
        <f>IFERROR(__xludf.DUMMYFUNCTION("IFERROR(INDEX(FILTER('cost master'!$E:$E,('cost master'!$B:$B=C674)*('cost master'!$D:$D=""Storage cost per pallet / week"")*('cost master'!$G:$G&lt;=B674)*(('cost master'!$H:$H&gt;=B674)+ISBLANK('cost master'!$H:$H))),1),0)"),9.0)</f>
        <v>9</v>
      </c>
      <c r="I674" s="3">
        <f t="shared" si="4"/>
        <v>0</v>
      </c>
      <c r="J674" s="27">
        <f t="shared" si="5"/>
        <v>45793</v>
      </c>
      <c r="K674" s="27">
        <f t="shared" si="6"/>
        <v>45823</v>
      </c>
    </row>
    <row r="675" hidden="1">
      <c r="A675" s="3" t="str">
        <f t="shared" si="3"/>
        <v>SL-20250519-Vglobal-CS 007-13</v>
      </c>
      <c r="B675" s="2">
        <f t="array" ref="B675">INDEX(helper!$A$3:$A3996,ROUNDUP((ROW()-1)/COUNTA(helper!$D$3:$D3996),0))</f>
        <v>45796</v>
      </c>
      <c r="C675" s="5" t="str">
        <f t="array" ref="C675">IF(B675="","",INDEX(helper!$D$3:$D3996,MOD(ROW()-2,COUNTA(helper!$D$3:$D3996))+1))</f>
        <v>Vglobal</v>
      </c>
      <c r="D675" s="3" t="str">
        <f t="array" ref="D675">IF(B675="","",INDEX(helper!$E$3:$E3996,MOD(ROW()-2,COUNTA(helper!$D$3:$D3996))+1))</f>
        <v>CS 007</v>
      </c>
      <c r="E675" s="3">
        <f t="array" ref="E675">IF(B675="","",INDEX(helper!$F$3:$F3996,MOD(ROW()-2,COUNTA(helper!$D$3:$D3996))+1))</f>
        <v>13</v>
      </c>
      <c r="F675" s="3">
        <f>IF(B675="","",SUMIFS('inventory ledger'!$H:$H,'inventory ledger'!$C:$C,C675,'inventory ledger'!$D:$D,D675,'inventory ledger'!$E:$E,E675,'inventory ledger'!$A:$A,"&lt;="&amp;B675+TIME(23,59,59))-SUMIFS('inventory ledger'!$I:$I,'inventory ledger'!$C:$C,C675,'inventory ledger'!$D:$D,D675,'inventory ledger'!$E:$E,E675,'inventory ledger'!$A:$A,"&lt;="&amp;B675+TIME(23,59,59)))</f>
        <v>45</v>
      </c>
      <c r="G675" s="3">
        <f>IFERROR(__xludf.DUMMYFUNCTION("IF(F675&lt;=0,0,IFERROR(ROUNDUP(F675/INDEX(FILTER('warehouse config'!$D:$D,('warehouse config'!$B:$B=C675)*('warehouse config'!$C:$C=D675)*('warehouse config'!$G:$G&lt;=B675)*(('warehouse config'!$H:$H&gt;=B675)+ISBLANK('warehouse config'!$H:$H))),1)),0))"),3.0)</f>
        <v>3</v>
      </c>
      <c r="H675" s="3">
        <f>IFERROR(__xludf.DUMMYFUNCTION("IFERROR(INDEX(FILTER('cost master'!$E:$E,('cost master'!$B:$B=C675)*('cost master'!$D:$D=""Storage cost per pallet / week"")*('cost master'!$G:$G&lt;=B675)*(('cost master'!$H:$H&gt;=B675)+ISBLANK('cost master'!$H:$H))),1),0)"),2.6)</f>
        <v>2.6</v>
      </c>
      <c r="I675" s="3">
        <f t="shared" si="4"/>
        <v>7.8</v>
      </c>
      <c r="J675" s="27">
        <f t="shared" si="5"/>
        <v>45793</v>
      </c>
      <c r="K675" s="27">
        <f t="shared" si="6"/>
        <v>45823</v>
      </c>
    </row>
    <row r="676" hidden="1">
      <c r="A676" s="3" t="str">
        <f t="shared" si="3"/>
        <v>SL-20250519-Vglobal-CS 011-13</v>
      </c>
      <c r="B676" s="2">
        <f t="array" ref="B676">INDEX(helper!$A$3:$A3996,ROUNDUP((ROW()-1)/COUNTA(helper!$D$3:$D3996),0))</f>
        <v>45796</v>
      </c>
      <c r="C676" s="5" t="str">
        <f t="array" ref="C676">IF(B676="","",INDEX(helper!$D$3:$D3996,MOD(ROW()-2,COUNTA(helper!$D$3:$D3996))+1))</f>
        <v>Vglobal</v>
      </c>
      <c r="D676" s="3" t="str">
        <f t="array" ref="D676">IF(B676="","",INDEX(helper!$E$3:$E3996,MOD(ROW()-2,COUNTA(helper!$D$3:$D3996))+1))</f>
        <v>CS 011</v>
      </c>
      <c r="E676" s="3">
        <f t="array" ref="E676">IF(B676="","",INDEX(helper!$F$3:$F3996,MOD(ROW()-2,COUNTA(helper!$D$3:$D3996))+1))</f>
        <v>13</v>
      </c>
      <c r="F676" s="3">
        <f>IF(B676="","",SUMIFS('inventory ledger'!$H:$H,'inventory ledger'!$C:$C,C676,'inventory ledger'!$D:$D,D676,'inventory ledger'!$E:$E,E676,'inventory ledger'!$A:$A,"&lt;="&amp;B676+TIME(23,59,59))-SUMIFS('inventory ledger'!$I:$I,'inventory ledger'!$C:$C,C676,'inventory ledger'!$D:$D,D676,'inventory ledger'!$E:$E,E676,'inventory ledger'!$A:$A,"&lt;="&amp;B676+TIME(23,59,59)))</f>
        <v>0</v>
      </c>
      <c r="G676" s="3">
        <f>IFERROR(__xludf.DUMMYFUNCTION("IF(F676&lt;=0,0,IFERROR(ROUNDUP(F676/INDEX(FILTER('warehouse config'!$D:$D,('warehouse config'!$B:$B=C676)*('warehouse config'!$C:$C=D676)*('warehouse config'!$G:$G&lt;=B676)*(('warehouse config'!$H:$H&gt;=B676)+ISBLANK('warehouse config'!$H:$H))),1)),0))"),0.0)</f>
        <v>0</v>
      </c>
      <c r="H676" s="3">
        <f>IFERROR(__xludf.DUMMYFUNCTION("IFERROR(INDEX(FILTER('cost master'!$E:$E,('cost master'!$B:$B=C676)*('cost master'!$D:$D=""Storage cost per pallet / week"")*('cost master'!$G:$G&lt;=B676)*(('cost master'!$H:$H&gt;=B676)+ISBLANK('cost master'!$H:$H))),1),0)"),2.6)</f>
        <v>2.6</v>
      </c>
      <c r="I676" s="3">
        <f t="shared" si="4"/>
        <v>0</v>
      </c>
      <c r="J676" s="27">
        <f t="shared" si="5"/>
        <v>45793</v>
      </c>
      <c r="K676" s="27">
        <f t="shared" si="6"/>
        <v>45823</v>
      </c>
    </row>
    <row r="677" hidden="1">
      <c r="A677" s="3" t="str">
        <f t="shared" si="3"/>
        <v>SL-20250519-Vglobal-CS 008-13</v>
      </c>
      <c r="B677" s="2">
        <f t="array" ref="B677">INDEX(helper!$A$3:$A3996,ROUNDUP((ROW()-1)/COUNTA(helper!$D$3:$D3996),0))</f>
        <v>45796</v>
      </c>
      <c r="C677" s="5" t="str">
        <f t="array" ref="C677">IF(B677="","",INDEX(helper!$D$3:$D3996,MOD(ROW()-2,COUNTA(helper!$D$3:$D3996))+1))</f>
        <v>Vglobal</v>
      </c>
      <c r="D677" s="3" t="str">
        <f t="array" ref="D677">IF(B677="","",INDEX(helper!$E$3:$E3996,MOD(ROW()-2,COUNTA(helper!$D$3:$D3996))+1))</f>
        <v>CS 008</v>
      </c>
      <c r="E677" s="3">
        <f t="array" ref="E677">IF(B677="","",INDEX(helper!$F$3:$F3996,MOD(ROW()-2,COUNTA(helper!$D$3:$D3996))+1))</f>
        <v>13</v>
      </c>
      <c r="F677" s="3">
        <f>IF(B677="","",SUMIFS('inventory ledger'!$H:$H,'inventory ledger'!$C:$C,C677,'inventory ledger'!$D:$D,D677,'inventory ledger'!$E:$E,E677,'inventory ledger'!$A:$A,"&lt;="&amp;B677+TIME(23,59,59))-SUMIFS('inventory ledger'!$I:$I,'inventory ledger'!$C:$C,C677,'inventory ledger'!$D:$D,D677,'inventory ledger'!$E:$E,E677,'inventory ledger'!$A:$A,"&lt;="&amp;B677+TIME(23,59,59)))</f>
        <v>20</v>
      </c>
      <c r="G677" s="3">
        <f>IFERROR(__xludf.DUMMYFUNCTION("IF(F677&lt;=0,0,IFERROR(ROUNDUP(F677/INDEX(FILTER('warehouse config'!$D:$D,('warehouse config'!$B:$B=C677)*('warehouse config'!$C:$C=D677)*('warehouse config'!$G:$G&lt;=B677)*(('warehouse config'!$H:$H&gt;=B677)+ISBLANK('warehouse config'!$H:$H))),1)),0))"),1.0)</f>
        <v>1</v>
      </c>
      <c r="H677" s="3">
        <f>IFERROR(__xludf.DUMMYFUNCTION("IFERROR(INDEX(FILTER('cost master'!$E:$E,('cost master'!$B:$B=C677)*('cost master'!$D:$D=""Storage cost per pallet / week"")*('cost master'!$G:$G&lt;=B677)*(('cost master'!$H:$H&gt;=B677)+ISBLANK('cost master'!$H:$H))),1),0)"),2.6)</f>
        <v>2.6</v>
      </c>
      <c r="I677" s="3">
        <f t="shared" si="4"/>
        <v>2.6</v>
      </c>
      <c r="J677" s="27">
        <f t="shared" si="5"/>
        <v>45793</v>
      </c>
      <c r="K677" s="27">
        <f t="shared" si="6"/>
        <v>45823</v>
      </c>
    </row>
    <row r="678" hidden="1">
      <c r="A678" s="3" t="str">
        <f t="shared" si="3"/>
        <v>SL-20250519-Vglobal-CS 010-13</v>
      </c>
      <c r="B678" s="2">
        <f t="array" ref="B678">INDEX(helper!$A$3:$A3996,ROUNDUP((ROW()-1)/COUNTA(helper!$D$3:$D3996),0))</f>
        <v>45796</v>
      </c>
      <c r="C678" s="5" t="str">
        <f t="array" ref="C678">IF(B678="","",INDEX(helper!$D$3:$D3996,MOD(ROW()-2,COUNTA(helper!$D$3:$D3996))+1))</f>
        <v>Vglobal</v>
      </c>
      <c r="D678" s="3" t="str">
        <f t="array" ref="D678">IF(B678="","",INDEX(helper!$E$3:$E3996,MOD(ROW()-2,COUNTA(helper!$D$3:$D3996))+1))</f>
        <v>CS 010</v>
      </c>
      <c r="E678" s="3">
        <f t="array" ref="E678">IF(B678="","",INDEX(helper!$F$3:$F3996,MOD(ROW()-2,COUNTA(helper!$D$3:$D3996))+1))</f>
        <v>13</v>
      </c>
      <c r="F678" s="3">
        <f>IF(B678="","",SUMIFS('inventory ledger'!$H:$H,'inventory ledger'!$C:$C,C678,'inventory ledger'!$D:$D,D678,'inventory ledger'!$E:$E,E678,'inventory ledger'!$A:$A,"&lt;="&amp;B678+TIME(23,59,59))-SUMIFS('inventory ledger'!$I:$I,'inventory ledger'!$C:$C,C678,'inventory ledger'!$D:$D,D678,'inventory ledger'!$E:$E,E678,'inventory ledger'!$A:$A,"&lt;="&amp;B678+TIME(23,59,59)))</f>
        <v>80</v>
      </c>
      <c r="G678" s="3">
        <f>IFERROR(__xludf.DUMMYFUNCTION("IF(F678&lt;=0,0,IFERROR(ROUNDUP(F678/INDEX(FILTER('warehouse config'!$D:$D,('warehouse config'!$B:$B=C678)*('warehouse config'!$C:$C=D678)*('warehouse config'!$G:$G&lt;=B678)*(('warehouse config'!$H:$H&gt;=B678)+ISBLANK('warehouse config'!$H:$H))),1)),0))"),4.0)</f>
        <v>4</v>
      </c>
      <c r="H678" s="3">
        <f>IFERROR(__xludf.DUMMYFUNCTION("IFERROR(INDEX(FILTER('cost master'!$E:$E,('cost master'!$B:$B=C678)*('cost master'!$D:$D=""Storage cost per pallet / week"")*('cost master'!$G:$G&lt;=B678)*(('cost master'!$H:$H&gt;=B678)+ISBLANK('cost master'!$H:$H))),1),0)"),2.6)</f>
        <v>2.6</v>
      </c>
      <c r="I678" s="3">
        <f t="shared" si="4"/>
        <v>10.4</v>
      </c>
      <c r="J678" s="27">
        <f t="shared" si="5"/>
        <v>45793</v>
      </c>
      <c r="K678" s="27">
        <f t="shared" si="6"/>
        <v>45823</v>
      </c>
    </row>
    <row r="679" hidden="1">
      <c r="A679" s="3" t="str">
        <f t="shared" si="3"/>
        <v>SL-20250519-Vglobal-CS 009-13</v>
      </c>
      <c r="B679" s="2">
        <f t="array" ref="B679">INDEX(helper!$A$3:$A3996,ROUNDUP((ROW()-1)/COUNTA(helper!$D$3:$D3996),0))</f>
        <v>45796</v>
      </c>
      <c r="C679" s="5" t="str">
        <f t="array" ref="C679">IF(B679="","",INDEX(helper!$D$3:$D3996,MOD(ROW()-2,COUNTA(helper!$D$3:$D3996))+1))</f>
        <v>Vglobal</v>
      </c>
      <c r="D679" s="3" t="str">
        <f t="array" ref="D679">IF(B679="","",INDEX(helper!$E$3:$E3996,MOD(ROW()-2,COUNTA(helper!$D$3:$D3996))+1))</f>
        <v>CS 009</v>
      </c>
      <c r="E679" s="3">
        <f t="array" ref="E679">IF(B679="","",INDEX(helper!$F$3:$F3996,MOD(ROW()-2,COUNTA(helper!$D$3:$D3996))+1))</f>
        <v>13</v>
      </c>
      <c r="F679" s="3">
        <f>IF(B679="","",SUMIFS('inventory ledger'!$H:$H,'inventory ledger'!$C:$C,C679,'inventory ledger'!$D:$D,D679,'inventory ledger'!$E:$E,E679,'inventory ledger'!$A:$A,"&lt;="&amp;B679+TIME(23,59,59))-SUMIFS('inventory ledger'!$I:$I,'inventory ledger'!$C:$C,C679,'inventory ledger'!$D:$D,D679,'inventory ledger'!$E:$E,E679,'inventory ledger'!$A:$A,"&lt;="&amp;B679+TIME(23,59,59)))</f>
        <v>0</v>
      </c>
      <c r="G679" s="3">
        <f>IFERROR(__xludf.DUMMYFUNCTION("IF(F679&lt;=0,0,IFERROR(ROUNDUP(F679/INDEX(FILTER('warehouse config'!$D:$D,('warehouse config'!$B:$B=C679)*('warehouse config'!$C:$C=D679)*('warehouse config'!$G:$G&lt;=B679)*(('warehouse config'!$H:$H&gt;=B679)+ISBLANK('warehouse config'!$H:$H))),1)),0))"),0.0)</f>
        <v>0</v>
      </c>
      <c r="H679" s="3">
        <f>IFERROR(__xludf.DUMMYFUNCTION("IFERROR(INDEX(FILTER('cost master'!$E:$E,('cost master'!$B:$B=C679)*('cost master'!$D:$D=""Storage cost per pallet / week"")*('cost master'!$G:$G&lt;=B679)*(('cost master'!$H:$H&gt;=B679)+ISBLANK('cost master'!$H:$H))),1),0)"),2.6)</f>
        <v>2.6</v>
      </c>
      <c r="I679" s="3">
        <f t="shared" si="4"/>
        <v>0</v>
      </c>
      <c r="J679" s="27">
        <f t="shared" si="5"/>
        <v>45793</v>
      </c>
      <c r="K679" s="27">
        <f t="shared" si="6"/>
        <v>45823</v>
      </c>
    </row>
    <row r="680" hidden="1">
      <c r="A680" s="3" t="str">
        <f t="shared" si="3"/>
        <v>SL-20250519-Vglobal-CS 012-13</v>
      </c>
      <c r="B680" s="2">
        <f t="array" ref="B680">INDEX(helper!$A$3:$A3996,ROUNDUP((ROW()-1)/COUNTA(helper!$D$3:$D3996),0))</f>
        <v>45796</v>
      </c>
      <c r="C680" s="5" t="str">
        <f t="array" ref="C680">IF(B680="","",INDEX(helper!$D$3:$D3996,MOD(ROW()-2,COUNTA(helper!$D$3:$D3996))+1))</f>
        <v>Vglobal</v>
      </c>
      <c r="D680" s="3" t="str">
        <f t="array" ref="D680">IF(B680="","",INDEX(helper!$E$3:$E3996,MOD(ROW()-2,COUNTA(helper!$D$3:$D3996))+1))</f>
        <v>CS 012</v>
      </c>
      <c r="E680" s="3">
        <f t="array" ref="E680">IF(B680="","",INDEX(helper!$F$3:$F3996,MOD(ROW()-2,COUNTA(helper!$D$3:$D3996))+1))</f>
        <v>13</v>
      </c>
      <c r="F680" s="3">
        <f>IF(B680="","",SUMIFS('inventory ledger'!$H:$H,'inventory ledger'!$C:$C,C680,'inventory ledger'!$D:$D,D680,'inventory ledger'!$E:$E,E680,'inventory ledger'!$A:$A,"&lt;="&amp;B680+TIME(23,59,59))-SUMIFS('inventory ledger'!$I:$I,'inventory ledger'!$C:$C,C680,'inventory ledger'!$D:$D,D680,'inventory ledger'!$E:$E,E680,'inventory ledger'!$A:$A,"&lt;="&amp;B680+TIME(23,59,59)))</f>
        <v>0</v>
      </c>
      <c r="G680" s="3">
        <f>IFERROR(__xludf.DUMMYFUNCTION("IF(F680&lt;=0,0,IFERROR(ROUNDUP(F680/INDEX(FILTER('warehouse config'!$D:$D,('warehouse config'!$B:$B=C680)*('warehouse config'!$C:$C=D680)*('warehouse config'!$G:$G&lt;=B680)*(('warehouse config'!$H:$H&gt;=B680)+ISBLANK('warehouse config'!$H:$H))),1)),0))"),0.0)</f>
        <v>0</v>
      </c>
      <c r="H680" s="3">
        <f>IFERROR(__xludf.DUMMYFUNCTION("IFERROR(INDEX(FILTER('cost master'!$E:$E,('cost master'!$B:$B=C680)*('cost master'!$D:$D=""Storage cost per pallet / week"")*('cost master'!$G:$G&lt;=B680)*(('cost master'!$H:$H&gt;=B680)+ISBLANK('cost master'!$H:$H))),1),0)"),2.6)</f>
        <v>2.6</v>
      </c>
      <c r="I680" s="3">
        <f t="shared" si="4"/>
        <v>0</v>
      </c>
      <c r="J680" s="27">
        <f t="shared" si="5"/>
        <v>45793</v>
      </c>
      <c r="K680" s="27">
        <f t="shared" si="6"/>
        <v>45823</v>
      </c>
    </row>
    <row r="681" hidden="1">
      <c r="A681" s="3" t="str">
        <f t="shared" si="3"/>
        <v>SL-20250519-FMC-CS 008-11</v>
      </c>
      <c r="B681" s="2">
        <f t="array" ref="B681">INDEX(helper!$A$3:$A3996,ROUNDUP((ROW()-1)/COUNTA(helper!$D$3:$D3996),0))</f>
        <v>45796</v>
      </c>
      <c r="C681" s="5" t="str">
        <f t="array" ref="C681">IF(B681="","",INDEX(helper!$D$3:$D3996,MOD(ROW()-2,COUNTA(helper!$D$3:$D3996))+1))</f>
        <v>FMC</v>
      </c>
      <c r="D681" s="3" t="str">
        <f t="array" ref="D681">IF(B681="","",INDEX(helper!$E$3:$E3996,MOD(ROW()-2,COUNTA(helper!$D$3:$D3996))+1))</f>
        <v>CS 008</v>
      </c>
      <c r="E681" s="3">
        <f t="array" ref="E681">IF(B681="","",INDEX(helper!$F$3:$F3996,MOD(ROW()-2,COUNTA(helper!$D$3:$D3996))+1))</f>
        <v>11</v>
      </c>
      <c r="F681" s="3">
        <f>IF(B681="","",SUMIFS('inventory ledger'!$H:$H,'inventory ledger'!$C:$C,C681,'inventory ledger'!$D:$D,D681,'inventory ledger'!$E:$E,E681,'inventory ledger'!$A:$A,"&lt;="&amp;B681+TIME(23,59,59))-SUMIFS('inventory ledger'!$I:$I,'inventory ledger'!$C:$C,C681,'inventory ledger'!$D:$D,D681,'inventory ledger'!$E:$E,E681,'inventory ledger'!$A:$A,"&lt;="&amp;B681+TIME(23,59,59)))</f>
        <v>0</v>
      </c>
      <c r="G681" s="3">
        <f>IFERROR(__xludf.DUMMYFUNCTION("IF(F681&lt;=0,0,IFERROR(ROUNDUP(F681/INDEX(FILTER('warehouse config'!$D:$D,('warehouse config'!$B:$B=C681)*('warehouse config'!$C:$C=D681)*('warehouse config'!$G:$G&lt;=B681)*(('warehouse config'!$H:$H&gt;=B681)+ISBLANK('warehouse config'!$H:$H))),1)),0))"),0.0)</f>
        <v>0</v>
      </c>
      <c r="H681" s="3">
        <f>IFERROR(__xludf.DUMMYFUNCTION("IFERROR(INDEX(FILTER('cost master'!$E:$E,('cost master'!$B:$B=C681)*('cost master'!$D:$D=""Storage cost per pallet / week"")*('cost master'!$G:$G&lt;=B681)*(('cost master'!$H:$H&gt;=B681)+ISBLANK('cost master'!$H:$H))),1),0)"),3.9)</f>
        <v>3.9</v>
      </c>
      <c r="I681" s="3">
        <f t="shared" si="4"/>
        <v>0</v>
      </c>
      <c r="J681" s="27">
        <f t="shared" si="5"/>
        <v>45793</v>
      </c>
      <c r="K681" s="27">
        <f t="shared" si="6"/>
        <v>45823</v>
      </c>
    </row>
    <row r="682" hidden="1">
      <c r="A682" s="3" t="str">
        <f t="shared" si="3"/>
        <v>SL-20250526-FMC-CS 007-8</v>
      </c>
      <c r="B682" s="2">
        <f t="array" ref="B682">INDEX(helper!$A$3:$A3996,ROUNDUP((ROW()-1)/COUNTA(helper!$D$3:$D3996),0))</f>
        <v>45803</v>
      </c>
      <c r="C682" s="5" t="str">
        <f t="array" ref="C682">IF(B682="","",INDEX(helper!$D$3:$D3996,MOD(ROW()-2,COUNTA(helper!$D$3:$D3996))+1))</f>
        <v>FMC</v>
      </c>
      <c r="D682" s="3" t="str">
        <f t="array" ref="D682">IF(B682="","",INDEX(helper!$E$3:$E3996,MOD(ROW()-2,COUNTA(helper!$D$3:$D3996))+1))</f>
        <v>CS 007</v>
      </c>
      <c r="E682" s="3">
        <f t="array" ref="E682">IF(B682="","",INDEX(helper!$F$3:$F3996,MOD(ROW()-2,COUNTA(helper!$D$3:$D3996))+1))</f>
        <v>8</v>
      </c>
      <c r="F682" s="3">
        <f>IF(B682="","",SUMIFS('inventory ledger'!$H:$H,'inventory ledger'!$C:$C,C682,'inventory ledger'!$D:$D,D682,'inventory ledger'!$E:$E,E682,'inventory ledger'!$A:$A,"&lt;="&amp;B682+TIME(23,59,59))-SUMIFS('inventory ledger'!$I:$I,'inventory ledger'!$C:$C,C682,'inventory ledger'!$D:$D,D682,'inventory ledger'!$E:$E,E682,'inventory ledger'!$A:$A,"&lt;="&amp;B682+TIME(23,59,59)))</f>
        <v>0</v>
      </c>
      <c r="G682" s="3">
        <f>IFERROR(__xludf.DUMMYFUNCTION("IF(F682&lt;=0,0,IFERROR(ROUNDUP(F682/INDEX(FILTER('warehouse config'!$D:$D,('warehouse config'!$B:$B=C682)*('warehouse config'!$C:$C=D682)*('warehouse config'!$G:$G&lt;=B682)*(('warehouse config'!$H:$H&gt;=B682)+ISBLANK('warehouse config'!$H:$H))),1)),0))"),0.0)</f>
        <v>0</v>
      </c>
      <c r="H682" s="3">
        <f>IFERROR(__xludf.DUMMYFUNCTION("IFERROR(INDEX(FILTER('cost master'!$E:$E,('cost master'!$B:$B=C682)*('cost master'!$D:$D=""Storage cost per pallet / week"")*('cost master'!$G:$G&lt;=B682)*(('cost master'!$H:$H&gt;=B682)+ISBLANK('cost master'!$H:$H))),1),0)"),3.9)</f>
        <v>3.9</v>
      </c>
      <c r="I682" s="3">
        <f t="shared" si="4"/>
        <v>0</v>
      </c>
      <c r="J682" s="27">
        <f t="shared" si="5"/>
        <v>45793</v>
      </c>
      <c r="K682" s="27">
        <f t="shared" si="6"/>
        <v>45823</v>
      </c>
    </row>
    <row r="683" hidden="1">
      <c r="A683" s="3" t="str">
        <f t="shared" si="3"/>
        <v>SL-20250526-FMC-CS 008-8</v>
      </c>
      <c r="B683" s="2">
        <f t="array" ref="B683">INDEX(helper!$A$3:$A3996,ROUNDUP((ROW()-1)/COUNTA(helper!$D$3:$D3996),0))</f>
        <v>45803</v>
      </c>
      <c r="C683" s="5" t="str">
        <f t="array" ref="C683">IF(B683="","",INDEX(helper!$D$3:$D3996,MOD(ROW()-2,COUNTA(helper!$D$3:$D3996))+1))</f>
        <v>FMC</v>
      </c>
      <c r="D683" s="3" t="str">
        <f t="array" ref="D683">IF(B683="","",INDEX(helper!$E$3:$E3996,MOD(ROW()-2,COUNTA(helper!$D$3:$D3996))+1))</f>
        <v>CS 008</v>
      </c>
      <c r="E683" s="3">
        <f t="array" ref="E683">IF(B683="","",INDEX(helper!$F$3:$F3996,MOD(ROW()-2,COUNTA(helper!$D$3:$D3996))+1))</f>
        <v>8</v>
      </c>
      <c r="F683" s="3">
        <f>IF(B683="","",SUMIFS('inventory ledger'!$H:$H,'inventory ledger'!$C:$C,C683,'inventory ledger'!$D:$D,D683,'inventory ledger'!$E:$E,E683,'inventory ledger'!$A:$A,"&lt;="&amp;B683+TIME(23,59,59))-SUMIFS('inventory ledger'!$I:$I,'inventory ledger'!$C:$C,C683,'inventory ledger'!$D:$D,D683,'inventory ledger'!$E:$E,E683,'inventory ledger'!$A:$A,"&lt;="&amp;B683+TIME(23,59,59)))</f>
        <v>0</v>
      </c>
      <c r="G683" s="3">
        <f>IFERROR(__xludf.DUMMYFUNCTION("IF(F683&lt;=0,0,IFERROR(ROUNDUP(F683/INDEX(FILTER('warehouse config'!$D:$D,('warehouse config'!$B:$B=C683)*('warehouse config'!$C:$C=D683)*('warehouse config'!$G:$G&lt;=B683)*(('warehouse config'!$H:$H&gt;=B683)+ISBLANK('warehouse config'!$H:$H))),1)),0))"),0.0)</f>
        <v>0</v>
      </c>
      <c r="H683" s="3">
        <f>IFERROR(__xludf.DUMMYFUNCTION("IFERROR(INDEX(FILTER('cost master'!$E:$E,('cost master'!$B:$B=C683)*('cost master'!$D:$D=""Storage cost per pallet / week"")*('cost master'!$G:$G&lt;=B683)*(('cost master'!$H:$H&gt;=B683)+ISBLANK('cost master'!$H:$H))),1),0)"),3.9)</f>
        <v>3.9</v>
      </c>
      <c r="I683" s="3">
        <f t="shared" si="4"/>
        <v>0</v>
      </c>
      <c r="J683" s="27">
        <f t="shared" si="5"/>
        <v>45793</v>
      </c>
      <c r="K683" s="27">
        <f t="shared" si="6"/>
        <v>45823</v>
      </c>
    </row>
    <row r="684" hidden="1">
      <c r="A684" s="3" t="str">
        <f t="shared" si="3"/>
        <v>SL-20250526-FMC-CS 009-8</v>
      </c>
      <c r="B684" s="2">
        <f t="array" ref="B684">INDEX(helper!$A$3:$A3996,ROUNDUP((ROW()-1)/COUNTA(helper!$D$3:$D3996),0))</f>
        <v>45803</v>
      </c>
      <c r="C684" s="5" t="str">
        <f t="array" ref="C684">IF(B684="","",INDEX(helper!$D$3:$D3996,MOD(ROW()-2,COUNTA(helper!$D$3:$D3996))+1))</f>
        <v>FMC</v>
      </c>
      <c r="D684" s="3" t="str">
        <f t="array" ref="D684">IF(B684="","",INDEX(helper!$E$3:$E3996,MOD(ROW()-2,COUNTA(helper!$D$3:$D3996))+1))</f>
        <v>CS 009</v>
      </c>
      <c r="E684" s="3">
        <f t="array" ref="E684">IF(B684="","",INDEX(helper!$F$3:$F3996,MOD(ROW()-2,COUNTA(helper!$D$3:$D3996))+1))</f>
        <v>8</v>
      </c>
      <c r="F684" s="3">
        <f>IF(B684="","",SUMIFS('inventory ledger'!$H:$H,'inventory ledger'!$C:$C,C684,'inventory ledger'!$D:$D,D684,'inventory ledger'!$E:$E,E684,'inventory ledger'!$A:$A,"&lt;="&amp;B684+TIME(23,59,59))-SUMIFS('inventory ledger'!$I:$I,'inventory ledger'!$C:$C,C684,'inventory ledger'!$D:$D,D684,'inventory ledger'!$E:$E,E684,'inventory ledger'!$A:$A,"&lt;="&amp;B684+TIME(23,59,59)))</f>
        <v>0</v>
      </c>
      <c r="G684" s="3">
        <f>IFERROR(__xludf.DUMMYFUNCTION("IF(F684&lt;=0,0,IFERROR(ROUNDUP(F684/INDEX(FILTER('warehouse config'!$D:$D,('warehouse config'!$B:$B=C684)*('warehouse config'!$C:$C=D684)*('warehouse config'!$G:$G&lt;=B684)*(('warehouse config'!$H:$H&gt;=B684)+ISBLANK('warehouse config'!$H:$H))),1)),0))"),0.0)</f>
        <v>0</v>
      </c>
      <c r="H684" s="3">
        <f>IFERROR(__xludf.DUMMYFUNCTION("IFERROR(INDEX(FILTER('cost master'!$E:$E,('cost master'!$B:$B=C684)*('cost master'!$D:$D=""Storage cost per pallet / week"")*('cost master'!$G:$G&lt;=B684)*(('cost master'!$H:$H&gt;=B684)+ISBLANK('cost master'!$H:$H))),1),0)"),3.9)</f>
        <v>3.9</v>
      </c>
      <c r="I684" s="3">
        <f t="shared" si="4"/>
        <v>0</v>
      </c>
      <c r="J684" s="27">
        <f t="shared" si="5"/>
        <v>45793</v>
      </c>
      <c r="K684" s="27">
        <f t="shared" si="6"/>
        <v>45823</v>
      </c>
    </row>
    <row r="685" hidden="1">
      <c r="A685" s="3" t="str">
        <f t="shared" si="3"/>
        <v>SL-20250526-FMC-CS 010-8</v>
      </c>
      <c r="B685" s="2">
        <f t="array" ref="B685">INDEX(helper!$A$3:$A3996,ROUNDUP((ROW()-1)/COUNTA(helper!$D$3:$D3996),0))</f>
        <v>45803</v>
      </c>
      <c r="C685" s="5" t="str">
        <f t="array" ref="C685">IF(B685="","",INDEX(helper!$D$3:$D3996,MOD(ROW()-2,COUNTA(helper!$D$3:$D3996))+1))</f>
        <v>FMC</v>
      </c>
      <c r="D685" s="3" t="str">
        <f t="array" ref="D685">IF(B685="","",INDEX(helper!$E$3:$E3996,MOD(ROW()-2,COUNTA(helper!$D$3:$D3996))+1))</f>
        <v>CS 010</v>
      </c>
      <c r="E685" s="3">
        <f t="array" ref="E685">IF(B685="","",INDEX(helper!$F$3:$F3996,MOD(ROW()-2,COUNTA(helper!$D$3:$D3996))+1))</f>
        <v>8</v>
      </c>
      <c r="F685" s="3">
        <f>IF(B685="","",SUMIFS('inventory ledger'!$H:$H,'inventory ledger'!$C:$C,C685,'inventory ledger'!$D:$D,D685,'inventory ledger'!$E:$E,E685,'inventory ledger'!$A:$A,"&lt;="&amp;B685+TIME(23,59,59))-SUMIFS('inventory ledger'!$I:$I,'inventory ledger'!$C:$C,C685,'inventory ledger'!$D:$D,D685,'inventory ledger'!$E:$E,E685,'inventory ledger'!$A:$A,"&lt;="&amp;B685+TIME(23,59,59)))</f>
        <v>0</v>
      </c>
      <c r="G685" s="3">
        <f>IFERROR(__xludf.DUMMYFUNCTION("IF(F685&lt;=0,0,IFERROR(ROUNDUP(F685/INDEX(FILTER('warehouse config'!$D:$D,('warehouse config'!$B:$B=C685)*('warehouse config'!$C:$C=D685)*('warehouse config'!$G:$G&lt;=B685)*(('warehouse config'!$H:$H&gt;=B685)+ISBLANK('warehouse config'!$H:$H))),1)),0))"),0.0)</f>
        <v>0</v>
      </c>
      <c r="H685" s="3">
        <f>IFERROR(__xludf.DUMMYFUNCTION("IFERROR(INDEX(FILTER('cost master'!$E:$E,('cost master'!$B:$B=C685)*('cost master'!$D:$D=""Storage cost per pallet / week"")*('cost master'!$G:$G&lt;=B685)*(('cost master'!$H:$H&gt;=B685)+ISBLANK('cost master'!$H:$H))),1),0)"),3.9)</f>
        <v>3.9</v>
      </c>
      <c r="I685" s="3">
        <f t="shared" si="4"/>
        <v>0</v>
      </c>
      <c r="J685" s="27">
        <f t="shared" si="5"/>
        <v>45793</v>
      </c>
      <c r="K685" s="27">
        <f t="shared" si="6"/>
        <v>45823</v>
      </c>
    </row>
    <row r="686" hidden="1">
      <c r="A686" s="3" t="str">
        <f t="shared" si="3"/>
        <v>SL-20250526-FMC-CS 007-9</v>
      </c>
      <c r="B686" s="2">
        <f t="array" ref="B686">INDEX(helper!$A$3:$A3996,ROUNDUP((ROW()-1)/COUNTA(helper!$D$3:$D3996),0))</f>
        <v>45803</v>
      </c>
      <c r="C686" s="5" t="str">
        <f t="array" ref="C686">IF(B686="","",INDEX(helper!$D$3:$D3996,MOD(ROW()-2,COUNTA(helper!$D$3:$D3996))+1))</f>
        <v>FMC</v>
      </c>
      <c r="D686" s="3" t="str">
        <f t="array" ref="D686">IF(B686="","",INDEX(helper!$E$3:$E3996,MOD(ROW()-2,COUNTA(helper!$D$3:$D3996))+1))</f>
        <v>CS 007</v>
      </c>
      <c r="E686" s="3">
        <f t="array" ref="E686">IF(B686="","",INDEX(helper!$F$3:$F3996,MOD(ROW()-2,COUNTA(helper!$D$3:$D3996))+1))</f>
        <v>9</v>
      </c>
      <c r="F686" s="3">
        <f>IF(B686="","",SUMIFS('inventory ledger'!$H:$H,'inventory ledger'!$C:$C,C686,'inventory ledger'!$D:$D,D686,'inventory ledger'!$E:$E,E686,'inventory ledger'!$A:$A,"&lt;="&amp;B686+TIME(23,59,59))-SUMIFS('inventory ledger'!$I:$I,'inventory ledger'!$C:$C,C686,'inventory ledger'!$D:$D,D686,'inventory ledger'!$E:$E,E686,'inventory ledger'!$A:$A,"&lt;="&amp;B686+TIME(23,59,59)))</f>
        <v>0</v>
      </c>
      <c r="G686" s="3">
        <f>IFERROR(__xludf.DUMMYFUNCTION("IF(F686&lt;=0,0,IFERROR(ROUNDUP(F686/INDEX(FILTER('warehouse config'!$D:$D,('warehouse config'!$B:$B=C686)*('warehouse config'!$C:$C=D686)*('warehouse config'!$G:$G&lt;=B686)*(('warehouse config'!$H:$H&gt;=B686)+ISBLANK('warehouse config'!$H:$H))),1)),0))"),0.0)</f>
        <v>0</v>
      </c>
      <c r="H686" s="3">
        <f>IFERROR(__xludf.DUMMYFUNCTION("IFERROR(INDEX(FILTER('cost master'!$E:$E,('cost master'!$B:$B=C686)*('cost master'!$D:$D=""Storage cost per pallet / week"")*('cost master'!$G:$G&lt;=B686)*(('cost master'!$H:$H&gt;=B686)+ISBLANK('cost master'!$H:$H))),1),0)"),3.9)</f>
        <v>3.9</v>
      </c>
      <c r="I686" s="3">
        <f t="shared" si="4"/>
        <v>0</v>
      </c>
      <c r="J686" s="27">
        <f t="shared" si="5"/>
        <v>45793</v>
      </c>
      <c r="K686" s="27">
        <f t="shared" si="6"/>
        <v>45823</v>
      </c>
    </row>
    <row r="687" hidden="1">
      <c r="A687" s="3" t="str">
        <f t="shared" si="3"/>
        <v>SL-20250526-FMC-CS 008-9</v>
      </c>
      <c r="B687" s="2">
        <f t="array" ref="B687">INDEX(helper!$A$3:$A3996,ROUNDUP((ROW()-1)/COUNTA(helper!$D$3:$D3996),0))</f>
        <v>45803</v>
      </c>
      <c r="C687" s="5" t="str">
        <f t="array" ref="C687">IF(B687="","",INDEX(helper!$D$3:$D3996,MOD(ROW()-2,COUNTA(helper!$D$3:$D3996))+1))</f>
        <v>FMC</v>
      </c>
      <c r="D687" s="3" t="str">
        <f t="array" ref="D687">IF(B687="","",INDEX(helper!$E$3:$E3996,MOD(ROW()-2,COUNTA(helper!$D$3:$D3996))+1))</f>
        <v>CS 008</v>
      </c>
      <c r="E687" s="3">
        <f t="array" ref="E687">IF(B687="","",INDEX(helper!$F$3:$F3996,MOD(ROW()-2,COUNTA(helper!$D$3:$D3996))+1))</f>
        <v>9</v>
      </c>
      <c r="F687" s="3">
        <f>IF(B687="","",SUMIFS('inventory ledger'!$H:$H,'inventory ledger'!$C:$C,C687,'inventory ledger'!$D:$D,D687,'inventory ledger'!$E:$E,E687,'inventory ledger'!$A:$A,"&lt;="&amp;B687+TIME(23,59,59))-SUMIFS('inventory ledger'!$I:$I,'inventory ledger'!$C:$C,C687,'inventory ledger'!$D:$D,D687,'inventory ledger'!$E:$E,E687,'inventory ledger'!$A:$A,"&lt;="&amp;B687+TIME(23,59,59)))</f>
        <v>2</v>
      </c>
      <c r="G687" s="3">
        <f>IFERROR(__xludf.DUMMYFUNCTION("IF(F687&lt;=0,0,IFERROR(ROUNDUP(F687/INDEX(FILTER('warehouse config'!$D:$D,('warehouse config'!$B:$B=C687)*('warehouse config'!$C:$C=D687)*('warehouse config'!$G:$G&lt;=B687)*(('warehouse config'!$H:$H&gt;=B687)+ISBLANK('warehouse config'!$H:$H))),1)),0))"),1.0)</f>
        <v>1</v>
      </c>
      <c r="H687" s="3">
        <f>IFERROR(__xludf.DUMMYFUNCTION("IFERROR(INDEX(FILTER('cost master'!$E:$E,('cost master'!$B:$B=C687)*('cost master'!$D:$D=""Storage cost per pallet / week"")*('cost master'!$G:$G&lt;=B687)*(('cost master'!$H:$H&gt;=B687)+ISBLANK('cost master'!$H:$H))),1),0)"),3.9)</f>
        <v>3.9</v>
      </c>
      <c r="I687" s="3">
        <f t="shared" si="4"/>
        <v>3.9</v>
      </c>
      <c r="J687" s="27">
        <f t="shared" si="5"/>
        <v>45793</v>
      </c>
      <c r="K687" s="27">
        <f t="shared" si="6"/>
        <v>45823</v>
      </c>
    </row>
    <row r="688" hidden="1">
      <c r="A688" s="3" t="str">
        <f t="shared" si="3"/>
        <v>SL-20250526-FMC-CS 009-9</v>
      </c>
      <c r="B688" s="2">
        <f t="array" ref="B688">INDEX(helper!$A$3:$A3996,ROUNDUP((ROW()-1)/COUNTA(helper!$D$3:$D3996),0))</f>
        <v>45803</v>
      </c>
      <c r="C688" s="5" t="str">
        <f t="array" ref="C688">IF(B688="","",INDEX(helper!$D$3:$D3996,MOD(ROW()-2,COUNTA(helper!$D$3:$D3996))+1))</f>
        <v>FMC</v>
      </c>
      <c r="D688" s="3" t="str">
        <f t="array" ref="D688">IF(B688="","",INDEX(helper!$E$3:$E3996,MOD(ROW()-2,COUNTA(helper!$D$3:$D3996))+1))</f>
        <v>CS 009</v>
      </c>
      <c r="E688" s="3">
        <f t="array" ref="E688">IF(B688="","",INDEX(helper!$F$3:$F3996,MOD(ROW()-2,COUNTA(helper!$D$3:$D3996))+1))</f>
        <v>9</v>
      </c>
      <c r="F688" s="3">
        <f>IF(B688="","",SUMIFS('inventory ledger'!$H:$H,'inventory ledger'!$C:$C,C688,'inventory ledger'!$D:$D,D688,'inventory ledger'!$E:$E,E688,'inventory ledger'!$A:$A,"&lt;="&amp;B688+TIME(23,59,59))-SUMIFS('inventory ledger'!$I:$I,'inventory ledger'!$C:$C,C688,'inventory ledger'!$D:$D,D688,'inventory ledger'!$E:$E,E688,'inventory ledger'!$A:$A,"&lt;="&amp;B688+TIME(23,59,59)))</f>
        <v>0</v>
      </c>
      <c r="G688" s="3">
        <f>IFERROR(__xludf.DUMMYFUNCTION("IF(F688&lt;=0,0,IFERROR(ROUNDUP(F688/INDEX(FILTER('warehouse config'!$D:$D,('warehouse config'!$B:$B=C688)*('warehouse config'!$C:$C=D688)*('warehouse config'!$G:$G&lt;=B688)*(('warehouse config'!$H:$H&gt;=B688)+ISBLANK('warehouse config'!$H:$H))),1)),0))"),0.0)</f>
        <v>0</v>
      </c>
      <c r="H688" s="3">
        <f>IFERROR(__xludf.DUMMYFUNCTION("IFERROR(INDEX(FILTER('cost master'!$E:$E,('cost master'!$B:$B=C688)*('cost master'!$D:$D=""Storage cost per pallet / week"")*('cost master'!$G:$G&lt;=B688)*(('cost master'!$H:$H&gt;=B688)+ISBLANK('cost master'!$H:$H))),1),0)"),3.9)</f>
        <v>3.9</v>
      </c>
      <c r="I688" s="3">
        <f t="shared" si="4"/>
        <v>0</v>
      </c>
      <c r="J688" s="27">
        <f t="shared" si="5"/>
        <v>45793</v>
      </c>
      <c r="K688" s="27">
        <f t="shared" si="6"/>
        <v>45823</v>
      </c>
    </row>
    <row r="689" hidden="1">
      <c r="A689" s="3" t="str">
        <f t="shared" si="3"/>
        <v>SL-20250526-FMC-CS 010-9</v>
      </c>
      <c r="B689" s="2">
        <f t="array" ref="B689">INDEX(helper!$A$3:$A3996,ROUNDUP((ROW()-1)/COUNTA(helper!$D$3:$D3996),0))</f>
        <v>45803</v>
      </c>
      <c r="C689" s="5" t="str">
        <f t="array" ref="C689">IF(B689="","",INDEX(helper!$D$3:$D3996,MOD(ROW()-2,COUNTA(helper!$D$3:$D3996))+1))</f>
        <v>FMC</v>
      </c>
      <c r="D689" s="3" t="str">
        <f t="array" ref="D689">IF(B689="","",INDEX(helper!$E$3:$E3996,MOD(ROW()-2,COUNTA(helper!$D$3:$D3996))+1))</f>
        <v>CS 010</v>
      </c>
      <c r="E689" s="3">
        <f t="array" ref="E689">IF(B689="","",INDEX(helper!$F$3:$F3996,MOD(ROW()-2,COUNTA(helper!$D$3:$D3996))+1))</f>
        <v>9</v>
      </c>
      <c r="F689" s="3">
        <f>IF(B689="","",SUMIFS('inventory ledger'!$H:$H,'inventory ledger'!$C:$C,C689,'inventory ledger'!$D:$D,D689,'inventory ledger'!$E:$E,E689,'inventory ledger'!$A:$A,"&lt;="&amp;B689+TIME(23,59,59))-SUMIFS('inventory ledger'!$I:$I,'inventory ledger'!$C:$C,C689,'inventory ledger'!$D:$D,D689,'inventory ledger'!$E:$E,E689,'inventory ledger'!$A:$A,"&lt;="&amp;B689+TIME(23,59,59)))</f>
        <v>0</v>
      </c>
      <c r="G689" s="3">
        <f>IFERROR(__xludf.DUMMYFUNCTION("IF(F689&lt;=0,0,IFERROR(ROUNDUP(F689/INDEX(FILTER('warehouse config'!$D:$D,('warehouse config'!$B:$B=C689)*('warehouse config'!$C:$C=D689)*('warehouse config'!$G:$G&lt;=B689)*(('warehouse config'!$H:$H&gt;=B689)+ISBLANK('warehouse config'!$H:$H))),1)),0))"),0.0)</f>
        <v>0</v>
      </c>
      <c r="H689" s="3">
        <f>IFERROR(__xludf.DUMMYFUNCTION("IFERROR(INDEX(FILTER('cost master'!$E:$E,('cost master'!$B:$B=C689)*('cost master'!$D:$D=""Storage cost per pallet / week"")*('cost master'!$G:$G&lt;=B689)*(('cost master'!$H:$H&gt;=B689)+ISBLANK('cost master'!$H:$H))),1),0)"),3.9)</f>
        <v>3.9</v>
      </c>
      <c r="I689" s="3">
        <f t="shared" si="4"/>
        <v>0</v>
      </c>
      <c r="J689" s="27">
        <f t="shared" si="5"/>
        <v>45793</v>
      </c>
      <c r="K689" s="27">
        <f t="shared" si="6"/>
        <v>45823</v>
      </c>
    </row>
    <row r="690" hidden="1">
      <c r="A690" s="3" t="str">
        <f t="shared" si="3"/>
        <v>SL-20250526-FMC-CS-CDS-001-9</v>
      </c>
      <c r="B690" s="2">
        <f t="array" ref="B690">INDEX(helper!$A$3:$A3996,ROUNDUP((ROW()-1)/COUNTA(helper!$D$3:$D3996),0))</f>
        <v>45803</v>
      </c>
      <c r="C690" s="5" t="str">
        <f t="array" ref="C690">IF(B690="","",INDEX(helper!$D$3:$D3996,MOD(ROW()-2,COUNTA(helper!$D$3:$D3996))+1))</f>
        <v>FMC</v>
      </c>
      <c r="D690" s="3" t="str">
        <f t="array" ref="D690">IF(B690="","",INDEX(helper!$E$3:$E3996,MOD(ROW()-2,COUNTA(helper!$D$3:$D3996))+1))</f>
        <v>CS-CDS-001</v>
      </c>
      <c r="E690" s="3">
        <f t="array" ref="E690">IF(B690="","",INDEX(helper!$F$3:$F3996,MOD(ROW()-2,COUNTA(helper!$D$3:$D3996))+1))</f>
        <v>9</v>
      </c>
      <c r="F690" s="3">
        <f>IF(B690="","",SUMIFS('inventory ledger'!$H:$H,'inventory ledger'!$C:$C,C690,'inventory ledger'!$D:$D,D690,'inventory ledger'!$E:$E,E690,'inventory ledger'!$A:$A,"&lt;="&amp;B690+TIME(23,59,59))-SUMIFS('inventory ledger'!$I:$I,'inventory ledger'!$C:$C,C690,'inventory ledger'!$D:$D,D690,'inventory ledger'!$E:$E,E690,'inventory ledger'!$A:$A,"&lt;="&amp;B690+TIME(23,59,59)))</f>
        <v>0</v>
      </c>
      <c r="G690" s="3">
        <f>IFERROR(__xludf.DUMMYFUNCTION("IF(F690&lt;=0,0,IFERROR(ROUNDUP(F690/INDEX(FILTER('warehouse config'!$D:$D,('warehouse config'!$B:$B=C690)*('warehouse config'!$C:$C=D690)*('warehouse config'!$G:$G&lt;=B690)*(('warehouse config'!$H:$H&gt;=B690)+ISBLANK('warehouse config'!$H:$H))),1)),0))"),0.0)</f>
        <v>0</v>
      </c>
      <c r="H690" s="3">
        <f>IFERROR(__xludf.DUMMYFUNCTION("IFERROR(INDEX(FILTER('cost master'!$E:$E,('cost master'!$B:$B=C690)*('cost master'!$D:$D=""Storage cost per pallet / week"")*('cost master'!$G:$G&lt;=B690)*(('cost master'!$H:$H&gt;=B690)+ISBLANK('cost master'!$H:$H))),1),0)"),3.9)</f>
        <v>3.9</v>
      </c>
      <c r="I690" s="3">
        <f t="shared" si="4"/>
        <v>0</v>
      </c>
      <c r="J690" s="27">
        <f t="shared" si="5"/>
        <v>45793</v>
      </c>
      <c r="K690" s="27">
        <f t="shared" si="6"/>
        <v>45823</v>
      </c>
    </row>
    <row r="691" hidden="1">
      <c r="A691" s="3" t="str">
        <f t="shared" si="3"/>
        <v>SL-20250526-FMC-CS-CDS-002-9</v>
      </c>
      <c r="B691" s="2">
        <f t="array" ref="B691">INDEX(helper!$A$3:$A3996,ROUNDUP((ROW()-1)/COUNTA(helper!$D$3:$D3996),0))</f>
        <v>45803</v>
      </c>
      <c r="C691" s="5" t="str">
        <f t="array" ref="C691">IF(B691="","",INDEX(helper!$D$3:$D3996,MOD(ROW()-2,COUNTA(helper!$D$3:$D3996))+1))</f>
        <v>FMC</v>
      </c>
      <c r="D691" s="3" t="str">
        <f t="array" ref="D691">IF(B691="","",INDEX(helper!$E$3:$E3996,MOD(ROW()-2,COUNTA(helper!$D$3:$D3996))+1))</f>
        <v>CS-CDS-002</v>
      </c>
      <c r="E691" s="3">
        <f t="array" ref="E691">IF(B691="","",INDEX(helper!$F$3:$F3996,MOD(ROW()-2,COUNTA(helper!$D$3:$D3996))+1))</f>
        <v>9</v>
      </c>
      <c r="F691" s="3">
        <f>IF(B691="","",SUMIFS('inventory ledger'!$H:$H,'inventory ledger'!$C:$C,C691,'inventory ledger'!$D:$D,D691,'inventory ledger'!$E:$E,E691,'inventory ledger'!$A:$A,"&lt;="&amp;B691+TIME(23,59,59))-SUMIFS('inventory ledger'!$I:$I,'inventory ledger'!$C:$C,C691,'inventory ledger'!$D:$D,D691,'inventory ledger'!$E:$E,E691,'inventory ledger'!$A:$A,"&lt;="&amp;B691+TIME(23,59,59)))</f>
        <v>0</v>
      </c>
      <c r="G691" s="3">
        <f>IFERROR(__xludf.DUMMYFUNCTION("IF(F691&lt;=0,0,IFERROR(ROUNDUP(F691/INDEX(FILTER('warehouse config'!$D:$D,('warehouse config'!$B:$B=C691)*('warehouse config'!$C:$C=D691)*('warehouse config'!$G:$G&lt;=B691)*(('warehouse config'!$H:$H&gt;=B691)+ISBLANK('warehouse config'!$H:$H))),1)),0))"),0.0)</f>
        <v>0</v>
      </c>
      <c r="H691" s="3">
        <f>IFERROR(__xludf.DUMMYFUNCTION("IFERROR(INDEX(FILTER('cost master'!$E:$E,('cost master'!$B:$B=C691)*('cost master'!$D:$D=""Storage cost per pallet / week"")*('cost master'!$G:$G&lt;=B691)*(('cost master'!$H:$H&gt;=B691)+ISBLANK('cost master'!$H:$H))),1),0)"),3.9)</f>
        <v>3.9</v>
      </c>
      <c r="I691" s="3">
        <f t="shared" si="4"/>
        <v>0</v>
      </c>
      <c r="J691" s="27">
        <f t="shared" si="5"/>
        <v>45793</v>
      </c>
      <c r="K691" s="27">
        <f t="shared" si="6"/>
        <v>45823</v>
      </c>
    </row>
    <row r="692" hidden="1">
      <c r="A692" s="3" t="str">
        <f t="shared" si="3"/>
        <v>SL-20250526-FMC-CS 007-10</v>
      </c>
      <c r="B692" s="2">
        <f t="array" ref="B692">INDEX(helper!$A$3:$A3996,ROUNDUP((ROW()-1)/COUNTA(helper!$D$3:$D3996),0))</f>
        <v>45803</v>
      </c>
      <c r="C692" s="5" t="str">
        <f t="array" ref="C692">IF(B692="","",INDEX(helper!$D$3:$D3996,MOD(ROW()-2,COUNTA(helper!$D$3:$D3996))+1))</f>
        <v>FMC</v>
      </c>
      <c r="D692" s="3" t="str">
        <f t="array" ref="D692">IF(B692="","",INDEX(helper!$E$3:$E3996,MOD(ROW()-2,COUNTA(helper!$D$3:$D3996))+1))</f>
        <v>CS 007</v>
      </c>
      <c r="E692" s="3">
        <f t="array" ref="E692">IF(B692="","",INDEX(helper!$F$3:$F3996,MOD(ROW()-2,COUNTA(helper!$D$3:$D3996))+1))</f>
        <v>10</v>
      </c>
      <c r="F692" s="3">
        <f>IF(B692="","",SUMIFS('inventory ledger'!$H:$H,'inventory ledger'!$C:$C,C692,'inventory ledger'!$D:$D,D692,'inventory ledger'!$E:$E,E692,'inventory ledger'!$A:$A,"&lt;="&amp;B692+TIME(23,59,59))-SUMIFS('inventory ledger'!$I:$I,'inventory ledger'!$C:$C,C692,'inventory ledger'!$D:$D,D692,'inventory ledger'!$E:$E,E692,'inventory ledger'!$A:$A,"&lt;="&amp;B692+TIME(23,59,59)))</f>
        <v>0</v>
      </c>
      <c r="G692" s="3">
        <f>IFERROR(__xludf.DUMMYFUNCTION("IF(F692&lt;=0,0,IFERROR(ROUNDUP(F692/INDEX(FILTER('warehouse config'!$D:$D,('warehouse config'!$B:$B=C692)*('warehouse config'!$C:$C=D692)*('warehouse config'!$G:$G&lt;=B692)*(('warehouse config'!$H:$H&gt;=B692)+ISBLANK('warehouse config'!$H:$H))),1)),0))"),0.0)</f>
        <v>0</v>
      </c>
      <c r="H692" s="3">
        <f>IFERROR(__xludf.DUMMYFUNCTION("IFERROR(INDEX(FILTER('cost master'!$E:$E,('cost master'!$B:$B=C692)*('cost master'!$D:$D=""Storage cost per pallet / week"")*('cost master'!$G:$G&lt;=B692)*(('cost master'!$H:$H&gt;=B692)+ISBLANK('cost master'!$H:$H))),1),0)"),3.9)</f>
        <v>3.9</v>
      </c>
      <c r="I692" s="3">
        <f t="shared" si="4"/>
        <v>0</v>
      </c>
      <c r="J692" s="27">
        <f t="shared" si="5"/>
        <v>45793</v>
      </c>
      <c r="K692" s="27">
        <f t="shared" si="6"/>
        <v>45823</v>
      </c>
    </row>
    <row r="693" hidden="1">
      <c r="A693" s="3" t="str">
        <f t="shared" si="3"/>
        <v>SL-20250526-FMC-CS 009-10</v>
      </c>
      <c r="B693" s="2">
        <f t="array" ref="B693">INDEX(helper!$A$3:$A3996,ROUNDUP((ROW()-1)/COUNTA(helper!$D$3:$D3996),0))</f>
        <v>45803</v>
      </c>
      <c r="C693" s="5" t="str">
        <f t="array" ref="C693">IF(B693="","",INDEX(helper!$D$3:$D3996,MOD(ROW()-2,COUNTA(helper!$D$3:$D3996))+1))</f>
        <v>FMC</v>
      </c>
      <c r="D693" s="3" t="str">
        <f t="array" ref="D693">IF(B693="","",INDEX(helper!$E$3:$E3996,MOD(ROW()-2,COUNTA(helper!$D$3:$D3996))+1))</f>
        <v>CS 009</v>
      </c>
      <c r="E693" s="3">
        <f t="array" ref="E693">IF(B693="","",INDEX(helper!$F$3:$F3996,MOD(ROW()-2,COUNTA(helper!$D$3:$D3996))+1))</f>
        <v>10</v>
      </c>
      <c r="F693" s="3">
        <f>IF(B693="","",SUMIFS('inventory ledger'!$H:$H,'inventory ledger'!$C:$C,C693,'inventory ledger'!$D:$D,D693,'inventory ledger'!$E:$E,E693,'inventory ledger'!$A:$A,"&lt;="&amp;B693+TIME(23,59,59))-SUMIFS('inventory ledger'!$I:$I,'inventory ledger'!$C:$C,C693,'inventory ledger'!$D:$D,D693,'inventory ledger'!$E:$E,E693,'inventory ledger'!$A:$A,"&lt;="&amp;B693+TIME(23,59,59)))</f>
        <v>0</v>
      </c>
      <c r="G693" s="3">
        <f>IFERROR(__xludf.DUMMYFUNCTION("IF(F693&lt;=0,0,IFERROR(ROUNDUP(F693/INDEX(FILTER('warehouse config'!$D:$D,('warehouse config'!$B:$B=C693)*('warehouse config'!$C:$C=D693)*('warehouse config'!$G:$G&lt;=B693)*(('warehouse config'!$H:$H&gt;=B693)+ISBLANK('warehouse config'!$H:$H))),1)),0))"),0.0)</f>
        <v>0</v>
      </c>
      <c r="H693" s="3">
        <f>IFERROR(__xludf.DUMMYFUNCTION("IFERROR(INDEX(FILTER('cost master'!$E:$E,('cost master'!$B:$B=C693)*('cost master'!$D:$D=""Storage cost per pallet / week"")*('cost master'!$G:$G&lt;=B693)*(('cost master'!$H:$H&gt;=B693)+ISBLANK('cost master'!$H:$H))),1),0)"),3.9)</f>
        <v>3.9</v>
      </c>
      <c r="I693" s="3">
        <f t="shared" si="4"/>
        <v>0</v>
      </c>
      <c r="J693" s="27">
        <f t="shared" si="5"/>
        <v>45793</v>
      </c>
      <c r="K693" s="27">
        <f t="shared" si="6"/>
        <v>45823</v>
      </c>
    </row>
    <row r="694" hidden="1">
      <c r="A694" s="3" t="str">
        <f t="shared" si="3"/>
        <v>SL-20250526-FMC-CS 010-10</v>
      </c>
      <c r="B694" s="2">
        <f t="array" ref="B694">INDEX(helper!$A$3:$A3996,ROUNDUP((ROW()-1)/COUNTA(helper!$D$3:$D3996),0))</f>
        <v>45803</v>
      </c>
      <c r="C694" s="5" t="str">
        <f t="array" ref="C694">IF(B694="","",INDEX(helper!$D$3:$D3996,MOD(ROW()-2,COUNTA(helper!$D$3:$D3996))+1))</f>
        <v>FMC</v>
      </c>
      <c r="D694" s="3" t="str">
        <f t="array" ref="D694">IF(B694="","",INDEX(helper!$E$3:$E3996,MOD(ROW()-2,COUNTA(helper!$D$3:$D3996))+1))</f>
        <v>CS 010</v>
      </c>
      <c r="E694" s="3">
        <f t="array" ref="E694">IF(B694="","",INDEX(helper!$F$3:$F3996,MOD(ROW()-2,COUNTA(helper!$D$3:$D3996))+1))</f>
        <v>10</v>
      </c>
      <c r="F694" s="3">
        <f>IF(B694="","",SUMIFS('inventory ledger'!$H:$H,'inventory ledger'!$C:$C,C694,'inventory ledger'!$D:$D,D694,'inventory ledger'!$E:$E,E694,'inventory ledger'!$A:$A,"&lt;="&amp;B694+TIME(23,59,59))-SUMIFS('inventory ledger'!$I:$I,'inventory ledger'!$C:$C,C694,'inventory ledger'!$D:$D,D694,'inventory ledger'!$E:$E,E694,'inventory ledger'!$A:$A,"&lt;="&amp;B694+TIME(23,59,59)))</f>
        <v>13</v>
      </c>
      <c r="G694" s="3">
        <f>IFERROR(__xludf.DUMMYFUNCTION("IF(F694&lt;=0,0,IFERROR(ROUNDUP(F694/INDEX(FILTER('warehouse config'!$D:$D,('warehouse config'!$B:$B=C694)*('warehouse config'!$C:$C=D694)*('warehouse config'!$G:$G&lt;=B694)*(('warehouse config'!$H:$H&gt;=B694)+ISBLANK('warehouse config'!$H:$H))),1)),0))"),1.0)</f>
        <v>1</v>
      </c>
      <c r="H694" s="3">
        <f>IFERROR(__xludf.DUMMYFUNCTION("IFERROR(INDEX(FILTER('cost master'!$E:$E,('cost master'!$B:$B=C694)*('cost master'!$D:$D=""Storage cost per pallet / week"")*('cost master'!$G:$G&lt;=B694)*(('cost master'!$H:$H&gt;=B694)+ISBLANK('cost master'!$H:$H))),1),0)"),3.9)</f>
        <v>3.9</v>
      </c>
      <c r="I694" s="3">
        <f t="shared" si="4"/>
        <v>3.9</v>
      </c>
      <c r="J694" s="27">
        <f t="shared" si="5"/>
        <v>45793</v>
      </c>
      <c r="K694" s="27">
        <f t="shared" si="6"/>
        <v>45823</v>
      </c>
    </row>
    <row r="695" hidden="1">
      <c r="A695" s="3" t="str">
        <f t="shared" si="3"/>
        <v>SL-20250526-FMC-CS-CDS-001-10</v>
      </c>
      <c r="B695" s="2">
        <f t="array" ref="B695">INDEX(helper!$A$3:$A3996,ROUNDUP((ROW()-1)/COUNTA(helper!$D$3:$D3996),0))</f>
        <v>45803</v>
      </c>
      <c r="C695" s="5" t="str">
        <f t="array" ref="C695">IF(B695="","",INDEX(helper!$D$3:$D3996,MOD(ROW()-2,COUNTA(helper!$D$3:$D3996))+1))</f>
        <v>FMC</v>
      </c>
      <c r="D695" s="3" t="str">
        <f t="array" ref="D695">IF(B695="","",INDEX(helper!$E$3:$E3996,MOD(ROW()-2,COUNTA(helper!$D$3:$D3996))+1))</f>
        <v>CS-CDS-001</v>
      </c>
      <c r="E695" s="3">
        <f t="array" ref="E695">IF(B695="","",INDEX(helper!$F$3:$F3996,MOD(ROW()-2,COUNTA(helper!$D$3:$D3996))+1))</f>
        <v>10</v>
      </c>
      <c r="F695" s="3">
        <f>IF(B695="","",SUMIFS('inventory ledger'!$H:$H,'inventory ledger'!$C:$C,C695,'inventory ledger'!$D:$D,D695,'inventory ledger'!$E:$E,E695,'inventory ledger'!$A:$A,"&lt;="&amp;B695+TIME(23,59,59))-SUMIFS('inventory ledger'!$I:$I,'inventory ledger'!$C:$C,C695,'inventory ledger'!$D:$D,D695,'inventory ledger'!$E:$E,E695,'inventory ledger'!$A:$A,"&lt;="&amp;B695+TIME(23,59,59)))</f>
        <v>0</v>
      </c>
      <c r="G695" s="3">
        <f>IFERROR(__xludf.DUMMYFUNCTION("IF(F695&lt;=0,0,IFERROR(ROUNDUP(F695/INDEX(FILTER('warehouse config'!$D:$D,('warehouse config'!$B:$B=C695)*('warehouse config'!$C:$C=D695)*('warehouse config'!$G:$G&lt;=B695)*(('warehouse config'!$H:$H&gt;=B695)+ISBLANK('warehouse config'!$H:$H))),1)),0))"),0.0)</f>
        <v>0</v>
      </c>
      <c r="H695" s="3">
        <f>IFERROR(__xludf.DUMMYFUNCTION("IFERROR(INDEX(FILTER('cost master'!$E:$E,('cost master'!$B:$B=C695)*('cost master'!$D:$D=""Storage cost per pallet / week"")*('cost master'!$G:$G&lt;=B695)*(('cost master'!$H:$H&gt;=B695)+ISBLANK('cost master'!$H:$H))),1),0)"),3.9)</f>
        <v>3.9</v>
      </c>
      <c r="I695" s="3">
        <f t="shared" si="4"/>
        <v>0</v>
      </c>
      <c r="J695" s="27">
        <f t="shared" si="5"/>
        <v>45793</v>
      </c>
      <c r="K695" s="27">
        <f t="shared" si="6"/>
        <v>45823</v>
      </c>
    </row>
    <row r="696" hidden="1">
      <c r="A696" s="3" t="str">
        <f t="shared" si="3"/>
        <v>SL-20250526-FMC-CS 007-11</v>
      </c>
      <c r="B696" s="2">
        <f t="array" ref="B696">INDEX(helper!$A$3:$A3996,ROUNDUP((ROW()-1)/COUNTA(helper!$D$3:$D3996),0))</f>
        <v>45803</v>
      </c>
      <c r="C696" s="5" t="str">
        <f t="array" ref="C696">IF(B696="","",INDEX(helper!$D$3:$D3996,MOD(ROW()-2,COUNTA(helper!$D$3:$D3996))+1))</f>
        <v>FMC</v>
      </c>
      <c r="D696" s="3" t="str">
        <f t="array" ref="D696">IF(B696="","",INDEX(helper!$E$3:$E3996,MOD(ROW()-2,COUNTA(helper!$D$3:$D3996))+1))</f>
        <v>CS 007</v>
      </c>
      <c r="E696" s="3">
        <f t="array" ref="E696">IF(B696="","",INDEX(helper!$F$3:$F3996,MOD(ROW()-2,COUNTA(helper!$D$3:$D3996))+1))</f>
        <v>11</v>
      </c>
      <c r="F696" s="3">
        <f>IF(B696="","",SUMIFS('inventory ledger'!$H:$H,'inventory ledger'!$C:$C,C696,'inventory ledger'!$D:$D,D696,'inventory ledger'!$E:$E,E696,'inventory ledger'!$A:$A,"&lt;="&amp;B696+TIME(23,59,59))-SUMIFS('inventory ledger'!$I:$I,'inventory ledger'!$C:$C,C696,'inventory ledger'!$D:$D,D696,'inventory ledger'!$E:$E,E696,'inventory ledger'!$A:$A,"&lt;="&amp;B696+TIME(23,59,59)))</f>
        <v>0</v>
      </c>
      <c r="G696" s="3">
        <f>IFERROR(__xludf.DUMMYFUNCTION("IF(F696&lt;=0,0,IFERROR(ROUNDUP(F696/INDEX(FILTER('warehouse config'!$D:$D,('warehouse config'!$B:$B=C696)*('warehouse config'!$C:$C=D696)*('warehouse config'!$G:$G&lt;=B696)*(('warehouse config'!$H:$H&gt;=B696)+ISBLANK('warehouse config'!$H:$H))),1)),0))"),0.0)</f>
        <v>0</v>
      </c>
      <c r="H696" s="3">
        <f>IFERROR(__xludf.DUMMYFUNCTION("IFERROR(INDEX(FILTER('cost master'!$E:$E,('cost master'!$B:$B=C696)*('cost master'!$D:$D=""Storage cost per pallet / week"")*('cost master'!$G:$G&lt;=B696)*(('cost master'!$H:$H&gt;=B696)+ISBLANK('cost master'!$H:$H))),1),0)"),3.9)</f>
        <v>3.9</v>
      </c>
      <c r="I696" s="3">
        <f t="shared" si="4"/>
        <v>0</v>
      </c>
      <c r="J696" s="27">
        <f t="shared" si="5"/>
        <v>45793</v>
      </c>
      <c r="K696" s="27">
        <f t="shared" si="6"/>
        <v>45823</v>
      </c>
    </row>
    <row r="697" hidden="1">
      <c r="A697" s="3" t="str">
        <f t="shared" si="3"/>
        <v>SL-20250526-FMC-CS 009-11</v>
      </c>
      <c r="B697" s="2">
        <f t="array" ref="B697">INDEX(helper!$A$3:$A3996,ROUNDUP((ROW()-1)/COUNTA(helper!$D$3:$D3996),0))</f>
        <v>45803</v>
      </c>
      <c r="C697" s="5" t="str">
        <f t="array" ref="C697">IF(B697="","",INDEX(helper!$D$3:$D3996,MOD(ROW()-2,COUNTA(helper!$D$3:$D3996))+1))</f>
        <v>FMC</v>
      </c>
      <c r="D697" s="3" t="str">
        <f t="array" ref="D697">IF(B697="","",INDEX(helper!$E$3:$E3996,MOD(ROW()-2,COUNTA(helper!$D$3:$D3996))+1))</f>
        <v>CS 009</v>
      </c>
      <c r="E697" s="3">
        <f t="array" ref="E697">IF(B697="","",INDEX(helper!$F$3:$F3996,MOD(ROW()-2,COUNTA(helper!$D$3:$D3996))+1))</f>
        <v>11</v>
      </c>
      <c r="F697" s="3">
        <f>IF(B697="","",SUMIFS('inventory ledger'!$H:$H,'inventory ledger'!$C:$C,C697,'inventory ledger'!$D:$D,D697,'inventory ledger'!$E:$E,E697,'inventory ledger'!$A:$A,"&lt;="&amp;B697+TIME(23,59,59))-SUMIFS('inventory ledger'!$I:$I,'inventory ledger'!$C:$C,C697,'inventory ledger'!$D:$D,D697,'inventory ledger'!$E:$E,E697,'inventory ledger'!$A:$A,"&lt;="&amp;B697+TIME(23,59,59)))</f>
        <v>0</v>
      </c>
      <c r="G697" s="3">
        <f>IFERROR(__xludf.DUMMYFUNCTION("IF(F697&lt;=0,0,IFERROR(ROUNDUP(F697/INDEX(FILTER('warehouse config'!$D:$D,('warehouse config'!$B:$B=C697)*('warehouse config'!$C:$C=D697)*('warehouse config'!$G:$G&lt;=B697)*(('warehouse config'!$H:$H&gt;=B697)+ISBLANK('warehouse config'!$H:$H))),1)),0))"),0.0)</f>
        <v>0</v>
      </c>
      <c r="H697" s="3">
        <f>IFERROR(__xludf.DUMMYFUNCTION("IFERROR(INDEX(FILTER('cost master'!$E:$E,('cost master'!$B:$B=C697)*('cost master'!$D:$D=""Storage cost per pallet / week"")*('cost master'!$G:$G&lt;=B697)*(('cost master'!$H:$H&gt;=B697)+ISBLANK('cost master'!$H:$H))),1),0)"),3.9)</f>
        <v>3.9</v>
      </c>
      <c r="I697" s="3">
        <f t="shared" si="4"/>
        <v>0</v>
      </c>
      <c r="J697" s="27">
        <f t="shared" si="5"/>
        <v>45793</v>
      </c>
      <c r="K697" s="27">
        <f t="shared" si="6"/>
        <v>45823</v>
      </c>
    </row>
    <row r="698" hidden="1">
      <c r="A698" s="3" t="str">
        <f t="shared" si="3"/>
        <v>SL-20250526-FMC-CS 010-11</v>
      </c>
      <c r="B698" s="2">
        <f t="array" ref="B698">INDEX(helper!$A$3:$A3996,ROUNDUP((ROW()-1)/COUNTA(helper!$D$3:$D3996),0))</f>
        <v>45803</v>
      </c>
      <c r="C698" s="5" t="str">
        <f t="array" ref="C698">IF(B698="","",INDEX(helper!$D$3:$D3996,MOD(ROW()-2,COUNTA(helper!$D$3:$D3996))+1))</f>
        <v>FMC</v>
      </c>
      <c r="D698" s="3" t="str">
        <f t="array" ref="D698">IF(B698="","",INDEX(helper!$E$3:$E3996,MOD(ROW()-2,COUNTA(helper!$D$3:$D3996))+1))</f>
        <v>CS 010</v>
      </c>
      <c r="E698" s="3">
        <f t="array" ref="E698">IF(B698="","",INDEX(helper!$F$3:$F3996,MOD(ROW()-2,COUNTA(helper!$D$3:$D3996))+1))</f>
        <v>11</v>
      </c>
      <c r="F698" s="3">
        <f>IF(B698="","",SUMIFS('inventory ledger'!$H:$H,'inventory ledger'!$C:$C,C698,'inventory ledger'!$D:$D,D698,'inventory ledger'!$E:$E,E698,'inventory ledger'!$A:$A,"&lt;="&amp;B698+TIME(23,59,59))-SUMIFS('inventory ledger'!$I:$I,'inventory ledger'!$C:$C,C698,'inventory ledger'!$D:$D,D698,'inventory ledger'!$E:$E,E698,'inventory ledger'!$A:$A,"&lt;="&amp;B698+TIME(23,59,59)))</f>
        <v>46</v>
      </c>
      <c r="G698" s="3">
        <f>IFERROR(__xludf.DUMMYFUNCTION("IF(F698&lt;=0,0,IFERROR(ROUNDUP(F698/INDEX(FILTER('warehouse config'!$D:$D,('warehouse config'!$B:$B=C698)*('warehouse config'!$C:$C=D698)*('warehouse config'!$G:$G&lt;=B698)*(('warehouse config'!$H:$H&gt;=B698)+ISBLANK('warehouse config'!$H:$H))),1)),0))"),2.0)</f>
        <v>2</v>
      </c>
      <c r="H698" s="3">
        <f>IFERROR(__xludf.DUMMYFUNCTION("IFERROR(INDEX(FILTER('cost master'!$E:$E,('cost master'!$B:$B=C698)*('cost master'!$D:$D=""Storage cost per pallet / week"")*('cost master'!$G:$G&lt;=B698)*(('cost master'!$H:$H&gt;=B698)+ISBLANK('cost master'!$H:$H))),1),0)"),3.9)</f>
        <v>3.9</v>
      </c>
      <c r="I698" s="3">
        <f t="shared" si="4"/>
        <v>7.8</v>
      </c>
      <c r="J698" s="27">
        <f t="shared" si="5"/>
        <v>45793</v>
      </c>
      <c r="K698" s="27">
        <f t="shared" si="6"/>
        <v>45823</v>
      </c>
    </row>
    <row r="699" hidden="1">
      <c r="A699" s="3" t="str">
        <f t="shared" si="3"/>
        <v>SL-20250526-Vglobal-CS 007-12</v>
      </c>
      <c r="B699" s="2">
        <f t="array" ref="B699">INDEX(helper!$A$3:$A3996,ROUNDUP((ROW()-1)/COUNTA(helper!$D$3:$D3996),0))</f>
        <v>45803</v>
      </c>
      <c r="C699" s="5" t="str">
        <f t="array" ref="C699">IF(B699="","",INDEX(helper!$D$3:$D3996,MOD(ROW()-2,COUNTA(helper!$D$3:$D3996))+1))</f>
        <v>Vglobal</v>
      </c>
      <c r="D699" s="3" t="str">
        <f t="array" ref="D699">IF(B699="","",INDEX(helper!$E$3:$E3996,MOD(ROW()-2,COUNTA(helper!$D$3:$D3996))+1))</f>
        <v>CS 007</v>
      </c>
      <c r="E699" s="3">
        <f t="array" ref="E699">IF(B699="","",INDEX(helper!$F$3:$F3996,MOD(ROW()-2,COUNTA(helper!$D$3:$D3996))+1))</f>
        <v>12</v>
      </c>
      <c r="F699" s="3">
        <f>IF(B699="","",SUMIFS('inventory ledger'!$H:$H,'inventory ledger'!$C:$C,C699,'inventory ledger'!$D:$D,D699,'inventory ledger'!$E:$E,E699,'inventory ledger'!$A:$A,"&lt;="&amp;B699+TIME(23,59,59))-SUMIFS('inventory ledger'!$I:$I,'inventory ledger'!$C:$C,C699,'inventory ledger'!$D:$D,D699,'inventory ledger'!$E:$E,E699,'inventory ledger'!$A:$A,"&lt;="&amp;B699+TIME(23,59,59)))</f>
        <v>0</v>
      </c>
      <c r="G699" s="3">
        <f>IFERROR(__xludf.DUMMYFUNCTION("IF(F699&lt;=0,0,IFERROR(ROUNDUP(F699/INDEX(FILTER('warehouse config'!$D:$D,('warehouse config'!$B:$B=C699)*('warehouse config'!$C:$C=D699)*('warehouse config'!$G:$G&lt;=B699)*(('warehouse config'!$H:$H&gt;=B699)+ISBLANK('warehouse config'!$H:$H))),1)),0))"),0.0)</f>
        <v>0</v>
      </c>
      <c r="H699" s="3">
        <f>IFERROR(__xludf.DUMMYFUNCTION("IFERROR(INDEX(FILTER('cost master'!$E:$E,('cost master'!$B:$B=C699)*('cost master'!$D:$D=""Storage cost per pallet / week"")*('cost master'!$G:$G&lt;=B699)*(('cost master'!$H:$H&gt;=B699)+ISBLANK('cost master'!$H:$H))),1),0)"),2.6)</f>
        <v>2.6</v>
      </c>
      <c r="I699" s="3">
        <f t="shared" si="4"/>
        <v>0</v>
      </c>
      <c r="J699" s="27">
        <f t="shared" si="5"/>
        <v>45793</v>
      </c>
      <c r="K699" s="27">
        <f t="shared" si="6"/>
        <v>45823</v>
      </c>
    </row>
    <row r="700" hidden="1">
      <c r="A700" s="3" t="str">
        <f t="shared" si="3"/>
        <v>SL-20250526-Vglobal-CS 011-12</v>
      </c>
      <c r="B700" s="2">
        <f t="array" ref="B700">INDEX(helper!$A$3:$A3996,ROUNDUP((ROW()-1)/COUNTA(helper!$D$3:$D3996),0))</f>
        <v>45803</v>
      </c>
      <c r="C700" s="5" t="str">
        <f t="array" ref="C700">IF(B700="","",INDEX(helper!$D$3:$D3996,MOD(ROW()-2,COUNTA(helper!$D$3:$D3996))+1))</f>
        <v>Vglobal</v>
      </c>
      <c r="D700" s="3" t="str">
        <f t="array" ref="D700">IF(B700="","",INDEX(helper!$E$3:$E3996,MOD(ROW()-2,COUNTA(helper!$D$3:$D3996))+1))</f>
        <v>CS 011</v>
      </c>
      <c r="E700" s="3">
        <f t="array" ref="E700">IF(B700="","",INDEX(helper!$F$3:$F3996,MOD(ROW()-2,COUNTA(helper!$D$3:$D3996))+1))</f>
        <v>12</v>
      </c>
      <c r="F700" s="3">
        <f>IF(B700="","",SUMIFS('inventory ledger'!$H:$H,'inventory ledger'!$C:$C,C700,'inventory ledger'!$D:$D,D700,'inventory ledger'!$E:$E,E700,'inventory ledger'!$A:$A,"&lt;="&amp;B700+TIME(23,59,59))-SUMIFS('inventory ledger'!$I:$I,'inventory ledger'!$C:$C,C700,'inventory ledger'!$D:$D,D700,'inventory ledger'!$E:$E,E700,'inventory ledger'!$A:$A,"&lt;="&amp;B700+TIME(23,59,59)))</f>
        <v>0</v>
      </c>
      <c r="G700" s="3">
        <f>IFERROR(__xludf.DUMMYFUNCTION("IF(F700&lt;=0,0,IFERROR(ROUNDUP(F700/INDEX(FILTER('warehouse config'!$D:$D,('warehouse config'!$B:$B=C700)*('warehouse config'!$C:$C=D700)*('warehouse config'!$G:$G&lt;=B700)*(('warehouse config'!$H:$H&gt;=B700)+ISBLANK('warehouse config'!$H:$H))),1)),0))"),0.0)</f>
        <v>0</v>
      </c>
      <c r="H700" s="3">
        <f>IFERROR(__xludf.DUMMYFUNCTION("IFERROR(INDEX(FILTER('cost master'!$E:$E,('cost master'!$B:$B=C700)*('cost master'!$D:$D=""Storage cost per pallet / week"")*('cost master'!$G:$G&lt;=B700)*(('cost master'!$H:$H&gt;=B700)+ISBLANK('cost master'!$H:$H))),1),0)"),2.6)</f>
        <v>2.6</v>
      </c>
      <c r="I700" s="3">
        <f t="shared" si="4"/>
        <v>0</v>
      </c>
      <c r="J700" s="27">
        <f t="shared" si="5"/>
        <v>45793</v>
      </c>
      <c r="K700" s="27">
        <f t="shared" si="6"/>
        <v>45823</v>
      </c>
    </row>
    <row r="701" hidden="1">
      <c r="A701" s="3" t="str">
        <f t="shared" si="3"/>
        <v>SL-20250526-Vglobal-CS 008-12</v>
      </c>
      <c r="B701" s="2">
        <f t="array" ref="B701">INDEX(helper!$A$3:$A3996,ROUNDUP((ROW()-1)/COUNTA(helper!$D$3:$D3996),0))</f>
        <v>45803</v>
      </c>
      <c r="C701" s="5" t="str">
        <f t="array" ref="C701">IF(B701="","",INDEX(helper!$D$3:$D3996,MOD(ROW()-2,COUNTA(helper!$D$3:$D3996))+1))</f>
        <v>Vglobal</v>
      </c>
      <c r="D701" s="3" t="str">
        <f t="array" ref="D701">IF(B701="","",INDEX(helper!$E$3:$E3996,MOD(ROW()-2,COUNTA(helper!$D$3:$D3996))+1))</f>
        <v>CS 008</v>
      </c>
      <c r="E701" s="3">
        <f t="array" ref="E701">IF(B701="","",INDEX(helper!$F$3:$F3996,MOD(ROW()-2,COUNTA(helper!$D$3:$D3996))+1))</f>
        <v>12</v>
      </c>
      <c r="F701" s="3">
        <f>IF(B701="","",SUMIFS('inventory ledger'!$H:$H,'inventory ledger'!$C:$C,C701,'inventory ledger'!$D:$D,D701,'inventory ledger'!$E:$E,E701,'inventory ledger'!$A:$A,"&lt;="&amp;B701+TIME(23,59,59))-SUMIFS('inventory ledger'!$I:$I,'inventory ledger'!$C:$C,C701,'inventory ledger'!$D:$D,D701,'inventory ledger'!$E:$E,E701,'inventory ledger'!$A:$A,"&lt;="&amp;B701+TIME(23,59,59)))</f>
        <v>0</v>
      </c>
      <c r="G701" s="3">
        <f>IFERROR(__xludf.DUMMYFUNCTION("IF(F701&lt;=0,0,IFERROR(ROUNDUP(F701/INDEX(FILTER('warehouse config'!$D:$D,('warehouse config'!$B:$B=C701)*('warehouse config'!$C:$C=D701)*('warehouse config'!$G:$G&lt;=B701)*(('warehouse config'!$H:$H&gt;=B701)+ISBLANK('warehouse config'!$H:$H))),1)),0))"),0.0)</f>
        <v>0</v>
      </c>
      <c r="H701" s="3">
        <f>IFERROR(__xludf.DUMMYFUNCTION("IFERROR(INDEX(FILTER('cost master'!$E:$E,('cost master'!$B:$B=C701)*('cost master'!$D:$D=""Storage cost per pallet / week"")*('cost master'!$G:$G&lt;=B701)*(('cost master'!$H:$H&gt;=B701)+ISBLANK('cost master'!$H:$H))),1),0)"),2.6)</f>
        <v>2.6</v>
      </c>
      <c r="I701" s="3">
        <f t="shared" si="4"/>
        <v>0</v>
      </c>
      <c r="J701" s="27">
        <f t="shared" si="5"/>
        <v>45793</v>
      </c>
      <c r="K701" s="27">
        <f t="shared" si="6"/>
        <v>45823</v>
      </c>
    </row>
    <row r="702" hidden="1">
      <c r="A702" s="3" t="str">
        <f t="shared" si="3"/>
        <v>SL-20250526-Vglobal-CS 010-12</v>
      </c>
      <c r="B702" s="2">
        <f t="array" ref="B702">INDEX(helper!$A$3:$A3996,ROUNDUP((ROW()-1)/COUNTA(helper!$D$3:$D3996),0))</f>
        <v>45803</v>
      </c>
      <c r="C702" s="5" t="str">
        <f t="array" ref="C702">IF(B702="","",INDEX(helper!$D$3:$D3996,MOD(ROW()-2,COUNTA(helper!$D$3:$D3996))+1))</f>
        <v>Vglobal</v>
      </c>
      <c r="D702" s="3" t="str">
        <f t="array" ref="D702">IF(B702="","",INDEX(helper!$E$3:$E3996,MOD(ROW()-2,COUNTA(helper!$D$3:$D3996))+1))</f>
        <v>CS 010</v>
      </c>
      <c r="E702" s="3">
        <f t="array" ref="E702">IF(B702="","",INDEX(helper!$F$3:$F3996,MOD(ROW()-2,COUNTA(helper!$D$3:$D3996))+1))</f>
        <v>12</v>
      </c>
      <c r="F702" s="3">
        <f>IF(B702="","",SUMIFS('inventory ledger'!$H:$H,'inventory ledger'!$C:$C,C702,'inventory ledger'!$D:$D,D702,'inventory ledger'!$E:$E,E702,'inventory ledger'!$A:$A,"&lt;="&amp;B702+TIME(23,59,59))-SUMIFS('inventory ledger'!$I:$I,'inventory ledger'!$C:$C,C702,'inventory ledger'!$D:$D,D702,'inventory ledger'!$E:$E,E702,'inventory ledger'!$A:$A,"&lt;="&amp;B702+TIME(23,59,59)))</f>
        <v>70</v>
      </c>
      <c r="G702" s="3">
        <f>IFERROR(__xludf.DUMMYFUNCTION("IF(F702&lt;=0,0,IFERROR(ROUNDUP(F702/INDEX(FILTER('warehouse config'!$D:$D,('warehouse config'!$B:$B=C702)*('warehouse config'!$C:$C=D702)*('warehouse config'!$G:$G&lt;=B702)*(('warehouse config'!$H:$H&gt;=B702)+ISBLANK('warehouse config'!$H:$H))),1)),0))"),3.0)</f>
        <v>3</v>
      </c>
      <c r="H702" s="3">
        <f>IFERROR(__xludf.DUMMYFUNCTION("IFERROR(INDEX(FILTER('cost master'!$E:$E,('cost master'!$B:$B=C702)*('cost master'!$D:$D=""Storage cost per pallet / week"")*('cost master'!$G:$G&lt;=B702)*(('cost master'!$H:$H&gt;=B702)+ISBLANK('cost master'!$H:$H))),1),0)"),2.6)</f>
        <v>2.6</v>
      </c>
      <c r="I702" s="3">
        <f t="shared" si="4"/>
        <v>7.8</v>
      </c>
      <c r="J702" s="27">
        <f t="shared" si="5"/>
        <v>45793</v>
      </c>
      <c r="K702" s="27">
        <f t="shared" si="6"/>
        <v>45823</v>
      </c>
    </row>
    <row r="703" hidden="1">
      <c r="A703" s="3" t="str">
        <f t="shared" si="3"/>
        <v>SL-20250526-Vglobal-CS 009-12</v>
      </c>
      <c r="B703" s="2">
        <f t="array" ref="B703">INDEX(helper!$A$3:$A3996,ROUNDUP((ROW()-1)/COUNTA(helper!$D$3:$D3996),0))</f>
        <v>45803</v>
      </c>
      <c r="C703" s="5" t="str">
        <f t="array" ref="C703">IF(B703="","",INDEX(helper!$D$3:$D3996,MOD(ROW()-2,COUNTA(helper!$D$3:$D3996))+1))</f>
        <v>Vglobal</v>
      </c>
      <c r="D703" s="3" t="str">
        <f t="array" ref="D703">IF(B703="","",INDEX(helper!$E$3:$E3996,MOD(ROW()-2,COUNTA(helper!$D$3:$D3996))+1))</f>
        <v>CS 009</v>
      </c>
      <c r="E703" s="3">
        <f t="array" ref="E703">IF(B703="","",INDEX(helper!$F$3:$F3996,MOD(ROW()-2,COUNTA(helper!$D$3:$D3996))+1))</f>
        <v>12</v>
      </c>
      <c r="F703" s="3">
        <f>IF(B703="","",SUMIFS('inventory ledger'!$H:$H,'inventory ledger'!$C:$C,C703,'inventory ledger'!$D:$D,D703,'inventory ledger'!$E:$E,E703,'inventory ledger'!$A:$A,"&lt;="&amp;B703+TIME(23,59,59))-SUMIFS('inventory ledger'!$I:$I,'inventory ledger'!$C:$C,C703,'inventory ledger'!$D:$D,D703,'inventory ledger'!$E:$E,E703,'inventory ledger'!$A:$A,"&lt;="&amp;B703+TIME(23,59,59)))</f>
        <v>0</v>
      </c>
      <c r="G703" s="3">
        <f>IFERROR(__xludf.DUMMYFUNCTION("IF(F703&lt;=0,0,IFERROR(ROUNDUP(F703/INDEX(FILTER('warehouse config'!$D:$D,('warehouse config'!$B:$B=C703)*('warehouse config'!$C:$C=D703)*('warehouse config'!$G:$G&lt;=B703)*(('warehouse config'!$H:$H&gt;=B703)+ISBLANK('warehouse config'!$H:$H))),1)),0))"),0.0)</f>
        <v>0</v>
      </c>
      <c r="H703" s="3">
        <f>IFERROR(__xludf.DUMMYFUNCTION("IFERROR(INDEX(FILTER('cost master'!$E:$E,('cost master'!$B:$B=C703)*('cost master'!$D:$D=""Storage cost per pallet / week"")*('cost master'!$G:$G&lt;=B703)*(('cost master'!$H:$H&gt;=B703)+ISBLANK('cost master'!$H:$H))),1),0)"),2.6)</f>
        <v>2.6</v>
      </c>
      <c r="I703" s="3">
        <f t="shared" si="4"/>
        <v>0</v>
      </c>
      <c r="J703" s="27">
        <f t="shared" si="5"/>
        <v>45793</v>
      </c>
      <c r="K703" s="27">
        <f t="shared" si="6"/>
        <v>45823</v>
      </c>
    </row>
    <row r="704" hidden="1">
      <c r="A704" s="3" t="str">
        <f t="shared" si="3"/>
        <v>SL-20250526-Vglobal-CS 012-12</v>
      </c>
      <c r="B704" s="2">
        <f t="array" ref="B704">INDEX(helper!$A$3:$A3996,ROUNDUP((ROW()-1)/COUNTA(helper!$D$3:$D3996),0))</f>
        <v>45803</v>
      </c>
      <c r="C704" s="5" t="str">
        <f t="array" ref="C704">IF(B704="","",INDEX(helper!$D$3:$D3996,MOD(ROW()-2,COUNTA(helper!$D$3:$D3996))+1))</f>
        <v>Vglobal</v>
      </c>
      <c r="D704" s="3" t="str">
        <f t="array" ref="D704">IF(B704="","",INDEX(helper!$E$3:$E3996,MOD(ROW()-2,COUNTA(helper!$D$3:$D3996))+1))</f>
        <v>CS 012</v>
      </c>
      <c r="E704" s="3">
        <f t="array" ref="E704">IF(B704="","",INDEX(helper!$F$3:$F3996,MOD(ROW()-2,COUNTA(helper!$D$3:$D3996))+1))</f>
        <v>12</v>
      </c>
      <c r="F704" s="3">
        <f>IF(B704="","",SUMIFS('inventory ledger'!$H:$H,'inventory ledger'!$C:$C,C704,'inventory ledger'!$D:$D,D704,'inventory ledger'!$E:$E,E704,'inventory ledger'!$A:$A,"&lt;="&amp;B704+TIME(23,59,59))-SUMIFS('inventory ledger'!$I:$I,'inventory ledger'!$C:$C,C704,'inventory ledger'!$D:$D,D704,'inventory ledger'!$E:$E,E704,'inventory ledger'!$A:$A,"&lt;="&amp;B704+TIME(23,59,59)))</f>
        <v>0</v>
      </c>
      <c r="G704" s="3">
        <f>IFERROR(__xludf.DUMMYFUNCTION("IF(F704&lt;=0,0,IFERROR(ROUNDUP(F704/INDEX(FILTER('warehouse config'!$D:$D,('warehouse config'!$B:$B=C704)*('warehouse config'!$C:$C=D704)*('warehouse config'!$G:$G&lt;=B704)*(('warehouse config'!$H:$H&gt;=B704)+ISBLANK('warehouse config'!$H:$H))),1)),0))"),0.0)</f>
        <v>0</v>
      </c>
      <c r="H704" s="3">
        <f>IFERROR(__xludf.DUMMYFUNCTION("IFERROR(INDEX(FILTER('cost master'!$E:$E,('cost master'!$B:$B=C704)*('cost master'!$D:$D=""Storage cost per pallet / week"")*('cost master'!$G:$G&lt;=B704)*(('cost master'!$H:$H&gt;=B704)+ISBLANK('cost master'!$H:$H))),1),0)"),2.6)</f>
        <v>2.6</v>
      </c>
      <c r="I704" s="3">
        <f t="shared" si="4"/>
        <v>0</v>
      </c>
      <c r="J704" s="27">
        <f t="shared" si="5"/>
        <v>45793</v>
      </c>
      <c r="K704" s="27">
        <f t="shared" si="6"/>
        <v>45823</v>
      </c>
    </row>
    <row r="705" hidden="1">
      <c r="A705" s="3" t="str">
        <f t="shared" si="3"/>
        <v>SL-20250526-Vglobal-CS-CDS-001-3</v>
      </c>
      <c r="B705" s="2">
        <f t="array" ref="B705">INDEX(helper!$A$3:$A3996,ROUNDUP((ROW()-1)/COUNTA(helper!$D$3:$D3996),0))</f>
        <v>45803</v>
      </c>
      <c r="C705" s="5" t="str">
        <f t="array" ref="C705">IF(B705="","",INDEX(helper!$D$3:$D3996,MOD(ROW()-2,COUNTA(helper!$D$3:$D3996))+1))</f>
        <v>Vglobal</v>
      </c>
      <c r="D705" s="3" t="str">
        <f t="array" ref="D705">IF(B705="","",INDEX(helper!$E$3:$E3996,MOD(ROW()-2,COUNTA(helper!$D$3:$D3996))+1))</f>
        <v>CS-CDS-001</v>
      </c>
      <c r="E705" s="3">
        <f t="array" ref="E705">IF(B705="","",INDEX(helper!$F$3:$F3996,MOD(ROW()-2,COUNTA(helper!$D$3:$D3996))+1))</f>
        <v>3</v>
      </c>
      <c r="F705" s="3">
        <f>IF(B705="","",SUMIFS('inventory ledger'!$H:$H,'inventory ledger'!$C:$C,C705,'inventory ledger'!$D:$D,D705,'inventory ledger'!$E:$E,E705,'inventory ledger'!$A:$A,"&lt;="&amp;B705+TIME(23,59,59))-SUMIFS('inventory ledger'!$I:$I,'inventory ledger'!$C:$C,C705,'inventory ledger'!$D:$D,D705,'inventory ledger'!$E:$E,E705,'inventory ledger'!$A:$A,"&lt;="&amp;B705+TIME(23,59,59)))</f>
        <v>1</v>
      </c>
      <c r="G705" s="3">
        <f>IFERROR(__xludf.DUMMYFUNCTION("IF(F705&lt;=0,0,IFERROR(ROUNDUP(F705/INDEX(FILTER('warehouse config'!$D:$D,('warehouse config'!$B:$B=C705)*('warehouse config'!$C:$C=D705)*('warehouse config'!$G:$G&lt;=B705)*(('warehouse config'!$H:$H&gt;=B705)+ISBLANK('warehouse config'!$H:$H))),1)),0))"),1.0)</f>
        <v>1</v>
      </c>
      <c r="H705" s="3">
        <f>IFERROR(__xludf.DUMMYFUNCTION("IFERROR(INDEX(FILTER('cost master'!$E:$E,('cost master'!$B:$B=C705)*('cost master'!$D:$D=""Storage cost per pallet / week"")*('cost master'!$G:$G&lt;=B705)*(('cost master'!$H:$H&gt;=B705)+ISBLANK('cost master'!$H:$H))),1),0)"),2.6)</f>
        <v>2.6</v>
      </c>
      <c r="I705" s="3">
        <f t="shared" si="4"/>
        <v>2.6</v>
      </c>
      <c r="J705" s="27">
        <f t="shared" si="5"/>
        <v>45793</v>
      </c>
      <c r="K705" s="27">
        <f t="shared" si="6"/>
        <v>45823</v>
      </c>
    </row>
    <row r="706" hidden="1">
      <c r="A706" s="3" t="str">
        <f t="shared" si="3"/>
        <v>SL-20250526-Vglobal-CS-CDS-002-3</v>
      </c>
      <c r="B706" s="2">
        <f t="array" ref="B706">INDEX(helper!$A$3:$A3996,ROUNDUP((ROW()-1)/COUNTA(helper!$D$3:$D3996),0))</f>
        <v>45803</v>
      </c>
      <c r="C706" s="5" t="str">
        <f t="array" ref="C706">IF(B706="","",INDEX(helper!$D$3:$D3996,MOD(ROW()-2,COUNTA(helper!$D$3:$D3996))+1))</f>
        <v>Vglobal</v>
      </c>
      <c r="D706" s="3" t="str">
        <f t="array" ref="D706">IF(B706="","",INDEX(helper!$E$3:$E3996,MOD(ROW()-2,COUNTA(helper!$D$3:$D3996))+1))</f>
        <v>CS-CDS-002</v>
      </c>
      <c r="E706" s="3">
        <f t="array" ref="E706">IF(B706="","",INDEX(helper!$F$3:$F3996,MOD(ROW()-2,COUNTA(helper!$D$3:$D3996))+1))</f>
        <v>3</v>
      </c>
      <c r="F706" s="3">
        <f>IF(B706="","",SUMIFS('inventory ledger'!$H:$H,'inventory ledger'!$C:$C,C706,'inventory ledger'!$D:$D,D706,'inventory ledger'!$E:$E,E706,'inventory ledger'!$A:$A,"&lt;="&amp;B706+TIME(23,59,59))-SUMIFS('inventory ledger'!$I:$I,'inventory ledger'!$C:$C,C706,'inventory ledger'!$D:$D,D706,'inventory ledger'!$E:$E,E706,'inventory ledger'!$A:$A,"&lt;="&amp;B706+TIME(23,59,59)))</f>
        <v>0</v>
      </c>
      <c r="G706" s="3">
        <f>IFERROR(__xludf.DUMMYFUNCTION("IF(F706&lt;=0,0,IFERROR(ROUNDUP(F706/INDEX(FILTER('warehouse config'!$D:$D,('warehouse config'!$B:$B=C706)*('warehouse config'!$C:$C=D706)*('warehouse config'!$G:$G&lt;=B706)*(('warehouse config'!$H:$H&gt;=B706)+ISBLANK('warehouse config'!$H:$H))),1)),0))"),0.0)</f>
        <v>0</v>
      </c>
      <c r="H706" s="3">
        <f>IFERROR(__xludf.DUMMYFUNCTION("IFERROR(INDEX(FILTER('cost master'!$E:$E,('cost master'!$B:$B=C706)*('cost master'!$D:$D=""Storage cost per pallet / week"")*('cost master'!$G:$G&lt;=B706)*(('cost master'!$H:$H&gt;=B706)+ISBLANK('cost master'!$H:$H))),1),0)"),2.6)</f>
        <v>2.6</v>
      </c>
      <c r="I706" s="3">
        <f t="shared" si="4"/>
        <v>0</v>
      </c>
      <c r="J706" s="27">
        <f t="shared" si="5"/>
        <v>45793</v>
      </c>
      <c r="K706" s="27">
        <f t="shared" si="6"/>
        <v>45823</v>
      </c>
    </row>
    <row r="707" hidden="1">
      <c r="A707" s="3" t="str">
        <f t="shared" si="3"/>
        <v>SL-20250526-4as-CS-CDS-001-4</v>
      </c>
      <c r="B707" s="2">
        <f t="array" ref="B707">INDEX(helper!$A$3:$A3996,ROUNDUP((ROW()-1)/COUNTA(helper!$D$3:$D3996),0))</f>
        <v>45803</v>
      </c>
      <c r="C707" s="5" t="str">
        <f t="array" ref="C707">IF(B707="","",INDEX(helper!$D$3:$D3996,MOD(ROW()-2,COUNTA(helper!$D$3:$D3996))+1))</f>
        <v>4as</v>
      </c>
      <c r="D707" s="3" t="str">
        <f t="array" ref="D707">IF(B707="","",INDEX(helper!$E$3:$E3996,MOD(ROW()-2,COUNTA(helper!$D$3:$D3996))+1))</f>
        <v>CS-CDS-001</v>
      </c>
      <c r="E707" s="3">
        <f t="array" ref="E707">IF(B707="","",INDEX(helper!$F$3:$F3996,MOD(ROW()-2,COUNTA(helper!$D$3:$D3996))+1))</f>
        <v>4</v>
      </c>
      <c r="F707" s="3">
        <f>IF(B707="","",SUMIFS('inventory ledger'!$H:$H,'inventory ledger'!$C:$C,C707,'inventory ledger'!$D:$D,D707,'inventory ledger'!$E:$E,E707,'inventory ledger'!$A:$A,"&lt;="&amp;B707+TIME(23,59,59))-SUMIFS('inventory ledger'!$I:$I,'inventory ledger'!$C:$C,C707,'inventory ledger'!$D:$D,D707,'inventory ledger'!$E:$E,E707,'inventory ledger'!$A:$A,"&lt;="&amp;B707+TIME(23,59,59)))</f>
        <v>28</v>
      </c>
      <c r="G707" s="3">
        <f>IFERROR(__xludf.DUMMYFUNCTION("IF(F707&lt;=0,0,IFERROR(ROUNDUP(F707/INDEX(FILTER('warehouse config'!$D:$D,('warehouse config'!$B:$B=C707)*('warehouse config'!$C:$C=D707)*('warehouse config'!$G:$G&lt;=B707)*(('warehouse config'!$H:$H&gt;=B707)+ISBLANK('warehouse config'!$H:$H))),1)),0))"),2.0)</f>
        <v>2</v>
      </c>
      <c r="H707" s="3">
        <f>IFERROR(__xludf.DUMMYFUNCTION("IFERROR(INDEX(FILTER('cost master'!$E:$E,('cost master'!$B:$B=C707)*('cost master'!$D:$D=""Storage cost per pallet / week"")*('cost master'!$G:$G&lt;=B707)*(('cost master'!$H:$H&gt;=B707)+ISBLANK('cost master'!$H:$H))),1),0)"),9.0)</f>
        <v>9</v>
      </c>
      <c r="I707" s="3">
        <f t="shared" si="4"/>
        <v>18</v>
      </c>
      <c r="J707" s="27">
        <f t="shared" si="5"/>
        <v>45793</v>
      </c>
      <c r="K707" s="27">
        <f t="shared" si="6"/>
        <v>45823</v>
      </c>
    </row>
    <row r="708" hidden="1">
      <c r="A708" s="3" t="str">
        <f t="shared" si="3"/>
        <v>SL-20250526-4as-CS-CDS-002-4</v>
      </c>
      <c r="B708" s="2">
        <f t="array" ref="B708">INDEX(helper!$A$3:$A3996,ROUNDUP((ROW()-1)/COUNTA(helper!$D$3:$D3996),0))</f>
        <v>45803</v>
      </c>
      <c r="C708" s="5" t="str">
        <f t="array" ref="C708">IF(B708="","",INDEX(helper!$D$3:$D3996,MOD(ROW()-2,COUNTA(helper!$D$3:$D3996))+1))</f>
        <v>4as</v>
      </c>
      <c r="D708" s="3" t="str">
        <f t="array" ref="D708">IF(B708="","",INDEX(helper!$E$3:$E3996,MOD(ROW()-2,COUNTA(helper!$D$3:$D3996))+1))</f>
        <v>CS-CDS-002</v>
      </c>
      <c r="E708" s="3">
        <f t="array" ref="E708">IF(B708="","",INDEX(helper!$F$3:$F3996,MOD(ROW()-2,COUNTA(helper!$D$3:$D3996))+1))</f>
        <v>4</v>
      </c>
      <c r="F708" s="3">
        <f>IF(B708="","",SUMIFS('inventory ledger'!$H:$H,'inventory ledger'!$C:$C,C708,'inventory ledger'!$D:$D,D708,'inventory ledger'!$E:$E,E708,'inventory ledger'!$A:$A,"&lt;="&amp;B708+TIME(23,59,59))-SUMIFS('inventory ledger'!$I:$I,'inventory ledger'!$C:$C,C708,'inventory ledger'!$D:$D,D708,'inventory ledger'!$E:$E,E708,'inventory ledger'!$A:$A,"&lt;="&amp;B708+TIME(23,59,59)))</f>
        <v>0</v>
      </c>
      <c r="G708" s="3">
        <f>IFERROR(__xludf.DUMMYFUNCTION("IF(F708&lt;=0,0,IFERROR(ROUNDUP(F708/INDEX(FILTER('warehouse config'!$D:$D,('warehouse config'!$B:$B=C708)*('warehouse config'!$C:$C=D708)*('warehouse config'!$G:$G&lt;=B708)*(('warehouse config'!$H:$H&gt;=B708)+ISBLANK('warehouse config'!$H:$H))),1)),0))"),0.0)</f>
        <v>0</v>
      </c>
      <c r="H708" s="3">
        <f>IFERROR(__xludf.DUMMYFUNCTION("IFERROR(INDEX(FILTER('cost master'!$E:$E,('cost master'!$B:$B=C708)*('cost master'!$D:$D=""Storage cost per pallet / week"")*('cost master'!$G:$G&lt;=B708)*(('cost master'!$H:$H&gt;=B708)+ISBLANK('cost master'!$H:$H))),1),0)"),9.0)</f>
        <v>9</v>
      </c>
      <c r="I708" s="3">
        <f t="shared" si="4"/>
        <v>0</v>
      </c>
      <c r="J708" s="27">
        <f t="shared" si="5"/>
        <v>45793</v>
      </c>
      <c r="K708" s="27">
        <f t="shared" si="6"/>
        <v>45823</v>
      </c>
    </row>
    <row r="709" hidden="1">
      <c r="A709" s="3" t="str">
        <f t="shared" si="3"/>
        <v>SL-20250526-Vglobal-CS 007-13</v>
      </c>
      <c r="B709" s="2">
        <f t="array" ref="B709">INDEX(helper!$A$3:$A3996,ROUNDUP((ROW()-1)/COUNTA(helper!$D$3:$D3996),0))</f>
        <v>45803</v>
      </c>
      <c r="C709" s="5" t="str">
        <f t="array" ref="C709">IF(B709="","",INDEX(helper!$D$3:$D3996,MOD(ROW()-2,COUNTA(helper!$D$3:$D3996))+1))</f>
        <v>Vglobal</v>
      </c>
      <c r="D709" s="3" t="str">
        <f t="array" ref="D709">IF(B709="","",INDEX(helper!$E$3:$E3996,MOD(ROW()-2,COUNTA(helper!$D$3:$D3996))+1))</f>
        <v>CS 007</v>
      </c>
      <c r="E709" s="3">
        <f t="array" ref="E709">IF(B709="","",INDEX(helper!$F$3:$F3996,MOD(ROW()-2,COUNTA(helper!$D$3:$D3996))+1))</f>
        <v>13</v>
      </c>
      <c r="F709" s="3">
        <f>IF(B709="","",SUMIFS('inventory ledger'!$H:$H,'inventory ledger'!$C:$C,C709,'inventory ledger'!$D:$D,D709,'inventory ledger'!$E:$E,E709,'inventory ledger'!$A:$A,"&lt;="&amp;B709+TIME(23,59,59))-SUMIFS('inventory ledger'!$I:$I,'inventory ledger'!$C:$C,C709,'inventory ledger'!$D:$D,D709,'inventory ledger'!$E:$E,E709,'inventory ledger'!$A:$A,"&lt;="&amp;B709+TIME(23,59,59)))</f>
        <v>45</v>
      </c>
      <c r="G709" s="3">
        <f>IFERROR(__xludf.DUMMYFUNCTION("IF(F709&lt;=0,0,IFERROR(ROUNDUP(F709/INDEX(FILTER('warehouse config'!$D:$D,('warehouse config'!$B:$B=C709)*('warehouse config'!$C:$C=D709)*('warehouse config'!$G:$G&lt;=B709)*(('warehouse config'!$H:$H&gt;=B709)+ISBLANK('warehouse config'!$H:$H))),1)),0))"),3.0)</f>
        <v>3</v>
      </c>
      <c r="H709" s="3">
        <f>IFERROR(__xludf.DUMMYFUNCTION("IFERROR(INDEX(FILTER('cost master'!$E:$E,('cost master'!$B:$B=C709)*('cost master'!$D:$D=""Storage cost per pallet / week"")*('cost master'!$G:$G&lt;=B709)*(('cost master'!$H:$H&gt;=B709)+ISBLANK('cost master'!$H:$H))),1),0)"),2.6)</f>
        <v>2.6</v>
      </c>
      <c r="I709" s="3">
        <f t="shared" si="4"/>
        <v>7.8</v>
      </c>
      <c r="J709" s="27">
        <f t="shared" si="5"/>
        <v>45793</v>
      </c>
      <c r="K709" s="27">
        <f t="shared" si="6"/>
        <v>45823</v>
      </c>
    </row>
    <row r="710" hidden="1">
      <c r="A710" s="3" t="str">
        <f t="shared" si="3"/>
        <v>SL-20250526-Vglobal-CS 011-13</v>
      </c>
      <c r="B710" s="2">
        <f t="array" ref="B710">INDEX(helper!$A$3:$A3996,ROUNDUP((ROW()-1)/COUNTA(helper!$D$3:$D3996),0))</f>
        <v>45803</v>
      </c>
      <c r="C710" s="5" t="str">
        <f t="array" ref="C710">IF(B710="","",INDEX(helper!$D$3:$D3996,MOD(ROW()-2,COUNTA(helper!$D$3:$D3996))+1))</f>
        <v>Vglobal</v>
      </c>
      <c r="D710" s="3" t="str">
        <f t="array" ref="D710">IF(B710="","",INDEX(helper!$E$3:$E3996,MOD(ROW()-2,COUNTA(helper!$D$3:$D3996))+1))</f>
        <v>CS 011</v>
      </c>
      <c r="E710" s="3">
        <f t="array" ref="E710">IF(B710="","",INDEX(helper!$F$3:$F3996,MOD(ROW()-2,COUNTA(helper!$D$3:$D3996))+1))</f>
        <v>13</v>
      </c>
      <c r="F710" s="3">
        <f>IF(B710="","",SUMIFS('inventory ledger'!$H:$H,'inventory ledger'!$C:$C,C710,'inventory ledger'!$D:$D,D710,'inventory ledger'!$E:$E,E710,'inventory ledger'!$A:$A,"&lt;="&amp;B710+TIME(23,59,59))-SUMIFS('inventory ledger'!$I:$I,'inventory ledger'!$C:$C,C710,'inventory ledger'!$D:$D,D710,'inventory ledger'!$E:$E,E710,'inventory ledger'!$A:$A,"&lt;="&amp;B710+TIME(23,59,59)))</f>
        <v>0</v>
      </c>
      <c r="G710" s="3">
        <f>IFERROR(__xludf.DUMMYFUNCTION("IF(F710&lt;=0,0,IFERROR(ROUNDUP(F710/INDEX(FILTER('warehouse config'!$D:$D,('warehouse config'!$B:$B=C710)*('warehouse config'!$C:$C=D710)*('warehouse config'!$G:$G&lt;=B710)*(('warehouse config'!$H:$H&gt;=B710)+ISBLANK('warehouse config'!$H:$H))),1)),0))"),0.0)</f>
        <v>0</v>
      </c>
      <c r="H710" s="3">
        <f>IFERROR(__xludf.DUMMYFUNCTION("IFERROR(INDEX(FILTER('cost master'!$E:$E,('cost master'!$B:$B=C710)*('cost master'!$D:$D=""Storage cost per pallet / week"")*('cost master'!$G:$G&lt;=B710)*(('cost master'!$H:$H&gt;=B710)+ISBLANK('cost master'!$H:$H))),1),0)"),2.6)</f>
        <v>2.6</v>
      </c>
      <c r="I710" s="3">
        <f t="shared" si="4"/>
        <v>0</v>
      </c>
      <c r="J710" s="27">
        <f t="shared" si="5"/>
        <v>45793</v>
      </c>
      <c r="K710" s="27">
        <f t="shared" si="6"/>
        <v>45823</v>
      </c>
    </row>
    <row r="711" hidden="1">
      <c r="A711" s="3" t="str">
        <f t="shared" si="3"/>
        <v>SL-20250526-Vglobal-CS 008-13</v>
      </c>
      <c r="B711" s="2">
        <f t="array" ref="B711">INDEX(helper!$A$3:$A3996,ROUNDUP((ROW()-1)/COUNTA(helper!$D$3:$D3996),0))</f>
        <v>45803</v>
      </c>
      <c r="C711" s="5" t="str">
        <f t="array" ref="C711">IF(B711="","",INDEX(helper!$D$3:$D3996,MOD(ROW()-2,COUNTA(helper!$D$3:$D3996))+1))</f>
        <v>Vglobal</v>
      </c>
      <c r="D711" s="3" t="str">
        <f t="array" ref="D711">IF(B711="","",INDEX(helper!$E$3:$E3996,MOD(ROW()-2,COUNTA(helper!$D$3:$D3996))+1))</f>
        <v>CS 008</v>
      </c>
      <c r="E711" s="3">
        <f t="array" ref="E711">IF(B711="","",INDEX(helper!$F$3:$F3996,MOD(ROW()-2,COUNTA(helper!$D$3:$D3996))+1))</f>
        <v>13</v>
      </c>
      <c r="F711" s="3">
        <f>IF(B711="","",SUMIFS('inventory ledger'!$H:$H,'inventory ledger'!$C:$C,C711,'inventory ledger'!$D:$D,D711,'inventory ledger'!$E:$E,E711,'inventory ledger'!$A:$A,"&lt;="&amp;B711+TIME(23,59,59))-SUMIFS('inventory ledger'!$I:$I,'inventory ledger'!$C:$C,C711,'inventory ledger'!$D:$D,D711,'inventory ledger'!$E:$E,E711,'inventory ledger'!$A:$A,"&lt;="&amp;B711+TIME(23,59,59)))</f>
        <v>20</v>
      </c>
      <c r="G711" s="3">
        <f>IFERROR(__xludf.DUMMYFUNCTION("IF(F711&lt;=0,0,IFERROR(ROUNDUP(F711/INDEX(FILTER('warehouse config'!$D:$D,('warehouse config'!$B:$B=C711)*('warehouse config'!$C:$C=D711)*('warehouse config'!$G:$G&lt;=B711)*(('warehouse config'!$H:$H&gt;=B711)+ISBLANK('warehouse config'!$H:$H))),1)),0))"),1.0)</f>
        <v>1</v>
      </c>
      <c r="H711" s="3">
        <f>IFERROR(__xludf.DUMMYFUNCTION("IFERROR(INDEX(FILTER('cost master'!$E:$E,('cost master'!$B:$B=C711)*('cost master'!$D:$D=""Storage cost per pallet / week"")*('cost master'!$G:$G&lt;=B711)*(('cost master'!$H:$H&gt;=B711)+ISBLANK('cost master'!$H:$H))),1),0)"),2.6)</f>
        <v>2.6</v>
      </c>
      <c r="I711" s="3">
        <f t="shared" si="4"/>
        <v>2.6</v>
      </c>
      <c r="J711" s="27">
        <f t="shared" si="5"/>
        <v>45793</v>
      </c>
      <c r="K711" s="27">
        <f t="shared" si="6"/>
        <v>45823</v>
      </c>
    </row>
    <row r="712" hidden="1">
      <c r="A712" s="3" t="str">
        <f t="shared" si="3"/>
        <v>SL-20250526-Vglobal-CS 010-13</v>
      </c>
      <c r="B712" s="2">
        <f t="array" ref="B712">INDEX(helper!$A$3:$A3996,ROUNDUP((ROW()-1)/COUNTA(helper!$D$3:$D3996),0))</f>
        <v>45803</v>
      </c>
      <c r="C712" s="5" t="str">
        <f t="array" ref="C712">IF(B712="","",INDEX(helper!$D$3:$D3996,MOD(ROW()-2,COUNTA(helper!$D$3:$D3996))+1))</f>
        <v>Vglobal</v>
      </c>
      <c r="D712" s="3" t="str">
        <f t="array" ref="D712">IF(B712="","",INDEX(helper!$E$3:$E3996,MOD(ROW()-2,COUNTA(helper!$D$3:$D3996))+1))</f>
        <v>CS 010</v>
      </c>
      <c r="E712" s="3">
        <f t="array" ref="E712">IF(B712="","",INDEX(helper!$F$3:$F3996,MOD(ROW()-2,COUNTA(helper!$D$3:$D3996))+1))</f>
        <v>13</v>
      </c>
      <c r="F712" s="3">
        <f>IF(B712="","",SUMIFS('inventory ledger'!$H:$H,'inventory ledger'!$C:$C,C712,'inventory ledger'!$D:$D,D712,'inventory ledger'!$E:$E,E712,'inventory ledger'!$A:$A,"&lt;="&amp;B712+TIME(23,59,59))-SUMIFS('inventory ledger'!$I:$I,'inventory ledger'!$C:$C,C712,'inventory ledger'!$D:$D,D712,'inventory ledger'!$E:$E,E712,'inventory ledger'!$A:$A,"&lt;="&amp;B712+TIME(23,59,59)))</f>
        <v>80</v>
      </c>
      <c r="G712" s="3">
        <f>IFERROR(__xludf.DUMMYFUNCTION("IF(F712&lt;=0,0,IFERROR(ROUNDUP(F712/INDEX(FILTER('warehouse config'!$D:$D,('warehouse config'!$B:$B=C712)*('warehouse config'!$C:$C=D712)*('warehouse config'!$G:$G&lt;=B712)*(('warehouse config'!$H:$H&gt;=B712)+ISBLANK('warehouse config'!$H:$H))),1)),0))"),4.0)</f>
        <v>4</v>
      </c>
      <c r="H712" s="3">
        <f>IFERROR(__xludf.DUMMYFUNCTION("IFERROR(INDEX(FILTER('cost master'!$E:$E,('cost master'!$B:$B=C712)*('cost master'!$D:$D=""Storage cost per pallet / week"")*('cost master'!$G:$G&lt;=B712)*(('cost master'!$H:$H&gt;=B712)+ISBLANK('cost master'!$H:$H))),1),0)"),2.6)</f>
        <v>2.6</v>
      </c>
      <c r="I712" s="3">
        <f t="shared" si="4"/>
        <v>10.4</v>
      </c>
      <c r="J712" s="27">
        <f t="shared" si="5"/>
        <v>45793</v>
      </c>
      <c r="K712" s="27">
        <f t="shared" si="6"/>
        <v>45823</v>
      </c>
    </row>
    <row r="713" hidden="1">
      <c r="A713" s="3" t="str">
        <f t="shared" si="3"/>
        <v>SL-20250526-Vglobal-CS 009-13</v>
      </c>
      <c r="B713" s="2">
        <f t="array" ref="B713">INDEX(helper!$A$3:$A3996,ROUNDUP((ROW()-1)/COUNTA(helper!$D$3:$D3996),0))</f>
        <v>45803</v>
      </c>
      <c r="C713" s="5" t="str">
        <f t="array" ref="C713">IF(B713="","",INDEX(helper!$D$3:$D3996,MOD(ROW()-2,COUNTA(helper!$D$3:$D3996))+1))</f>
        <v>Vglobal</v>
      </c>
      <c r="D713" s="3" t="str">
        <f t="array" ref="D713">IF(B713="","",INDEX(helper!$E$3:$E3996,MOD(ROW()-2,COUNTA(helper!$D$3:$D3996))+1))</f>
        <v>CS 009</v>
      </c>
      <c r="E713" s="3">
        <f t="array" ref="E713">IF(B713="","",INDEX(helper!$F$3:$F3996,MOD(ROW()-2,COUNTA(helper!$D$3:$D3996))+1))</f>
        <v>13</v>
      </c>
      <c r="F713" s="3">
        <f>IF(B713="","",SUMIFS('inventory ledger'!$H:$H,'inventory ledger'!$C:$C,C713,'inventory ledger'!$D:$D,D713,'inventory ledger'!$E:$E,E713,'inventory ledger'!$A:$A,"&lt;="&amp;B713+TIME(23,59,59))-SUMIFS('inventory ledger'!$I:$I,'inventory ledger'!$C:$C,C713,'inventory ledger'!$D:$D,D713,'inventory ledger'!$E:$E,E713,'inventory ledger'!$A:$A,"&lt;="&amp;B713+TIME(23,59,59)))</f>
        <v>0</v>
      </c>
      <c r="G713" s="3">
        <f>IFERROR(__xludf.DUMMYFUNCTION("IF(F713&lt;=0,0,IFERROR(ROUNDUP(F713/INDEX(FILTER('warehouse config'!$D:$D,('warehouse config'!$B:$B=C713)*('warehouse config'!$C:$C=D713)*('warehouse config'!$G:$G&lt;=B713)*(('warehouse config'!$H:$H&gt;=B713)+ISBLANK('warehouse config'!$H:$H))),1)),0))"),0.0)</f>
        <v>0</v>
      </c>
      <c r="H713" s="3">
        <f>IFERROR(__xludf.DUMMYFUNCTION("IFERROR(INDEX(FILTER('cost master'!$E:$E,('cost master'!$B:$B=C713)*('cost master'!$D:$D=""Storage cost per pallet / week"")*('cost master'!$G:$G&lt;=B713)*(('cost master'!$H:$H&gt;=B713)+ISBLANK('cost master'!$H:$H))),1),0)"),2.6)</f>
        <v>2.6</v>
      </c>
      <c r="I713" s="3">
        <f t="shared" si="4"/>
        <v>0</v>
      </c>
      <c r="J713" s="27">
        <f t="shared" si="5"/>
        <v>45793</v>
      </c>
      <c r="K713" s="27">
        <f t="shared" si="6"/>
        <v>45823</v>
      </c>
    </row>
    <row r="714" hidden="1">
      <c r="A714" s="3" t="str">
        <f t="shared" si="3"/>
        <v>SL-20250526-Vglobal-CS 012-13</v>
      </c>
      <c r="B714" s="2">
        <f t="array" ref="B714">INDEX(helper!$A$3:$A3996,ROUNDUP((ROW()-1)/COUNTA(helper!$D$3:$D3996),0))</f>
        <v>45803</v>
      </c>
      <c r="C714" s="5" t="str">
        <f t="array" ref="C714">IF(B714="","",INDEX(helper!$D$3:$D3996,MOD(ROW()-2,COUNTA(helper!$D$3:$D3996))+1))</f>
        <v>Vglobal</v>
      </c>
      <c r="D714" s="3" t="str">
        <f t="array" ref="D714">IF(B714="","",INDEX(helper!$E$3:$E3996,MOD(ROW()-2,COUNTA(helper!$D$3:$D3996))+1))</f>
        <v>CS 012</v>
      </c>
      <c r="E714" s="3">
        <f t="array" ref="E714">IF(B714="","",INDEX(helper!$F$3:$F3996,MOD(ROW()-2,COUNTA(helper!$D$3:$D3996))+1))</f>
        <v>13</v>
      </c>
      <c r="F714" s="3">
        <f>IF(B714="","",SUMIFS('inventory ledger'!$H:$H,'inventory ledger'!$C:$C,C714,'inventory ledger'!$D:$D,D714,'inventory ledger'!$E:$E,E714,'inventory ledger'!$A:$A,"&lt;="&amp;B714+TIME(23,59,59))-SUMIFS('inventory ledger'!$I:$I,'inventory ledger'!$C:$C,C714,'inventory ledger'!$D:$D,D714,'inventory ledger'!$E:$E,E714,'inventory ledger'!$A:$A,"&lt;="&amp;B714+TIME(23,59,59)))</f>
        <v>0</v>
      </c>
      <c r="G714" s="3">
        <f>IFERROR(__xludf.DUMMYFUNCTION("IF(F714&lt;=0,0,IFERROR(ROUNDUP(F714/INDEX(FILTER('warehouse config'!$D:$D,('warehouse config'!$B:$B=C714)*('warehouse config'!$C:$C=D714)*('warehouse config'!$G:$G&lt;=B714)*(('warehouse config'!$H:$H&gt;=B714)+ISBLANK('warehouse config'!$H:$H))),1)),0))"),0.0)</f>
        <v>0</v>
      </c>
      <c r="H714" s="3">
        <f>IFERROR(__xludf.DUMMYFUNCTION("IFERROR(INDEX(FILTER('cost master'!$E:$E,('cost master'!$B:$B=C714)*('cost master'!$D:$D=""Storage cost per pallet / week"")*('cost master'!$G:$G&lt;=B714)*(('cost master'!$H:$H&gt;=B714)+ISBLANK('cost master'!$H:$H))),1),0)"),2.6)</f>
        <v>2.6</v>
      </c>
      <c r="I714" s="3">
        <f t="shared" si="4"/>
        <v>0</v>
      </c>
      <c r="J714" s="27">
        <f t="shared" si="5"/>
        <v>45793</v>
      </c>
      <c r="K714" s="27">
        <f t="shared" si="6"/>
        <v>45823</v>
      </c>
    </row>
    <row r="715" hidden="1">
      <c r="A715" s="3" t="str">
        <f t="shared" si="3"/>
        <v>SL-20250526-FMC-CS 008-11</v>
      </c>
      <c r="B715" s="2">
        <f t="array" ref="B715">INDEX(helper!$A$3:$A3996,ROUNDUP((ROW()-1)/COUNTA(helper!$D$3:$D3996),0))</f>
        <v>45803</v>
      </c>
      <c r="C715" s="5" t="str">
        <f t="array" ref="C715">IF(B715="","",INDEX(helper!$D$3:$D3996,MOD(ROW()-2,COUNTA(helper!$D$3:$D3996))+1))</f>
        <v>FMC</v>
      </c>
      <c r="D715" s="3" t="str">
        <f t="array" ref="D715">IF(B715="","",INDEX(helper!$E$3:$E3996,MOD(ROW()-2,COUNTA(helper!$D$3:$D3996))+1))</f>
        <v>CS 008</v>
      </c>
      <c r="E715" s="3">
        <f t="array" ref="E715">IF(B715="","",INDEX(helper!$F$3:$F3996,MOD(ROW()-2,COUNTA(helper!$D$3:$D3996))+1))</f>
        <v>11</v>
      </c>
      <c r="F715" s="3">
        <f>IF(B715="","",SUMIFS('inventory ledger'!$H:$H,'inventory ledger'!$C:$C,C715,'inventory ledger'!$D:$D,D715,'inventory ledger'!$E:$E,E715,'inventory ledger'!$A:$A,"&lt;="&amp;B715+TIME(23,59,59))-SUMIFS('inventory ledger'!$I:$I,'inventory ledger'!$C:$C,C715,'inventory ledger'!$D:$D,D715,'inventory ledger'!$E:$E,E715,'inventory ledger'!$A:$A,"&lt;="&amp;B715+TIME(23,59,59)))</f>
        <v>0</v>
      </c>
      <c r="G715" s="3">
        <f>IFERROR(__xludf.DUMMYFUNCTION("IF(F715&lt;=0,0,IFERROR(ROUNDUP(F715/INDEX(FILTER('warehouse config'!$D:$D,('warehouse config'!$B:$B=C715)*('warehouse config'!$C:$C=D715)*('warehouse config'!$G:$G&lt;=B715)*(('warehouse config'!$H:$H&gt;=B715)+ISBLANK('warehouse config'!$H:$H))),1)),0))"),0.0)</f>
        <v>0</v>
      </c>
      <c r="H715" s="3">
        <f>IFERROR(__xludf.DUMMYFUNCTION("IFERROR(INDEX(FILTER('cost master'!$E:$E,('cost master'!$B:$B=C715)*('cost master'!$D:$D=""Storage cost per pallet / week"")*('cost master'!$G:$G&lt;=B715)*(('cost master'!$H:$H&gt;=B715)+ISBLANK('cost master'!$H:$H))),1),0)"),3.9)</f>
        <v>3.9</v>
      </c>
      <c r="I715" s="3">
        <f t="shared" si="4"/>
        <v>0</v>
      </c>
      <c r="J715" s="27">
        <f t="shared" si="5"/>
        <v>45793</v>
      </c>
      <c r="K715" s="27">
        <f t="shared" si="6"/>
        <v>45823</v>
      </c>
    </row>
    <row r="716" hidden="1">
      <c r="A716" s="3" t="str">
        <f t="shared" si="3"/>
        <v>SL-20250602-FMC-CS 007-8</v>
      </c>
      <c r="B716" s="2">
        <f t="array" ref="B716">INDEX(helper!$A$3:$A3996,ROUNDUP((ROW()-1)/COUNTA(helper!$D$3:$D3996),0))</f>
        <v>45810</v>
      </c>
      <c r="C716" s="5" t="str">
        <f t="array" ref="C716">IF(B716="","",INDEX(helper!$D$3:$D3996,MOD(ROW()-2,COUNTA(helper!$D$3:$D3996))+1))</f>
        <v>FMC</v>
      </c>
      <c r="D716" s="3" t="str">
        <f t="array" ref="D716">IF(B716="","",INDEX(helper!$E$3:$E3996,MOD(ROW()-2,COUNTA(helper!$D$3:$D3996))+1))</f>
        <v>CS 007</v>
      </c>
      <c r="E716" s="3">
        <f t="array" ref="E716">IF(B716="","",INDEX(helper!$F$3:$F3996,MOD(ROW()-2,COUNTA(helper!$D$3:$D3996))+1))</f>
        <v>8</v>
      </c>
      <c r="F716" s="3">
        <f>IF(B716="","",SUMIFS('inventory ledger'!$H:$H,'inventory ledger'!$C:$C,C716,'inventory ledger'!$D:$D,D716,'inventory ledger'!$E:$E,E716,'inventory ledger'!$A:$A,"&lt;="&amp;B716+TIME(23,59,59))-SUMIFS('inventory ledger'!$I:$I,'inventory ledger'!$C:$C,C716,'inventory ledger'!$D:$D,D716,'inventory ledger'!$E:$E,E716,'inventory ledger'!$A:$A,"&lt;="&amp;B716+TIME(23,59,59)))</f>
        <v>0</v>
      </c>
      <c r="G716" s="3">
        <f>IFERROR(__xludf.DUMMYFUNCTION("IF(F716&lt;=0,0,IFERROR(ROUNDUP(F716/INDEX(FILTER('warehouse config'!$D:$D,('warehouse config'!$B:$B=C716)*('warehouse config'!$C:$C=D716)*('warehouse config'!$G:$G&lt;=B716)*(('warehouse config'!$H:$H&gt;=B716)+ISBLANK('warehouse config'!$H:$H))),1)),0))"),0.0)</f>
        <v>0</v>
      </c>
      <c r="H716" s="3">
        <f>IFERROR(__xludf.DUMMYFUNCTION("IFERROR(INDEX(FILTER('cost master'!$E:$E,('cost master'!$B:$B=C716)*('cost master'!$D:$D=""Storage cost per pallet / week"")*('cost master'!$G:$G&lt;=B716)*(('cost master'!$H:$H&gt;=B716)+ISBLANK('cost master'!$H:$H))),1),0)"),3.9)</f>
        <v>3.9</v>
      </c>
      <c r="I716" s="3">
        <f t="shared" si="4"/>
        <v>0</v>
      </c>
      <c r="J716" s="27">
        <f t="shared" si="5"/>
        <v>45793</v>
      </c>
      <c r="K716" s="27">
        <f t="shared" si="6"/>
        <v>45823</v>
      </c>
    </row>
    <row r="717" hidden="1">
      <c r="A717" s="3" t="str">
        <f t="shared" si="3"/>
        <v>SL-20250602-FMC-CS 008-8</v>
      </c>
      <c r="B717" s="2">
        <f t="array" ref="B717">INDEX(helper!$A$3:$A3996,ROUNDUP((ROW()-1)/COUNTA(helper!$D$3:$D3996),0))</f>
        <v>45810</v>
      </c>
      <c r="C717" s="5" t="str">
        <f t="array" ref="C717">IF(B717="","",INDEX(helper!$D$3:$D3996,MOD(ROW()-2,COUNTA(helper!$D$3:$D3996))+1))</f>
        <v>FMC</v>
      </c>
      <c r="D717" s="3" t="str">
        <f t="array" ref="D717">IF(B717="","",INDEX(helper!$E$3:$E3996,MOD(ROW()-2,COUNTA(helper!$D$3:$D3996))+1))</f>
        <v>CS 008</v>
      </c>
      <c r="E717" s="3">
        <f t="array" ref="E717">IF(B717="","",INDEX(helper!$F$3:$F3996,MOD(ROW()-2,COUNTA(helper!$D$3:$D3996))+1))</f>
        <v>8</v>
      </c>
      <c r="F717" s="3">
        <f>IF(B717="","",SUMIFS('inventory ledger'!$H:$H,'inventory ledger'!$C:$C,C717,'inventory ledger'!$D:$D,D717,'inventory ledger'!$E:$E,E717,'inventory ledger'!$A:$A,"&lt;="&amp;B717+TIME(23,59,59))-SUMIFS('inventory ledger'!$I:$I,'inventory ledger'!$C:$C,C717,'inventory ledger'!$D:$D,D717,'inventory ledger'!$E:$E,E717,'inventory ledger'!$A:$A,"&lt;="&amp;B717+TIME(23,59,59)))</f>
        <v>0</v>
      </c>
      <c r="G717" s="3">
        <f>IFERROR(__xludf.DUMMYFUNCTION("IF(F717&lt;=0,0,IFERROR(ROUNDUP(F717/INDEX(FILTER('warehouse config'!$D:$D,('warehouse config'!$B:$B=C717)*('warehouse config'!$C:$C=D717)*('warehouse config'!$G:$G&lt;=B717)*(('warehouse config'!$H:$H&gt;=B717)+ISBLANK('warehouse config'!$H:$H))),1)),0))"),0.0)</f>
        <v>0</v>
      </c>
      <c r="H717" s="3">
        <f>IFERROR(__xludf.DUMMYFUNCTION("IFERROR(INDEX(FILTER('cost master'!$E:$E,('cost master'!$B:$B=C717)*('cost master'!$D:$D=""Storage cost per pallet / week"")*('cost master'!$G:$G&lt;=B717)*(('cost master'!$H:$H&gt;=B717)+ISBLANK('cost master'!$H:$H))),1),0)"),3.9)</f>
        <v>3.9</v>
      </c>
      <c r="I717" s="3">
        <f t="shared" si="4"/>
        <v>0</v>
      </c>
      <c r="J717" s="27">
        <f t="shared" si="5"/>
        <v>45793</v>
      </c>
      <c r="K717" s="27">
        <f t="shared" si="6"/>
        <v>45823</v>
      </c>
    </row>
    <row r="718" hidden="1">
      <c r="A718" s="3" t="str">
        <f t="shared" si="3"/>
        <v>SL-20250602-FMC-CS 009-8</v>
      </c>
      <c r="B718" s="2">
        <f t="array" ref="B718">INDEX(helper!$A$3:$A3996,ROUNDUP((ROW()-1)/COUNTA(helper!$D$3:$D3996),0))</f>
        <v>45810</v>
      </c>
      <c r="C718" s="5" t="str">
        <f t="array" ref="C718">IF(B718="","",INDEX(helper!$D$3:$D3996,MOD(ROW()-2,COUNTA(helper!$D$3:$D3996))+1))</f>
        <v>FMC</v>
      </c>
      <c r="D718" s="3" t="str">
        <f t="array" ref="D718">IF(B718="","",INDEX(helper!$E$3:$E3996,MOD(ROW()-2,COUNTA(helper!$D$3:$D3996))+1))</f>
        <v>CS 009</v>
      </c>
      <c r="E718" s="3">
        <f t="array" ref="E718">IF(B718="","",INDEX(helper!$F$3:$F3996,MOD(ROW()-2,COUNTA(helper!$D$3:$D3996))+1))</f>
        <v>8</v>
      </c>
      <c r="F718" s="3">
        <f>IF(B718="","",SUMIFS('inventory ledger'!$H:$H,'inventory ledger'!$C:$C,C718,'inventory ledger'!$D:$D,D718,'inventory ledger'!$E:$E,E718,'inventory ledger'!$A:$A,"&lt;="&amp;B718+TIME(23,59,59))-SUMIFS('inventory ledger'!$I:$I,'inventory ledger'!$C:$C,C718,'inventory ledger'!$D:$D,D718,'inventory ledger'!$E:$E,E718,'inventory ledger'!$A:$A,"&lt;="&amp;B718+TIME(23,59,59)))</f>
        <v>0</v>
      </c>
      <c r="G718" s="3">
        <f>IFERROR(__xludf.DUMMYFUNCTION("IF(F718&lt;=0,0,IFERROR(ROUNDUP(F718/INDEX(FILTER('warehouse config'!$D:$D,('warehouse config'!$B:$B=C718)*('warehouse config'!$C:$C=D718)*('warehouse config'!$G:$G&lt;=B718)*(('warehouse config'!$H:$H&gt;=B718)+ISBLANK('warehouse config'!$H:$H))),1)),0))"),0.0)</f>
        <v>0</v>
      </c>
      <c r="H718" s="3">
        <f>IFERROR(__xludf.DUMMYFUNCTION("IFERROR(INDEX(FILTER('cost master'!$E:$E,('cost master'!$B:$B=C718)*('cost master'!$D:$D=""Storage cost per pallet / week"")*('cost master'!$G:$G&lt;=B718)*(('cost master'!$H:$H&gt;=B718)+ISBLANK('cost master'!$H:$H))),1),0)"),3.9)</f>
        <v>3.9</v>
      </c>
      <c r="I718" s="3">
        <f t="shared" si="4"/>
        <v>0</v>
      </c>
      <c r="J718" s="27">
        <f t="shared" si="5"/>
        <v>45793</v>
      </c>
      <c r="K718" s="27">
        <f t="shared" si="6"/>
        <v>45823</v>
      </c>
    </row>
    <row r="719" hidden="1">
      <c r="A719" s="3" t="str">
        <f t="shared" si="3"/>
        <v>SL-20250602-FMC-CS 010-8</v>
      </c>
      <c r="B719" s="2">
        <f t="array" ref="B719">INDEX(helper!$A$3:$A3996,ROUNDUP((ROW()-1)/COUNTA(helper!$D$3:$D3996),0))</f>
        <v>45810</v>
      </c>
      <c r="C719" s="5" t="str">
        <f t="array" ref="C719">IF(B719="","",INDEX(helper!$D$3:$D3996,MOD(ROW()-2,COUNTA(helper!$D$3:$D3996))+1))</f>
        <v>FMC</v>
      </c>
      <c r="D719" s="3" t="str">
        <f t="array" ref="D719">IF(B719="","",INDEX(helper!$E$3:$E3996,MOD(ROW()-2,COUNTA(helper!$D$3:$D3996))+1))</f>
        <v>CS 010</v>
      </c>
      <c r="E719" s="3">
        <f t="array" ref="E719">IF(B719="","",INDEX(helper!$F$3:$F3996,MOD(ROW()-2,COUNTA(helper!$D$3:$D3996))+1))</f>
        <v>8</v>
      </c>
      <c r="F719" s="3">
        <f>IF(B719="","",SUMIFS('inventory ledger'!$H:$H,'inventory ledger'!$C:$C,C719,'inventory ledger'!$D:$D,D719,'inventory ledger'!$E:$E,E719,'inventory ledger'!$A:$A,"&lt;="&amp;B719+TIME(23,59,59))-SUMIFS('inventory ledger'!$I:$I,'inventory ledger'!$C:$C,C719,'inventory ledger'!$D:$D,D719,'inventory ledger'!$E:$E,E719,'inventory ledger'!$A:$A,"&lt;="&amp;B719+TIME(23,59,59)))</f>
        <v>0</v>
      </c>
      <c r="G719" s="3">
        <f>IFERROR(__xludf.DUMMYFUNCTION("IF(F719&lt;=0,0,IFERROR(ROUNDUP(F719/INDEX(FILTER('warehouse config'!$D:$D,('warehouse config'!$B:$B=C719)*('warehouse config'!$C:$C=D719)*('warehouse config'!$G:$G&lt;=B719)*(('warehouse config'!$H:$H&gt;=B719)+ISBLANK('warehouse config'!$H:$H))),1)),0))"),0.0)</f>
        <v>0</v>
      </c>
      <c r="H719" s="3">
        <f>IFERROR(__xludf.DUMMYFUNCTION("IFERROR(INDEX(FILTER('cost master'!$E:$E,('cost master'!$B:$B=C719)*('cost master'!$D:$D=""Storage cost per pallet / week"")*('cost master'!$G:$G&lt;=B719)*(('cost master'!$H:$H&gt;=B719)+ISBLANK('cost master'!$H:$H))),1),0)"),3.9)</f>
        <v>3.9</v>
      </c>
      <c r="I719" s="3">
        <f t="shared" si="4"/>
        <v>0</v>
      </c>
      <c r="J719" s="27">
        <f t="shared" si="5"/>
        <v>45793</v>
      </c>
      <c r="K719" s="27">
        <f t="shared" si="6"/>
        <v>45823</v>
      </c>
    </row>
    <row r="720" hidden="1">
      <c r="A720" s="3" t="str">
        <f t="shared" si="3"/>
        <v>SL-20250602-FMC-CS 007-9</v>
      </c>
      <c r="B720" s="2">
        <f t="array" ref="B720">INDEX(helper!$A$3:$A3996,ROUNDUP((ROW()-1)/COUNTA(helper!$D$3:$D3996),0))</f>
        <v>45810</v>
      </c>
      <c r="C720" s="5" t="str">
        <f t="array" ref="C720">IF(B720="","",INDEX(helper!$D$3:$D3996,MOD(ROW()-2,COUNTA(helper!$D$3:$D3996))+1))</f>
        <v>FMC</v>
      </c>
      <c r="D720" s="3" t="str">
        <f t="array" ref="D720">IF(B720="","",INDEX(helper!$E$3:$E3996,MOD(ROW()-2,COUNTA(helper!$D$3:$D3996))+1))</f>
        <v>CS 007</v>
      </c>
      <c r="E720" s="3">
        <f t="array" ref="E720">IF(B720="","",INDEX(helper!$F$3:$F3996,MOD(ROW()-2,COUNTA(helper!$D$3:$D3996))+1))</f>
        <v>9</v>
      </c>
      <c r="F720" s="3">
        <f>IF(B720="","",SUMIFS('inventory ledger'!$H:$H,'inventory ledger'!$C:$C,C720,'inventory ledger'!$D:$D,D720,'inventory ledger'!$E:$E,E720,'inventory ledger'!$A:$A,"&lt;="&amp;B720+TIME(23,59,59))-SUMIFS('inventory ledger'!$I:$I,'inventory ledger'!$C:$C,C720,'inventory ledger'!$D:$D,D720,'inventory ledger'!$E:$E,E720,'inventory ledger'!$A:$A,"&lt;="&amp;B720+TIME(23,59,59)))</f>
        <v>0</v>
      </c>
      <c r="G720" s="3">
        <f>IFERROR(__xludf.DUMMYFUNCTION("IF(F720&lt;=0,0,IFERROR(ROUNDUP(F720/INDEX(FILTER('warehouse config'!$D:$D,('warehouse config'!$B:$B=C720)*('warehouse config'!$C:$C=D720)*('warehouse config'!$G:$G&lt;=B720)*(('warehouse config'!$H:$H&gt;=B720)+ISBLANK('warehouse config'!$H:$H))),1)),0))"),0.0)</f>
        <v>0</v>
      </c>
      <c r="H720" s="3">
        <f>IFERROR(__xludf.DUMMYFUNCTION("IFERROR(INDEX(FILTER('cost master'!$E:$E,('cost master'!$B:$B=C720)*('cost master'!$D:$D=""Storage cost per pallet / week"")*('cost master'!$G:$G&lt;=B720)*(('cost master'!$H:$H&gt;=B720)+ISBLANK('cost master'!$H:$H))),1),0)"),3.9)</f>
        <v>3.9</v>
      </c>
      <c r="I720" s="3">
        <f t="shared" si="4"/>
        <v>0</v>
      </c>
      <c r="J720" s="27">
        <f t="shared" si="5"/>
        <v>45793</v>
      </c>
      <c r="K720" s="27">
        <f t="shared" si="6"/>
        <v>45823</v>
      </c>
    </row>
    <row r="721" hidden="1">
      <c r="A721" s="3" t="str">
        <f t="shared" si="3"/>
        <v>SL-20250602-FMC-CS 008-9</v>
      </c>
      <c r="B721" s="2">
        <f t="array" ref="B721">INDEX(helper!$A$3:$A3996,ROUNDUP((ROW()-1)/COUNTA(helper!$D$3:$D3996),0))</f>
        <v>45810</v>
      </c>
      <c r="C721" s="5" t="str">
        <f t="array" ref="C721">IF(B721="","",INDEX(helper!$D$3:$D3996,MOD(ROW()-2,COUNTA(helper!$D$3:$D3996))+1))</f>
        <v>FMC</v>
      </c>
      <c r="D721" s="3" t="str">
        <f t="array" ref="D721">IF(B721="","",INDEX(helper!$E$3:$E3996,MOD(ROW()-2,COUNTA(helper!$D$3:$D3996))+1))</f>
        <v>CS 008</v>
      </c>
      <c r="E721" s="3">
        <f t="array" ref="E721">IF(B721="","",INDEX(helper!$F$3:$F3996,MOD(ROW()-2,COUNTA(helper!$D$3:$D3996))+1))</f>
        <v>9</v>
      </c>
      <c r="F721" s="3">
        <f>IF(B721="","",SUMIFS('inventory ledger'!$H:$H,'inventory ledger'!$C:$C,C721,'inventory ledger'!$D:$D,D721,'inventory ledger'!$E:$E,E721,'inventory ledger'!$A:$A,"&lt;="&amp;B721+TIME(23,59,59))-SUMIFS('inventory ledger'!$I:$I,'inventory ledger'!$C:$C,C721,'inventory ledger'!$D:$D,D721,'inventory ledger'!$E:$E,E721,'inventory ledger'!$A:$A,"&lt;="&amp;B721+TIME(23,59,59)))</f>
        <v>2</v>
      </c>
      <c r="G721" s="3">
        <f>IFERROR(__xludf.DUMMYFUNCTION("IF(F721&lt;=0,0,IFERROR(ROUNDUP(F721/INDEX(FILTER('warehouse config'!$D:$D,('warehouse config'!$B:$B=C721)*('warehouse config'!$C:$C=D721)*('warehouse config'!$G:$G&lt;=B721)*(('warehouse config'!$H:$H&gt;=B721)+ISBLANK('warehouse config'!$H:$H))),1)),0))"),1.0)</f>
        <v>1</v>
      </c>
      <c r="H721" s="3">
        <f>IFERROR(__xludf.DUMMYFUNCTION("IFERROR(INDEX(FILTER('cost master'!$E:$E,('cost master'!$B:$B=C721)*('cost master'!$D:$D=""Storage cost per pallet / week"")*('cost master'!$G:$G&lt;=B721)*(('cost master'!$H:$H&gt;=B721)+ISBLANK('cost master'!$H:$H))),1),0)"),3.9)</f>
        <v>3.9</v>
      </c>
      <c r="I721" s="3">
        <f t="shared" si="4"/>
        <v>3.9</v>
      </c>
      <c r="J721" s="27">
        <f t="shared" si="5"/>
        <v>45793</v>
      </c>
      <c r="K721" s="27">
        <f t="shared" si="6"/>
        <v>45823</v>
      </c>
    </row>
    <row r="722" hidden="1">
      <c r="A722" s="3" t="str">
        <f t="shared" si="3"/>
        <v>SL-20250602-FMC-CS 009-9</v>
      </c>
      <c r="B722" s="2">
        <f t="array" ref="B722">INDEX(helper!$A$3:$A3996,ROUNDUP((ROW()-1)/COUNTA(helper!$D$3:$D3996),0))</f>
        <v>45810</v>
      </c>
      <c r="C722" s="5" t="str">
        <f t="array" ref="C722">IF(B722="","",INDEX(helper!$D$3:$D3996,MOD(ROW()-2,COUNTA(helper!$D$3:$D3996))+1))</f>
        <v>FMC</v>
      </c>
      <c r="D722" s="3" t="str">
        <f t="array" ref="D722">IF(B722="","",INDEX(helper!$E$3:$E3996,MOD(ROW()-2,COUNTA(helper!$D$3:$D3996))+1))</f>
        <v>CS 009</v>
      </c>
      <c r="E722" s="3">
        <f t="array" ref="E722">IF(B722="","",INDEX(helper!$F$3:$F3996,MOD(ROW()-2,COUNTA(helper!$D$3:$D3996))+1))</f>
        <v>9</v>
      </c>
      <c r="F722" s="3">
        <f>IF(B722="","",SUMIFS('inventory ledger'!$H:$H,'inventory ledger'!$C:$C,C722,'inventory ledger'!$D:$D,D722,'inventory ledger'!$E:$E,E722,'inventory ledger'!$A:$A,"&lt;="&amp;B722+TIME(23,59,59))-SUMIFS('inventory ledger'!$I:$I,'inventory ledger'!$C:$C,C722,'inventory ledger'!$D:$D,D722,'inventory ledger'!$E:$E,E722,'inventory ledger'!$A:$A,"&lt;="&amp;B722+TIME(23,59,59)))</f>
        <v>0</v>
      </c>
      <c r="G722" s="3">
        <f>IFERROR(__xludf.DUMMYFUNCTION("IF(F722&lt;=0,0,IFERROR(ROUNDUP(F722/INDEX(FILTER('warehouse config'!$D:$D,('warehouse config'!$B:$B=C722)*('warehouse config'!$C:$C=D722)*('warehouse config'!$G:$G&lt;=B722)*(('warehouse config'!$H:$H&gt;=B722)+ISBLANK('warehouse config'!$H:$H))),1)),0))"),0.0)</f>
        <v>0</v>
      </c>
      <c r="H722" s="3">
        <f>IFERROR(__xludf.DUMMYFUNCTION("IFERROR(INDEX(FILTER('cost master'!$E:$E,('cost master'!$B:$B=C722)*('cost master'!$D:$D=""Storage cost per pallet / week"")*('cost master'!$G:$G&lt;=B722)*(('cost master'!$H:$H&gt;=B722)+ISBLANK('cost master'!$H:$H))),1),0)"),3.9)</f>
        <v>3.9</v>
      </c>
      <c r="I722" s="3">
        <f t="shared" si="4"/>
        <v>0</v>
      </c>
      <c r="J722" s="27">
        <f t="shared" si="5"/>
        <v>45793</v>
      </c>
      <c r="K722" s="27">
        <f t="shared" si="6"/>
        <v>45823</v>
      </c>
    </row>
    <row r="723" hidden="1">
      <c r="A723" s="3" t="str">
        <f t="shared" si="3"/>
        <v>SL-20250602-FMC-CS 010-9</v>
      </c>
      <c r="B723" s="2">
        <f t="array" ref="B723">INDEX(helper!$A$3:$A3996,ROUNDUP((ROW()-1)/COUNTA(helper!$D$3:$D3996),0))</f>
        <v>45810</v>
      </c>
      <c r="C723" s="5" t="str">
        <f t="array" ref="C723">IF(B723="","",INDEX(helper!$D$3:$D3996,MOD(ROW()-2,COUNTA(helper!$D$3:$D3996))+1))</f>
        <v>FMC</v>
      </c>
      <c r="D723" s="3" t="str">
        <f t="array" ref="D723">IF(B723="","",INDEX(helper!$E$3:$E3996,MOD(ROW()-2,COUNTA(helper!$D$3:$D3996))+1))</f>
        <v>CS 010</v>
      </c>
      <c r="E723" s="3">
        <f t="array" ref="E723">IF(B723="","",INDEX(helper!$F$3:$F3996,MOD(ROW()-2,COUNTA(helper!$D$3:$D3996))+1))</f>
        <v>9</v>
      </c>
      <c r="F723" s="3">
        <f>IF(B723="","",SUMIFS('inventory ledger'!$H:$H,'inventory ledger'!$C:$C,C723,'inventory ledger'!$D:$D,D723,'inventory ledger'!$E:$E,E723,'inventory ledger'!$A:$A,"&lt;="&amp;B723+TIME(23,59,59))-SUMIFS('inventory ledger'!$I:$I,'inventory ledger'!$C:$C,C723,'inventory ledger'!$D:$D,D723,'inventory ledger'!$E:$E,E723,'inventory ledger'!$A:$A,"&lt;="&amp;B723+TIME(23,59,59)))</f>
        <v>0</v>
      </c>
      <c r="G723" s="3">
        <f>IFERROR(__xludf.DUMMYFUNCTION("IF(F723&lt;=0,0,IFERROR(ROUNDUP(F723/INDEX(FILTER('warehouse config'!$D:$D,('warehouse config'!$B:$B=C723)*('warehouse config'!$C:$C=D723)*('warehouse config'!$G:$G&lt;=B723)*(('warehouse config'!$H:$H&gt;=B723)+ISBLANK('warehouse config'!$H:$H))),1)),0))"),0.0)</f>
        <v>0</v>
      </c>
      <c r="H723" s="3">
        <f>IFERROR(__xludf.DUMMYFUNCTION("IFERROR(INDEX(FILTER('cost master'!$E:$E,('cost master'!$B:$B=C723)*('cost master'!$D:$D=""Storage cost per pallet / week"")*('cost master'!$G:$G&lt;=B723)*(('cost master'!$H:$H&gt;=B723)+ISBLANK('cost master'!$H:$H))),1),0)"),3.9)</f>
        <v>3.9</v>
      </c>
      <c r="I723" s="3">
        <f t="shared" si="4"/>
        <v>0</v>
      </c>
      <c r="J723" s="27">
        <f t="shared" si="5"/>
        <v>45793</v>
      </c>
      <c r="K723" s="27">
        <f t="shared" si="6"/>
        <v>45823</v>
      </c>
    </row>
    <row r="724" hidden="1">
      <c r="A724" s="3" t="str">
        <f t="shared" si="3"/>
        <v>SL-20250602-FMC-CS-CDS-001-9</v>
      </c>
      <c r="B724" s="2">
        <f t="array" ref="B724">INDEX(helper!$A$3:$A3996,ROUNDUP((ROW()-1)/COUNTA(helper!$D$3:$D3996),0))</f>
        <v>45810</v>
      </c>
      <c r="C724" s="5" t="str">
        <f t="array" ref="C724">IF(B724="","",INDEX(helper!$D$3:$D3996,MOD(ROW()-2,COUNTA(helper!$D$3:$D3996))+1))</f>
        <v>FMC</v>
      </c>
      <c r="D724" s="3" t="str">
        <f t="array" ref="D724">IF(B724="","",INDEX(helper!$E$3:$E3996,MOD(ROW()-2,COUNTA(helper!$D$3:$D3996))+1))</f>
        <v>CS-CDS-001</v>
      </c>
      <c r="E724" s="3">
        <f t="array" ref="E724">IF(B724="","",INDEX(helper!$F$3:$F3996,MOD(ROW()-2,COUNTA(helper!$D$3:$D3996))+1))</f>
        <v>9</v>
      </c>
      <c r="F724" s="3">
        <f>IF(B724="","",SUMIFS('inventory ledger'!$H:$H,'inventory ledger'!$C:$C,C724,'inventory ledger'!$D:$D,D724,'inventory ledger'!$E:$E,E724,'inventory ledger'!$A:$A,"&lt;="&amp;B724+TIME(23,59,59))-SUMIFS('inventory ledger'!$I:$I,'inventory ledger'!$C:$C,C724,'inventory ledger'!$D:$D,D724,'inventory ledger'!$E:$E,E724,'inventory ledger'!$A:$A,"&lt;="&amp;B724+TIME(23,59,59)))</f>
        <v>0</v>
      </c>
      <c r="G724" s="3">
        <f>IFERROR(__xludf.DUMMYFUNCTION("IF(F724&lt;=0,0,IFERROR(ROUNDUP(F724/INDEX(FILTER('warehouse config'!$D:$D,('warehouse config'!$B:$B=C724)*('warehouse config'!$C:$C=D724)*('warehouse config'!$G:$G&lt;=B724)*(('warehouse config'!$H:$H&gt;=B724)+ISBLANK('warehouse config'!$H:$H))),1)),0))"),0.0)</f>
        <v>0</v>
      </c>
      <c r="H724" s="3">
        <f>IFERROR(__xludf.DUMMYFUNCTION("IFERROR(INDEX(FILTER('cost master'!$E:$E,('cost master'!$B:$B=C724)*('cost master'!$D:$D=""Storage cost per pallet / week"")*('cost master'!$G:$G&lt;=B724)*(('cost master'!$H:$H&gt;=B724)+ISBLANK('cost master'!$H:$H))),1),0)"),3.9)</f>
        <v>3.9</v>
      </c>
      <c r="I724" s="3">
        <f t="shared" si="4"/>
        <v>0</v>
      </c>
      <c r="J724" s="27">
        <f t="shared" si="5"/>
        <v>45793</v>
      </c>
      <c r="K724" s="27">
        <f t="shared" si="6"/>
        <v>45823</v>
      </c>
    </row>
    <row r="725" hidden="1">
      <c r="A725" s="3" t="str">
        <f t="shared" si="3"/>
        <v>SL-20250602-FMC-CS-CDS-002-9</v>
      </c>
      <c r="B725" s="2">
        <f t="array" ref="B725">INDEX(helper!$A$3:$A3996,ROUNDUP((ROW()-1)/COUNTA(helper!$D$3:$D3996),0))</f>
        <v>45810</v>
      </c>
      <c r="C725" s="5" t="str">
        <f t="array" ref="C725">IF(B725="","",INDEX(helper!$D$3:$D3996,MOD(ROW()-2,COUNTA(helper!$D$3:$D3996))+1))</f>
        <v>FMC</v>
      </c>
      <c r="D725" s="3" t="str">
        <f t="array" ref="D725">IF(B725="","",INDEX(helper!$E$3:$E3996,MOD(ROW()-2,COUNTA(helper!$D$3:$D3996))+1))</f>
        <v>CS-CDS-002</v>
      </c>
      <c r="E725" s="3">
        <f t="array" ref="E725">IF(B725="","",INDEX(helper!$F$3:$F3996,MOD(ROW()-2,COUNTA(helper!$D$3:$D3996))+1))</f>
        <v>9</v>
      </c>
      <c r="F725" s="3">
        <f>IF(B725="","",SUMIFS('inventory ledger'!$H:$H,'inventory ledger'!$C:$C,C725,'inventory ledger'!$D:$D,D725,'inventory ledger'!$E:$E,E725,'inventory ledger'!$A:$A,"&lt;="&amp;B725+TIME(23,59,59))-SUMIFS('inventory ledger'!$I:$I,'inventory ledger'!$C:$C,C725,'inventory ledger'!$D:$D,D725,'inventory ledger'!$E:$E,E725,'inventory ledger'!$A:$A,"&lt;="&amp;B725+TIME(23,59,59)))</f>
        <v>0</v>
      </c>
      <c r="G725" s="3">
        <f>IFERROR(__xludf.DUMMYFUNCTION("IF(F725&lt;=0,0,IFERROR(ROUNDUP(F725/INDEX(FILTER('warehouse config'!$D:$D,('warehouse config'!$B:$B=C725)*('warehouse config'!$C:$C=D725)*('warehouse config'!$G:$G&lt;=B725)*(('warehouse config'!$H:$H&gt;=B725)+ISBLANK('warehouse config'!$H:$H))),1)),0))"),0.0)</f>
        <v>0</v>
      </c>
      <c r="H725" s="3">
        <f>IFERROR(__xludf.DUMMYFUNCTION("IFERROR(INDEX(FILTER('cost master'!$E:$E,('cost master'!$B:$B=C725)*('cost master'!$D:$D=""Storage cost per pallet / week"")*('cost master'!$G:$G&lt;=B725)*(('cost master'!$H:$H&gt;=B725)+ISBLANK('cost master'!$H:$H))),1),0)"),3.9)</f>
        <v>3.9</v>
      </c>
      <c r="I725" s="3">
        <f t="shared" si="4"/>
        <v>0</v>
      </c>
      <c r="J725" s="27">
        <f t="shared" si="5"/>
        <v>45793</v>
      </c>
      <c r="K725" s="27">
        <f t="shared" si="6"/>
        <v>45823</v>
      </c>
    </row>
    <row r="726" hidden="1">
      <c r="A726" s="3" t="str">
        <f t="shared" si="3"/>
        <v>SL-20250602-FMC-CS 007-10</v>
      </c>
      <c r="B726" s="2">
        <f t="array" ref="B726">INDEX(helper!$A$3:$A3996,ROUNDUP((ROW()-1)/COUNTA(helper!$D$3:$D3996),0))</f>
        <v>45810</v>
      </c>
      <c r="C726" s="5" t="str">
        <f t="array" ref="C726">IF(B726="","",INDEX(helper!$D$3:$D3996,MOD(ROW()-2,COUNTA(helper!$D$3:$D3996))+1))</f>
        <v>FMC</v>
      </c>
      <c r="D726" s="3" t="str">
        <f t="array" ref="D726">IF(B726="","",INDEX(helper!$E$3:$E3996,MOD(ROW()-2,COUNTA(helper!$D$3:$D3996))+1))</f>
        <v>CS 007</v>
      </c>
      <c r="E726" s="3">
        <f t="array" ref="E726">IF(B726="","",INDEX(helper!$F$3:$F3996,MOD(ROW()-2,COUNTA(helper!$D$3:$D3996))+1))</f>
        <v>10</v>
      </c>
      <c r="F726" s="3">
        <f>IF(B726="","",SUMIFS('inventory ledger'!$H:$H,'inventory ledger'!$C:$C,C726,'inventory ledger'!$D:$D,D726,'inventory ledger'!$E:$E,E726,'inventory ledger'!$A:$A,"&lt;="&amp;B726+TIME(23,59,59))-SUMIFS('inventory ledger'!$I:$I,'inventory ledger'!$C:$C,C726,'inventory ledger'!$D:$D,D726,'inventory ledger'!$E:$E,E726,'inventory ledger'!$A:$A,"&lt;="&amp;B726+TIME(23,59,59)))</f>
        <v>0</v>
      </c>
      <c r="G726" s="3">
        <f>IFERROR(__xludf.DUMMYFUNCTION("IF(F726&lt;=0,0,IFERROR(ROUNDUP(F726/INDEX(FILTER('warehouse config'!$D:$D,('warehouse config'!$B:$B=C726)*('warehouse config'!$C:$C=D726)*('warehouse config'!$G:$G&lt;=B726)*(('warehouse config'!$H:$H&gt;=B726)+ISBLANK('warehouse config'!$H:$H))),1)),0))"),0.0)</f>
        <v>0</v>
      </c>
      <c r="H726" s="3">
        <f>IFERROR(__xludf.DUMMYFUNCTION("IFERROR(INDEX(FILTER('cost master'!$E:$E,('cost master'!$B:$B=C726)*('cost master'!$D:$D=""Storage cost per pallet / week"")*('cost master'!$G:$G&lt;=B726)*(('cost master'!$H:$H&gt;=B726)+ISBLANK('cost master'!$H:$H))),1),0)"),3.9)</f>
        <v>3.9</v>
      </c>
      <c r="I726" s="3">
        <f t="shared" si="4"/>
        <v>0</v>
      </c>
      <c r="J726" s="27">
        <f t="shared" si="5"/>
        <v>45793</v>
      </c>
      <c r="K726" s="27">
        <f t="shared" si="6"/>
        <v>45823</v>
      </c>
    </row>
    <row r="727" hidden="1">
      <c r="A727" s="3" t="str">
        <f t="shared" si="3"/>
        <v>SL-20250602-FMC-CS 009-10</v>
      </c>
      <c r="B727" s="2">
        <f t="array" ref="B727">INDEX(helper!$A$3:$A3996,ROUNDUP((ROW()-1)/COUNTA(helper!$D$3:$D3996),0))</f>
        <v>45810</v>
      </c>
      <c r="C727" s="5" t="str">
        <f t="array" ref="C727">IF(B727="","",INDEX(helper!$D$3:$D3996,MOD(ROW()-2,COUNTA(helper!$D$3:$D3996))+1))</f>
        <v>FMC</v>
      </c>
      <c r="D727" s="3" t="str">
        <f t="array" ref="D727">IF(B727="","",INDEX(helper!$E$3:$E3996,MOD(ROW()-2,COUNTA(helper!$D$3:$D3996))+1))</f>
        <v>CS 009</v>
      </c>
      <c r="E727" s="3">
        <f t="array" ref="E727">IF(B727="","",INDEX(helper!$F$3:$F3996,MOD(ROW()-2,COUNTA(helper!$D$3:$D3996))+1))</f>
        <v>10</v>
      </c>
      <c r="F727" s="3">
        <f>IF(B727="","",SUMIFS('inventory ledger'!$H:$H,'inventory ledger'!$C:$C,C727,'inventory ledger'!$D:$D,D727,'inventory ledger'!$E:$E,E727,'inventory ledger'!$A:$A,"&lt;="&amp;B727+TIME(23,59,59))-SUMIFS('inventory ledger'!$I:$I,'inventory ledger'!$C:$C,C727,'inventory ledger'!$D:$D,D727,'inventory ledger'!$E:$E,E727,'inventory ledger'!$A:$A,"&lt;="&amp;B727+TIME(23,59,59)))</f>
        <v>0</v>
      </c>
      <c r="G727" s="3">
        <f>IFERROR(__xludf.DUMMYFUNCTION("IF(F727&lt;=0,0,IFERROR(ROUNDUP(F727/INDEX(FILTER('warehouse config'!$D:$D,('warehouse config'!$B:$B=C727)*('warehouse config'!$C:$C=D727)*('warehouse config'!$G:$G&lt;=B727)*(('warehouse config'!$H:$H&gt;=B727)+ISBLANK('warehouse config'!$H:$H))),1)),0))"),0.0)</f>
        <v>0</v>
      </c>
      <c r="H727" s="3">
        <f>IFERROR(__xludf.DUMMYFUNCTION("IFERROR(INDEX(FILTER('cost master'!$E:$E,('cost master'!$B:$B=C727)*('cost master'!$D:$D=""Storage cost per pallet / week"")*('cost master'!$G:$G&lt;=B727)*(('cost master'!$H:$H&gt;=B727)+ISBLANK('cost master'!$H:$H))),1),0)"),3.9)</f>
        <v>3.9</v>
      </c>
      <c r="I727" s="3">
        <f t="shared" si="4"/>
        <v>0</v>
      </c>
      <c r="J727" s="27">
        <f t="shared" si="5"/>
        <v>45793</v>
      </c>
      <c r="K727" s="27">
        <f t="shared" si="6"/>
        <v>45823</v>
      </c>
    </row>
    <row r="728" hidden="1">
      <c r="A728" s="3" t="str">
        <f t="shared" si="3"/>
        <v>SL-20250602-FMC-CS 010-10</v>
      </c>
      <c r="B728" s="2">
        <f t="array" ref="B728">INDEX(helper!$A$3:$A3996,ROUNDUP((ROW()-1)/COUNTA(helper!$D$3:$D3996),0))</f>
        <v>45810</v>
      </c>
      <c r="C728" s="5" t="str">
        <f t="array" ref="C728">IF(B728="","",INDEX(helper!$D$3:$D3996,MOD(ROW()-2,COUNTA(helper!$D$3:$D3996))+1))</f>
        <v>FMC</v>
      </c>
      <c r="D728" s="3" t="str">
        <f t="array" ref="D728">IF(B728="","",INDEX(helper!$E$3:$E3996,MOD(ROW()-2,COUNTA(helper!$D$3:$D3996))+1))</f>
        <v>CS 010</v>
      </c>
      <c r="E728" s="3">
        <f t="array" ref="E728">IF(B728="","",INDEX(helper!$F$3:$F3996,MOD(ROW()-2,COUNTA(helper!$D$3:$D3996))+1))</f>
        <v>10</v>
      </c>
      <c r="F728" s="3">
        <f>IF(B728="","",SUMIFS('inventory ledger'!$H:$H,'inventory ledger'!$C:$C,C728,'inventory ledger'!$D:$D,D728,'inventory ledger'!$E:$E,E728,'inventory ledger'!$A:$A,"&lt;="&amp;B728+TIME(23,59,59))-SUMIFS('inventory ledger'!$I:$I,'inventory ledger'!$C:$C,C728,'inventory ledger'!$D:$D,D728,'inventory ledger'!$E:$E,E728,'inventory ledger'!$A:$A,"&lt;="&amp;B728+TIME(23,59,59)))</f>
        <v>13</v>
      </c>
      <c r="G728" s="3">
        <f>IFERROR(__xludf.DUMMYFUNCTION("IF(F728&lt;=0,0,IFERROR(ROUNDUP(F728/INDEX(FILTER('warehouse config'!$D:$D,('warehouse config'!$B:$B=C728)*('warehouse config'!$C:$C=D728)*('warehouse config'!$G:$G&lt;=B728)*(('warehouse config'!$H:$H&gt;=B728)+ISBLANK('warehouse config'!$H:$H))),1)),0))"),1.0)</f>
        <v>1</v>
      </c>
      <c r="H728" s="3">
        <f>IFERROR(__xludf.DUMMYFUNCTION("IFERROR(INDEX(FILTER('cost master'!$E:$E,('cost master'!$B:$B=C728)*('cost master'!$D:$D=""Storage cost per pallet / week"")*('cost master'!$G:$G&lt;=B728)*(('cost master'!$H:$H&gt;=B728)+ISBLANK('cost master'!$H:$H))),1),0)"),3.9)</f>
        <v>3.9</v>
      </c>
      <c r="I728" s="3">
        <f t="shared" si="4"/>
        <v>3.9</v>
      </c>
      <c r="J728" s="27">
        <f t="shared" si="5"/>
        <v>45793</v>
      </c>
      <c r="K728" s="27">
        <f t="shared" si="6"/>
        <v>45823</v>
      </c>
    </row>
    <row r="729" hidden="1">
      <c r="A729" s="3" t="str">
        <f t="shared" si="3"/>
        <v>SL-20250602-FMC-CS-CDS-001-10</v>
      </c>
      <c r="B729" s="2">
        <f t="array" ref="B729">INDEX(helper!$A$3:$A3996,ROUNDUP((ROW()-1)/COUNTA(helper!$D$3:$D3996),0))</f>
        <v>45810</v>
      </c>
      <c r="C729" s="5" t="str">
        <f t="array" ref="C729">IF(B729="","",INDEX(helper!$D$3:$D3996,MOD(ROW()-2,COUNTA(helper!$D$3:$D3996))+1))</f>
        <v>FMC</v>
      </c>
      <c r="D729" s="3" t="str">
        <f t="array" ref="D729">IF(B729="","",INDEX(helper!$E$3:$E3996,MOD(ROW()-2,COUNTA(helper!$D$3:$D3996))+1))</f>
        <v>CS-CDS-001</v>
      </c>
      <c r="E729" s="3">
        <f t="array" ref="E729">IF(B729="","",INDEX(helper!$F$3:$F3996,MOD(ROW()-2,COUNTA(helper!$D$3:$D3996))+1))</f>
        <v>10</v>
      </c>
      <c r="F729" s="3">
        <f>IF(B729="","",SUMIFS('inventory ledger'!$H:$H,'inventory ledger'!$C:$C,C729,'inventory ledger'!$D:$D,D729,'inventory ledger'!$E:$E,E729,'inventory ledger'!$A:$A,"&lt;="&amp;B729+TIME(23,59,59))-SUMIFS('inventory ledger'!$I:$I,'inventory ledger'!$C:$C,C729,'inventory ledger'!$D:$D,D729,'inventory ledger'!$E:$E,E729,'inventory ledger'!$A:$A,"&lt;="&amp;B729+TIME(23,59,59)))</f>
        <v>0</v>
      </c>
      <c r="G729" s="3">
        <f>IFERROR(__xludf.DUMMYFUNCTION("IF(F729&lt;=0,0,IFERROR(ROUNDUP(F729/INDEX(FILTER('warehouse config'!$D:$D,('warehouse config'!$B:$B=C729)*('warehouse config'!$C:$C=D729)*('warehouse config'!$G:$G&lt;=B729)*(('warehouse config'!$H:$H&gt;=B729)+ISBLANK('warehouse config'!$H:$H))),1)),0))"),0.0)</f>
        <v>0</v>
      </c>
      <c r="H729" s="3">
        <f>IFERROR(__xludf.DUMMYFUNCTION("IFERROR(INDEX(FILTER('cost master'!$E:$E,('cost master'!$B:$B=C729)*('cost master'!$D:$D=""Storage cost per pallet / week"")*('cost master'!$G:$G&lt;=B729)*(('cost master'!$H:$H&gt;=B729)+ISBLANK('cost master'!$H:$H))),1),0)"),3.9)</f>
        <v>3.9</v>
      </c>
      <c r="I729" s="3">
        <f t="shared" si="4"/>
        <v>0</v>
      </c>
      <c r="J729" s="27">
        <f t="shared" si="5"/>
        <v>45793</v>
      </c>
      <c r="K729" s="27">
        <f t="shared" si="6"/>
        <v>45823</v>
      </c>
    </row>
    <row r="730">
      <c r="A730" s="3" t="str">
        <f t="shared" si="3"/>
        <v>SL-20250602-FMC-CS 007-11</v>
      </c>
      <c r="B730" s="2">
        <f t="array" ref="B730">INDEX(helper!$A$3:$A3996,ROUNDUP((ROW()-1)/COUNTA(helper!$D$3:$D3996),0))</f>
        <v>45810</v>
      </c>
      <c r="C730" s="5" t="str">
        <f t="array" ref="C730">IF(B730="","",INDEX(helper!$D$3:$D3996,MOD(ROW()-2,COUNTA(helper!$D$3:$D3996))+1))</f>
        <v>FMC</v>
      </c>
      <c r="D730" s="3" t="str">
        <f t="array" ref="D730">IF(B730="","",INDEX(helper!$E$3:$E3996,MOD(ROW()-2,COUNTA(helper!$D$3:$D3996))+1))</f>
        <v>CS 007</v>
      </c>
      <c r="E730" s="3">
        <f t="array" ref="E730">IF(B730="","",INDEX(helper!$F$3:$F3996,MOD(ROW()-2,COUNTA(helper!$D$3:$D3996))+1))</f>
        <v>11</v>
      </c>
      <c r="F730" s="3">
        <f>IF(B730="","",SUMIFS('inventory ledger'!$H:$H,'inventory ledger'!$C:$C,C730,'inventory ledger'!$D:$D,D730,'inventory ledger'!$E:$E,E730,'inventory ledger'!$A:$A,"&lt;="&amp;B730+TIME(23,59,59))-SUMIFS('inventory ledger'!$I:$I,'inventory ledger'!$C:$C,C730,'inventory ledger'!$D:$D,D730,'inventory ledger'!$E:$E,E730,'inventory ledger'!$A:$A,"&lt;="&amp;B730+TIME(23,59,59)))</f>
        <v>-1</v>
      </c>
      <c r="G730" s="3">
        <f>IFERROR(__xludf.DUMMYFUNCTION("IF(F730&lt;=0,0,IFERROR(ROUNDUP(F730/INDEX(FILTER('warehouse config'!$D:$D,('warehouse config'!$B:$B=C730)*('warehouse config'!$C:$C=D730)*('warehouse config'!$G:$G&lt;=B730)*(('warehouse config'!$H:$H&gt;=B730)+ISBLANK('warehouse config'!$H:$H))),1)),0))"),0.0)</f>
        <v>0</v>
      </c>
      <c r="H730" s="3">
        <f>IFERROR(__xludf.DUMMYFUNCTION("IFERROR(INDEX(FILTER('cost master'!$E:$E,('cost master'!$B:$B=C730)*('cost master'!$D:$D=""Storage cost per pallet / week"")*('cost master'!$G:$G&lt;=B730)*(('cost master'!$H:$H&gt;=B730)+ISBLANK('cost master'!$H:$H))),1),0)"),3.9)</f>
        <v>3.9</v>
      </c>
      <c r="I730" s="3">
        <f t="shared" si="4"/>
        <v>0</v>
      </c>
      <c r="J730" s="27">
        <f t="shared" si="5"/>
        <v>45793</v>
      </c>
      <c r="K730" s="27">
        <f t="shared" si="6"/>
        <v>45823</v>
      </c>
    </row>
    <row r="731" hidden="1">
      <c r="A731" s="3" t="str">
        <f t="shared" si="3"/>
        <v>SL-20250602-FMC-CS 009-11</v>
      </c>
      <c r="B731" s="2">
        <f t="array" ref="B731">INDEX(helper!$A$3:$A3996,ROUNDUP((ROW()-1)/COUNTA(helper!$D$3:$D3996),0))</f>
        <v>45810</v>
      </c>
      <c r="C731" s="5" t="str">
        <f t="array" ref="C731">IF(B731="","",INDEX(helper!$D$3:$D3996,MOD(ROW()-2,COUNTA(helper!$D$3:$D3996))+1))</f>
        <v>FMC</v>
      </c>
      <c r="D731" s="3" t="str">
        <f t="array" ref="D731">IF(B731="","",INDEX(helper!$E$3:$E3996,MOD(ROW()-2,COUNTA(helper!$D$3:$D3996))+1))</f>
        <v>CS 009</v>
      </c>
      <c r="E731" s="3">
        <f t="array" ref="E731">IF(B731="","",INDEX(helper!$F$3:$F3996,MOD(ROW()-2,COUNTA(helper!$D$3:$D3996))+1))</f>
        <v>11</v>
      </c>
      <c r="F731" s="3">
        <f>IF(B731="","",SUMIFS('inventory ledger'!$H:$H,'inventory ledger'!$C:$C,C731,'inventory ledger'!$D:$D,D731,'inventory ledger'!$E:$E,E731,'inventory ledger'!$A:$A,"&lt;="&amp;B731+TIME(23,59,59))-SUMIFS('inventory ledger'!$I:$I,'inventory ledger'!$C:$C,C731,'inventory ledger'!$D:$D,D731,'inventory ledger'!$E:$E,E731,'inventory ledger'!$A:$A,"&lt;="&amp;B731+TIME(23,59,59)))</f>
        <v>0</v>
      </c>
      <c r="G731" s="3">
        <f>IFERROR(__xludf.DUMMYFUNCTION("IF(F731&lt;=0,0,IFERROR(ROUNDUP(F731/INDEX(FILTER('warehouse config'!$D:$D,('warehouse config'!$B:$B=C731)*('warehouse config'!$C:$C=D731)*('warehouse config'!$G:$G&lt;=B731)*(('warehouse config'!$H:$H&gt;=B731)+ISBLANK('warehouse config'!$H:$H))),1)),0))"),0.0)</f>
        <v>0</v>
      </c>
      <c r="H731" s="3">
        <f>IFERROR(__xludf.DUMMYFUNCTION("IFERROR(INDEX(FILTER('cost master'!$E:$E,('cost master'!$B:$B=C731)*('cost master'!$D:$D=""Storage cost per pallet / week"")*('cost master'!$G:$G&lt;=B731)*(('cost master'!$H:$H&gt;=B731)+ISBLANK('cost master'!$H:$H))),1),0)"),3.9)</f>
        <v>3.9</v>
      </c>
      <c r="I731" s="3">
        <f t="shared" si="4"/>
        <v>0</v>
      </c>
      <c r="J731" s="27">
        <f t="shared" si="5"/>
        <v>45793</v>
      </c>
      <c r="K731" s="27">
        <f t="shared" si="6"/>
        <v>45823</v>
      </c>
    </row>
    <row r="732" hidden="1">
      <c r="A732" s="3" t="str">
        <f t="shared" si="3"/>
        <v>SL-20250602-FMC-CS 010-11</v>
      </c>
      <c r="B732" s="2">
        <f t="array" ref="B732">INDEX(helper!$A$3:$A3996,ROUNDUP((ROW()-1)/COUNTA(helper!$D$3:$D3996),0))</f>
        <v>45810</v>
      </c>
      <c r="C732" s="5" t="str">
        <f t="array" ref="C732">IF(B732="","",INDEX(helper!$D$3:$D3996,MOD(ROW()-2,COUNTA(helper!$D$3:$D3996))+1))</f>
        <v>FMC</v>
      </c>
      <c r="D732" s="3" t="str">
        <f t="array" ref="D732">IF(B732="","",INDEX(helper!$E$3:$E3996,MOD(ROW()-2,COUNTA(helper!$D$3:$D3996))+1))</f>
        <v>CS 010</v>
      </c>
      <c r="E732" s="3">
        <f t="array" ref="E732">IF(B732="","",INDEX(helper!$F$3:$F3996,MOD(ROW()-2,COUNTA(helper!$D$3:$D3996))+1))</f>
        <v>11</v>
      </c>
      <c r="F732" s="3">
        <f>IF(B732="","",SUMIFS('inventory ledger'!$H:$H,'inventory ledger'!$C:$C,C732,'inventory ledger'!$D:$D,D732,'inventory ledger'!$E:$E,E732,'inventory ledger'!$A:$A,"&lt;="&amp;B732+TIME(23,59,59))-SUMIFS('inventory ledger'!$I:$I,'inventory ledger'!$C:$C,C732,'inventory ledger'!$D:$D,D732,'inventory ledger'!$E:$E,E732,'inventory ledger'!$A:$A,"&lt;="&amp;B732+TIME(23,59,59)))</f>
        <v>6</v>
      </c>
      <c r="G732" s="3">
        <f>IFERROR(__xludf.DUMMYFUNCTION("IF(F732&lt;=0,0,IFERROR(ROUNDUP(F732/INDEX(FILTER('warehouse config'!$D:$D,('warehouse config'!$B:$B=C732)*('warehouse config'!$C:$C=D732)*('warehouse config'!$G:$G&lt;=B732)*(('warehouse config'!$H:$H&gt;=B732)+ISBLANK('warehouse config'!$H:$H))),1)),0))"),1.0)</f>
        <v>1</v>
      </c>
      <c r="H732" s="3">
        <f>IFERROR(__xludf.DUMMYFUNCTION("IFERROR(INDEX(FILTER('cost master'!$E:$E,('cost master'!$B:$B=C732)*('cost master'!$D:$D=""Storage cost per pallet / week"")*('cost master'!$G:$G&lt;=B732)*(('cost master'!$H:$H&gt;=B732)+ISBLANK('cost master'!$H:$H))),1),0)"),3.9)</f>
        <v>3.9</v>
      </c>
      <c r="I732" s="3">
        <f t="shared" si="4"/>
        <v>3.9</v>
      </c>
      <c r="J732" s="27">
        <f t="shared" si="5"/>
        <v>45793</v>
      </c>
      <c r="K732" s="27">
        <f t="shared" si="6"/>
        <v>45823</v>
      </c>
    </row>
    <row r="733" hidden="1">
      <c r="A733" s="3" t="str">
        <f t="shared" si="3"/>
        <v>SL-20250602-Vglobal-CS 007-12</v>
      </c>
      <c r="B733" s="2">
        <f t="array" ref="B733">INDEX(helper!$A$3:$A3996,ROUNDUP((ROW()-1)/COUNTA(helper!$D$3:$D3996),0))</f>
        <v>45810</v>
      </c>
      <c r="C733" s="5" t="str">
        <f t="array" ref="C733">IF(B733="","",INDEX(helper!$D$3:$D3996,MOD(ROW()-2,COUNTA(helper!$D$3:$D3996))+1))</f>
        <v>Vglobal</v>
      </c>
      <c r="D733" s="3" t="str">
        <f t="array" ref="D733">IF(B733="","",INDEX(helper!$E$3:$E3996,MOD(ROW()-2,COUNTA(helper!$D$3:$D3996))+1))</f>
        <v>CS 007</v>
      </c>
      <c r="E733" s="3">
        <f t="array" ref="E733">IF(B733="","",INDEX(helper!$F$3:$F3996,MOD(ROW()-2,COUNTA(helper!$D$3:$D3996))+1))</f>
        <v>12</v>
      </c>
      <c r="F733" s="3">
        <f>IF(B733="","",SUMIFS('inventory ledger'!$H:$H,'inventory ledger'!$C:$C,C733,'inventory ledger'!$D:$D,D733,'inventory ledger'!$E:$E,E733,'inventory ledger'!$A:$A,"&lt;="&amp;B733+TIME(23,59,59))-SUMIFS('inventory ledger'!$I:$I,'inventory ledger'!$C:$C,C733,'inventory ledger'!$D:$D,D733,'inventory ledger'!$E:$E,E733,'inventory ledger'!$A:$A,"&lt;="&amp;B733+TIME(23,59,59)))</f>
        <v>0</v>
      </c>
      <c r="G733" s="3">
        <f>IFERROR(__xludf.DUMMYFUNCTION("IF(F733&lt;=0,0,IFERROR(ROUNDUP(F733/INDEX(FILTER('warehouse config'!$D:$D,('warehouse config'!$B:$B=C733)*('warehouse config'!$C:$C=D733)*('warehouse config'!$G:$G&lt;=B733)*(('warehouse config'!$H:$H&gt;=B733)+ISBLANK('warehouse config'!$H:$H))),1)),0))"),0.0)</f>
        <v>0</v>
      </c>
      <c r="H733" s="3">
        <f>IFERROR(__xludf.DUMMYFUNCTION("IFERROR(INDEX(FILTER('cost master'!$E:$E,('cost master'!$B:$B=C733)*('cost master'!$D:$D=""Storage cost per pallet / week"")*('cost master'!$G:$G&lt;=B733)*(('cost master'!$H:$H&gt;=B733)+ISBLANK('cost master'!$H:$H))),1),0)"),2.6)</f>
        <v>2.6</v>
      </c>
      <c r="I733" s="3">
        <f t="shared" si="4"/>
        <v>0</v>
      </c>
      <c r="J733" s="27">
        <f t="shared" si="5"/>
        <v>45793</v>
      </c>
      <c r="K733" s="27">
        <f t="shared" si="6"/>
        <v>45823</v>
      </c>
    </row>
    <row r="734" hidden="1">
      <c r="A734" s="3" t="str">
        <f t="shared" si="3"/>
        <v>SL-20250602-Vglobal-CS 011-12</v>
      </c>
      <c r="B734" s="2">
        <f t="array" ref="B734">INDEX(helper!$A$3:$A3996,ROUNDUP((ROW()-1)/COUNTA(helper!$D$3:$D3996),0))</f>
        <v>45810</v>
      </c>
      <c r="C734" s="5" t="str">
        <f t="array" ref="C734">IF(B734="","",INDEX(helper!$D$3:$D3996,MOD(ROW()-2,COUNTA(helper!$D$3:$D3996))+1))</f>
        <v>Vglobal</v>
      </c>
      <c r="D734" s="3" t="str">
        <f t="array" ref="D734">IF(B734="","",INDEX(helper!$E$3:$E3996,MOD(ROW()-2,COUNTA(helper!$D$3:$D3996))+1))</f>
        <v>CS 011</v>
      </c>
      <c r="E734" s="3">
        <f t="array" ref="E734">IF(B734="","",INDEX(helper!$F$3:$F3996,MOD(ROW()-2,COUNTA(helper!$D$3:$D3996))+1))</f>
        <v>12</v>
      </c>
      <c r="F734" s="3">
        <f>IF(B734="","",SUMIFS('inventory ledger'!$H:$H,'inventory ledger'!$C:$C,C734,'inventory ledger'!$D:$D,D734,'inventory ledger'!$E:$E,E734,'inventory ledger'!$A:$A,"&lt;="&amp;B734+TIME(23,59,59))-SUMIFS('inventory ledger'!$I:$I,'inventory ledger'!$C:$C,C734,'inventory ledger'!$D:$D,D734,'inventory ledger'!$E:$E,E734,'inventory ledger'!$A:$A,"&lt;="&amp;B734+TIME(23,59,59)))</f>
        <v>0</v>
      </c>
      <c r="G734" s="3">
        <f>IFERROR(__xludf.DUMMYFUNCTION("IF(F734&lt;=0,0,IFERROR(ROUNDUP(F734/INDEX(FILTER('warehouse config'!$D:$D,('warehouse config'!$B:$B=C734)*('warehouse config'!$C:$C=D734)*('warehouse config'!$G:$G&lt;=B734)*(('warehouse config'!$H:$H&gt;=B734)+ISBLANK('warehouse config'!$H:$H))),1)),0))"),0.0)</f>
        <v>0</v>
      </c>
      <c r="H734" s="3">
        <f>IFERROR(__xludf.DUMMYFUNCTION("IFERROR(INDEX(FILTER('cost master'!$E:$E,('cost master'!$B:$B=C734)*('cost master'!$D:$D=""Storage cost per pallet / week"")*('cost master'!$G:$G&lt;=B734)*(('cost master'!$H:$H&gt;=B734)+ISBLANK('cost master'!$H:$H))),1),0)"),2.6)</f>
        <v>2.6</v>
      </c>
      <c r="I734" s="3">
        <f t="shared" si="4"/>
        <v>0</v>
      </c>
      <c r="J734" s="27">
        <f t="shared" si="5"/>
        <v>45793</v>
      </c>
      <c r="K734" s="27">
        <f t="shared" si="6"/>
        <v>45823</v>
      </c>
    </row>
    <row r="735" hidden="1">
      <c r="A735" s="3" t="str">
        <f t="shared" si="3"/>
        <v>SL-20250602-Vglobal-CS 008-12</v>
      </c>
      <c r="B735" s="2">
        <f t="array" ref="B735">INDEX(helper!$A$3:$A3996,ROUNDUP((ROW()-1)/COUNTA(helper!$D$3:$D3996),0))</f>
        <v>45810</v>
      </c>
      <c r="C735" s="5" t="str">
        <f t="array" ref="C735">IF(B735="","",INDEX(helper!$D$3:$D3996,MOD(ROW()-2,COUNTA(helper!$D$3:$D3996))+1))</f>
        <v>Vglobal</v>
      </c>
      <c r="D735" s="3" t="str">
        <f t="array" ref="D735">IF(B735="","",INDEX(helper!$E$3:$E3996,MOD(ROW()-2,COUNTA(helper!$D$3:$D3996))+1))</f>
        <v>CS 008</v>
      </c>
      <c r="E735" s="3">
        <f t="array" ref="E735">IF(B735="","",INDEX(helper!$F$3:$F3996,MOD(ROW()-2,COUNTA(helper!$D$3:$D3996))+1))</f>
        <v>12</v>
      </c>
      <c r="F735" s="3">
        <f>IF(B735="","",SUMIFS('inventory ledger'!$H:$H,'inventory ledger'!$C:$C,C735,'inventory ledger'!$D:$D,D735,'inventory ledger'!$E:$E,E735,'inventory ledger'!$A:$A,"&lt;="&amp;B735+TIME(23,59,59))-SUMIFS('inventory ledger'!$I:$I,'inventory ledger'!$C:$C,C735,'inventory ledger'!$D:$D,D735,'inventory ledger'!$E:$E,E735,'inventory ledger'!$A:$A,"&lt;="&amp;B735+TIME(23,59,59)))</f>
        <v>0</v>
      </c>
      <c r="G735" s="3">
        <f>IFERROR(__xludf.DUMMYFUNCTION("IF(F735&lt;=0,0,IFERROR(ROUNDUP(F735/INDEX(FILTER('warehouse config'!$D:$D,('warehouse config'!$B:$B=C735)*('warehouse config'!$C:$C=D735)*('warehouse config'!$G:$G&lt;=B735)*(('warehouse config'!$H:$H&gt;=B735)+ISBLANK('warehouse config'!$H:$H))),1)),0))"),0.0)</f>
        <v>0</v>
      </c>
      <c r="H735" s="3">
        <f>IFERROR(__xludf.DUMMYFUNCTION("IFERROR(INDEX(FILTER('cost master'!$E:$E,('cost master'!$B:$B=C735)*('cost master'!$D:$D=""Storage cost per pallet / week"")*('cost master'!$G:$G&lt;=B735)*(('cost master'!$H:$H&gt;=B735)+ISBLANK('cost master'!$H:$H))),1),0)"),2.6)</f>
        <v>2.6</v>
      </c>
      <c r="I735" s="3">
        <f t="shared" si="4"/>
        <v>0</v>
      </c>
      <c r="J735" s="27">
        <f t="shared" si="5"/>
        <v>45793</v>
      </c>
      <c r="K735" s="27">
        <f t="shared" si="6"/>
        <v>45823</v>
      </c>
    </row>
    <row r="736" hidden="1">
      <c r="A736" s="3" t="str">
        <f t="shared" si="3"/>
        <v>SL-20250602-Vglobal-CS 010-12</v>
      </c>
      <c r="B736" s="2">
        <f t="array" ref="B736">INDEX(helper!$A$3:$A3996,ROUNDUP((ROW()-1)/COUNTA(helper!$D$3:$D3996),0))</f>
        <v>45810</v>
      </c>
      <c r="C736" s="5" t="str">
        <f t="array" ref="C736">IF(B736="","",INDEX(helper!$D$3:$D3996,MOD(ROW()-2,COUNTA(helper!$D$3:$D3996))+1))</f>
        <v>Vglobal</v>
      </c>
      <c r="D736" s="3" t="str">
        <f t="array" ref="D736">IF(B736="","",INDEX(helper!$E$3:$E3996,MOD(ROW()-2,COUNTA(helper!$D$3:$D3996))+1))</f>
        <v>CS 010</v>
      </c>
      <c r="E736" s="3">
        <f t="array" ref="E736">IF(B736="","",INDEX(helper!$F$3:$F3996,MOD(ROW()-2,COUNTA(helper!$D$3:$D3996))+1))</f>
        <v>12</v>
      </c>
      <c r="F736" s="3">
        <f>IF(B736="","",SUMIFS('inventory ledger'!$H:$H,'inventory ledger'!$C:$C,C736,'inventory ledger'!$D:$D,D736,'inventory ledger'!$E:$E,E736,'inventory ledger'!$A:$A,"&lt;="&amp;B736+TIME(23,59,59))-SUMIFS('inventory ledger'!$I:$I,'inventory ledger'!$C:$C,C736,'inventory ledger'!$D:$D,D736,'inventory ledger'!$E:$E,E736,'inventory ledger'!$A:$A,"&lt;="&amp;B736+TIME(23,59,59)))</f>
        <v>70</v>
      </c>
      <c r="G736" s="3">
        <f>IFERROR(__xludf.DUMMYFUNCTION("IF(F736&lt;=0,0,IFERROR(ROUNDUP(F736/INDEX(FILTER('warehouse config'!$D:$D,('warehouse config'!$B:$B=C736)*('warehouse config'!$C:$C=D736)*('warehouse config'!$G:$G&lt;=B736)*(('warehouse config'!$H:$H&gt;=B736)+ISBLANK('warehouse config'!$H:$H))),1)),0))"),3.0)</f>
        <v>3</v>
      </c>
      <c r="H736" s="3">
        <f>IFERROR(__xludf.DUMMYFUNCTION("IFERROR(INDEX(FILTER('cost master'!$E:$E,('cost master'!$B:$B=C736)*('cost master'!$D:$D=""Storage cost per pallet / week"")*('cost master'!$G:$G&lt;=B736)*(('cost master'!$H:$H&gt;=B736)+ISBLANK('cost master'!$H:$H))),1),0)"),2.6)</f>
        <v>2.6</v>
      </c>
      <c r="I736" s="3">
        <f t="shared" si="4"/>
        <v>7.8</v>
      </c>
      <c r="J736" s="27">
        <f t="shared" si="5"/>
        <v>45793</v>
      </c>
      <c r="K736" s="27">
        <f t="shared" si="6"/>
        <v>45823</v>
      </c>
    </row>
    <row r="737" hidden="1">
      <c r="A737" s="3" t="str">
        <f t="shared" si="3"/>
        <v>SL-20250602-Vglobal-CS 009-12</v>
      </c>
      <c r="B737" s="2">
        <f t="array" ref="B737">INDEX(helper!$A$3:$A3996,ROUNDUP((ROW()-1)/COUNTA(helper!$D$3:$D3996),0))</f>
        <v>45810</v>
      </c>
      <c r="C737" s="5" t="str">
        <f t="array" ref="C737">IF(B737="","",INDEX(helper!$D$3:$D3996,MOD(ROW()-2,COUNTA(helper!$D$3:$D3996))+1))</f>
        <v>Vglobal</v>
      </c>
      <c r="D737" s="3" t="str">
        <f t="array" ref="D737">IF(B737="","",INDEX(helper!$E$3:$E3996,MOD(ROW()-2,COUNTA(helper!$D$3:$D3996))+1))</f>
        <v>CS 009</v>
      </c>
      <c r="E737" s="3">
        <f t="array" ref="E737">IF(B737="","",INDEX(helper!$F$3:$F3996,MOD(ROW()-2,COUNTA(helper!$D$3:$D3996))+1))</f>
        <v>12</v>
      </c>
      <c r="F737" s="3">
        <f>IF(B737="","",SUMIFS('inventory ledger'!$H:$H,'inventory ledger'!$C:$C,C737,'inventory ledger'!$D:$D,D737,'inventory ledger'!$E:$E,E737,'inventory ledger'!$A:$A,"&lt;="&amp;B737+TIME(23,59,59))-SUMIFS('inventory ledger'!$I:$I,'inventory ledger'!$C:$C,C737,'inventory ledger'!$D:$D,D737,'inventory ledger'!$E:$E,E737,'inventory ledger'!$A:$A,"&lt;="&amp;B737+TIME(23,59,59)))</f>
        <v>0</v>
      </c>
      <c r="G737" s="3">
        <f>IFERROR(__xludf.DUMMYFUNCTION("IF(F737&lt;=0,0,IFERROR(ROUNDUP(F737/INDEX(FILTER('warehouse config'!$D:$D,('warehouse config'!$B:$B=C737)*('warehouse config'!$C:$C=D737)*('warehouse config'!$G:$G&lt;=B737)*(('warehouse config'!$H:$H&gt;=B737)+ISBLANK('warehouse config'!$H:$H))),1)),0))"),0.0)</f>
        <v>0</v>
      </c>
      <c r="H737" s="3">
        <f>IFERROR(__xludf.DUMMYFUNCTION("IFERROR(INDEX(FILTER('cost master'!$E:$E,('cost master'!$B:$B=C737)*('cost master'!$D:$D=""Storage cost per pallet / week"")*('cost master'!$G:$G&lt;=B737)*(('cost master'!$H:$H&gt;=B737)+ISBLANK('cost master'!$H:$H))),1),0)"),2.6)</f>
        <v>2.6</v>
      </c>
      <c r="I737" s="3">
        <f t="shared" si="4"/>
        <v>0</v>
      </c>
      <c r="J737" s="27">
        <f t="shared" si="5"/>
        <v>45793</v>
      </c>
      <c r="K737" s="27">
        <f t="shared" si="6"/>
        <v>45823</v>
      </c>
    </row>
    <row r="738" hidden="1">
      <c r="A738" s="3" t="str">
        <f t="shared" si="3"/>
        <v>SL-20250602-Vglobal-CS 012-12</v>
      </c>
      <c r="B738" s="2">
        <f t="array" ref="B738">INDEX(helper!$A$3:$A3996,ROUNDUP((ROW()-1)/COUNTA(helper!$D$3:$D3996),0))</f>
        <v>45810</v>
      </c>
      <c r="C738" s="5" t="str">
        <f t="array" ref="C738">IF(B738="","",INDEX(helper!$D$3:$D3996,MOD(ROW()-2,COUNTA(helper!$D$3:$D3996))+1))</f>
        <v>Vglobal</v>
      </c>
      <c r="D738" s="3" t="str">
        <f t="array" ref="D738">IF(B738="","",INDEX(helper!$E$3:$E3996,MOD(ROW()-2,COUNTA(helper!$D$3:$D3996))+1))</f>
        <v>CS 012</v>
      </c>
      <c r="E738" s="3">
        <f t="array" ref="E738">IF(B738="","",INDEX(helper!$F$3:$F3996,MOD(ROW()-2,COUNTA(helper!$D$3:$D3996))+1))</f>
        <v>12</v>
      </c>
      <c r="F738" s="3">
        <f>IF(B738="","",SUMIFS('inventory ledger'!$H:$H,'inventory ledger'!$C:$C,C738,'inventory ledger'!$D:$D,D738,'inventory ledger'!$E:$E,E738,'inventory ledger'!$A:$A,"&lt;="&amp;B738+TIME(23,59,59))-SUMIFS('inventory ledger'!$I:$I,'inventory ledger'!$C:$C,C738,'inventory ledger'!$D:$D,D738,'inventory ledger'!$E:$E,E738,'inventory ledger'!$A:$A,"&lt;="&amp;B738+TIME(23,59,59)))</f>
        <v>0</v>
      </c>
      <c r="G738" s="3">
        <f>IFERROR(__xludf.DUMMYFUNCTION("IF(F738&lt;=0,0,IFERROR(ROUNDUP(F738/INDEX(FILTER('warehouse config'!$D:$D,('warehouse config'!$B:$B=C738)*('warehouse config'!$C:$C=D738)*('warehouse config'!$G:$G&lt;=B738)*(('warehouse config'!$H:$H&gt;=B738)+ISBLANK('warehouse config'!$H:$H))),1)),0))"),0.0)</f>
        <v>0</v>
      </c>
      <c r="H738" s="3">
        <f>IFERROR(__xludf.DUMMYFUNCTION("IFERROR(INDEX(FILTER('cost master'!$E:$E,('cost master'!$B:$B=C738)*('cost master'!$D:$D=""Storage cost per pallet / week"")*('cost master'!$G:$G&lt;=B738)*(('cost master'!$H:$H&gt;=B738)+ISBLANK('cost master'!$H:$H))),1),0)"),2.6)</f>
        <v>2.6</v>
      </c>
      <c r="I738" s="3">
        <f t="shared" si="4"/>
        <v>0</v>
      </c>
      <c r="J738" s="27">
        <f t="shared" si="5"/>
        <v>45793</v>
      </c>
      <c r="K738" s="27">
        <f t="shared" si="6"/>
        <v>45823</v>
      </c>
    </row>
    <row r="739" hidden="1">
      <c r="A739" s="3" t="str">
        <f t="shared" si="3"/>
        <v>SL-20250602-Vglobal-CS-CDS-001-3</v>
      </c>
      <c r="B739" s="2">
        <f t="array" ref="B739">INDEX(helper!$A$3:$A3996,ROUNDUP((ROW()-1)/COUNTA(helper!$D$3:$D3996),0))</f>
        <v>45810</v>
      </c>
      <c r="C739" s="5" t="str">
        <f t="array" ref="C739">IF(B739="","",INDEX(helper!$D$3:$D3996,MOD(ROW()-2,COUNTA(helper!$D$3:$D3996))+1))</f>
        <v>Vglobal</v>
      </c>
      <c r="D739" s="3" t="str">
        <f t="array" ref="D739">IF(B739="","",INDEX(helper!$E$3:$E3996,MOD(ROW()-2,COUNTA(helper!$D$3:$D3996))+1))</f>
        <v>CS-CDS-001</v>
      </c>
      <c r="E739" s="3">
        <f t="array" ref="E739">IF(B739="","",INDEX(helper!$F$3:$F3996,MOD(ROW()-2,COUNTA(helper!$D$3:$D3996))+1))</f>
        <v>3</v>
      </c>
      <c r="F739" s="3">
        <f>IF(B739="","",SUMIFS('inventory ledger'!$H:$H,'inventory ledger'!$C:$C,C739,'inventory ledger'!$D:$D,D739,'inventory ledger'!$E:$E,E739,'inventory ledger'!$A:$A,"&lt;="&amp;B739+TIME(23,59,59))-SUMIFS('inventory ledger'!$I:$I,'inventory ledger'!$C:$C,C739,'inventory ledger'!$D:$D,D739,'inventory ledger'!$E:$E,E739,'inventory ledger'!$A:$A,"&lt;="&amp;B739+TIME(23,59,59)))</f>
        <v>1</v>
      </c>
      <c r="G739" s="3">
        <f>IFERROR(__xludf.DUMMYFUNCTION("IF(F739&lt;=0,0,IFERROR(ROUNDUP(F739/INDEX(FILTER('warehouse config'!$D:$D,('warehouse config'!$B:$B=C739)*('warehouse config'!$C:$C=D739)*('warehouse config'!$G:$G&lt;=B739)*(('warehouse config'!$H:$H&gt;=B739)+ISBLANK('warehouse config'!$H:$H))),1)),0))"),1.0)</f>
        <v>1</v>
      </c>
      <c r="H739" s="3">
        <f>IFERROR(__xludf.DUMMYFUNCTION("IFERROR(INDEX(FILTER('cost master'!$E:$E,('cost master'!$B:$B=C739)*('cost master'!$D:$D=""Storage cost per pallet / week"")*('cost master'!$G:$G&lt;=B739)*(('cost master'!$H:$H&gt;=B739)+ISBLANK('cost master'!$H:$H))),1),0)"),2.6)</f>
        <v>2.6</v>
      </c>
      <c r="I739" s="3">
        <f t="shared" si="4"/>
        <v>2.6</v>
      </c>
      <c r="J739" s="27">
        <f t="shared" si="5"/>
        <v>45793</v>
      </c>
      <c r="K739" s="27">
        <f t="shared" si="6"/>
        <v>45823</v>
      </c>
    </row>
    <row r="740" hidden="1">
      <c r="A740" s="3" t="str">
        <f t="shared" si="3"/>
        <v>SL-20250602-Vglobal-CS-CDS-002-3</v>
      </c>
      <c r="B740" s="2">
        <f t="array" ref="B740">INDEX(helper!$A$3:$A3996,ROUNDUP((ROW()-1)/COUNTA(helper!$D$3:$D3996),0))</f>
        <v>45810</v>
      </c>
      <c r="C740" s="5" t="str">
        <f t="array" ref="C740">IF(B740="","",INDEX(helper!$D$3:$D3996,MOD(ROW()-2,COUNTA(helper!$D$3:$D3996))+1))</f>
        <v>Vglobal</v>
      </c>
      <c r="D740" s="3" t="str">
        <f t="array" ref="D740">IF(B740="","",INDEX(helper!$E$3:$E3996,MOD(ROW()-2,COUNTA(helper!$D$3:$D3996))+1))</f>
        <v>CS-CDS-002</v>
      </c>
      <c r="E740" s="3">
        <f t="array" ref="E740">IF(B740="","",INDEX(helper!$F$3:$F3996,MOD(ROW()-2,COUNTA(helper!$D$3:$D3996))+1))</f>
        <v>3</v>
      </c>
      <c r="F740" s="3">
        <f>IF(B740="","",SUMIFS('inventory ledger'!$H:$H,'inventory ledger'!$C:$C,C740,'inventory ledger'!$D:$D,D740,'inventory ledger'!$E:$E,E740,'inventory ledger'!$A:$A,"&lt;="&amp;B740+TIME(23,59,59))-SUMIFS('inventory ledger'!$I:$I,'inventory ledger'!$C:$C,C740,'inventory ledger'!$D:$D,D740,'inventory ledger'!$E:$E,E740,'inventory ledger'!$A:$A,"&lt;="&amp;B740+TIME(23,59,59)))</f>
        <v>0</v>
      </c>
      <c r="G740" s="3">
        <f>IFERROR(__xludf.DUMMYFUNCTION("IF(F740&lt;=0,0,IFERROR(ROUNDUP(F740/INDEX(FILTER('warehouse config'!$D:$D,('warehouse config'!$B:$B=C740)*('warehouse config'!$C:$C=D740)*('warehouse config'!$G:$G&lt;=B740)*(('warehouse config'!$H:$H&gt;=B740)+ISBLANK('warehouse config'!$H:$H))),1)),0))"),0.0)</f>
        <v>0</v>
      </c>
      <c r="H740" s="3">
        <f>IFERROR(__xludf.DUMMYFUNCTION("IFERROR(INDEX(FILTER('cost master'!$E:$E,('cost master'!$B:$B=C740)*('cost master'!$D:$D=""Storage cost per pallet / week"")*('cost master'!$G:$G&lt;=B740)*(('cost master'!$H:$H&gt;=B740)+ISBLANK('cost master'!$H:$H))),1),0)"),2.6)</f>
        <v>2.6</v>
      </c>
      <c r="I740" s="3">
        <f t="shared" si="4"/>
        <v>0</v>
      </c>
      <c r="J740" s="27">
        <f t="shared" si="5"/>
        <v>45793</v>
      </c>
      <c r="K740" s="27">
        <f t="shared" si="6"/>
        <v>45823</v>
      </c>
    </row>
    <row r="741" hidden="1">
      <c r="A741" s="3" t="str">
        <f t="shared" si="3"/>
        <v>SL-20250602-4as-CS-CDS-001-4</v>
      </c>
      <c r="B741" s="2">
        <f t="array" ref="B741">INDEX(helper!$A$3:$A3996,ROUNDUP((ROW()-1)/COUNTA(helper!$D$3:$D3996),0))</f>
        <v>45810</v>
      </c>
      <c r="C741" s="5" t="str">
        <f t="array" ref="C741">IF(B741="","",INDEX(helper!$D$3:$D3996,MOD(ROW()-2,COUNTA(helper!$D$3:$D3996))+1))</f>
        <v>4as</v>
      </c>
      <c r="D741" s="3" t="str">
        <f t="array" ref="D741">IF(B741="","",INDEX(helper!$E$3:$E3996,MOD(ROW()-2,COUNTA(helper!$D$3:$D3996))+1))</f>
        <v>CS-CDS-001</v>
      </c>
      <c r="E741" s="3">
        <f t="array" ref="E741">IF(B741="","",INDEX(helper!$F$3:$F3996,MOD(ROW()-2,COUNTA(helper!$D$3:$D3996))+1))</f>
        <v>4</v>
      </c>
      <c r="F741" s="3">
        <f>IF(B741="","",SUMIFS('inventory ledger'!$H:$H,'inventory ledger'!$C:$C,C741,'inventory ledger'!$D:$D,D741,'inventory ledger'!$E:$E,E741,'inventory ledger'!$A:$A,"&lt;="&amp;B741+TIME(23,59,59))-SUMIFS('inventory ledger'!$I:$I,'inventory ledger'!$C:$C,C741,'inventory ledger'!$D:$D,D741,'inventory ledger'!$E:$E,E741,'inventory ledger'!$A:$A,"&lt;="&amp;B741+TIME(23,59,59)))</f>
        <v>0</v>
      </c>
      <c r="G741" s="3">
        <f>IFERROR(__xludf.DUMMYFUNCTION("IF(F741&lt;=0,0,IFERROR(ROUNDUP(F741/INDEX(FILTER('warehouse config'!$D:$D,('warehouse config'!$B:$B=C741)*('warehouse config'!$C:$C=D741)*('warehouse config'!$G:$G&lt;=B741)*(('warehouse config'!$H:$H&gt;=B741)+ISBLANK('warehouse config'!$H:$H))),1)),0))"),0.0)</f>
        <v>0</v>
      </c>
      <c r="H741" s="3">
        <f>IFERROR(__xludf.DUMMYFUNCTION("IFERROR(INDEX(FILTER('cost master'!$E:$E,('cost master'!$B:$B=C741)*('cost master'!$D:$D=""Storage cost per pallet / week"")*('cost master'!$G:$G&lt;=B741)*(('cost master'!$H:$H&gt;=B741)+ISBLANK('cost master'!$H:$H))),1),0)"),9.0)</f>
        <v>9</v>
      </c>
      <c r="I741" s="3">
        <f t="shared" si="4"/>
        <v>0</v>
      </c>
      <c r="J741" s="27">
        <f t="shared" si="5"/>
        <v>45793</v>
      </c>
      <c r="K741" s="27">
        <f t="shared" si="6"/>
        <v>45823</v>
      </c>
    </row>
    <row r="742" hidden="1">
      <c r="A742" s="3" t="str">
        <f t="shared" si="3"/>
        <v>SL-20250602-4as-CS-CDS-002-4</v>
      </c>
      <c r="B742" s="2">
        <f t="array" ref="B742">INDEX(helper!$A$3:$A3996,ROUNDUP((ROW()-1)/COUNTA(helper!$D$3:$D3996),0))</f>
        <v>45810</v>
      </c>
      <c r="C742" s="5" t="str">
        <f t="array" ref="C742">IF(B742="","",INDEX(helper!$D$3:$D3996,MOD(ROW()-2,COUNTA(helper!$D$3:$D3996))+1))</f>
        <v>4as</v>
      </c>
      <c r="D742" s="3" t="str">
        <f t="array" ref="D742">IF(B742="","",INDEX(helper!$E$3:$E3996,MOD(ROW()-2,COUNTA(helper!$D$3:$D3996))+1))</f>
        <v>CS-CDS-002</v>
      </c>
      <c r="E742" s="3">
        <f t="array" ref="E742">IF(B742="","",INDEX(helper!$F$3:$F3996,MOD(ROW()-2,COUNTA(helper!$D$3:$D3996))+1))</f>
        <v>4</v>
      </c>
      <c r="F742" s="3">
        <f>IF(B742="","",SUMIFS('inventory ledger'!$H:$H,'inventory ledger'!$C:$C,C742,'inventory ledger'!$D:$D,D742,'inventory ledger'!$E:$E,E742,'inventory ledger'!$A:$A,"&lt;="&amp;B742+TIME(23,59,59))-SUMIFS('inventory ledger'!$I:$I,'inventory ledger'!$C:$C,C742,'inventory ledger'!$D:$D,D742,'inventory ledger'!$E:$E,E742,'inventory ledger'!$A:$A,"&lt;="&amp;B742+TIME(23,59,59)))</f>
        <v>0</v>
      </c>
      <c r="G742" s="3">
        <f>IFERROR(__xludf.DUMMYFUNCTION("IF(F742&lt;=0,0,IFERROR(ROUNDUP(F742/INDEX(FILTER('warehouse config'!$D:$D,('warehouse config'!$B:$B=C742)*('warehouse config'!$C:$C=D742)*('warehouse config'!$G:$G&lt;=B742)*(('warehouse config'!$H:$H&gt;=B742)+ISBLANK('warehouse config'!$H:$H))),1)),0))"),0.0)</f>
        <v>0</v>
      </c>
      <c r="H742" s="3">
        <f>IFERROR(__xludf.DUMMYFUNCTION("IFERROR(INDEX(FILTER('cost master'!$E:$E,('cost master'!$B:$B=C742)*('cost master'!$D:$D=""Storage cost per pallet / week"")*('cost master'!$G:$G&lt;=B742)*(('cost master'!$H:$H&gt;=B742)+ISBLANK('cost master'!$H:$H))),1),0)"),9.0)</f>
        <v>9</v>
      </c>
      <c r="I742" s="3">
        <f t="shared" si="4"/>
        <v>0</v>
      </c>
      <c r="J742" s="27">
        <f t="shared" si="5"/>
        <v>45793</v>
      </c>
      <c r="K742" s="27">
        <f t="shared" si="6"/>
        <v>45823</v>
      </c>
    </row>
    <row r="743" hidden="1">
      <c r="A743" s="3" t="str">
        <f t="shared" si="3"/>
        <v>SL-20250602-Vglobal-CS 007-13</v>
      </c>
      <c r="B743" s="2">
        <f t="array" ref="B743">INDEX(helper!$A$3:$A3996,ROUNDUP((ROW()-1)/COUNTA(helper!$D$3:$D3996),0))</f>
        <v>45810</v>
      </c>
      <c r="C743" s="5" t="str">
        <f t="array" ref="C743">IF(B743="","",INDEX(helper!$D$3:$D3996,MOD(ROW()-2,COUNTA(helper!$D$3:$D3996))+1))</f>
        <v>Vglobal</v>
      </c>
      <c r="D743" s="3" t="str">
        <f t="array" ref="D743">IF(B743="","",INDEX(helper!$E$3:$E3996,MOD(ROW()-2,COUNTA(helper!$D$3:$D3996))+1))</f>
        <v>CS 007</v>
      </c>
      <c r="E743" s="3">
        <f t="array" ref="E743">IF(B743="","",INDEX(helper!$F$3:$F3996,MOD(ROW()-2,COUNTA(helper!$D$3:$D3996))+1))</f>
        <v>13</v>
      </c>
      <c r="F743" s="3">
        <f>IF(B743="","",SUMIFS('inventory ledger'!$H:$H,'inventory ledger'!$C:$C,C743,'inventory ledger'!$D:$D,D743,'inventory ledger'!$E:$E,E743,'inventory ledger'!$A:$A,"&lt;="&amp;B743+TIME(23,59,59))-SUMIFS('inventory ledger'!$I:$I,'inventory ledger'!$C:$C,C743,'inventory ledger'!$D:$D,D743,'inventory ledger'!$E:$E,E743,'inventory ledger'!$A:$A,"&lt;="&amp;B743+TIME(23,59,59)))</f>
        <v>45</v>
      </c>
      <c r="G743" s="3">
        <f>IFERROR(__xludf.DUMMYFUNCTION("IF(F743&lt;=0,0,IFERROR(ROUNDUP(F743/INDEX(FILTER('warehouse config'!$D:$D,('warehouse config'!$B:$B=C743)*('warehouse config'!$C:$C=D743)*('warehouse config'!$G:$G&lt;=B743)*(('warehouse config'!$H:$H&gt;=B743)+ISBLANK('warehouse config'!$H:$H))),1)),0))"),3.0)</f>
        <v>3</v>
      </c>
      <c r="H743" s="3">
        <f>IFERROR(__xludf.DUMMYFUNCTION("IFERROR(INDEX(FILTER('cost master'!$E:$E,('cost master'!$B:$B=C743)*('cost master'!$D:$D=""Storage cost per pallet / week"")*('cost master'!$G:$G&lt;=B743)*(('cost master'!$H:$H&gt;=B743)+ISBLANK('cost master'!$H:$H))),1),0)"),2.6)</f>
        <v>2.6</v>
      </c>
      <c r="I743" s="3">
        <f t="shared" si="4"/>
        <v>7.8</v>
      </c>
      <c r="J743" s="27">
        <f t="shared" si="5"/>
        <v>45793</v>
      </c>
      <c r="K743" s="27">
        <f t="shared" si="6"/>
        <v>45823</v>
      </c>
    </row>
    <row r="744" hidden="1">
      <c r="A744" s="3" t="str">
        <f t="shared" si="3"/>
        <v>SL-20250602-Vglobal-CS 011-13</v>
      </c>
      <c r="B744" s="2">
        <f t="array" ref="B744">INDEX(helper!$A$3:$A3996,ROUNDUP((ROW()-1)/COUNTA(helper!$D$3:$D3996),0))</f>
        <v>45810</v>
      </c>
      <c r="C744" s="5" t="str">
        <f t="array" ref="C744">IF(B744="","",INDEX(helper!$D$3:$D3996,MOD(ROW()-2,COUNTA(helper!$D$3:$D3996))+1))</f>
        <v>Vglobal</v>
      </c>
      <c r="D744" s="3" t="str">
        <f t="array" ref="D744">IF(B744="","",INDEX(helper!$E$3:$E3996,MOD(ROW()-2,COUNTA(helper!$D$3:$D3996))+1))</f>
        <v>CS 011</v>
      </c>
      <c r="E744" s="3">
        <f t="array" ref="E744">IF(B744="","",INDEX(helper!$F$3:$F3996,MOD(ROW()-2,COUNTA(helper!$D$3:$D3996))+1))</f>
        <v>13</v>
      </c>
      <c r="F744" s="3">
        <f>IF(B744="","",SUMIFS('inventory ledger'!$H:$H,'inventory ledger'!$C:$C,C744,'inventory ledger'!$D:$D,D744,'inventory ledger'!$E:$E,E744,'inventory ledger'!$A:$A,"&lt;="&amp;B744+TIME(23,59,59))-SUMIFS('inventory ledger'!$I:$I,'inventory ledger'!$C:$C,C744,'inventory ledger'!$D:$D,D744,'inventory ledger'!$E:$E,E744,'inventory ledger'!$A:$A,"&lt;="&amp;B744+TIME(23,59,59)))</f>
        <v>0</v>
      </c>
      <c r="G744" s="3">
        <f>IFERROR(__xludf.DUMMYFUNCTION("IF(F744&lt;=0,0,IFERROR(ROUNDUP(F744/INDEX(FILTER('warehouse config'!$D:$D,('warehouse config'!$B:$B=C744)*('warehouse config'!$C:$C=D744)*('warehouse config'!$G:$G&lt;=B744)*(('warehouse config'!$H:$H&gt;=B744)+ISBLANK('warehouse config'!$H:$H))),1)),0))"),0.0)</f>
        <v>0</v>
      </c>
      <c r="H744" s="3">
        <f>IFERROR(__xludf.DUMMYFUNCTION("IFERROR(INDEX(FILTER('cost master'!$E:$E,('cost master'!$B:$B=C744)*('cost master'!$D:$D=""Storage cost per pallet / week"")*('cost master'!$G:$G&lt;=B744)*(('cost master'!$H:$H&gt;=B744)+ISBLANK('cost master'!$H:$H))),1),0)"),2.6)</f>
        <v>2.6</v>
      </c>
      <c r="I744" s="3">
        <f t="shared" si="4"/>
        <v>0</v>
      </c>
      <c r="J744" s="27">
        <f t="shared" si="5"/>
        <v>45793</v>
      </c>
      <c r="K744" s="27">
        <f t="shared" si="6"/>
        <v>45823</v>
      </c>
    </row>
    <row r="745" hidden="1">
      <c r="A745" s="3" t="str">
        <f t="shared" si="3"/>
        <v>SL-20250602-Vglobal-CS 008-13</v>
      </c>
      <c r="B745" s="2">
        <f t="array" ref="B745">INDEX(helper!$A$3:$A3996,ROUNDUP((ROW()-1)/COUNTA(helper!$D$3:$D3996),0))</f>
        <v>45810</v>
      </c>
      <c r="C745" s="5" t="str">
        <f t="array" ref="C745">IF(B745="","",INDEX(helper!$D$3:$D3996,MOD(ROW()-2,COUNTA(helper!$D$3:$D3996))+1))</f>
        <v>Vglobal</v>
      </c>
      <c r="D745" s="3" t="str">
        <f t="array" ref="D745">IF(B745="","",INDEX(helper!$E$3:$E3996,MOD(ROW()-2,COUNTA(helper!$D$3:$D3996))+1))</f>
        <v>CS 008</v>
      </c>
      <c r="E745" s="3">
        <f t="array" ref="E745">IF(B745="","",INDEX(helper!$F$3:$F3996,MOD(ROW()-2,COUNTA(helper!$D$3:$D3996))+1))</f>
        <v>13</v>
      </c>
      <c r="F745" s="3">
        <f>IF(B745="","",SUMIFS('inventory ledger'!$H:$H,'inventory ledger'!$C:$C,C745,'inventory ledger'!$D:$D,D745,'inventory ledger'!$E:$E,E745,'inventory ledger'!$A:$A,"&lt;="&amp;B745+TIME(23,59,59))-SUMIFS('inventory ledger'!$I:$I,'inventory ledger'!$C:$C,C745,'inventory ledger'!$D:$D,D745,'inventory ledger'!$E:$E,E745,'inventory ledger'!$A:$A,"&lt;="&amp;B745+TIME(23,59,59)))</f>
        <v>20</v>
      </c>
      <c r="G745" s="3">
        <f>IFERROR(__xludf.DUMMYFUNCTION("IF(F745&lt;=0,0,IFERROR(ROUNDUP(F745/INDEX(FILTER('warehouse config'!$D:$D,('warehouse config'!$B:$B=C745)*('warehouse config'!$C:$C=D745)*('warehouse config'!$G:$G&lt;=B745)*(('warehouse config'!$H:$H&gt;=B745)+ISBLANK('warehouse config'!$H:$H))),1)),0))"),1.0)</f>
        <v>1</v>
      </c>
      <c r="H745" s="3">
        <f>IFERROR(__xludf.DUMMYFUNCTION("IFERROR(INDEX(FILTER('cost master'!$E:$E,('cost master'!$B:$B=C745)*('cost master'!$D:$D=""Storage cost per pallet / week"")*('cost master'!$G:$G&lt;=B745)*(('cost master'!$H:$H&gt;=B745)+ISBLANK('cost master'!$H:$H))),1),0)"),2.6)</f>
        <v>2.6</v>
      </c>
      <c r="I745" s="3">
        <f t="shared" si="4"/>
        <v>2.6</v>
      </c>
      <c r="J745" s="27">
        <f t="shared" si="5"/>
        <v>45793</v>
      </c>
      <c r="K745" s="27">
        <f t="shared" si="6"/>
        <v>45823</v>
      </c>
    </row>
    <row r="746" hidden="1">
      <c r="A746" s="3" t="str">
        <f t="shared" si="3"/>
        <v>SL-20250602-Vglobal-CS 010-13</v>
      </c>
      <c r="B746" s="2">
        <f t="array" ref="B746">INDEX(helper!$A$3:$A3996,ROUNDUP((ROW()-1)/COUNTA(helper!$D$3:$D3996),0))</f>
        <v>45810</v>
      </c>
      <c r="C746" s="5" t="str">
        <f t="array" ref="C746">IF(B746="","",INDEX(helper!$D$3:$D3996,MOD(ROW()-2,COUNTA(helper!$D$3:$D3996))+1))</f>
        <v>Vglobal</v>
      </c>
      <c r="D746" s="3" t="str">
        <f t="array" ref="D746">IF(B746="","",INDEX(helper!$E$3:$E3996,MOD(ROW()-2,COUNTA(helper!$D$3:$D3996))+1))</f>
        <v>CS 010</v>
      </c>
      <c r="E746" s="3">
        <f t="array" ref="E746">IF(B746="","",INDEX(helper!$F$3:$F3996,MOD(ROW()-2,COUNTA(helper!$D$3:$D3996))+1))</f>
        <v>13</v>
      </c>
      <c r="F746" s="3">
        <f>IF(B746="","",SUMIFS('inventory ledger'!$H:$H,'inventory ledger'!$C:$C,C746,'inventory ledger'!$D:$D,D746,'inventory ledger'!$E:$E,E746,'inventory ledger'!$A:$A,"&lt;="&amp;B746+TIME(23,59,59))-SUMIFS('inventory ledger'!$I:$I,'inventory ledger'!$C:$C,C746,'inventory ledger'!$D:$D,D746,'inventory ledger'!$E:$E,E746,'inventory ledger'!$A:$A,"&lt;="&amp;B746+TIME(23,59,59)))</f>
        <v>80</v>
      </c>
      <c r="G746" s="3">
        <f>IFERROR(__xludf.DUMMYFUNCTION("IF(F746&lt;=0,0,IFERROR(ROUNDUP(F746/INDEX(FILTER('warehouse config'!$D:$D,('warehouse config'!$B:$B=C746)*('warehouse config'!$C:$C=D746)*('warehouse config'!$G:$G&lt;=B746)*(('warehouse config'!$H:$H&gt;=B746)+ISBLANK('warehouse config'!$H:$H))),1)),0))"),4.0)</f>
        <v>4</v>
      </c>
      <c r="H746" s="3">
        <f>IFERROR(__xludf.DUMMYFUNCTION("IFERROR(INDEX(FILTER('cost master'!$E:$E,('cost master'!$B:$B=C746)*('cost master'!$D:$D=""Storage cost per pallet / week"")*('cost master'!$G:$G&lt;=B746)*(('cost master'!$H:$H&gt;=B746)+ISBLANK('cost master'!$H:$H))),1),0)"),2.6)</f>
        <v>2.6</v>
      </c>
      <c r="I746" s="3">
        <f t="shared" si="4"/>
        <v>10.4</v>
      </c>
      <c r="J746" s="27">
        <f t="shared" si="5"/>
        <v>45793</v>
      </c>
      <c r="K746" s="27">
        <f t="shared" si="6"/>
        <v>45823</v>
      </c>
    </row>
    <row r="747" hidden="1">
      <c r="A747" s="3" t="str">
        <f t="shared" si="3"/>
        <v>SL-20250602-Vglobal-CS 009-13</v>
      </c>
      <c r="B747" s="2">
        <f t="array" ref="B747">INDEX(helper!$A$3:$A3996,ROUNDUP((ROW()-1)/COUNTA(helper!$D$3:$D3996),0))</f>
        <v>45810</v>
      </c>
      <c r="C747" s="5" t="str">
        <f t="array" ref="C747">IF(B747="","",INDEX(helper!$D$3:$D3996,MOD(ROW()-2,COUNTA(helper!$D$3:$D3996))+1))</f>
        <v>Vglobal</v>
      </c>
      <c r="D747" s="3" t="str">
        <f t="array" ref="D747">IF(B747="","",INDEX(helper!$E$3:$E3996,MOD(ROW()-2,COUNTA(helper!$D$3:$D3996))+1))</f>
        <v>CS 009</v>
      </c>
      <c r="E747" s="3">
        <f t="array" ref="E747">IF(B747="","",INDEX(helper!$F$3:$F3996,MOD(ROW()-2,COUNTA(helper!$D$3:$D3996))+1))</f>
        <v>13</v>
      </c>
      <c r="F747" s="3">
        <f>IF(B747="","",SUMIFS('inventory ledger'!$H:$H,'inventory ledger'!$C:$C,C747,'inventory ledger'!$D:$D,D747,'inventory ledger'!$E:$E,E747,'inventory ledger'!$A:$A,"&lt;="&amp;B747+TIME(23,59,59))-SUMIFS('inventory ledger'!$I:$I,'inventory ledger'!$C:$C,C747,'inventory ledger'!$D:$D,D747,'inventory ledger'!$E:$E,E747,'inventory ledger'!$A:$A,"&lt;="&amp;B747+TIME(23,59,59)))</f>
        <v>0</v>
      </c>
      <c r="G747" s="3">
        <f>IFERROR(__xludf.DUMMYFUNCTION("IF(F747&lt;=0,0,IFERROR(ROUNDUP(F747/INDEX(FILTER('warehouse config'!$D:$D,('warehouse config'!$B:$B=C747)*('warehouse config'!$C:$C=D747)*('warehouse config'!$G:$G&lt;=B747)*(('warehouse config'!$H:$H&gt;=B747)+ISBLANK('warehouse config'!$H:$H))),1)),0))"),0.0)</f>
        <v>0</v>
      </c>
      <c r="H747" s="3">
        <f>IFERROR(__xludf.DUMMYFUNCTION("IFERROR(INDEX(FILTER('cost master'!$E:$E,('cost master'!$B:$B=C747)*('cost master'!$D:$D=""Storage cost per pallet / week"")*('cost master'!$G:$G&lt;=B747)*(('cost master'!$H:$H&gt;=B747)+ISBLANK('cost master'!$H:$H))),1),0)"),2.6)</f>
        <v>2.6</v>
      </c>
      <c r="I747" s="3">
        <f t="shared" si="4"/>
        <v>0</v>
      </c>
      <c r="J747" s="27">
        <f t="shared" si="5"/>
        <v>45793</v>
      </c>
      <c r="K747" s="27">
        <f t="shared" si="6"/>
        <v>45823</v>
      </c>
    </row>
    <row r="748" hidden="1">
      <c r="A748" s="3" t="str">
        <f t="shared" si="3"/>
        <v>SL-20250602-Vglobal-CS 012-13</v>
      </c>
      <c r="B748" s="2">
        <f t="array" ref="B748">INDEX(helper!$A$3:$A3996,ROUNDUP((ROW()-1)/COUNTA(helper!$D$3:$D3996),0))</f>
        <v>45810</v>
      </c>
      <c r="C748" s="5" t="str">
        <f t="array" ref="C748">IF(B748="","",INDEX(helper!$D$3:$D3996,MOD(ROW()-2,COUNTA(helper!$D$3:$D3996))+1))</f>
        <v>Vglobal</v>
      </c>
      <c r="D748" s="3" t="str">
        <f t="array" ref="D748">IF(B748="","",INDEX(helper!$E$3:$E3996,MOD(ROW()-2,COUNTA(helper!$D$3:$D3996))+1))</f>
        <v>CS 012</v>
      </c>
      <c r="E748" s="3">
        <f t="array" ref="E748">IF(B748="","",INDEX(helper!$F$3:$F3996,MOD(ROW()-2,COUNTA(helper!$D$3:$D3996))+1))</f>
        <v>13</v>
      </c>
      <c r="F748" s="3">
        <f>IF(B748="","",SUMIFS('inventory ledger'!$H:$H,'inventory ledger'!$C:$C,C748,'inventory ledger'!$D:$D,D748,'inventory ledger'!$E:$E,E748,'inventory ledger'!$A:$A,"&lt;="&amp;B748+TIME(23,59,59))-SUMIFS('inventory ledger'!$I:$I,'inventory ledger'!$C:$C,C748,'inventory ledger'!$D:$D,D748,'inventory ledger'!$E:$E,E748,'inventory ledger'!$A:$A,"&lt;="&amp;B748+TIME(23,59,59)))</f>
        <v>0</v>
      </c>
      <c r="G748" s="3">
        <f>IFERROR(__xludf.DUMMYFUNCTION("IF(F748&lt;=0,0,IFERROR(ROUNDUP(F748/INDEX(FILTER('warehouse config'!$D:$D,('warehouse config'!$B:$B=C748)*('warehouse config'!$C:$C=D748)*('warehouse config'!$G:$G&lt;=B748)*(('warehouse config'!$H:$H&gt;=B748)+ISBLANK('warehouse config'!$H:$H))),1)),0))"),0.0)</f>
        <v>0</v>
      </c>
      <c r="H748" s="3">
        <f>IFERROR(__xludf.DUMMYFUNCTION("IFERROR(INDEX(FILTER('cost master'!$E:$E,('cost master'!$B:$B=C748)*('cost master'!$D:$D=""Storage cost per pallet / week"")*('cost master'!$G:$G&lt;=B748)*(('cost master'!$H:$H&gt;=B748)+ISBLANK('cost master'!$H:$H))),1),0)"),2.6)</f>
        <v>2.6</v>
      </c>
      <c r="I748" s="3">
        <f t="shared" si="4"/>
        <v>0</v>
      </c>
      <c r="J748" s="27">
        <f t="shared" si="5"/>
        <v>45793</v>
      </c>
      <c r="K748" s="27">
        <f t="shared" si="6"/>
        <v>45823</v>
      </c>
    </row>
    <row r="749">
      <c r="A749" s="3" t="str">
        <f t="shared" si="3"/>
        <v>SL-20250602-FMC-CS 008-11</v>
      </c>
      <c r="B749" s="2">
        <f t="array" ref="B749">INDEX(helper!$A$3:$A3996,ROUNDUP((ROW()-1)/COUNTA(helper!$D$3:$D3996),0))</f>
        <v>45810</v>
      </c>
      <c r="C749" s="5" t="str">
        <f t="array" ref="C749">IF(B749="","",INDEX(helper!$D$3:$D3996,MOD(ROW()-2,COUNTA(helper!$D$3:$D3996))+1))</f>
        <v>FMC</v>
      </c>
      <c r="D749" s="3" t="str">
        <f t="array" ref="D749">IF(B749="","",INDEX(helper!$E$3:$E3996,MOD(ROW()-2,COUNTA(helper!$D$3:$D3996))+1))</f>
        <v>CS 008</v>
      </c>
      <c r="E749" s="3">
        <f t="array" ref="E749">IF(B749="","",INDEX(helper!$F$3:$F3996,MOD(ROW()-2,COUNTA(helper!$D$3:$D3996))+1))</f>
        <v>11</v>
      </c>
      <c r="F749" s="3">
        <f>IF(B749="","",SUMIFS('inventory ledger'!$H:$H,'inventory ledger'!$C:$C,C749,'inventory ledger'!$D:$D,D749,'inventory ledger'!$E:$E,E749,'inventory ledger'!$A:$A,"&lt;="&amp;B749+TIME(23,59,59))-SUMIFS('inventory ledger'!$I:$I,'inventory ledger'!$C:$C,C749,'inventory ledger'!$D:$D,D749,'inventory ledger'!$E:$E,E749,'inventory ledger'!$A:$A,"&lt;="&amp;B749+TIME(23,59,59)))</f>
        <v>-2</v>
      </c>
      <c r="G749" s="3">
        <f>IFERROR(__xludf.DUMMYFUNCTION("IF(F749&lt;=0,0,IFERROR(ROUNDUP(F749/INDEX(FILTER('warehouse config'!$D:$D,('warehouse config'!$B:$B=C749)*('warehouse config'!$C:$C=D749)*('warehouse config'!$G:$G&lt;=B749)*(('warehouse config'!$H:$H&gt;=B749)+ISBLANK('warehouse config'!$H:$H))),1)),0))"),0.0)</f>
        <v>0</v>
      </c>
      <c r="H749" s="3">
        <f>IFERROR(__xludf.DUMMYFUNCTION("IFERROR(INDEX(FILTER('cost master'!$E:$E,('cost master'!$B:$B=C749)*('cost master'!$D:$D=""Storage cost per pallet / week"")*('cost master'!$G:$G&lt;=B749)*(('cost master'!$H:$H&gt;=B749)+ISBLANK('cost master'!$H:$H))),1),0)"),3.9)</f>
        <v>3.9</v>
      </c>
      <c r="I749" s="3">
        <f t="shared" si="4"/>
        <v>0</v>
      </c>
      <c r="J749" s="27">
        <f t="shared" si="5"/>
        <v>45793</v>
      </c>
      <c r="K749" s="27">
        <f t="shared" si="6"/>
        <v>45823</v>
      </c>
    </row>
    <row r="750" hidden="1">
      <c r="A750" s="3" t="str">
        <f t="shared" si="3"/>
        <v>SL-20250609-FMC-CS 007-8</v>
      </c>
      <c r="B750" s="2">
        <f t="array" ref="B750">INDEX(helper!$A$3:$A3996,ROUNDUP((ROW()-1)/COUNTA(helper!$D$3:$D3996),0))</f>
        <v>45817</v>
      </c>
      <c r="C750" s="5" t="str">
        <f t="array" ref="C750">IF(B750="","",INDEX(helper!$D$3:$D3996,MOD(ROW()-2,COUNTA(helper!$D$3:$D3996))+1))</f>
        <v>FMC</v>
      </c>
      <c r="D750" s="3" t="str">
        <f t="array" ref="D750">IF(B750="","",INDEX(helper!$E$3:$E3996,MOD(ROW()-2,COUNTA(helper!$D$3:$D3996))+1))</f>
        <v>CS 007</v>
      </c>
      <c r="E750" s="3">
        <f t="array" ref="E750">IF(B750="","",INDEX(helper!$F$3:$F3996,MOD(ROW()-2,COUNTA(helper!$D$3:$D3996))+1))</f>
        <v>8</v>
      </c>
      <c r="F750" s="3">
        <f>IF(B750="","",SUMIFS('inventory ledger'!$H:$H,'inventory ledger'!$C:$C,C750,'inventory ledger'!$D:$D,D750,'inventory ledger'!$E:$E,E750,'inventory ledger'!$A:$A,"&lt;="&amp;B750+TIME(23,59,59))-SUMIFS('inventory ledger'!$I:$I,'inventory ledger'!$C:$C,C750,'inventory ledger'!$D:$D,D750,'inventory ledger'!$E:$E,E750,'inventory ledger'!$A:$A,"&lt;="&amp;B750+TIME(23,59,59)))</f>
        <v>0</v>
      </c>
      <c r="G750" s="3">
        <f>IFERROR(__xludf.DUMMYFUNCTION("IF(F750&lt;=0,0,IFERROR(ROUNDUP(F750/INDEX(FILTER('warehouse config'!$D:$D,('warehouse config'!$B:$B=C750)*('warehouse config'!$C:$C=D750)*('warehouse config'!$G:$G&lt;=B750)*(('warehouse config'!$H:$H&gt;=B750)+ISBLANK('warehouse config'!$H:$H))),1)),0))"),0.0)</f>
        <v>0</v>
      </c>
      <c r="H750" s="3">
        <f>IFERROR(__xludf.DUMMYFUNCTION("IFERROR(INDEX(FILTER('cost master'!$E:$E,('cost master'!$B:$B=C750)*('cost master'!$D:$D=""Storage cost per pallet / week"")*('cost master'!$G:$G&lt;=B750)*(('cost master'!$H:$H&gt;=B750)+ISBLANK('cost master'!$H:$H))),1),0)"),3.9)</f>
        <v>3.9</v>
      </c>
      <c r="I750" s="3">
        <f t="shared" si="4"/>
        <v>0</v>
      </c>
      <c r="J750" s="27">
        <f t="shared" si="5"/>
        <v>45793</v>
      </c>
      <c r="K750" s="27">
        <f t="shared" si="6"/>
        <v>45823</v>
      </c>
    </row>
    <row r="751" hidden="1">
      <c r="A751" s="3" t="str">
        <f t="shared" si="3"/>
        <v>SL-20250609-FMC-CS 008-8</v>
      </c>
      <c r="B751" s="2">
        <f t="array" ref="B751">INDEX(helper!$A$3:$A3996,ROUNDUP((ROW()-1)/COUNTA(helper!$D$3:$D3996),0))</f>
        <v>45817</v>
      </c>
      <c r="C751" s="5" t="str">
        <f t="array" ref="C751">IF(B751="","",INDEX(helper!$D$3:$D3996,MOD(ROW()-2,COUNTA(helper!$D$3:$D3996))+1))</f>
        <v>FMC</v>
      </c>
      <c r="D751" s="3" t="str">
        <f t="array" ref="D751">IF(B751="","",INDEX(helper!$E$3:$E3996,MOD(ROW()-2,COUNTA(helper!$D$3:$D3996))+1))</f>
        <v>CS 008</v>
      </c>
      <c r="E751" s="3">
        <f t="array" ref="E751">IF(B751="","",INDEX(helper!$F$3:$F3996,MOD(ROW()-2,COUNTA(helper!$D$3:$D3996))+1))</f>
        <v>8</v>
      </c>
      <c r="F751" s="3">
        <f>IF(B751="","",SUMIFS('inventory ledger'!$H:$H,'inventory ledger'!$C:$C,C751,'inventory ledger'!$D:$D,D751,'inventory ledger'!$E:$E,E751,'inventory ledger'!$A:$A,"&lt;="&amp;B751+TIME(23,59,59))-SUMIFS('inventory ledger'!$I:$I,'inventory ledger'!$C:$C,C751,'inventory ledger'!$D:$D,D751,'inventory ledger'!$E:$E,E751,'inventory ledger'!$A:$A,"&lt;="&amp;B751+TIME(23,59,59)))</f>
        <v>0</v>
      </c>
      <c r="G751" s="3">
        <f>IFERROR(__xludf.DUMMYFUNCTION("IF(F751&lt;=0,0,IFERROR(ROUNDUP(F751/INDEX(FILTER('warehouse config'!$D:$D,('warehouse config'!$B:$B=C751)*('warehouse config'!$C:$C=D751)*('warehouse config'!$G:$G&lt;=B751)*(('warehouse config'!$H:$H&gt;=B751)+ISBLANK('warehouse config'!$H:$H))),1)),0))"),0.0)</f>
        <v>0</v>
      </c>
      <c r="H751" s="3">
        <f>IFERROR(__xludf.DUMMYFUNCTION("IFERROR(INDEX(FILTER('cost master'!$E:$E,('cost master'!$B:$B=C751)*('cost master'!$D:$D=""Storage cost per pallet / week"")*('cost master'!$G:$G&lt;=B751)*(('cost master'!$H:$H&gt;=B751)+ISBLANK('cost master'!$H:$H))),1),0)"),3.9)</f>
        <v>3.9</v>
      </c>
      <c r="I751" s="3">
        <f t="shared" si="4"/>
        <v>0</v>
      </c>
      <c r="J751" s="27">
        <f t="shared" si="5"/>
        <v>45793</v>
      </c>
      <c r="K751" s="27">
        <f t="shared" si="6"/>
        <v>45823</v>
      </c>
    </row>
    <row r="752" hidden="1">
      <c r="A752" s="3" t="str">
        <f t="shared" si="3"/>
        <v>SL-20250609-FMC-CS 009-8</v>
      </c>
      <c r="B752" s="2">
        <f t="array" ref="B752">INDEX(helper!$A$3:$A3996,ROUNDUP((ROW()-1)/COUNTA(helper!$D$3:$D3996),0))</f>
        <v>45817</v>
      </c>
      <c r="C752" s="5" t="str">
        <f t="array" ref="C752">IF(B752="","",INDEX(helper!$D$3:$D3996,MOD(ROW()-2,COUNTA(helper!$D$3:$D3996))+1))</f>
        <v>FMC</v>
      </c>
      <c r="D752" s="3" t="str">
        <f t="array" ref="D752">IF(B752="","",INDEX(helper!$E$3:$E3996,MOD(ROW()-2,COUNTA(helper!$D$3:$D3996))+1))</f>
        <v>CS 009</v>
      </c>
      <c r="E752" s="3">
        <f t="array" ref="E752">IF(B752="","",INDEX(helper!$F$3:$F3996,MOD(ROW()-2,COUNTA(helper!$D$3:$D3996))+1))</f>
        <v>8</v>
      </c>
      <c r="F752" s="3">
        <f>IF(B752="","",SUMIFS('inventory ledger'!$H:$H,'inventory ledger'!$C:$C,C752,'inventory ledger'!$D:$D,D752,'inventory ledger'!$E:$E,E752,'inventory ledger'!$A:$A,"&lt;="&amp;B752+TIME(23,59,59))-SUMIFS('inventory ledger'!$I:$I,'inventory ledger'!$C:$C,C752,'inventory ledger'!$D:$D,D752,'inventory ledger'!$E:$E,E752,'inventory ledger'!$A:$A,"&lt;="&amp;B752+TIME(23,59,59)))</f>
        <v>0</v>
      </c>
      <c r="G752" s="3">
        <f>IFERROR(__xludf.DUMMYFUNCTION("IF(F752&lt;=0,0,IFERROR(ROUNDUP(F752/INDEX(FILTER('warehouse config'!$D:$D,('warehouse config'!$B:$B=C752)*('warehouse config'!$C:$C=D752)*('warehouse config'!$G:$G&lt;=B752)*(('warehouse config'!$H:$H&gt;=B752)+ISBLANK('warehouse config'!$H:$H))),1)),0))"),0.0)</f>
        <v>0</v>
      </c>
      <c r="H752" s="3">
        <f>IFERROR(__xludf.DUMMYFUNCTION("IFERROR(INDEX(FILTER('cost master'!$E:$E,('cost master'!$B:$B=C752)*('cost master'!$D:$D=""Storage cost per pallet / week"")*('cost master'!$G:$G&lt;=B752)*(('cost master'!$H:$H&gt;=B752)+ISBLANK('cost master'!$H:$H))),1),0)"),3.9)</f>
        <v>3.9</v>
      </c>
      <c r="I752" s="3">
        <f t="shared" si="4"/>
        <v>0</v>
      </c>
      <c r="J752" s="27">
        <f t="shared" si="5"/>
        <v>45793</v>
      </c>
      <c r="K752" s="27">
        <f t="shared" si="6"/>
        <v>45823</v>
      </c>
    </row>
    <row r="753" hidden="1">
      <c r="A753" s="3" t="str">
        <f t="shared" si="3"/>
        <v>SL-20250609-FMC-CS 010-8</v>
      </c>
      <c r="B753" s="2">
        <f t="array" ref="B753">INDEX(helper!$A$3:$A3996,ROUNDUP((ROW()-1)/COUNTA(helper!$D$3:$D3996),0))</f>
        <v>45817</v>
      </c>
      <c r="C753" s="5" t="str">
        <f t="array" ref="C753">IF(B753="","",INDEX(helper!$D$3:$D3996,MOD(ROW()-2,COUNTA(helper!$D$3:$D3996))+1))</f>
        <v>FMC</v>
      </c>
      <c r="D753" s="3" t="str">
        <f t="array" ref="D753">IF(B753="","",INDEX(helper!$E$3:$E3996,MOD(ROW()-2,COUNTA(helper!$D$3:$D3996))+1))</f>
        <v>CS 010</v>
      </c>
      <c r="E753" s="3">
        <f t="array" ref="E753">IF(B753="","",INDEX(helper!$F$3:$F3996,MOD(ROW()-2,COUNTA(helper!$D$3:$D3996))+1))</f>
        <v>8</v>
      </c>
      <c r="F753" s="3">
        <f>IF(B753="","",SUMIFS('inventory ledger'!$H:$H,'inventory ledger'!$C:$C,C753,'inventory ledger'!$D:$D,D753,'inventory ledger'!$E:$E,E753,'inventory ledger'!$A:$A,"&lt;="&amp;B753+TIME(23,59,59))-SUMIFS('inventory ledger'!$I:$I,'inventory ledger'!$C:$C,C753,'inventory ledger'!$D:$D,D753,'inventory ledger'!$E:$E,E753,'inventory ledger'!$A:$A,"&lt;="&amp;B753+TIME(23,59,59)))</f>
        <v>0</v>
      </c>
      <c r="G753" s="3">
        <f>IFERROR(__xludf.DUMMYFUNCTION("IF(F753&lt;=0,0,IFERROR(ROUNDUP(F753/INDEX(FILTER('warehouse config'!$D:$D,('warehouse config'!$B:$B=C753)*('warehouse config'!$C:$C=D753)*('warehouse config'!$G:$G&lt;=B753)*(('warehouse config'!$H:$H&gt;=B753)+ISBLANK('warehouse config'!$H:$H))),1)),0))"),0.0)</f>
        <v>0</v>
      </c>
      <c r="H753" s="3">
        <f>IFERROR(__xludf.DUMMYFUNCTION("IFERROR(INDEX(FILTER('cost master'!$E:$E,('cost master'!$B:$B=C753)*('cost master'!$D:$D=""Storage cost per pallet / week"")*('cost master'!$G:$G&lt;=B753)*(('cost master'!$H:$H&gt;=B753)+ISBLANK('cost master'!$H:$H))),1),0)"),3.9)</f>
        <v>3.9</v>
      </c>
      <c r="I753" s="3">
        <f t="shared" si="4"/>
        <v>0</v>
      </c>
      <c r="J753" s="27">
        <f t="shared" si="5"/>
        <v>45793</v>
      </c>
      <c r="K753" s="27">
        <f t="shared" si="6"/>
        <v>45823</v>
      </c>
    </row>
    <row r="754" hidden="1">
      <c r="A754" s="3" t="str">
        <f t="shared" si="3"/>
        <v>SL-20250609-FMC-CS 007-9</v>
      </c>
      <c r="B754" s="2">
        <f t="array" ref="B754">INDEX(helper!$A$3:$A3996,ROUNDUP((ROW()-1)/COUNTA(helper!$D$3:$D3996),0))</f>
        <v>45817</v>
      </c>
      <c r="C754" s="5" t="str">
        <f t="array" ref="C754">IF(B754="","",INDEX(helper!$D$3:$D3996,MOD(ROW()-2,COUNTA(helper!$D$3:$D3996))+1))</f>
        <v>FMC</v>
      </c>
      <c r="D754" s="3" t="str">
        <f t="array" ref="D754">IF(B754="","",INDEX(helper!$E$3:$E3996,MOD(ROW()-2,COUNTA(helper!$D$3:$D3996))+1))</f>
        <v>CS 007</v>
      </c>
      <c r="E754" s="3">
        <f t="array" ref="E754">IF(B754="","",INDEX(helper!$F$3:$F3996,MOD(ROW()-2,COUNTA(helper!$D$3:$D3996))+1))</f>
        <v>9</v>
      </c>
      <c r="F754" s="3">
        <f>IF(B754="","",SUMIFS('inventory ledger'!$H:$H,'inventory ledger'!$C:$C,C754,'inventory ledger'!$D:$D,D754,'inventory ledger'!$E:$E,E754,'inventory ledger'!$A:$A,"&lt;="&amp;B754+TIME(23,59,59))-SUMIFS('inventory ledger'!$I:$I,'inventory ledger'!$C:$C,C754,'inventory ledger'!$D:$D,D754,'inventory ledger'!$E:$E,E754,'inventory ledger'!$A:$A,"&lt;="&amp;B754+TIME(23,59,59)))</f>
        <v>0</v>
      </c>
      <c r="G754" s="3">
        <f>IFERROR(__xludf.DUMMYFUNCTION("IF(F754&lt;=0,0,IFERROR(ROUNDUP(F754/INDEX(FILTER('warehouse config'!$D:$D,('warehouse config'!$B:$B=C754)*('warehouse config'!$C:$C=D754)*('warehouse config'!$G:$G&lt;=B754)*(('warehouse config'!$H:$H&gt;=B754)+ISBLANK('warehouse config'!$H:$H))),1)),0))"),0.0)</f>
        <v>0</v>
      </c>
      <c r="H754" s="3">
        <f>IFERROR(__xludf.DUMMYFUNCTION("IFERROR(INDEX(FILTER('cost master'!$E:$E,('cost master'!$B:$B=C754)*('cost master'!$D:$D=""Storage cost per pallet / week"")*('cost master'!$G:$G&lt;=B754)*(('cost master'!$H:$H&gt;=B754)+ISBLANK('cost master'!$H:$H))),1),0)"),3.9)</f>
        <v>3.9</v>
      </c>
      <c r="I754" s="3">
        <f t="shared" si="4"/>
        <v>0</v>
      </c>
      <c r="J754" s="27">
        <f t="shared" si="5"/>
        <v>45793</v>
      </c>
      <c r="K754" s="27">
        <f t="shared" si="6"/>
        <v>45823</v>
      </c>
    </row>
    <row r="755" hidden="1">
      <c r="A755" s="3" t="str">
        <f t="shared" si="3"/>
        <v>SL-20250609-FMC-CS 008-9</v>
      </c>
      <c r="B755" s="2">
        <f t="array" ref="B755">INDEX(helper!$A$3:$A3996,ROUNDUP((ROW()-1)/COUNTA(helper!$D$3:$D3996),0))</f>
        <v>45817</v>
      </c>
      <c r="C755" s="5" t="str">
        <f t="array" ref="C755">IF(B755="","",INDEX(helper!$D$3:$D3996,MOD(ROW()-2,COUNTA(helper!$D$3:$D3996))+1))</f>
        <v>FMC</v>
      </c>
      <c r="D755" s="3" t="str">
        <f t="array" ref="D755">IF(B755="","",INDEX(helper!$E$3:$E3996,MOD(ROW()-2,COUNTA(helper!$D$3:$D3996))+1))</f>
        <v>CS 008</v>
      </c>
      <c r="E755" s="3">
        <f t="array" ref="E755">IF(B755="","",INDEX(helper!$F$3:$F3996,MOD(ROW()-2,COUNTA(helper!$D$3:$D3996))+1))</f>
        <v>9</v>
      </c>
      <c r="F755" s="3">
        <f>IF(B755="","",SUMIFS('inventory ledger'!$H:$H,'inventory ledger'!$C:$C,C755,'inventory ledger'!$D:$D,D755,'inventory ledger'!$E:$E,E755,'inventory ledger'!$A:$A,"&lt;="&amp;B755+TIME(23,59,59))-SUMIFS('inventory ledger'!$I:$I,'inventory ledger'!$C:$C,C755,'inventory ledger'!$D:$D,D755,'inventory ledger'!$E:$E,E755,'inventory ledger'!$A:$A,"&lt;="&amp;B755+TIME(23,59,59)))</f>
        <v>2</v>
      </c>
      <c r="G755" s="3">
        <f>IFERROR(__xludf.DUMMYFUNCTION("IF(F755&lt;=0,0,IFERROR(ROUNDUP(F755/INDEX(FILTER('warehouse config'!$D:$D,('warehouse config'!$B:$B=C755)*('warehouse config'!$C:$C=D755)*('warehouse config'!$G:$G&lt;=B755)*(('warehouse config'!$H:$H&gt;=B755)+ISBLANK('warehouse config'!$H:$H))),1)),0))"),1.0)</f>
        <v>1</v>
      </c>
      <c r="H755" s="3">
        <f>IFERROR(__xludf.DUMMYFUNCTION("IFERROR(INDEX(FILTER('cost master'!$E:$E,('cost master'!$B:$B=C755)*('cost master'!$D:$D=""Storage cost per pallet / week"")*('cost master'!$G:$G&lt;=B755)*(('cost master'!$H:$H&gt;=B755)+ISBLANK('cost master'!$H:$H))),1),0)"),3.9)</f>
        <v>3.9</v>
      </c>
      <c r="I755" s="3">
        <f t="shared" si="4"/>
        <v>3.9</v>
      </c>
      <c r="J755" s="27">
        <f t="shared" si="5"/>
        <v>45793</v>
      </c>
      <c r="K755" s="27">
        <f t="shared" si="6"/>
        <v>45823</v>
      </c>
    </row>
    <row r="756" hidden="1">
      <c r="A756" s="3" t="str">
        <f t="shared" si="3"/>
        <v>SL-20250609-FMC-CS 009-9</v>
      </c>
      <c r="B756" s="2">
        <f t="array" ref="B756">INDEX(helper!$A$3:$A3996,ROUNDUP((ROW()-1)/COUNTA(helper!$D$3:$D3996),0))</f>
        <v>45817</v>
      </c>
      <c r="C756" s="5" t="str">
        <f t="array" ref="C756">IF(B756="","",INDEX(helper!$D$3:$D3996,MOD(ROW()-2,COUNTA(helper!$D$3:$D3996))+1))</f>
        <v>FMC</v>
      </c>
      <c r="D756" s="3" t="str">
        <f t="array" ref="D756">IF(B756="","",INDEX(helper!$E$3:$E3996,MOD(ROW()-2,COUNTA(helper!$D$3:$D3996))+1))</f>
        <v>CS 009</v>
      </c>
      <c r="E756" s="3">
        <f t="array" ref="E756">IF(B756="","",INDEX(helper!$F$3:$F3996,MOD(ROW()-2,COUNTA(helper!$D$3:$D3996))+1))</f>
        <v>9</v>
      </c>
      <c r="F756" s="3">
        <f>IF(B756="","",SUMIFS('inventory ledger'!$H:$H,'inventory ledger'!$C:$C,C756,'inventory ledger'!$D:$D,D756,'inventory ledger'!$E:$E,E756,'inventory ledger'!$A:$A,"&lt;="&amp;B756+TIME(23,59,59))-SUMIFS('inventory ledger'!$I:$I,'inventory ledger'!$C:$C,C756,'inventory ledger'!$D:$D,D756,'inventory ledger'!$E:$E,E756,'inventory ledger'!$A:$A,"&lt;="&amp;B756+TIME(23,59,59)))</f>
        <v>0</v>
      </c>
      <c r="G756" s="3">
        <f>IFERROR(__xludf.DUMMYFUNCTION("IF(F756&lt;=0,0,IFERROR(ROUNDUP(F756/INDEX(FILTER('warehouse config'!$D:$D,('warehouse config'!$B:$B=C756)*('warehouse config'!$C:$C=D756)*('warehouse config'!$G:$G&lt;=B756)*(('warehouse config'!$H:$H&gt;=B756)+ISBLANK('warehouse config'!$H:$H))),1)),0))"),0.0)</f>
        <v>0</v>
      </c>
      <c r="H756" s="3">
        <f>IFERROR(__xludf.DUMMYFUNCTION("IFERROR(INDEX(FILTER('cost master'!$E:$E,('cost master'!$B:$B=C756)*('cost master'!$D:$D=""Storage cost per pallet / week"")*('cost master'!$G:$G&lt;=B756)*(('cost master'!$H:$H&gt;=B756)+ISBLANK('cost master'!$H:$H))),1),0)"),3.9)</f>
        <v>3.9</v>
      </c>
      <c r="I756" s="3">
        <f t="shared" si="4"/>
        <v>0</v>
      </c>
      <c r="J756" s="27">
        <f t="shared" si="5"/>
        <v>45793</v>
      </c>
      <c r="K756" s="27">
        <f t="shared" si="6"/>
        <v>45823</v>
      </c>
    </row>
    <row r="757" hidden="1">
      <c r="A757" s="3" t="str">
        <f t="shared" si="3"/>
        <v>SL-20250609-FMC-CS 010-9</v>
      </c>
      <c r="B757" s="2">
        <f t="array" ref="B757">INDEX(helper!$A$3:$A3996,ROUNDUP((ROW()-1)/COUNTA(helper!$D$3:$D3996),0))</f>
        <v>45817</v>
      </c>
      <c r="C757" s="5" t="str">
        <f t="array" ref="C757">IF(B757="","",INDEX(helper!$D$3:$D3996,MOD(ROW()-2,COUNTA(helper!$D$3:$D3996))+1))</f>
        <v>FMC</v>
      </c>
      <c r="D757" s="3" t="str">
        <f t="array" ref="D757">IF(B757="","",INDEX(helper!$E$3:$E3996,MOD(ROW()-2,COUNTA(helper!$D$3:$D3996))+1))</f>
        <v>CS 010</v>
      </c>
      <c r="E757" s="3">
        <f t="array" ref="E757">IF(B757="","",INDEX(helper!$F$3:$F3996,MOD(ROW()-2,COUNTA(helper!$D$3:$D3996))+1))</f>
        <v>9</v>
      </c>
      <c r="F757" s="3">
        <f>IF(B757="","",SUMIFS('inventory ledger'!$H:$H,'inventory ledger'!$C:$C,C757,'inventory ledger'!$D:$D,D757,'inventory ledger'!$E:$E,E757,'inventory ledger'!$A:$A,"&lt;="&amp;B757+TIME(23,59,59))-SUMIFS('inventory ledger'!$I:$I,'inventory ledger'!$C:$C,C757,'inventory ledger'!$D:$D,D757,'inventory ledger'!$E:$E,E757,'inventory ledger'!$A:$A,"&lt;="&amp;B757+TIME(23,59,59)))</f>
        <v>0</v>
      </c>
      <c r="G757" s="3">
        <f>IFERROR(__xludf.DUMMYFUNCTION("IF(F757&lt;=0,0,IFERROR(ROUNDUP(F757/INDEX(FILTER('warehouse config'!$D:$D,('warehouse config'!$B:$B=C757)*('warehouse config'!$C:$C=D757)*('warehouse config'!$G:$G&lt;=B757)*(('warehouse config'!$H:$H&gt;=B757)+ISBLANK('warehouse config'!$H:$H))),1)),0))"),0.0)</f>
        <v>0</v>
      </c>
      <c r="H757" s="3">
        <f>IFERROR(__xludf.DUMMYFUNCTION("IFERROR(INDEX(FILTER('cost master'!$E:$E,('cost master'!$B:$B=C757)*('cost master'!$D:$D=""Storage cost per pallet / week"")*('cost master'!$G:$G&lt;=B757)*(('cost master'!$H:$H&gt;=B757)+ISBLANK('cost master'!$H:$H))),1),0)"),3.9)</f>
        <v>3.9</v>
      </c>
      <c r="I757" s="3">
        <f t="shared" si="4"/>
        <v>0</v>
      </c>
      <c r="J757" s="27">
        <f t="shared" si="5"/>
        <v>45793</v>
      </c>
      <c r="K757" s="27">
        <f t="shared" si="6"/>
        <v>45823</v>
      </c>
    </row>
    <row r="758" hidden="1">
      <c r="A758" s="3" t="str">
        <f t="shared" si="3"/>
        <v>SL-20250609-FMC-CS-CDS-001-9</v>
      </c>
      <c r="B758" s="2">
        <f t="array" ref="B758">INDEX(helper!$A$3:$A3996,ROUNDUP((ROW()-1)/COUNTA(helper!$D$3:$D3996),0))</f>
        <v>45817</v>
      </c>
      <c r="C758" s="5" t="str">
        <f t="array" ref="C758">IF(B758="","",INDEX(helper!$D$3:$D3996,MOD(ROW()-2,COUNTA(helper!$D$3:$D3996))+1))</f>
        <v>FMC</v>
      </c>
      <c r="D758" s="3" t="str">
        <f t="array" ref="D758">IF(B758="","",INDEX(helper!$E$3:$E3996,MOD(ROW()-2,COUNTA(helper!$D$3:$D3996))+1))</f>
        <v>CS-CDS-001</v>
      </c>
      <c r="E758" s="3">
        <f t="array" ref="E758">IF(B758="","",INDEX(helper!$F$3:$F3996,MOD(ROW()-2,COUNTA(helper!$D$3:$D3996))+1))</f>
        <v>9</v>
      </c>
      <c r="F758" s="3">
        <f>IF(B758="","",SUMIFS('inventory ledger'!$H:$H,'inventory ledger'!$C:$C,C758,'inventory ledger'!$D:$D,D758,'inventory ledger'!$E:$E,E758,'inventory ledger'!$A:$A,"&lt;="&amp;B758+TIME(23,59,59))-SUMIFS('inventory ledger'!$I:$I,'inventory ledger'!$C:$C,C758,'inventory ledger'!$D:$D,D758,'inventory ledger'!$E:$E,E758,'inventory ledger'!$A:$A,"&lt;="&amp;B758+TIME(23,59,59)))</f>
        <v>0</v>
      </c>
      <c r="G758" s="3">
        <f>IFERROR(__xludf.DUMMYFUNCTION("IF(F758&lt;=0,0,IFERROR(ROUNDUP(F758/INDEX(FILTER('warehouse config'!$D:$D,('warehouse config'!$B:$B=C758)*('warehouse config'!$C:$C=D758)*('warehouse config'!$G:$G&lt;=B758)*(('warehouse config'!$H:$H&gt;=B758)+ISBLANK('warehouse config'!$H:$H))),1)),0))"),0.0)</f>
        <v>0</v>
      </c>
      <c r="H758" s="3">
        <f>IFERROR(__xludf.DUMMYFUNCTION("IFERROR(INDEX(FILTER('cost master'!$E:$E,('cost master'!$B:$B=C758)*('cost master'!$D:$D=""Storage cost per pallet / week"")*('cost master'!$G:$G&lt;=B758)*(('cost master'!$H:$H&gt;=B758)+ISBLANK('cost master'!$H:$H))),1),0)"),3.9)</f>
        <v>3.9</v>
      </c>
      <c r="I758" s="3">
        <f t="shared" si="4"/>
        <v>0</v>
      </c>
      <c r="J758" s="27">
        <f t="shared" si="5"/>
        <v>45793</v>
      </c>
      <c r="K758" s="27">
        <f t="shared" si="6"/>
        <v>45823</v>
      </c>
    </row>
    <row r="759" hidden="1">
      <c r="A759" s="3" t="str">
        <f t="shared" si="3"/>
        <v>SL-20250609-FMC-CS-CDS-002-9</v>
      </c>
      <c r="B759" s="2">
        <f t="array" ref="B759">INDEX(helper!$A$3:$A3996,ROUNDUP((ROW()-1)/COUNTA(helper!$D$3:$D3996),0))</f>
        <v>45817</v>
      </c>
      <c r="C759" s="5" t="str">
        <f t="array" ref="C759">IF(B759="","",INDEX(helper!$D$3:$D3996,MOD(ROW()-2,COUNTA(helper!$D$3:$D3996))+1))</f>
        <v>FMC</v>
      </c>
      <c r="D759" s="3" t="str">
        <f t="array" ref="D759">IF(B759="","",INDEX(helper!$E$3:$E3996,MOD(ROW()-2,COUNTA(helper!$D$3:$D3996))+1))</f>
        <v>CS-CDS-002</v>
      </c>
      <c r="E759" s="3">
        <f t="array" ref="E759">IF(B759="","",INDEX(helper!$F$3:$F3996,MOD(ROW()-2,COUNTA(helper!$D$3:$D3996))+1))</f>
        <v>9</v>
      </c>
      <c r="F759" s="3">
        <f>IF(B759="","",SUMIFS('inventory ledger'!$H:$H,'inventory ledger'!$C:$C,C759,'inventory ledger'!$D:$D,D759,'inventory ledger'!$E:$E,E759,'inventory ledger'!$A:$A,"&lt;="&amp;B759+TIME(23,59,59))-SUMIFS('inventory ledger'!$I:$I,'inventory ledger'!$C:$C,C759,'inventory ledger'!$D:$D,D759,'inventory ledger'!$E:$E,E759,'inventory ledger'!$A:$A,"&lt;="&amp;B759+TIME(23,59,59)))</f>
        <v>0</v>
      </c>
      <c r="G759" s="3">
        <f>IFERROR(__xludf.DUMMYFUNCTION("IF(F759&lt;=0,0,IFERROR(ROUNDUP(F759/INDEX(FILTER('warehouse config'!$D:$D,('warehouse config'!$B:$B=C759)*('warehouse config'!$C:$C=D759)*('warehouse config'!$G:$G&lt;=B759)*(('warehouse config'!$H:$H&gt;=B759)+ISBLANK('warehouse config'!$H:$H))),1)),0))"),0.0)</f>
        <v>0</v>
      </c>
      <c r="H759" s="3">
        <f>IFERROR(__xludf.DUMMYFUNCTION("IFERROR(INDEX(FILTER('cost master'!$E:$E,('cost master'!$B:$B=C759)*('cost master'!$D:$D=""Storage cost per pallet / week"")*('cost master'!$G:$G&lt;=B759)*(('cost master'!$H:$H&gt;=B759)+ISBLANK('cost master'!$H:$H))),1),0)"),3.9)</f>
        <v>3.9</v>
      </c>
      <c r="I759" s="3">
        <f t="shared" si="4"/>
        <v>0</v>
      </c>
      <c r="J759" s="27">
        <f t="shared" si="5"/>
        <v>45793</v>
      </c>
      <c r="K759" s="27">
        <f t="shared" si="6"/>
        <v>45823</v>
      </c>
    </row>
    <row r="760" hidden="1">
      <c r="A760" s="3" t="str">
        <f t="shared" si="3"/>
        <v>SL-20250609-FMC-CS 007-10</v>
      </c>
      <c r="B760" s="2">
        <f t="array" ref="B760">INDEX(helper!$A$3:$A3996,ROUNDUP((ROW()-1)/COUNTA(helper!$D$3:$D3996),0))</f>
        <v>45817</v>
      </c>
      <c r="C760" s="5" t="str">
        <f t="array" ref="C760">IF(B760="","",INDEX(helper!$D$3:$D3996,MOD(ROW()-2,COUNTA(helper!$D$3:$D3996))+1))</f>
        <v>FMC</v>
      </c>
      <c r="D760" s="3" t="str">
        <f t="array" ref="D760">IF(B760="","",INDEX(helper!$E$3:$E3996,MOD(ROW()-2,COUNTA(helper!$D$3:$D3996))+1))</f>
        <v>CS 007</v>
      </c>
      <c r="E760" s="3">
        <f t="array" ref="E760">IF(B760="","",INDEX(helper!$F$3:$F3996,MOD(ROW()-2,COUNTA(helper!$D$3:$D3996))+1))</f>
        <v>10</v>
      </c>
      <c r="F760" s="3">
        <f>IF(B760="","",SUMIFS('inventory ledger'!$H:$H,'inventory ledger'!$C:$C,C760,'inventory ledger'!$D:$D,D760,'inventory ledger'!$E:$E,E760,'inventory ledger'!$A:$A,"&lt;="&amp;B760+TIME(23,59,59))-SUMIFS('inventory ledger'!$I:$I,'inventory ledger'!$C:$C,C760,'inventory ledger'!$D:$D,D760,'inventory ledger'!$E:$E,E760,'inventory ledger'!$A:$A,"&lt;="&amp;B760+TIME(23,59,59)))</f>
        <v>0</v>
      </c>
      <c r="G760" s="3">
        <f>IFERROR(__xludf.DUMMYFUNCTION("IF(F760&lt;=0,0,IFERROR(ROUNDUP(F760/INDEX(FILTER('warehouse config'!$D:$D,('warehouse config'!$B:$B=C760)*('warehouse config'!$C:$C=D760)*('warehouse config'!$G:$G&lt;=B760)*(('warehouse config'!$H:$H&gt;=B760)+ISBLANK('warehouse config'!$H:$H))),1)),0))"),0.0)</f>
        <v>0</v>
      </c>
      <c r="H760" s="3">
        <f>IFERROR(__xludf.DUMMYFUNCTION("IFERROR(INDEX(FILTER('cost master'!$E:$E,('cost master'!$B:$B=C760)*('cost master'!$D:$D=""Storage cost per pallet / week"")*('cost master'!$G:$G&lt;=B760)*(('cost master'!$H:$H&gt;=B760)+ISBLANK('cost master'!$H:$H))),1),0)"),3.9)</f>
        <v>3.9</v>
      </c>
      <c r="I760" s="3">
        <f t="shared" si="4"/>
        <v>0</v>
      </c>
      <c r="J760" s="27">
        <f t="shared" si="5"/>
        <v>45793</v>
      </c>
      <c r="K760" s="27">
        <f t="shared" si="6"/>
        <v>45823</v>
      </c>
    </row>
    <row r="761" hidden="1">
      <c r="A761" s="3" t="str">
        <f t="shared" si="3"/>
        <v>SL-20250609-FMC-CS 009-10</v>
      </c>
      <c r="B761" s="2">
        <f t="array" ref="B761">INDEX(helper!$A$3:$A3996,ROUNDUP((ROW()-1)/COUNTA(helper!$D$3:$D3996),0))</f>
        <v>45817</v>
      </c>
      <c r="C761" s="5" t="str">
        <f t="array" ref="C761">IF(B761="","",INDEX(helper!$D$3:$D3996,MOD(ROW()-2,COUNTA(helper!$D$3:$D3996))+1))</f>
        <v>FMC</v>
      </c>
      <c r="D761" s="3" t="str">
        <f t="array" ref="D761">IF(B761="","",INDEX(helper!$E$3:$E3996,MOD(ROW()-2,COUNTA(helper!$D$3:$D3996))+1))</f>
        <v>CS 009</v>
      </c>
      <c r="E761" s="3">
        <f t="array" ref="E761">IF(B761="","",INDEX(helper!$F$3:$F3996,MOD(ROW()-2,COUNTA(helper!$D$3:$D3996))+1))</f>
        <v>10</v>
      </c>
      <c r="F761" s="3">
        <f>IF(B761="","",SUMIFS('inventory ledger'!$H:$H,'inventory ledger'!$C:$C,C761,'inventory ledger'!$D:$D,D761,'inventory ledger'!$E:$E,E761,'inventory ledger'!$A:$A,"&lt;="&amp;B761+TIME(23,59,59))-SUMIFS('inventory ledger'!$I:$I,'inventory ledger'!$C:$C,C761,'inventory ledger'!$D:$D,D761,'inventory ledger'!$E:$E,E761,'inventory ledger'!$A:$A,"&lt;="&amp;B761+TIME(23,59,59)))</f>
        <v>0</v>
      </c>
      <c r="G761" s="3">
        <f>IFERROR(__xludf.DUMMYFUNCTION("IF(F761&lt;=0,0,IFERROR(ROUNDUP(F761/INDEX(FILTER('warehouse config'!$D:$D,('warehouse config'!$B:$B=C761)*('warehouse config'!$C:$C=D761)*('warehouse config'!$G:$G&lt;=B761)*(('warehouse config'!$H:$H&gt;=B761)+ISBLANK('warehouse config'!$H:$H))),1)),0))"),0.0)</f>
        <v>0</v>
      </c>
      <c r="H761" s="3">
        <f>IFERROR(__xludf.DUMMYFUNCTION("IFERROR(INDEX(FILTER('cost master'!$E:$E,('cost master'!$B:$B=C761)*('cost master'!$D:$D=""Storage cost per pallet / week"")*('cost master'!$G:$G&lt;=B761)*(('cost master'!$H:$H&gt;=B761)+ISBLANK('cost master'!$H:$H))),1),0)"),3.9)</f>
        <v>3.9</v>
      </c>
      <c r="I761" s="3">
        <f t="shared" si="4"/>
        <v>0</v>
      </c>
      <c r="J761" s="27">
        <f t="shared" si="5"/>
        <v>45793</v>
      </c>
      <c r="K761" s="27">
        <f t="shared" si="6"/>
        <v>45823</v>
      </c>
    </row>
    <row r="762" hidden="1">
      <c r="A762" s="3" t="str">
        <f t="shared" si="3"/>
        <v>SL-20250609-FMC-CS 010-10</v>
      </c>
      <c r="B762" s="2">
        <f t="array" ref="B762">INDEX(helper!$A$3:$A3996,ROUNDUP((ROW()-1)/COUNTA(helper!$D$3:$D3996),0))</f>
        <v>45817</v>
      </c>
      <c r="C762" s="5" t="str">
        <f t="array" ref="C762">IF(B762="","",INDEX(helper!$D$3:$D3996,MOD(ROW()-2,COUNTA(helper!$D$3:$D3996))+1))</f>
        <v>FMC</v>
      </c>
      <c r="D762" s="3" t="str">
        <f t="array" ref="D762">IF(B762="","",INDEX(helper!$E$3:$E3996,MOD(ROW()-2,COUNTA(helper!$D$3:$D3996))+1))</f>
        <v>CS 010</v>
      </c>
      <c r="E762" s="3">
        <f t="array" ref="E762">IF(B762="","",INDEX(helper!$F$3:$F3996,MOD(ROW()-2,COUNTA(helper!$D$3:$D3996))+1))</f>
        <v>10</v>
      </c>
      <c r="F762" s="3">
        <f>IF(B762="","",SUMIFS('inventory ledger'!$H:$H,'inventory ledger'!$C:$C,C762,'inventory ledger'!$D:$D,D762,'inventory ledger'!$E:$E,E762,'inventory ledger'!$A:$A,"&lt;="&amp;B762+TIME(23,59,59))-SUMIFS('inventory ledger'!$I:$I,'inventory ledger'!$C:$C,C762,'inventory ledger'!$D:$D,D762,'inventory ledger'!$E:$E,E762,'inventory ledger'!$A:$A,"&lt;="&amp;B762+TIME(23,59,59)))</f>
        <v>13</v>
      </c>
      <c r="G762" s="3">
        <f>IFERROR(__xludf.DUMMYFUNCTION("IF(F762&lt;=0,0,IFERROR(ROUNDUP(F762/INDEX(FILTER('warehouse config'!$D:$D,('warehouse config'!$B:$B=C762)*('warehouse config'!$C:$C=D762)*('warehouse config'!$G:$G&lt;=B762)*(('warehouse config'!$H:$H&gt;=B762)+ISBLANK('warehouse config'!$H:$H))),1)),0))"),1.0)</f>
        <v>1</v>
      </c>
      <c r="H762" s="3">
        <f>IFERROR(__xludf.DUMMYFUNCTION("IFERROR(INDEX(FILTER('cost master'!$E:$E,('cost master'!$B:$B=C762)*('cost master'!$D:$D=""Storage cost per pallet / week"")*('cost master'!$G:$G&lt;=B762)*(('cost master'!$H:$H&gt;=B762)+ISBLANK('cost master'!$H:$H))),1),0)"),3.9)</f>
        <v>3.9</v>
      </c>
      <c r="I762" s="3">
        <f t="shared" si="4"/>
        <v>3.9</v>
      </c>
      <c r="J762" s="27">
        <f t="shared" si="5"/>
        <v>45793</v>
      </c>
      <c r="K762" s="27">
        <f t="shared" si="6"/>
        <v>45823</v>
      </c>
    </row>
    <row r="763" hidden="1">
      <c r="A763" s="3" t="str">
        <f t="shared" si="3"/>
        <v>SL-20250609-FMC-CS-CDS-001-10</v>
      </c>
      <c r="B763" s="2">
        <f t="array" ref="B763">INDEX(helper!$A$3:$A3996,ROUNDUP((ROW()-1)/COUNTA(helper!$D$3:$D3996),0))</f>
        <v>45817</v>
      </c>
      <c r="C763" s="5" t="str">
        <f t="array" ref="C763">IF(B763="","",INDEX(helper!$D$3:$D3996,MOD(ROW()-2,COUNTA(helper!$D$3:$D3996))+1))</f>
        <v>FMC</v>
      </c>
      <c r="D763" s="3" t="str">
        <f t="array" ref="D763">IF(B763="","",INDEX(helper!$E$3:$E3996,MOD(ROW()-2,COUNTA(helper!$D$3:$D3996))+1))</f>
        <v>CS-CDS-001</v>
      </c>
      <c r="E763" s="3">
        <f t="array" ref="E763">IF(B763="","",INDEX(helper!$F$3:$F3996,MOD(ROW()-2,COUNTA(helper!$D$3:$D3996))+1))</f>
        <v>10</v>
      </c>
      <c r="F763" s="3">
        <f>IF(B763="","",SUMIFS('inventory ledger'!$H:$H,'inventory ledger'!$C:$C,C763,'inventory ledger'!$D:$D,D763,'inventory ledger'!$E:$E,E763,'inventory ledger'!$A:$A,"&lt;="&amp;B763+TIME(23,59,59))-SUMIFS('inventory ledger'!$I:$I,'inventory ledger'!$C:$C,C763,'inventory ledger'!$D:$D,D763,'inventory ledger'!$E:$E,E763,'inventory ledger'!$A:$A,"&lt;="&amp;B763+TIME(23,59,59)))</f>
        <v>0</v>
      </c>
      <c r="G763" s="3">
        <f>IFERROR(__xludf.DUMMYFUNCTION("IF(F763&lt;=0,0,IFERROR(ROUNDUP(F763/INDEX(FILTER('warehouse config'!$D:$D,('warehouse config'!$B:$B=C763)*('warehouse config'!$C:$C=D763)*('warehouse config'!$G:$G&lt;=B763)*(('warehouse config'!$H:$H&gt;=B763)+ISBLANK('warehouse config'!$H:$H))),1)),0))"),0.0)</f>
        <v>0</v>
      </c>
      <c r="H763" s="3">
        <f>IFERROR(__xludf.DUMMYFUNCTION("IFERROR(INDEX(FILTER('cost master'!$E:$E,('cost master'!$B:$B=C763)*('cost master'!$D:$D=""Storage cost per pallet / week"")*('cost master'!$G:$G&lt;=B763)*(('cost master'!$H:$H&gt;=B763)+ISBLANK('cost master'!$H:$H))),1),0)"),3.9)</f>
        <v>3.9</v>
      </c>
      <c r="I763" s="3">
        <f t="shared" si="4"/>
        <v>0</v>
      </c>
      <c r="J763" s="27">
        <f t="shared" si="5"/>
        <v>45793</v>
      </c>
      <c r="K763" s="27">
        <f t="shared" si="6"/>
        <v>45823</v>
      </c>
    </row>
    <row r="764">
      <c r="A764" s="3" t="str">
        <f t="shared" si="3"/>
        <v>SL-20250609-FMC-CS 007-11</v>
      </c>
      <c r="B764" s="2">
        <f t="array" ref="B764">INDEX(helper!$A$3:$A3996,ROUNDUP((ROW()-1)/COUNTA(helper!$D$3:$D3996),0))</f>
        <v>45817</v>
      </c>
      <c r="C764" s="5" t="str">
        <f t="array" ref="C764">IF(B764="","",INDEX(helper!$D$3:$D3996,MOD(ROW()-2,COUNTA(helper!$D$3:$D3996))+1))</f>
        <v>FMC</v>
      </c>
      <c r="D764" s="3" t="str">
        <f t="array" ref="D764">IF(B764="","",INDEX(helper!$E$3:$E3996,MOD(ROW()-2,COUNTA(helper!$D$3:$D3996))+1))</f>
        <v>CS 007</v>
      </c>
      <c r="E764" s="3">
        <f t="array" ref="E764">IF(B764="","",INDEX(helper!$F$3:$F3996,MOD(ROW()-2,COUNTA(helper!$D$3:$D3996))+1))</f>
        <v>11</v>
      </c>
      <c r="F764" s="3">
        <f>IF(B764="","",SUMIFS('inventory ledger'!$H:$H,'inventory ledger'!$C:$C,C764,'inventory ledger'!$D:$D,D764,'inventory ledger'!$E:$E,E764,'inventory ledger'!$A:$A,"&lt;="&amp;B764+TIME(23,59,59))-SUMIFS('inventory ledger'!$I:$I,'inventory ledger'!$C:$C,C764,'inventory ledger'!$D:$D,D764,'inventory ledger'!$E:$E,E764,'inventory ledger'!$A:$A,"&lt;="&amp;B764+TIME(23,59,59)))</f>
        <v>-1</v>
      </c>
      <c r="G764" s="3">
        <f>IFERROR(__xludf.DUMMYFUNCTION("IF(F764&lt;=0,0,IFERROR(ROUNDUP(F764/INDEX(FILTER('warehouse config'!$D:$D,('warehouse config'!$B:$B=C764)*('warehouse config'!$C:$C=D764)*('warehouse config'!$G:$G&lt;=B764)*(('warehouse config'!$H:$H&gt;=B764)+ISBLANK('warehouse config'!$H:$H))),1)),0))"),0.0)</f>
        <v>0</v>
      </c>
      <c r="H764" s="3">
        <f>IFERROR(__xludf.DUMMYFUNCTION("IFERROR(INDEX(FILTER('cost master'!$E:$E,('cost master'!$B:$B=C764)*('cost master'!$D:$D=""Storage cost per pallet / week"")*('cost master'!$G:$G&lt;=B764)*(('cost master'!$H:$H&gt;=B764)+ISBLANK('cost master'!$H:$H))),1),0)"),3.9)</f>
        <v>3.9</v>
      </c>
      <c r="I764" s="3">
        <f t="shared" si="4"/>
        <v>0</v>
      </c>
      <c r="J764" s="27">
        <f t="shared" si="5"/>
        <v>45793</v>
      </c>
      <c r="K764" s="27">
        <f t="shared" si="6"/>
        <v>45823</v>
      </c>
    </row>
    <row r="765" hidden="1">
      <c r="A765" s="3" t="str">
        <f t="shared" si="3"/>
        <v>SL-20250609-FMC-CS 009-11</v>
      </c>
      <c r="B765" s="2">
        <f t="array" ref="B765">INDEX(helper!$A$3:$A3996,ROUNDUP((ROW()-1)/COUNTA(helper!$D$3:$D3996),0))</f>
        <v>45817</v>
      </c>
      <c r="C765" s="5" t="str">
        <f t="array" ref="C765">IF(B765="","",INDEX(helper!$D$3:$D3996,MOD(ROW()-2,COUNTA(helper!$D$3:$D3996))+1))</f>
        <v>FMC</v>
      </c>
      <c r="D765" s="3" t="str">
        <f t="array" ref="D765">IF(B765="","",INDEX(helper!$E$3:$E3996,MOD(ROW()-2,COUNTA(helper!$D$3:$D3996))+1))</f>
        <v>CS 009</v>
      </c>
      <c r="E765" s="3">
        <f t="array" ref="E765">IF(B765="","",INDEX(helper!$F$3:$F3996,MOD(ROW()-2,COUNTA(helper!$D$3:$D3996))+1))</f>
        <v>11</v>
      </c>
      <c r="F765" s="3">
        <f>IF(B765="","",SUMIFS('inventory ledger'!$H:$H,'inventory ledger'!$C:$C,C765,'inventory ledger'!$D:$D,D765,'inventory ledger'!$E:$E,E765,'inventory ledger'!$A:$A,"&lt;="&amp;B765+TIME(23,59,59))-SUMIFS('inventory ledger'!$I:$I,'inventory ledger'!$C:$C,C765,'inventory ledger'!$D:$D,D765,'inventory ledger'!$E:$E,E765,'inventory ledger'!$A:$A,"&lt;="&amp;B765+TIME(23,59,59)))</f>
        <v>0</v>
      </c>
      <c r="G765" s="3">
        <f>IFERROR(__xludf.DUMMYFUNCTION("IF(F765&lt;=0,0,IFERROR(ROUNDUP(F765/INDEX(FILTER('warehouse config'!$D:$D,('warehouse config'!$B:$B=C765)*('warehouse config'!$C:$C=D765)*('warehouse config'!$G:$G&lt;=B765)*(('warehouse config'!$H:$H&gt;=B765)+ISBLANK('warehouse config'!$H:$H))),1)),0))"),0.0)</f>
        <v>0</v>
      </c>
      <c r="H765" s="3">
        <f>IFERROR(__xludf.DUMMYFUNCTION("IFERROR(INDEX(FILTER('cost master'!$E:$E,('cost master'!$B:$B=C765)*('cost master'!$D:$D=""Storage cost per pallet / week"")*('cost master'!$G:$G&lt;=B765)*(('cost master'!$H:$H&gt;=B765)+ISBLANK('cost master'!$H:$H))),1),0)"),3.9)</f>
        <v>3.9</v>
      </c>
      <c r="I765" s="3">
        <f t="shared" si="4"/>
        <v>0</v>
      </c>
      <c r="J765" s="27">
        <f t="shared" si="5"/>
        <v>45793</v>
      </c>
      <c r="K765" s="27">
        <f t="shared" si="6"/>
        <v>45823</v>
      </c>
    </row>
    <row r="766" hidden="1">
      <c r="A766" s="3" t="str">
        <f t="shared" si="3"/>
        <v>SL-20250609-FMC-CS 010-11</v>
      </c>
      <c r="B766" s="2">
        <f t="array" ref="B766">INDEX(helper!$A$3:$A3996,ROUNDUP((ROW()-1)/COUNTA(helper!$D$3:$D3996),0))</f>
        <v>45817</v>
      </c>
      <c r="C766" s="5" t="str">
        <f t="array" ref="C766">IF(B766="","",INDEX(helper!$D$3:$D3996,MOD(ROW()-2,COUNTA(helper!$D$3:$D3996))+1))</f>
        <v>FMC</v>
      </c>
      <c r="D766" s="3" t="str">
        <f t="array" ref="D766">IF(B766="","",INDEX(helper!$E$3:$E3996,MOD(ROW()-2,COUNTA(helper!$D$3:$D3996))+1))</f>
        <v>CS 010</v>
      </c>
      <c r="E766" s="3">
        <f t="array" ref="E766">IF(B766="","",INDEX(helper!$F$3:$F3996,MOD(ROW()-2,COUNTA(helper!$D$3:$D3996))+1))</f>
        <v>11</v>
      </c>
      <c r="F766" s="3">
        <f>IF(B766="","",SUMIFS('inventory ledger'!$H:$H,'inventory ledger'!$C:$C,C766,'inventory ledger'!$D:$D,D766,'inventory ledger'!$E:$E,E766,'inventory ledger'!$A:$A,"&lt;="&amp;B766+TIME(23,59,59))-SUMIFS('inventory ledger'!$I:$I,'inventory ledger'!$C:$C,C766,'inventory ledger'!$D:$D,D766,'inventory ledger'!$E:$E,E766,'inventory ledger'!$A:$A,"&lt;="&amp;B766+TIME(23,59,59)))</f>
        <v>6</v>
      </c>
      <c r="G766" s="3">
        <f>IFERROR(__xludf.DUMMYFUNCTION("IF(F766&lt;=0,0,IFERROR(ROUNDUP(F766/INDEX(FILTER('warehouse config'!$D:$D,('warehouse config'!$B:$B=C766)*('warehouse config'!$C:$C=D766)*('warehouse config'!$G:$G&lt;=B766)*(('warehouse config'!$H:$H&gt;=B766)+ISBLANK('warehouse config'!$H:$H))),1)),0))"),1.0)</f>
        <v>1</v>
      </c>
      <c r="H766" s="3">
        <f>IFERROR(__xludf.DUMMYFUNCTION("IFERROR(INDEX(FILTER('cost master'!$E:$E,('cost master'!$B:$B=C766)*('cost master'!$D:$D=""Storage cost per pallet / week"")*('cost master'!$G:$G&lt;=B766)*(('cost master'!$H:$H&gt;=B766)+ISBLANK('cost master'!$H:$H))),1),0)"),3.9)</f>
        <v>3.9</v>
      </c>
      <c r="I766" s="3">
        <f t="shared" si="4"/>
        <v>3.9</v>
      </c>
      <c r="J766" s="27">
        <f t="shared" si="5"/>
        <v>45793</v>
      </c>
      <c r="K766" s="27">
        <f t="shared" si="6"/>
        <v>45823</v>
      </c>
    </row>
    <row r="767" hidden="1">
      <c r="A767" s="3" t="str">
        <f t="shared" si="3"/>
        <v>SL-20250609-Vglobal-CS 007-12</v>
      </c>
      <c r="B767" s="2">
        <f t="array" ref="B767">INDEX(helper!$A$3:$A3996,ROUNDUP((ROW()-1)/COUNTA(helper!$D$3:$D3996),0))</f>
        <v>45817</v>
      </c>
      <c r="C767" s="5" t="str">
        <f t="array" ref="C767">IF(B767="","",INDEX(helper!$D$3:$D3996,MOD(ROW()-2,COUNTA(helper!$D$3:$D3996))+1))</f>
        <v>Vglobal</v>
      </c>
      <c r="D767" s="3" t="str">
        <f t="array" ref="D767">IF(B767="","",INDEX(helper!$E$3:$E3996,MOD(ROW()-2,COUNTA(helper!$D$3:$D3996))+1))</f>
        <v>CS 007</v>
      </c>
      <c r="E767" s="3">
        <f t="array" ref="E767">IF(B767="","",INDEX(helper!$F$3:$F3996,MOD(ROW()-2,COUNTA(helper!$D$3:$D3996))+1))</f>
        <v>12</v>
      </c>
      <c r="F767" s="3">
        <f>IF(B767="","",SUMIFS('inventory ledger'!$H:$H,'inventory ledger'!$C:$C,C767,'inventory ledger'!$D:$D,D767,'inventory ledger'!$E:$E,E767,'inventory ledger'!$A:$A,"&lt;="&amp;B767+TIME(23,59,59))-SUMIFS('inventory ledger'!$I:$I,'inventory ledger'!$C:$C,C767,'inventory ledger'!$D:$D,D767,'inventory ledger'!$E:$E,E767,'inventory ledger'!$A:$A,"&lt;="&amp;B767+TIME(23,59,59)))</f>
        <v>0</v>
      </c>
      <c r="G767" s="3">
        <f>IFERROR(__xludf.DUMMYFUNCTION("IF(F767&lt;=0,0,IFERROR(ROUNDUP(F767/INDEX(FILTER('warehouse config'!$D:$D,('warehouse config'!$B:$B=C767)*('warehouse config'!$C:$C=D767)*('warehouse config'!$G:$G&lt;=B767)*(('warehouse config'!$H:$H&gt;=B767)+ISBLANK('warehouse config'!$H:$H))),1)),0))"),0.0)</f>
        <v>0</v>
      </c>
      <c r="H767" s="3">
        <f>IFERROR(__xludf.DUMMYFUNCTION("IFERROR(INDEX(FILTER('cost master'!$E:$E,('cost master'!$B:$B=C767)*('cost master'!$D:$D=""Storage cost per pallet / week"")*('cost master'!$G:$G&lt;=B767)*(('cost master'!$H:$H&gt;=B767)+ISBLANK('cost master'!$H:$H))),1),0)"),2.6)</f>
        <v>2.6</v>
      </c>
      <c r="I767" s="3">
        <f t="shared" si="4"/>
        <v>0</v>
      </c>
      <c r="J767" s="27">
        <f t="shared" si="5"/>
        <v>45793</v>
      </c>
      <c r="K767" s="27">
        <f t="shared" si="6"/>
        <v>45823</v>
      </c>
    </row>
    <row r="768" hidden="1">
      <c r="A768" s="3" t="str">
        <f t="shared" si="3"/>
        <v>SL-20250609-Vglobal-CS 011-12</v>
      </c>
      <c r="B768" s="2">
        <f t="array" ref="B768">INDEX(helper!$A$3:$A3996,ROUNDUP((ROW()-1)/COUNTA(helper!$D$3:$D3996),0))</f>
        <v>45817</v>
      </c>
      <c r="C768" s="5" t="str">
        <f t="array" ref="C768">IF(B768="","",INDEX(helper!$D$3:$D3996,MOD(ROW()-2,COUNTA(helper!$D$3:$D3996))+1))</f>
        <v>Vglobal</v>
      </c>
      <c r="D768" s="3" t="str">
        <f t="array" ref="D768">IF(B768="","",INDEX(helper!$E$3:$E3996,MOD(ROW()-2,COUNTA(helper!$D$3:$D3996))+1))</f>
        <v>CS 011</v>
      </c>
      <c r="E768" s="3">
        <f t="array" ref="E768">IF(B768="","",INDEX(helper!$F$3:$F3996,MOD(ROW()-2,COUNTA(helper!$D$3:$D3996))+1))</f>
        <v>12</v>
      </c>
      <c r="F768" s="3">
        <f>IF(B768="","",SUMIFS('inventory ledger'!$H:$H,'inventory ledger'!$C:$C,C768,'inventory ledger'!$D:$D,D768,'inventory ledger'!$E:$E,E768,'inventory ledger'!$A:$A,"&lt;="&amp;B768+TIME(23,59,59))-SUMIFS('inventory ledger'!$I:$I,'inventory ledger'!$C:$C,C768,'inventory ledger'!$D:$D,D768,'inventory ledger'!$E:$E,E768,'inventory ledger'!$A:$A,"&lt;="&amp;B768+TIME(23,59,59)))</f>
        <v>0</v>
      </c>
      <c r="G768" s="3">
        <f>IFERROR(__xludf.DUMMYFUNCTION("IF(F768&lt;=0,0,IFERROR(ROUNDUP(F768/INDEX(FILTER('warehouse config'!$D:$D,('warehouse config'!$B:$B=C768)*('warehouse config'!$C:$C=D768)*('warehouse config'!$G:$G&lt;=B768)*(('warehouse config'!$H:$H&gt;=B768)+ISBLANK('warehouse config'!$H:$H))),1)),0))"),0.0)</f>
        <v>0</v>
      </c>
      <c r="H768" s="3">
        <f>IFERROR(__xludf.DUMMYFUNCTION("IFERROR(INDEX(FILTER('cost master'!$E:$E,('cost master'!$B:$B=C768)*('cost master'!$D:$D=""Storage cost per pallet / week"")*('cost master'!$G:$G&lt;=B768)*(('cost master'!$H:$H&gt;=B768)+ISBLANK('cost master'!$H:$H))),1),0)"),2.6)</f>
        <v>2.6</v>
      </c>
      <c r="I768" s="3">
        <f t="shared" si="4"/>
        <v>0</v>
      </c>
      <c r="J768" s="27">
        <f t="shared" si="5"/>
        <v>45793</v>
      </c>
      <c r="K768" s="27">
        <f t="shared" si="6"/>
        <v>45823</v>
      </c>
    </row>
    <row r="769" hidden="1">
      <c r="A769" s="3" t="str">
        <f t="shared" si="3"/>
        <v>SL-20250609-Vglobal-CS 008-12</v>
      </c>
      <c r="B769" s="2">
        <f t="array" ref="B769">INDEX(helper!$A$3:$A3996,ROUNDUP((ROW()-1)/COUNTA(helper!$D$3:$D3996),0))</f>
        <v>45817</v>
      </c>
      <c r="C769" s="5" t="str">
        <f t="array" ref="C769">IF(B769="","",INDEX(helper!$D$3:$D3996,MOD(ROW()-2,COUNTA(helper!$D$3:$D3996))+1))</f>
        <v>Vglobal</v>
      </c>
      <c r="D769" s="3" t="str">
        <f t="array" ref="D769">IF(B769="","",INDEX(helper!$E$3:$E3996,MOD(ROW()-2,COUNTA(helper!$D$3:$D3996))+1))</f>
        <v>CS 008</v>
      </c>
      <c r="E769" s="3">
        <f t="array" ref="E769">IF(B769="","",INDEX(helper!$F$3:$F3996,MOD(ROW()-2,COUNTA(helper!$D$3:$D3996))+1))</f>
        <v>12</v>
      </c>
      <c r="F769" s="3">
        <f>IF(B769="","",SUMIFS('inventory ledger'!$H:$H,'inventory ledger'!$C:$C,C769,'inventory ledger'!$D:$D,D769,'inventory ledger'!$E:$E,E769,'inventory ledger'!$A:$A,"&lt;="&amp;B769+TIME(23,59,59))-SUMIFS('inventory ledger'!$I:$I,'inventory ledger'!$C:$C,C769,'inventory ledger'!$D:$D,D769,'inventory ledger'!$E:$E,E769,'inventory ledger'!$A:$A,"&lt;="&amp;B769+TIME(23,59,59)))</f>
        <v>0</v>
      </c>
      <c r="G769" s="3">
        <f>IFERROR(__xludf.DUMMYFUNCTION("IF(F769&lt;=0,0,IFERROR(ROUNDUP(F769/INDEX(FILTER('warehouse config'!$D:$D,('warehouse config'!$B:$B=C769)*('warehouse config'!$C:$C=D769)*('warehouse config'!$G:$G&lt;=B769)*(('warehouse config'!$H:$H&gt;=B769)+ISBLANK('warehouse config'!$H:$H))),1)),0))"),0.0)</f>
        <v>0</v>
      </c>
      <c r="H769" s="3">
        <f>IFERROR(__xludf.DUMMYFUNCTION("IFERROR(INDEX(FILTER('cost master'!$E:$E,('cost master'!$B:$B=C769)*('cost master'!$D:$D=""Storage cost per pallet / week"")*('cost master'!$G:$G&lt;=B769)*(('cost master'!$H:$H&gt;=B769)+ISBLANK('cost master'!$H:$H))),1),0)"),2.6)</f>
        <v>2.6</v>
      </c>
      <c r="I769" s="3">
        <f t="shared" si="4"/>
        <v>0</v>
      </c>
      <c r="J769" s="27">
        <f t="shared" si="5"/>
        <v>45793</v>
      </c>
      <c r="K769" s="27">
        <f t="shared" si="6"/>
        <v>45823</v>
      </c>
    </row>
    <row r="770" hidden="1">
      <c r="A770" s="3" t="str">
        <f t="shared" si="3"/>
        <v>SL-20250609-Vglobal-CS 010-12</v>
      </c>
      <c r="B770" s="2">
        <f t="array" ref="B770">INDEX(helper!$A$3:$A3996,ROUNDUP((ROW()-1)/COUNTA(helper!$D$3:$D3996),0))</f>
        <v>45817</v>
      </c>
      <c r="C770" s="5" t="str">
        <f t="array" ref="C770">IF(B770="","",INDEX(helper!$D$3:$D3996,MOD(ROW()-2,COUNTA(helper!$D$3:$D3996))+1))</f>
        <v>Vglobal</v>
      </c>
      <c r="D770" s="3" t="str">
        <f t="array" ref="D770">IF(B770="","",INDEX(helper!$E$3:$E3996,MOD(ROW()-2,COUNTA(helper!$D$3:$D3996))+1))</f>
        <v>CS 010</v>
      </c>
      <c r="E770" s="3">
        <f t="array" ref="E770">IF(B770="","",INDEX(helper!$F$3:$F3996,MOD(ROW()-2,COUNTA(helper!$D$3:$D3996))+1))</f>
        <v>12</v>
      </c>
      <c r="F770" s="3">
        <f>IF(B770="","",SUMIFS('inventory ledger'!$H:$H,'inventory ledger'!$C:$C,C770,'inventory ledger'!$D:$D,D770,'inventory ledger'!$E:$E,E770,'inventory ledger'!$A:$A,"&lt;="&amp;B770+TIME(23,59,59))-SUMIFS('inventory ledger'!$I:$I,'inventory ledger'!$C:$C,C770,'inventory ledger'!$D:$D,D770,'inventory ledger'!$E:$E,E770,'inventory ledger'!$A:$A,"&lt;="&amp;B770+TIME(23,59,59)))</f>
        <v>70</v>
      </c>
      <c r="G770" s="3">
        <f>IFERROR(__xludf.DUMMYFUNCTION("IF(F770&lt;=0,0,IFERROR(ROUNDUP(F770/INDEX(FILTER('warehouse config'!$D:$D,('warehouse config'!$B:$B=C770)*('warehouse config'!$C:$C=D770)*('warehouse config'!$G:$G&lt;=B770)*(('warehouse config'!$H:$H&gt;=B770)+ISBLANK('warehouse config'!$H:$H))),1)),0))"),3.0)</f>
        <v>3</v>
      </c>
      <c r="H770" s="3">
        <f>IFERROR(__xludf.DUMMYFUNCTION("IFERROR(INDEX(FILTER('cost master'!$E:$E,('cost master'!$B:$B=C770)*('cost master'!$D:$D=""Storage cost per pallet / week"")*('cost master'!$G:$G&lt;=B770)*(('cost master'!$H:$H&gt;=B770)+ISBLANK('cost master'!$H:$H))),1),0)"),2.6)</f>
        <v>2.6</v>
      </c>
      <c r="I770" s="3">
        <f t="shared" si="4"/>
        <v>7.8</v>
      </c>
      <c r="J770" s="27">
        <f t="shared" si="5"/>
        <v>45793</v>
      </c>
      <c r="K770" s="27">
        <f t="shared" si="6"/>
        <v>45823</v>
      </c>
    </row>
    <row r="771" hidden="1">
      <c r="A771" s="3" t="str">
        <f t="shared" si="3"/>
        <v>SL-20250609-Vglobal-CS 009-12</v>
      </c>
      <c r="B771" s="2">
        <f t="array" ref="B771">INDEX(helper!$A$3:$A3996,ROUNDUP((ROW()-1)/COUNTA(helper!$D$3:$D3996),0))</f>
        <v>45817</v>
      </c>
      <c r="C771" s="5" t="str">
        <f t="array" ref="C771">IF(B771="","",INDEX(helper!$D$3:$D3996,MOD(ROW()-2,COUNTA(helper!$D$3:$D3996))+1))</f>
        <v>Vglobal</v>
      </c>
      <c r="D771" s="3" t="str">
        <f t="array" ref="D771">IF(B771="","",INDEX(helper!$E$3:$E3996,MOD(ROW()-2,COUNTA(helper!$D$3:$D3996))+1))</f>
        <v>CS 009</v>
      </c>
      <c r="E771" s="3">
        <f t="array" ref="E771">IF(B771="","",INDEX(helper!$F$3:$F3996,MOD(ROW()-2,COUNTA(helper!$D$3:$D3996))+1))</f>
        <v>12</v>
      </c>
      <c r="F771" s="3">
        <f>IF(B771="","",SUMIFS('inventory ledger'!$H:$H,'inventory ledger'!$C:$C,C771,'inventory ledger'!$D:$D,D771,'inventory ledger'!$E:$E,E771,'inventory ledger'!$A:$A,"&lt;="&amp;B771+TIME(23,59,59))-SUMIFS('inventory ledger'!$I:$I,'inventory ledger'!$C:$C,C771,'inventory ledger'!$D:$D,D771,'inventory ledger'!$E:$E,E771,'inventory ledger'!$A:$A,"&lt;="&amp;B771+TIME(23,59,59)))</f>
        <v>0</v>
      </c>
      <c r="G771" s="3">
        <f>IFERROR(__xludf.DUMMYFUNCTION("IF(F771&lt;=0,0,IFERROR(ROUNDUP(F771/INDEX(FILTER('warehouse config'!$D:$D,('warehouse config'!$B:$B=C771)*('warehouse config'!$C:$C=D771)*('warehouse config'!$G:$G&lt;=B771)*(('warehouse config'!$H:$H&gt;=B771)+ISBLANK('warehouse config'!$H:$H))),1)),0))"),0.0)</f>
        <v>0</v>
      </c>
      <c r="H771" s="3">
        <f>IFERROR(__xludf.DUMMYFUNCTION("IFERROR(INDEX(FILTER('cost master'!$E:$E,('cost master'!$B:$B=C771)*('cost master'!$D:$D=""Storage cost per pallet / week"")*('cost master'!$G:$G&lt;=B771)*(('cost master'!$H:$H&gt;=B771)+ISBLANK('cost master'!$H:$H))),1),0)"),2.6)</f>
        <v>2.6</v>
      </c>
      <c r="I771" s="3">
        <f t="shared" si="4"/>
        <v>0</v>
      </c>
      <c r="J771" s="27">
        <f t="shared" si="5"/>
        <v>45793</v>
      </c>
      <c r="K771" s="27">
        <f t="shared" si="6"/>
        <v>45823</v>
      </c>
    </row>
    <row r="772" hidden="1">
      <c r="A772" s="3" t="str">
        <f t="shared" si="3"/>
        <v>SL-20250609-Vglobal-CS 012-12</v>
      </c>
      <c r="B772" s="2">
        <f t="array" ref="B772">INDEX(helper!$A$3:$A3996,ROUNDUP((ROW()-1)/COUNTA(helper!$D$3:$D3996),0))</f>
        <v>45817</v>
      </c>
      <c r="C772" s="5" t="str">
        <f t="array" ref="C772">IF(B772="","",INDEX(helper!$D$3:$D3996,MOD(ROW()-2,COUNTA(helper!$D$3:$D3996))+1))</f>
        <v>Vglobal</v>
      </c>
      <c r="D772" s="3" t="str">
        <f t="array" ref="D772">IF(B772="","",INDEX(helper!$E$3:$E3996,MOD(ROW()-2,COUNTA(helper!$D$3:$D3996))+1))</f>
        <v>CS 012</v>
      </c>
      <c r="E772" s="3">
        <f t="array" ref="E772">IF(B772="","",INDEX(helper!$F$3:$F3996,MOD(ROW()-2,COUNTA(helper!$D$3:$D3996))+1))</f>
        <v>12</v>
      </c>
      <c r="F772" s="3">
        <f>IF(B772="","",SUMIFS('inventory ledger'!$H:$H,'inventory ledger'!$C:$C,C772,'inventory ledger'!$D:$D,D772,'inventory ledger'!$E:$E,E772,'inventory ledger'!$A:$A,"&lt;="&amp;B772+TIME(23,59,59))-SUMIFS('inventory ledger'!$I:$I,'inventory ledger'!$C:$C,C772,'inventory ledger'!$D:$D,D772,'inventory ledger'!$E:$E,E772,'inventory ledger'!$A:$A,"&lt;="&amp;B772+TIME(23,59,59)))</f>
        <v>0</v>
      </c>
      <c r="G772" s="3">
        <f>IFERROR(__xludf.DUMMYFUNCTION("IF(F772&lt;=0,0,IFERROR(ROUNDUP(F772/INDEX(FILTER('warehouse config'!$D:$D,('warehouse config'!$B:$B=C772)*('warehouse config'!$C:$C=D772)*('warehouse config'!$G:$G&lt;=B772)*(('warehouse config'!$H:$H&gt;=B772)+ISBLANK('warehouse config'!$H:$H))),1)),0))"),0.0)</f>
        <v>0</v>
      </c>
      <c r="H772" s="3">
        <f>IFERROR(__xludf.DUMMYFUNCTION("IFERROR(INDEX(FILTER('cost master'!$E:$E,('cost master'!$B:$B=C772)*('cost master'!$D:$D=""Storage cost per pallet / week"")*('cost master'!$G:$G&lt;=B772)*(('cost master'!$H:$H&gt;=B772)+ISBLANK('cost master'!$H:$H))),1),0)"),2.6)</f>
        <v>2.6</v>
      </c>
      <c r="I772" s="3">
        <f t="shared" si="4"/>
        <v>0</v>
      </c>
      <c r="J772" s="27">
        <f t="shared" si="5"/>
        <v>45793</v>
      </c>
      <c r="K772" s="27">
        <f t="shared" si="6"/>
        <v>45823</v>
      </c>
    </row>
    <row r="773" hidden="1">
      <c r="A773" s="3" t="str">
        <f t="shared" si="3"/>
        <v>SL-20250609-Vglobal-CS-CDS-001-3</v>
      </c>
      <c r="B773" s="2">
        <f t="array" ref="B773">INDEX(helper!$A$3:$A3996,ROUNDUP((ROW()-1)/COUNTA(helper!$D$3:$D3996),0))</f>
        <v>45817</v>
      </c>
      <c r="C773" s="5" t="str">
        <f t="array" ref="C773">IF(B773="","",INDEX(helper!$D$3:$D3996,MOD(ROW()-2,COUNTA(helper!$D$3:$D3996))+1))</f>
        <v>Vglobal</v>
      </c>
      <c r="D773" s="3" t="str">
        <f t="array" ref="D773">IF(B773="","",INDEX(helper!$E$3:$E3996,MOD(ROW()-2,COUNTA(helper!$D$3:$D3996))+1))</f>
        <v>CS-CDS-001</v>
      </c>
      <c r="E773" s="3">
        <f t="array" ref="E773">IF(B773="","",INDEX(helper!$F$3:$F3996,MOD(ROW()-2,COUNTA(helper!$D$3:$D3996))+1))</f>
        <v>3</v>
      </c>
      <c r="F773" s="3">
        <f>IF(B773="","",SUMIFS('inventory ledger'!$H:$H,'inventory ledger'!$C:$C,C773,'inventory ledger'!$D:$D,D773,'inventory ledger'!$E:$E,E773,'inventory ledger'!$A:$A,"&lt;="&amp;B773+TIME(23,59,59))-SUMIFS('inventory ledger'!$I:$I,'inventory ledger'!$C:$C,C773,'inventory ledger'!$D:$D,D773,'inventory ledger'!$E:$E,E773,'inventory ledger'!$A:$A,"&lt;="&amp;B773+TIME(23,59,59)))</f>
        <v>1</v>
      </c>
      <c r="G773" s="3">
        <f>IFERROR(__xludf.DUMMYFUNCTION("IF(F773&lt;=0,0,IFERROR(ROUNDUP(F773/INDEX(FILTER('warehouse config'!$D:$D,('warehouse config'!$B:$B=C773)*('warehouse config'!$C:$C=D773)*('warehouse config'!$G:$G&lt;=B773)*(('warehouse config'!$H:$H&gt;=B773)+ISBLANK('warehouse config'!$H:$H))),1)),0))"),1.0)</f>
        <v>1</v>
      </c>
      <c r="H773" s="3">
        <f>IFERROR(__xludf.DUMMYFUNCTION("IFERROR(INDEX(FILTER('cost master'!$E:$E,('cost master'!$B:$B=C773)*('cost master'!$D:$D=""Storage cost per pallet / week"")*('cost master'!$G:$G&lt;=B773)*(('cost master'!$H:$H&gt;=B773)+ISBLANK('cost master'!$H:$H))),1),0)"),2.6)</f>
        <v>2.6</v>
      </c>
      <c r="I773" s="3">
        <f t="shared" si="4"/>
        <v>2.6</v>
      </c>
      <c r="J773" s="27">
        <f t="shared" si="5"/>
        <v>45793</v>
      </c>
      <c r="K773" s="27">
        <f t="shared" si="6"/>
        <v>45823</v>
      </c>
    </row>
    <row r="774" hidden="1">
      <c r="A774" s="3" t="str">
        <f t="shared" si="3"/>
        <v>SL-20250609-Vglobal-CS-CDS-002-3</v>
      </c>
      <c r="B774" s="2">
        <f t="array" ref="B774">INDEX(helper!$A$3:$A3996,ROUNDUP((ROW()-1)/COUNTA(helper!$D$3:$D3996),0))</f>
        <v>45817</v>
      </c>
      <c r="C774" s="5" t="str">
        <f t="array" ref="C774">IF(B774="","",INDEX(helper!$D$3:$D3996,MOD(ROW()-2,COUNTA(helper!$D$3:$D3996))+1))</f>
        <v>Vglobal</v>
      </c>
      <c r="D774" s="3" t="str">
        <f t="array" ref="D774">IF(B774="","",INDEX(helper!$E$3:$E3996,MOD(ROW()-2,COUNTA(helper!$D$3:$D3996))+1))</f>
        <v>CS-CDS-002</v>
      </c>
      <c r="E774" s="3">
        <f t="array" ref="E774">IF(B774="","",INDEX(helper!$F$3:$F3996,MOD(ROW()-2,COUNTA(helper!$D$3:$D3996))+1))</f>
        <v>3</v>
      </c>
      <c r="F774" s="3">
        <f>IF(B774="","",SUMIFS('inventory ledger'!$H:$H,'inventory ledger'!$C:$C,C774,'inventory ledger'!$D:$D,D774,'inventory ledger'!$E:$E,E774,'inventory ledger'!$A:$A,"&lt;="&amp;B774+TIME(23,59,59))-SUMIFS('inventory ledger'!$I:$I,'inventory ledger'!$C:$C,C774,'inventory ledger'!$D:$D,D774,'inventory ledger'!$E:$E,E774,'inventory ledger'!$A:$A,"&lt;="&amp;B774+TIME(23,59,59)))</f>
        <v>0</v>
      </c>
      <c r="G774" s="3">
        <f>IFERROR(__xludf.DUMMYFUNCTION("IF(F774&lt;=0,0,IFERROR(ROUNDUP(F774/INDEX(FILTER('warehouse config'!$D:$D,('warehouse config'!$B:$B=C774)*('warehouse config'!$C:$C=D774)*('warehouse config'!$G:$G&lt;=B774)*(('warehouse config'!$H:$H&gt;=B774)+ISBLANK('warehouse config'!$H:$H))),1)),0))"),0.0)</f>
        <v>0</v>
      </c>
      <c r="H774" s="3">
        <f>IFERROR(__xludf.DUMMYFUNCTION("IFERROR(INDEX(FILTER('cost master'!$E:$E,('cost master'!$B:$B=C774)*('cost master'!$D:$D=""Storage cost per pallet / week"")*('cost master'!$G:$G&lt;=B774)*(('cost master'!$H:$H&gt;=B774)+ISBLANK('cost master'!$H:$H))),1),0)"),2.6)</f>
        <v>2.6</v>
      </c>
      <c r="I774" s="3">
        <f t="shared" si="4"/>
        <v>0</v>
      </c>
      <c r="J774" s="27">
        <f t="shared" si="5"/>
        <v>45793</v>
      </c>
      <c r="K774" s="27">
        <f t="shared" si="6"/>
        <v>45823</v>
      </c>
    </row>
    <row r="775" hidden="1">
      <c r="A775" s="3" t="str">
        <f t="shared" si="3"/>
        <v>SL-20250609-4as-CS-CDS-001-4</v>
      </c>
      <c r="B775" s="2">
        <f t="array" ref="B775">INDEX(helper!$A$3:$A3996,ROUNDUP((ROW()-1)/COUNTA(helper!$D$3:$D3996),0))</f>
        <v>45817</v>
      </c>
      <c r="C775" s="5" t="str">
        <f t="array" ref="C775">IF(B775="","",INDEX(helper!$D$3:$D3996,MOD(ROW()-2,COUNTA(helper!$D$3:$D3996))+1))</f>
        <v>4as</v>
      </c>
      <c r="D775" s="3" t="str">
        <f t="array" ref="D775">IF(B775="","",INDEX(helper!$E$3:$E3996,MOD(ROW()-2,COUNTA(helper!$D$3:$D3996))+1))</f>
        <v>CS-CDS-001</v>
      </c>
      <c r="E775" s="3">
        <f t="array" ref="E775">IF(B775="","",INDEX(helper!$F$3:$F3996,MOD(ROW()-2,COUNTA(helper!$D$3:$D3996))+1))</f>
        <v>4</v>
      </c>
      <c r="F775" s="3">
        <f>IF(B775="","",SUMIFS('inventory ledger'!$H:$H,'inventory ledger'!$C:$C,C775,'inventory ledger'!$D:$D,D775,'inventory ledger'!$E:$E,E775,'inventory ledger'!$A:$A,"&lt;="&amp;B775+TIME(23,59,59))-SUMIFS('inventory ledger'!$I:$I,'inventory ledger'!$C:$C,C775,'inventory ledger'!$D:$D,D775,'inventory ledger'!$E:$E,E775,'inventory ledger'!$A:$A,"&lt;="&amp;B775+TIME(23,59,59)))</f>
        <v>0</v>
      </c>
      <c r="G775" s="3">
        <f>IFERROR(__xludf.DUMMYFUNCTION("IF(F775&lt;=0,0,IFERROR(ROUNDUP(F775/INDEX(FILTER('warehouse config'!$D:$D,('warehouse config'!$B:$B=C775)*('warehouse config'!$C:$C=D775)*('warehouse config'!$G:$G&lt;=B775)*(('warehouse config'!$H:$H&gt;=B775)+ISBLANK('warehouse config'!$H:$H))),1)),0))"),0.0)</f>
        <v>0</v>
      </c>
      <c r="H775" s="3">
        <f>IFERROR(__xludf.DUMMYFUNCTION("IFERROR(INDEX(FILTER('cost master'!$E:$E,('cost master'!$B:$B=C775)*('cost master'!$D:$D=""Storage cost per pallet / week"")*('cost master'!$G:$G&lt;=B775)*(('cost master'!$H:$H&gt;=B775)+ISBLANK('cost master'!$H:$H))),1),0)"),9.0)</f>
        <v>9</v>
      </c>
      <c r="I775" s="3">
        <f t="shared" si="4"/>
        <v>0</v>
      </c>
      <c r="J775" s="27">
        <f t="shared" si="5"/>
        <v>45793</v>
      </c>
      <c r="K775" s="27">
        <f t="shared" si="6"/>
        <v>45823</v>
      </c>
    </row>
    <row r="776" hidden="1">
      <c r="A776" s="3" t="str">
        <f t="shared" si="3"/>
        <v>SL-20250609-4as-CS-CDS-002-4</v>
      </c>
      <c r="B776" s="2">
        <f t="array" ref="B776">INDEX(helper!$A$3:$A3996,ROUNDUP((ROW()-1)/COUNTA(helper!$D$3:$D3996),0))</f>
        <v>45817</v>
      </c>
      <c r="C776" s="5" t="str">
        <f t="array" ref="C776">IF(B776="","",INDEX(helper!$D$3:$D3996,MOD(ROW()-2,COUNTA(helper!$D$3:$D3996))+1))</f>
        <v>4as</v>
      </c>
      <c r="D776" s="3" t="str">
        <f t="array" ref="D776">IF(B776="","",INDEX(helper!$E$3:$E3996,MOD(ROW()-2,COUNTA(helper!$D$3:$D3996))+1))</f>
        <v>CS-CDS-002</v>
      </c>
      <c r="E776" s="3">
        <f t="array" ref="E776">IF(B776="","",INDEX(helper!$F$3:$F3996,MOD(ROW()-2,COUNTA(helper!$D$3:$D3996))+1))</f>
        <v>4</v>
      </c>
      <c r="F776" s="3">
        <f>IF(B776="","",SUMIFS('inventory ledger'!$H:$H,'inventory ledger'!$C:$C,C776,'inventory ledger'!$D:$D,D776,'inventory ledger'!$E:$E,E776,'inventory ledger'!$A:$A,"&lt;="&amp;B776+TIME(23,59,59))-SUMIFS('inventory ledger'!$I:$I,'inventory ledger'!$C:$C,C776,'inventory ledger'!$D:$D,D776,'inventory ledger'!$E:$E,E776,'inventory ledger'!$A:$A,"&lt;="&amp;B776+TIME(23,59,59)))</f>
        <v>0</v>
      </c>
      <c r="G776" s="3">
        <f>IFERROR(__xludf.DUMMYFUNCTION("IF(F776&lt;=0,0,IFERROR(ROUNDUP(F776/INDEX(FILTER('warehouse config'!$D:$D,('warehouse config'!$B:$B=C776)*('warehouse config'!$C:$C=D776)*('warehouse config'!$G:$G&lt;=B776)*(('warehouse config'!$H:$H&gt;=B776)+ISBLANK('warehouse config'!$H:$H))),1)),0))"),0.0)</f>
        <v>0</v>
      </c>
      <c r="H776" s="3">
        <f>IFERROR(__xludf.DUMMYFUNCTION("IFERROR(INDEX(FILTER('cost master'!$E:$E,('cost master'!$B:$B=C776)*('cost master'!$D:$D=""Storage cost per pallet / week"")*('cost master'!$G:$G&lt;=B776)*(('cost master'!$H:$H&gt;=B776)+ISBLANK('cost master'!$H:$H))),1),0)"),9.0)</f>
        <v>9</v>
      </c>
      <c r="I776" s="3">
        <f t="shared" si="4"/>
        <v>0</v>
      </c>
      <c r="J776" s="27">
        <f t="shared" si="5"/>
        <v>45793</v>
      </c>
      <c r="K776" s="27">
        <f t="shared" si="6"/>
        <v>45823</v>
      </c>
    </row>
    <row r="777" hidden="1">
      <c r="A777" s="3" t="str">
        <f t="shared" si="3"/>
        <v>SL-20250609-Vglobal-CS 007-13</v>
      </c>
      <c r="B777" s="2">
        <f t="array" ref="B777">INDEX(helper!$A$3:$A3996,ROUNDUP((ROW()-1)/COUNTA(helper!$D$3:$D3996),0))</f>
        <v>45817</v>
      </c>
      <c r="C777" s="5" t="str">
        <f t="array" ref="C777">IF(B777="","",INDEX(helper!$D$3:$D3996,MOD(ROW()-2,COUNTA(helper!$D$3:$D3996))+1))</f>
        <v>Vglobal</v>
      </c>
      <c r="D777" s="3" t="str">
        <f t="array" ref="D777">IF(B777="","",INDEX(helper!$E$3:$E3996,MOD(ROW()-2,COUNTA(helper!$D$3:$D3996))+1))</f>
        <v>CS 007</v>
      </c>
      <c r="E777" s="3">
        <f t="array" ref="E777">IF(B777="","",INDEX(helper!$F$3:$F3996,MOD(ROW()-2,COUNTA(helper!$D$3:$D3996))+1))</f>
        <v>13</v>
      </c>
      <c r="F777" s="3">
        <f>IF(B777="","",SUMIFS('inventory ledger'!$H:$H,'inventory ledger'!$C:$C,C777,'inventory ledger'!$D:$D,D777,'inventory ledger'!$E:$E,E777,'inventory ledger'!$A:$A,"&lt;="&amp;B777+TIME(23,59,59))-SUMIFS('inventory ledger'!$I:$I,'inventory ledger'!$C:$C,C777,'inventory ledger'!$D:$D,D777,'inventory ledger'!$E:$E,E777,'inventory ledger'!$A:$A,"&lt;="&amp;B777+TIME(23,59,59)))</f>
        <v>45</v>
      </c>
      <c r="G777" s="3">
        <f>IFERROR(__xludf.DUMMYFUNCTION("IF(F777&lt;=0,0,IFERROR(ROUNDUP(F777/INDEX(FILTER('warehouse config'!$D:$D,('warehouse config'!$B:$B=C777)*('warehouse config'!$C:$C=D777)*('warehouse config'!$G:$G&lt;=B777)*(('warehouse config'!$H:$H&gt;=B777)+ISBLANK('warehouse config'!$H:$H))),1)),0))"),3.0)</f>
        <v>3</v>
      </c>
      <c r="H777" s="3">
        <f>IFERROR(__xludf.DUMMYFUNCTION("IFERROR(INDEX(FILTER('cost master'!$E:$E,('cost master'!$B:$B=C777)*('cost master'!$D:$D=""Storage cost per pallet / week"")*('cost master'!$G:$G&lt;=B777)*(('cost master'!$H:$H&gt;=B777)+ISBLANK('cost master'!$H:$H))),1),0)"),2.6)</f>
        <v>2.6</v>
      </c>
      <c r="I777" s="3">
        <f t="shared" si="4"/>
        <v>7.8</v>
      </c>
      <c r="J777" s="27">
        <f t="shared" si="5"/>
        <v>45793</v>
      </c>
      <c r="K777" s="27">
        <f t="shared" si="6"/>
        <v>45823</v>
      </c>
    </row>
    <row r="778" hidden="1">
      <c r="A778" s="3" t="str">
        <f t="shared" si="3"/>
        <v>SL-20250609-Vglobal-CS 011-13</v>
      </c>
      <c r="B778" s="2">
        <f t="array" ref="B778">INDEX(helper!$A$3:$A3996,ROUNDUP((ROW()-1)/COUNTA(helper!$D$3:$D3996),0))</f>
        <v>45817</v>
      </c>
      <c r="C778" s="5" t="str">
        <f t="array" ref="C778">IF(B778="","",INDEX(helper!$D$3:$D3996,MOD(ROW()-2,COUNTA(helper!$D$3:$D3996))+1))</f>
        <v>Vglobal</v>
      </c>
      <c r="D778" s="3" t="str">
        <f t="array" ref="D778">IF(B778="","",INDEX(helper!$E$3:$E3996,MOD(ROW()-2,COUNTA(helper!$D$3:$D3996))+1))</f>
        <v>CS 011</v>
      </c>
      <c r="E778" s="3">
        <f t="array" ref="E778">IF(B778="","",INDEX(helper!$F$3:$F3996,MOD(ROW()-2,COUNTA(helper!$D$3:$D3996))+1))</f>
        <v>13</v>
      </c>
      <c r="F778" s="3">
        <f>IF(B778="","",SUMIFS('inventory ledger'!$H:$H,'inventory ledger'!$C:$C,C778,'inventory ledger'!$D:$D,D778,'inventory ledger'!$E:$E,E778,'inventory ledger'!$A:$A,"&lt;="&amp;B778+TIME(23,59,59))-SUMIFS('inventory ledger'!$I:$I,'inventory ledger'!$C:$C,C778,'inventory ledger'!$D:$D,D778,'inventory ledger'!$E:$E,E778,'inventory ledger'!$A:$A,"&lt;="&amp;B778+TIME(23,59,59)))</f>
        <v>0</v>
      </c>
      <c r="G778" s="3">
        <f>IFERROR(__xludf.DUMMYFUNCTION("IF(F778&lt;=0,0,IFERROR(ROUNDUP(F778/INDEX(FILTER('warehouse config'!$D:$D,('warehouse config'!$B:$B=C778)*('warehouse config'!$C:$C=D778)*('warehouse config'!$G:$G&lt;=B778)*(('warehouse config'!$H:$H&gt;=B778)+ISBLANK('warehouse config'!$H:$H))),1)),0))"),0.0)</f>
        <v>0</v>
      </c>
      <c r="H778" s="3">
        <f>IFERROR(__xludf.DUMMYFUNCTION("IFERROR(INDEX(FILTER('cost master'!$E:$E,('cost master'!$B:$B=C778)*('cost master'!$D:$D=""Storage cost per pallet / week"")*('cost master'!$G:$G&lt;=B778)*(('cost master'!$H:$H&gt;=B778)+ISBLANK('cost master'!$H:$H))),1),0)"),2.6)</f>
        <v>2.6</v>
      </c>
      <c r="I778" s="3">
        <f t="shared" si="4"/>
        <v>0</v>
      </c>
      <c r="J778" s="27">
        <f t="shared" si="5"/>
        <v>45793</v>
      </c>
      <c r="K778" s="27">
        <f t="shared" si="6"/>
        <v>45823</v>
      </c>
    </row>
    <row r="779" hidden="1">
      <c r="A779" s="3" t="str">
        <f t="shared" si="3"/>
        <v>SL-20250609-Vglobal-CS 008-13</v>
      </c>
      <c r="B779" s="2">
        <f t="array" ref="B779">INDEX(helper!$A$3:$A3996,ROUNDUP((ROW()-1)/COUNTA(helper!$D$3:$D3996),0))</f>
        <v>45817</v>
      </c>
      <c r="C779" s="5" t="str">
        <f t="array" ref="C779">IF(B779="","",INDEX(helper!$D$3:$D3996,MOD(ROW()-2,COUNTA(helper!$D$3:$D3996))+1))</f>
        <v>Vglobal</v>
      </c>
      <c r="D779" s="3" t="str">
        <f t="array" ref="D779">IF(B779="","",INDEX(helper!$E$3:$E3996,MOD(ROW()-2,COUNTA(helper!$D$3:$D3996))+1))</f>
        <v>CS 008</v>
      </c>
      <c r="E779" s="3">
        <f t="array" ref="E779">IF(B779="","",INDEX(helper!$F$3:$F3996,MOD(ROW()-2,COUNTA(helper!$D$3:$D3996))+1))</f>
        <v>13</v>
      </c>
      <c r="F779" s="3">
        <f>IF(B779="","",SUMIFS('inventory ledger'!$H:$H,'inventory ledger'!$C:$C,C779,'inventory ledger'!$D:$D,D779,'inventory ledger'!$E:$E,E779,'inventory ledger'!$A:$A,"&lt;="&amp;B779+TIME(23,59,59))-SUMIFS('inventory ledger'!$I:$I,'inventory ledger'!$C:$C,C779,'inventory ledger'!$D:$D,D779,'inventory ledger'!$E:$E,E779,'inventory ledger'!$A:$A,"&lt;="&amp;B779+TIME(23,59,59)))</f>
        <v>20</v>
      </c>
      <c r="G779" s="3">
        <f>IFERROR(__xludf.DUMMYFUNCTION("IF(F779&lt;=0,0,IFERROR(ROUNDUP(F779/INDEX(FILTER('warehouse config'!$D:$D,('warehouse config'!$B:$B=C779)*('warehouse config'!$C:$C=D779)*('warehouse config'!$G:$G&lt;=B779)*(('warehouse config'!$H:$H&gt;=B779)+ISBLANK('warehouse config'!$H:$H))),1)),0))"),1.0)</f>
        <v>1</v>
      </c>
      <c r="H779" s="3">
        <f>IFERROR(__xludf.DUMMYFUNCTION("IFERROR(INDEX(FILTER('cost master'!$E:$E,('cost master'!$B:$B=C779)*('cost master'!$D:$D=""Storage cost per pallet / week"")*('cost master'!$G:$G&lt;=B779)*(('cost master'!$H:$H&gt;=B779)+ISBLANK('cost master'!$H:$H))),1),0)"),2.6)</f>
        <v>2.6</v>
      </c>
      <c r="I779" s="3">
        <f t="shared" si="4"/>
        <v>2.6</v>
      </c>
      <c r="J779" s="27">
        <f t="shared" si="5"/>
        <v>45793</v>
      </c>
      <c r="K779" s="27">
        <f t="shared" si="6"/>
        <v>45823</v>
      </c>
    </row>
    <row r="780" hidden="1">
      <c r="A780" s="3" t="str">
        <f t="shared" si="3"/>
        <v>SL-20250609-Vglobal-CS 010-13</v>
      </c>
      <c r="B780" s="2">
        <f t="array" ref="B780">INDEX(helper!$A$3:$A3996,ROUNDUP((ROW()-1)/COUNTA(helper!$D$3:$D3996),0))</f>
        <v>45817</v>
      </c>
      <c r="C780" s="5" t="str">
        <f t="array" ref="C780">IF(B780="","",INDEX(helper!$D$3:$D3996,MOD(ROW()-2,COUNTA(helper!$D$3:$D3996))+1))</f>
        <v>Vglobal</v>
      </c>
      <c r="D780" s="3" t="str">
        <f t="array" ref="D780">IF(B780="","",INDEX(helper!$E$3:$E3996,MOD(ROW()-2,COUNTA(helper!$D$3:$D3996))+1))</f>
        <v>CS 010</v>
      </c>
      <c r="E780" s="3">
        <f t="array" ref="E780">IF(B780="","",INDEX(helper!$F$3:$F3996,MOD(ROW()-2,COUNTA(helper!$D$3:$D3996))+1))</f>
        <v>13</v>
      </c>
      <c r="F780" s="3">
        <f>IF(B780="","",SUMIFS('inventory ledger'!$H:$H,'inventory ledger'!$C:$C,C780,'inventory ledger'!$D:$D,D780,'inventory ledger'!$E:$E,E780,'inventory ledger'!$A:$A,"&lt;="&amp;B780+TIME(23,59,59))-SUMIFS('inventory ledger'!$I:$I,'inventory ledger'!$C:$C,C780,'inventory ledger'!$D:$D,D780,'inventory ledger'!$E:$E,E780,'inventory ledger'!$A:$A,"&lt;="&amp;B780+TIME(23,59,59)))</f>
        <v>80</v>
      </c>
      <c r="G780" s="3">
        <f>IFERROR(__xludf.DUMMYFUNCTION("IF(F780&lt;=0,0,IFERROR(ROUNDUP(F780/INDEX(FILTER('warehouse config'!$D:$D,('warehouse config'!$B:$B=C780)*('warehouse config'!$C:$C=D780)*('warehouse config'!$G:$G&lt;=B780)*(('warehouse config'!$H:$H&gt;=B780)+ISBLANK('warehouse config'!$H:$H))),1)),0))"),4.0)</f>
        <v>4</v>
      </c>
      <c r="H780" s="3">
        <f>IFERROR(__xludf.DUMMYFUNCTION("IFERROR(INDEX(FILTER('cost master'!$E:$E,('cost master'!$B:$B=C780)*('cost master'!$D:$D=""Storage cost per pallet / week"")*('cost master'!$G:$G&lt;=B780)*(('cost master'!$H:$H&gt;=B780)+ISBLANK('cost master'!$H:$H))),1),0)"),2.6)</f>
        <v>2.6</v>
      </c>
      <c r="I780" s="3">
        <f t="shared" si="4"/>
        <v>10.4</v>
      </c>
      <c r="J780" s="27">
        <f t="shared" si="5"/>
        <v>45793</v>
      </c>
      <c r="K780" s="27">
        <f t="shared" si="6"/>
        <v>45823</v>
      </c>
    </row>
    <row r="781" hidden="1">
      <c r="A781" s="3" t="str">
        <f t="shared" si="3"/>
        <v>SL-20250609-Vglobal-CS 009-13</v>
      </c>
      <c r="B781" s="2">
        <f t="array" ref="B781">INDEX(helper!$A$3:$A3996,ROUNDUP((ROW()-1)/COUNTA(helper!$D$3:$D3996),0))</f>
        <v>45817</v>
      </c>
      <c r="C781" s="5" t="str">
        <f t="array" ref="C781">IF(B781="","",INDEX(helper!$D$3:$D3996,MOD(ROW()-2,COUNTA(helper!$D$3:$D3996))+1))</f>
        <v>Vglobal</v>
      </c>
      <c r="D781" s="3" t="str">
        <f t="array" ref="D781">IF(B781="","",INDEX(helper!$E$3:$E3996,MOD(ROW()-2,COUNTA(helper!$D$3:$D3996))+1))</f>
        <v>CS 009</v>
      </c>
      <c r="E781" s="3">
        <f t="array" ref="E781">IF(B781="","",INDEX(helper!$F$3:$F3996,MOD(ROW()-2,COUNTA(helper!$D$3:$D3996))+1))</f>
        <v>13</v>
      </c>
      <c r="F781" s="3">
        <f>IF(B781="","",SUMIFS('inventory ledger'!$H:$H,'inventory ledger'!$C:$C,C781,'inventory ledger'!$D:$D,D781,'inventory ledger'!$E:$E,E781,'inventory ledger'!$A:$A,"&lt;="&amp;B781+TIME(23,59,59))-SUMIFS('inventory ledger'!$I:$I,'inventory ledger'!$C:$C,C781,'inventory ledger'!$D:$D,D781,'inventory ledger'!$E:$E,E781,'inventory ledger'!$A:$A,"&lt;="&amp;B781+TIME(23,59,59)))</f>
        <v>0</v>
      </c>
      <c r="G781" s="3">
        <f>IFERROR(__xludf.DUMMYFUNCTION("IF(F781&lt;=0,0,IFERROR(ROUNDUP(F781/INDEX(FILTER('warehouse config'!$D:$D,('warehouse config'!$B:$B=C781)*('warehouse config'!$C:$C=D781)*('warehouse config'!$G:$G&lt;=B781)*(('warehouse config'!$H:$H&gt;=B781)+ISBLANK('warehouse config'!$H:$H))),1)),0))"),0.0)</f>
        <v>0</v>
      </c>
      <c r="H781" s="3">
        <f>IFERROR(__xludf.DUMMYFUNCTION("IFERROR(INDEX(FILTER('cost master'!$E:$E,('cost master'!$B:$B=C781)*('cost master'!$D:$D=""Storage cost per pallet / week"")*('cost master'!$G:$G&lt;=B781)*(('cost master'!$H:$H&gt;=B781)+ISBLANK('cost master'!$H:$H))),1),0)"),2.6)</f>
        <v>2.6</v>
      </c>
      <c r="I781" s="3">
        <f t="shared" si="4"/>
        <v>0</v>
      </c>
      <c r="J781" s="27">
        <f t="shared" si="5"/>
        <v>45793</v>
      </c>
      <c r="K781" s="27">
        <f t="shared" si="6"/>
        <v>45823</v>
      </c>
    </row>
    <row r="782" hidden="1">
      <c r="A782" s="3" t="str">
        <f t="shared" si="3"/>
        <v>SL-20250609-Vglobal-CS 012-13</v>
      </c>
      <c r="B782" s="2">
        <f t="array" ref="B782">INDEX(helper!$A$3:$A3996,ROUNDUP((ROW()-1)/COUNTA(helper!$D$3:$D3996),0))</f>
        <v>45817</v>
      </c>
      <c r="C782" s="5" t="str">
        <f t="array" ref="C782">IF(B782="","",INDEX(helper!$D$3:$D3996,MOD(ROW()-2,COUNTA(helper!$D$3:$D3996))+1))</f>
        <v>Vglobal</v>
      </c>
      <c r="D782" s="3" t="str">
        <f t="array" ref="D782">IF(B782="","",INDEX(helper!$E$3:$E3996,MOD(ROW()-2,COUNTA(helper!$D$3:$D3996))+1))</f>
        <v>CS 012</v>
      </c>
      <c r="E782" s="3">
        <f t="array" ref="E782">IF(B782="","",INDEX(helper!$F$3:$F3996,MOD(ROW()-2,COUNTA(helper!$D$3:$D3996))+1))</f>
        <v>13</v>
      </c>
      <c r="F782" s="3">
        <f>IF(B782="","",SUMIFS('inventory ledger'!$H:$H,'inventory ledger'!$C:$C,C782,'inventory ledger'!$D:$D,D782,'inventory ledger'!$E:$E,E782,'inventory ledger'!$A:$A,"&lt;="&amp;B782+TIME(23,59,59))-SUMIFS('inventory ledger'!$I:$I,'inventory ledger'!$C:$C,C782,'inventory ledger'!$D:$D,D782,'inventory ledger'!$E:$E,E782,'inventory ledger'!$A:$A,"&lt;="&amp;B782+TIME(23,59,59)))</f>
        <v>0</v>
      </c>
      <c r="G782" s="3">
        <f>IFERROR(__xludf.DUMMYFUNCTION("IF(F782&lt;=0,0,IFERROR(ROUNDUP(F782/INDEX(FILTER('warehouse config'!$D:$D,('warehouse config'!$B:$B=C782)*('warehouse config'!$C:$C=D782)*('warehouse config'!$G:$G&lt;=B782)*(('warehouse config'!$H:$H&gt;=B782)+ISBLANK('warehouse config'!$H:$H))),1)),0))"),0.0)</f>
        <v>0</v>
      </c>
      <c r="H782" s="3">
        <f>IFERROR(__xludf.DUMMYFUNCTION("IFERROR(INDEX(FILTER('cost master'!$E:$E,('cost master'!$B:$B=C782)*('cost master'!$D:$D=""Storage cost per pallet / week"")*('cost master'!$G:$G&lt;=B782)*(('cost master'!$H:$H&gt;=B782)+ISBLANK('cost master'!$H:$H))),1),0)"),2.6)</f>
        <v>2.6</v>
      </c>
      <c r="I782" s="3">
        <f t="shared" si="4"/>
        <v>0</v>
      </c>
      <c r="J782" s="27">
        <f t="shared" si="5"/>
        <v>45793</v>
      </c>
      <c r="K782" s="27">
        <f t="shared" si="6"/>
        <v>45823</v>
      </c>
    </row>
    <row r="783">
      <c r="A783" s="3" t="str">
        <f t="shared" si="3"/>
        <v>SL-20250609-FMC-CS 008-11</v>
      </c>
      <c r="B783" s="2">
        <f t="array" ref="B783">INDEX(helper!$A$3:$A3996,ROUNDUP((ROW()-1)/COUNTA(helper!$D$3:$D3996),0))</f>
        <v>45817</v>
      </c>
      <c r="C783" s="5" t="str">
        <f t="array" ref="C783">IF(B783="","",INDEX(helper!$D$3:$D3996,MOD(ROW()-2,COUNTA(helper!$D$3:$D3996))+1))</f>
        <v>FMC</v>
      </c>
      <c r="D783" s="3" t="str">
        <f t="array" ref="D783">IF(B783="","",INDEX(helper!$E$3:$E3996,MOD(ROW()-2,COUNTA(helper!$D$3:$D3996))+1))</f>
        <v>CS 008</v>
      </c>
      <c r="E783" s="3">
        <f t="array" ref="E783">IF(B783="","",INDEX(helper!$F$3:$F3996,MOD(ROW()-2,COUNTA(helper!$D$3:$D3996))+1))</f>
        <v>11</v>
      </c>
      <c r="F783" s="3">
        <f>IF(B783="","",SUMIFS('inventory ledger'!$H:$H,'inventory ledger'!$C:$C,C783,'inventory ledger'!$D:$D,D783,'inventory ledger'!$E:$E,E783,'inventory ledger'!$A:$A,"&lt;="&amp;B783+TIME(23,59,59))-SUMIFS('inventory ledger'!$I:$I,'inventory ledger'!$C:$C,C783,'inventory ledger'!$D:$D,D783,'inventory ledger'!$E:$E,E783,'inventory ledger'!$A:$A,"&lt;="&amp;B783+TIME(23,59,59)))</f>
        <v>-2</v>
      </c>
      <c r="G783" s="3">
        <f>IFERROR(__xludf.DUMMYFUNCTION("IF(F783&lt;=0,0,IFERROR(ROUNDUP(F783/INDEX(FILTER('warehouse config'!$D:$D,('warehouse config'!$B:$B=C783)*('warehouse config'!$C:$C=D783)*('warehouse config'!$G:$G&lt;=B783)*(('warehouse config'!$H:$H&gt;=B783)+ISBLANK('warehouse config'!$H:$H))),1)),0))"),0.0)</f>
        <v>0</v>
      </c>
      <c r="H783" s="3">
        <f>IFERROR(__xludf.DUMMYFUNCTION("IFERROR(INDEX(FILTER('cost master'!$E:$E,('cost master'!$B:$B=C783)*('cost master'!$D:$D=""Storage cost per pallet / week"")*('cost master'!$G:$G&lt;=B783)*(('cost master'!$H:$H&gt;=B783)+ISBLANK('cost master'!$H:$H))),1),0)"),3.9)</f>
        <v>3.9</v>
      </c>
      <c r="I783" s="3">
        <f t="shared" si="4"/>
        <v>0</v>
      </c>
      <c r="J783" s="27">
        <f t="shared" si="5"/>
        <v>45793</v>
      </c>
      <c r="K783" s="27">
        <f t="shared" si="6"/>
        <v>45823</v>
      </c>
    </row>
    <row r="784" hidden="1">
      <c r="A784" s="3" t="str">
        <f t="shared" si="3"/>
        <v>SL-20250616-FMC-CS 007-8</v>
      </c>
      <c r="B784" s="2">
        <f t="array" ref="B784">INDEX(helper!$A$3:$A3996,ROUNDUP((ROW()-1)/COUNTA(helper!$D$3:$D3996),0))</f>
        <v>45824</v>
      </c>
      <c r="C784" s="5" t="str">
        <f t="array" ref="C784">IF(B784="","",INDEX(helper!$D$3:$D3996,MOD(ROW()-2,COUNTA(helper!$D$3:$D3996))+1))</f>
        <v>FMC</v>
      </c>
      <c r="D784" s="3" t="str">
        <f t="array" ref="D784">IF(B784="","",INDEX(helper!$E$3:$E3996,MOD(ROW()-2,COUNTA(helper!$D$3:$D3996))+1))</f>
        <v>CS 007</v>
      </c>
      <c r="E784" s="3">
        <f t="array" ref="E784">IF(B784="","",INDEX(helper!$F$3:$F3996,MOD(ROW()-2,COUNTA(helper!$D$3:$D3996))+1))</f>
        <v>8</v>
      </c>
      <c r="F784" s="3">
        <f>IF(B784="","",SUMIFS('inventory ledger'!$H:$H,'inventory ledger'!$C:$C,C784,'inventory ledger'!$D:$D,D784,'inventory ledger'!$E:$E,E784,'inventory ledger'!$A:$A,"&lt;="&amp;B784+TIME(23,59,59))-SUMIFS('inventory ledger'!$I:$I,'inventory ledger'!$C:$C,C784,'inventory ledger'!$D:$D,D784,'inventory ledger'!$E:$E,E784,'inventory ledger'!$A:$A,"&lt;="&amp;B784+TIME(23,59,59)))</f>
        <v>0</v>
      </c>
      <c r="G784" s="3">
        <f>IFERROR(__xludf.DUMMYFUNCTION("IF(F784&lt;=0,0,IFERROR(ROUNDUP(F784/INDEX(FILTER('warehouse config'!$D:$D,('warehouse config'!$B:$B=C784)*('warehouse config'!$C:$C=D784)*('warehouse config'!$G:$G&lt;=B784)*(('warehouse config'!$H:$H&gt;=B784)+ISBLANK('warehouse config'!$H:$H))),1)),0))"),0.0)</f>
        <v>0</v>
      </c>
      <c r="H784" s="3">
        <f>IFERROR(__xludf.DUMMYFUNCTION("IFERROR(INDEX(FILTER('cost master'!$E:$E,('cost master'!$B:$B=C784)*('cost master'!$D:$D=""Storage cost per pallet / week"")*('cost master'!$G:$G&lt;=B784)*(('cost master'!$H:$H&gt;=B784)+ISBLANK('cost master'!$H:$H))),1),0)"),3.9)</f>
        <v>3.9</v>
      </c>
      <c r="I784" s="3">
        <f t="shared" si="4"/>
        <v>0</v>
      </c>
      <c r="J784" s="27">
        <f t="shared" si="5"/>
        <v>45824</v>
      </c>
      <c r="K784" s="27">
        <f t="shared" si="6"/>
        <v>45853</v>
      </c>
    </row>
    <row r="785" hidden="1">
      <c r="A785" s="3" t="str">
        <f t="shared" si="3"/>
        <v>SL-20250616-FMC-CS 008-8</v>
      </c>
      <c r="B785" s="2">
        <f t="array" ref="B785">INDEX(helper!$A$3:$A3996,ROUNDUP((ROW()-1)/COUNTA(helper!$D$3:$D3996),0))</f>
        <v>45824</v>
      </c>
      <c r="C785" s="5" t="str">
        <f t="array" ref="C785">IF(B785="","",INDEX(helper!$D$3:$D3996,MOD(ROW()-2,COUNTA(helper!$D$3:$D3996))+1))</f>
        <v>FMC</v>
      </c>
      <c r="D785" s="3" t="str">
        <f t="array" ref="D785">IF(B785="","",INDEX(helper!$E$3:$E3996,MOD(ROW()-2,COUNTA(helper!$D$3:$D3996))+1))</f>
        <v>CS 008</v>
      </c>
      <c r="E785" s="3">
        <f t="array" ref="E785">IF(B785="","",INDEX(helper!$F$3:$F3996,MOD(ROW()-2,COUNTA(helper!$D$3:$D3996))+1))</f>
        <v>8</v>
      </c>
      <c r="F785" s="3">
        <f>IF(B785="","",SUMIFS('inventory ledger'!$H:$H,'inventory ledger'!$C:$C,C785,'inventory ledger'!$D:$D,D785,'inventory ledger'!$E:$E,E785,'inventory ledger'!$A:$A,"&lt;="&amp;B785+TIME(23,59,59))-SUMIFS('inventory ledger'!$I:$I,'inventory ledger'!$C:$C,C785,'inventory ledger'!$D:$D,D785,'inventory ledger'!$E:$E,E785,'inventory ledger'!$A:$A,"&lt;="&amp;B785+TIME(23,59,59)))</f>
        <v>0</v>
      </c>
      <c r="G785" s="3">
        <f>IFERROR(__xludf.DUMMYFUNCTION("IF(F785&lt;=0,0,IFERROR(ROUNDUP(F785/INDEX(FILTER('warehouse config'!$D:$D,('warehouse config'!$B:$B=C785)*('warehouse config'!$C:$C=D785)*('warehouse config'!$G:$G&lt;=B785)*(('warehouse config'!$H:$H&gt;=B785)+ISBLANK('warehouse config'!$H:$H))),1)),0))"),0.0)</f>
        <v>0</v>
      </c>
      <c r="H785" s="3">
        <f>IFERROR(__xludf.DUMMYFUNCTION("IFERROR(INDEX(FILTER('cost master'!$E:$E,('cost master'!$B:$B=C785)*('cost master'!$D:$D=""Storage cost per pallet / week"")*('cost master'!$G:$G&lt;=B785)*(('cost master'!$H:$H&gt;=B785)+ISBLANK('cost master'!$H:$H))),1),0)"),3.9)</f>
        <v>3.9</v>
      </c>
      <c r="I785" s="3">
        <f t="shared" si="4"/>
        <v>0</v>
      </c>
      <c r="J785" s="27">
        <f t="shared" si="5"/>
        <v>45824</v>
      </c>
      <c r="K785" s="27">
        <f t="shared" si="6"/>
        <v>45853</v>
      </c>
    </row>
    <row r="786" hidden="1">
      <c r="A786" s="3" t="str">
        <f t="shared" si="3"/>
        <v>SL-20250616-FMC-CS 009-8</v>
      </c>
      <c r="B786" s="2">
        <f t="array" ref="B786">INDEX(helper!$A$3:$A3996,ROUNDUP((ROW()-1)/COUNTA(helper!$D$3:$D3996),0))</f>
        <v>45824</v>
      </c>
      <c r="C786" s="5" t="str">
        <f t="array" ref="C786">IF(B786="","",INDEX(helper!$D$3:$D3996,MOD(ROW()-2,COUNTA(helper!$D$3:$D3996))+1))</f>
        <v>FMC</v>
      </c>
      <c r="D786" s="3" t="str">
        <f t="array" ref="D786">IF(B786="","",INDEX(helper!$E$3:$E3996,MOD(ROW()-2,COUNTA(helper!$D$3:$D3996))+1))</f>
        <v>CS 009</v>
      </c>
      <c r="E786" s="3">
        <f t="array" ref="E786">IF(B786="","",INDEX(helper!$F$3:$F3996,MOD(ROW()-2,COUNTA(helper!$D$3:$D3996))+1))</f>
        <v>8</v>
      </c>
      <c r="F786" s="3">
        <f>IF(B786="","",SUMIFS('inventory ledger'!$H:$H,'inventory ledger'!$C:$C,C786,'inventory ledger'!$D:$D,D786,'inventory ledger'!$E:$E,E786,'inventory ledger'!$A:$A,"&lt;="&amp;B786+TIME(23,59,59))-SUMIFS('inventory ledger'!$I:$I,'inventory ledger'!$C:$C,C786,'inventory ledger'!$D:$D,D786,'inventory ledger'!$E:$E,E786,'inventory ledger'!$A:$A,"&lt;="&amp;B786+TIME(23,59,59)))</f>
        <v>0</v>
      </c>
      <c r="G786" s="3">
        <f>IFERROR(__xludf.DUMMYFUNCTION("IF(F786&lt;=0,0,IFERROR(ROUNDUP(F786/INDEX(FILTER('warehouse config'!$D:$D,('warehouse config'!$B:$B=C786)*('warehouse config'!$C:$C=D786)*('warehouse config'!$G:$G&lt;=B786)*(('warehouse config'!$H:$H&gt;=B786)+ISBLANK('warehouse config'!$H:$H))),1)),0))"),0.0)</f>
        <v>0</v>
      </c>
      <c r="H786" s="3">
        <f>IFERROR(__xludf.DUMMYFUNCTION("IFERROR(INDEX(FILTER('cost master'!$E:$E,('cost master'!$B:$B=C786)*('cost master'!$D:$D=""Storage cost per pallet / week"")*('cost master'!$G:$G&lt;=B786)*(('cost master'!$H:$H&gt;=B786)+ISBLANK('cost master'!$H:$H))),1),0)"),3.9)</f>
        <v>3.9</v>
      </c>
      <c r="I786" s="3">
        <f t="shared" si="4"/>
        <v>0</v>
      </c>
      <c r="J786" s="27">
        <f t="shared" si="5"/>
        <v>45824</v>
      </c>
      <c r="K786" s="27">
        <f t="shared" si="6"/>
        <v>45853</v>
      </c>
    </row>
    <row r="787" hidden="1">
      <c r="A787" s="3" t="str">
        <f t="shared" si="3"/>
        <v>SL-20250616-FMC-CS 010-8</v>
      </c>
      <c r="B787" s="2">
        <f t="array" ref="B787">INDEX(helper!$A$3:$A3996,ROUNDUP((ROW()-1)/COUNTA(helper!$D$3:$D3996),0))</f>
        <v>45824</v>
      </c>
      <c r="C787" s="5" t="str">
        <f t="array" ref="C787">IF(B787="","",INDEX(helper!$D$3:$D3996,MOD(ROW()-2,COUNTA(helper!$D$3:$D3996))+1))</f>
        <v>FMC</v>
      </c>
      <c r="D787" s="3" t="str">
        <f t="array" ref="D787">IF(B787="","",INDEX(helper!$E$3:$E3996,MOD(ROW()-2,COUNTA(helper!$D$3:$D3996))+1))</f>
        <v>CS 010</v>
      </c>
      <c r="E787" s="3">
        <f t="array" ref="E787">IF(B787="","",INDEX(helper!$F$3:$F3996,MOD(ROW()-2,COUNTA(helper!$D$3:$D3996))+1))</f>
        <v>8</v>
      </c>
      <c r="F787" s="3">
        <f>IF(B787="","",SUMIFS('inventory ledger'!$H:$H,'inventory ledger'!$C:$C,C787,'inventory ledger'!$D:$D,D787,'inventory ledger'!$E:$E,E787,'inventory ledger'!$A:$A,"&lt;="&amp;B787+TIME(23,59,59))-SUMIFS('inventory ledger'!$I:$I,'inventory ledger'!$C:$C,C787,'inventory ledger'!$D:$D,D787,'inventory ledger'!$E:$E,E787,'inventory ledger'!$A:$A,"&lt;="&amp;B787+TIME(23,59,59)))</f>
        <v>0</v>
      </c>
      <c r="G787" s="3">
        <f>IFERROR(__xludf.DUMMYFUNCTION("IF(F787&lt;=0,0,IFERROR(ROUNDUP(F787/INDEX(FILTER('warehouse config'!$D:$D,('warehouse config'!$B:$B=C787)*('warehouse config'!$C:$C=D787)*('warehouse config'!$G:$G&lt;=B787)*(('warehouse config'!$H:$H&gt;=B787)+ISBLANK('warehouse config'!$H:$H))),1)),0))"),0.0)</f>
        <v>0</v>
      </c>
      <c r="H787" s="3">
        <f>IFERROR(__xludf.DUMMYFUNCTION("IFERROR(INDEX(FILTER('cost master'!$E:$E,('cost master'!$B:$B=C787)*('cost master'!$D:$D=""Storage cost per pallet / week"")*('cost master'!$G:$G&lt;=B787)*(('cost master'!$H:$H&gt;=B787)+ISBLANK('cost master'!$H:$H))),1),0)"),3.9)</f>
        <v>3.9</v>
      </c>
      <c r="I787" s="3">
        <f t="shared" si="4"/>
        <v>0</v>
      </c>
      <c r="J787" s="27">
        <f t="shared" si="5"/>
        <v>45824</v>
      </c>
      <c r="K787" s="27">
        <f t="shared" si="6"/>
        <v>45853</v>
      </c>
    </row>
    <row r="788" hidden="1">
      <c r="A788" s="3" t="str">
        <f t="shared" si="3"/>
        <v>SL-20250616-FMC-CS 007-9</v>
      </c>
      <c r="B788" s="2">
        <f t="array" ref="B788">INDEX(helper!$A$3:$A3996,ROUNDUP((ROW()-1)/COUNTA(helper!$D$3:$D3996),0))</f>
        <v>45824</v>
      </c>
      <c r="C788" s="5" t="str">
        <f t="array" ref="C788">IF(B788="","",INDEX(helper!$D$3:$D3996,MOD(ROW()-2,COUNTA(helper!$D$3:$D3996))+1))</f>
        <v>FMC</v>
      </c>
      <c r="D788" s="3" t="str">
        <f t="array" ref="D788">IF(B788="","",INDEX(helper!$E$3:$E3996,MOD(ROW()-2,COUNTA(helper!$D$3:$D3996))+1))</f>
        <v>CS 007</v>
      </c>
      <c r="E788" s="3">
        <f t="array" ref="E788">IF(B788="","",INDEX(helper!$F$3:$F3996,MOD(ROW()-2,COUNTA(helper!$D$3:$D3996))+1))</f>
        <v>9</v>
      </c>
      <c r="F788" s="3">
        <f>IF(B788="","",SUMIFS('inventory ledger'!$H:$H,'inventory ledger'!$C:$C,C788,'inventory ledger'!$D:$D,D788,'inventory ledger'!$E:$E,E788,'inventory ledger'!$A:$A,"&lt;="&amp;B788+TIME(23,59,59))-SUMIFS('inventory ledger'!$I:$I,'inventory ledger'!$C:$C,C788,'inventory ledger'!$D:$D,D788,'inventory ledger'!$E:$E,E788,'inventory ledger'!$A:$A,"&lt;="&amp;B788+TIME(23,59,59)))</f>
        <v>0</v>
      </c>
      <c r="G788" s="3">
        <f>IFERROR(__xludf.DUMMYFUNCTION("IF(F788&lt;=0,0,IFERROR(ROUNDUP(F788/INDEX(FILTER('warehouse config'!$D:$D,('warehouse config'!$B:$B=C788)*('warehouse config'!$C:$C=D788)*('warehouse config'!$G:$G&lt;=B788)*(('warehouse config'!$H:$H&gt;=B788)+ISBLANK('warehouse config'!$H:$H))),1)),0))"),0.0)</f>
        <v>0</v>
      </c>
      <c r="H788" s="3">
        <f>IFERROR(__xludf.DUMMYFUNCTION("IFERROR(INDEX(FILTER('cost master'!$E:$E,('cost master'!$B:$B=C788)*('cost master'!$D:$D=""Storage cost per pallet / week"")*('cost master'!$G:$G&lt;=B788)*(('cost master'!$H:$H&gt;=B788)+ISBLANK('cost master'!$H:$H))),1),0)"),3.9)</f>
        <v>3.9</v>
      </c>
      <c r="I788" s="3">
        <f t="shared" si="4"/>
        <v>0</v>
      </c>
      <c r="J788" s="27">
        <f t="shared" si="5"/>
        <v>45824</v>
      </c>
      <c r="K788" s="27">
        <f t="shared" si="6"/>
        <v>45853</v>
      </c>
    </row>
    <row r="789" hidden="1">
      <c r="A789" s="3" t="str">
        <f t="shared" si="3"/>
        <v>SL-20250616-FMC-CS 008-9</v>
      </c>
      <c r="B789" s="2">
        <f t="array" ref="B789">INDEX(helper!$A$3:$A3996,ROUNDUP((ROW()-1)/COUNTA(helper!$D$3:$D3996),0))</f>
        <v>45824</v>
      </c>
      <c r="C789" s="5" t="str">
        <f t="array" ref="C789">IF(B789="","",INDEX(helper!$D$3:$D3996,MOD(ROW()-2,COUNTA(helper!$D$3:$D3996))+1))</f>
        <v>FMC</v>
      </c>
      <c r="D789" s="3" t="str">
        <f t="array" ref="D789">IF(B789="","",INDEX(helper!$E$3:$E3996,MOD(ROW()-2,COUNTA(helper!$D$3:$D3996))+1))</f>
        <v>CS 008</v>
      </c>
      <c r="E789" s="3">
        <f t="array" ref="E789">IF(B789="","",INDEX(helper!$F$3:$F3996,MOD(ROW()-2,COUNTA(helper!$D$3:$D3996))+1))</f>
        <v>9</v>
      </c>
      <c r="F789" s="3">
        <f>IF(B789="","",SUMIFS('inventory ledger'!$H:$H,'inventory ledger'!$C:$C,C789,'inventory ledger'!$D:$D,D789,'inventory ledger'!$E:$E,E789,'inventory ledger'!$A:$A,"&lt;="&amp;B789+TIME(23,59,59))-SUMIFS('inventory ledger'!$I:$I,'inventory ledger'!$C:$C,C789,'inventory ledger'!$D:$D,D789,'inventory ledger'!$E:$E,E789,'inventory ledger'!$A:$A,"&lt;="&amp;B789+TIME(23,59,59)))</f>
        <v>2</v>
      </c>
      <c r="G789" s="3">
        <f>IFERROR(__xludf.DUMMYFUNCTION("IF(F789&lt;=0,0,IFERROR(ROUNDUP(F789/INDEX(FILTER('warehouse config'!$D:$D,('warehouse config'!$B:$B=C789)*('warehouse config'!$C:$C=D789)*('warehouse config'!$G:$G&lt;=B789)*(('warehouse config'!$H:$H&gt;=B789)+ISBLANK('warehouse config'!$H:$H))),1)),0))"),1.0)</f>
        <v>1</v>
      </c>
      <c r="H789" s="3">
        <f>IFERROR(__xludf.DUMMYFUNCTION("IFERROR(INDEX(FILTER('cost master'!$E:$E,('cost master'!$B:$B=C789)*('cost master'!$D:$D=""Storage cost per pallet / week"")*('cost master'!$G:$G&lt;=B789)*(('cost master'!$H:$H&gt;=B789)+ISBLANK('cost master'!$H:$H))),1),0)"),3.9)</f>
        <v>3.9</v>
      </c>
      <c r="I789" s="3">
        <f t="shared" si="4"/>
        <v>3.9</v>
      </c>
      <c r="J789" s="27">
        <f t="shared" si="5"/>
        <v>45824</v>
      </c>
      <c r="K789" s="27">
        <f t="shared" si="6"/>
        <v>45853</v>
      </c>
    </row>
    <row r="790" hidden="1">
      <c r="A790" s="3" t="str">
        <f t="shared" si="3"/>
        <v>SL-20250616-FMC-CS 009-9</v>
      </c>
      <c r="B790" s="2">
        <f t="array" ref="B790">INDEX(helper!$A$3:$A3996,ROUNDUP((ROW()-1)/COUNTA(helper!$D$3:$D3996),0))</f>
        <v>45824</v>
      </c>
      <c r="C790" s="5" t="str">
        <f t="array" ref="C790">IF(B790="","",INDEX(helper!$D$3:$D3996,MOD(ROW()-2,COUNTA(helper!$D$3:$D3996))+1))</f>
        <v>FMC</v>
      </c>
      <c r="D790" s="3" t="str">
        <f t="array" ref="D790">IF(B790="","",INDEX(helper!$E$3:$E3996,MOD(ROW()-2,COUNTA(helper!$D$3:$D3996))+1))</f>
        <v>CS 009</v>
      </c>
      <c r="E790" s="3">
        <f t="array" ref="E790">IF(B790="","",INDEX(helper!$F$3:$F3996,MOD(ROW()-2,COUNTA(helper!$D$3:$D3996))+1))</f>
        <v>9</v>
      </c>
      <c r="F790" s="3">
        <f>IF(B790="","",SUMIFS('inventory ledger'!$H:$H,'inventory ledger'!$C:$C,C790,'inventory ledger'!$D:$D,D790,'inventory ledger'!$E:$E,E790,'inventory ledger'!$A:$A,"&lt;="&amp;B790+TIME(23,59,59))-SUMIFS('inventory ledger'!$I:$I,'inventory ledger'!$C:$C,C790,'inventory ledger'!$D:$D,D790,'inventory ledger'!$E:$E,E790,'inventory ledger'!$A:$A,"&lt;="&amp;B790+TIME(23,59,59)))</f>
        <v>0</v>
      </c>
      <c r="G790" s="3">
        <f>IFERROR(__xludf.DUMMYFUNCTION("IF(F790&lt;=0,0,IFERROR(ROUNDUP(F790/INDEX(FILTER('warehouse config'!$D:$D,('warehouse config'!$B:$B=C790)*('warehouse config'!$C:$C=D790)*('warehouse config'!$G:$G&lt;=B790)*(('warehouse config'!$H:$H&gt;=B790)+ISBLANK('warehouse config'!$H:$H))),1)),0))"),0.0)</f>
        <v>0</v>
      </c>
      <c r="H790" s="3">
        <f>IFERROR(__xludf.DUMMYFUNCTION("IFERROR(INDEX(FILTER('cost master'!$E:$E,('cost master'!$B:$B=C790)*('cost master'!$D:$D=""Storage cost per pallet / week"")*('cost master'!$G:$G&lt;=B790)*(('cost master'!$H:$H&gt;=B790)+ISBLANK('cost master'!$H:$H))),1),0)"),3.9)</f>
        <v>3.9</v>
      </c>
      <c r="I790" s="3">
        <f t="shared" si="4"/>
        <v>0</v>
      </c>
      <c r="J790" s="27">
        <f t="shared" si="5"/>
        <v>45824</v>
      </c>
      <c r="K790" s="27">
        <f t="shared" si="6"/>
        <v>45853</v>
      </c>
    </row>
    <row r="791" hidden="1">
      <c r="A791" s="3" t="str">
        <f t="shared" si="3"/>
        <v>SL-20250616-FMC-CS 010-9</v>
      </c>
      <c r="B791" s="2">
        <f t="array" ref="B791">INDEX(helper!$A$3:$A3996,ROUNDUP((ROW()-1)/COUNTA(helper!$D$3:$D3996),0))</f>
        <v>45824</v>
      </c>
      <c r="C791" s="5" t="str">
        <f t="array" ref="C791">IF(B791="","",INDEX(helper!$D$3:$D3996,MOD(ROW()-2,COUNTA(helper!$D$3:$D3996))+1))</f>
        <v>FMC</v>
      </c>
      <c r="D791" s="3" t="str">
        <f t="array" ref="D791">IF(B791="","",INDEX(helper!$E$3:$E3996,MOD(ROW()-2,COUNTA(helper!$D$3:$D3996))+1))</f>
        <v>CS 010</v>
      </c>
      <c r="E791" s="3">
        <f t="array" ref="E791">IF(B791="","",INDEX(helper!$F$3:$F3996,MOD(ROW()-2,COUNTA(helper!$D$3:$D3996))+1))</f>
        <v>9</v>
      </c>
      <c r="F791" s="3">
        <f>IF(B791="","",SUMIFS('inventory ledger'!$H:$H,'inventory ledger'!$C:$C,C791,'inventory ledger'!$D:$D,D791,'inventory ledger'!$E:$E,E791,'inventory ledger'!$A:$A,"&lt;="&amp;B791+TIME(23,59,59))-SUMIFS('inventory ledger'!$I:$I,'inventory ledger'!$C:$C,C791,'inventory ledger'!$D:$D,D791,'inventory ledger'!$E:$E,E791,'inventory ledger'!$A:$A,"&lt;="&amp;B791+TIME(23,59,59)))</f>
        <v>0</v>
      </c>
      <c r="G791" s="3">
        <f>IFERROR(__xludf.DUMMYFUNCTION("IF(F791&lt;=0,0,IFERROR(ROUNDUP(F791/INDEX(FILTER('warehouse config'!$D:$D,('warehouse config'!$B:$B=C791)*('warehouse config'!$C:$C=D791)*('warehouse config'!$G:$G&lt;=B791)*(('warehouse config'!$H:$H&gt;=B791)+ISBLANK('warehouse config'!$H:$H))),1)),0))"),0.0)</f>
        <v>0</v>
      </c>
      <c r="H791" s="3">
        <f>IFERROR(__xludf.DUMMYFUNCTION("IFERROR(INDEX(FILTER('cost master'!$E:$E,('cost master'!$B:$B=C791)*('cost master'!$D:$D=""Storage cost per pallet / week"")*('cost master'!$G:$G&lt;=B791)*(('cost master'!$H:$H&gt;=B791)+ISBLANK('cost master'!$H:$H))),1),0)"),3.9)</f>
        <v>3.9</v>
      </c>
      <c r="I791" s="3">
        <f t="shared" si="4"/>
        <v>0</v>
      </c>
      <c r="J791" s="27">
        <f t="shared" si="5"/>
        <v>45824</v>
      </c>
      <c r="K791" s="27">
        <f t="shared" si="6"/>
        <v>45853</v>
      </c>
    </row>
    <row r="792" hidden="1">
      <c r="A792" s="3" t="str">
        <f t="shared" si="3"/>
        <v>SL-20250616-FMC-CS-CDS-001-9</v>
      </c>
      <c r="B792" s="2">
        <f t="array" ref="B792">INDEX(helper!$A$3:$A3996,ROUNDUP((ROW()-1)/COUNTA(helper!$D$3:$D3996),0))</f>
        <v>45824</v>
      </c>
      <c r="C792" s="5" t="str">
        <f t="array" ref="C792">IF(B792="","",INDEX(helper!$D$3:$D3996,MOD(ROW()-2,COUNTA(helper!$D$3:$D3996))+1))</f>
        <v>FMC</v>
      </c>
      <c r="D792" s="3" t="str">
        <f t="array" ref="D792">IF(B792="","",INDEX(helper!$E$3:$E3996,MOD(ROW()-2,COUNTA(helper!$D$3:$D3996))+1))</f>
        <v>CS-CDS-001</v>
      </c>
      <c r="E792" s="3">
        <f t="array" ref="E792">IF(B792="","",INDEX(helper!$F$3:$F3996,MOD(ROW()-2,COUNTA(helper!$D$3:$D3996))+1))</f>
        <v>9</v>
      </c>
      <c r="F792" s="3">
        <f>IF(B792="","",SUMIFS('inventory ledger'!$H:$H,'inventory ledger'!$C:$C,C792,'inventory ledger'!$D:$D,D792,'inventory ledger'!$E:$E,E792,'inventory ledger'!$A:$A,"&lt;="&amp;B792+TIME(23,59,59))-SUMIFS('inventory ledger'!$I:$I,'inventory ledger'!$C:$C,C792,'inventory ledger'!$D:$D,D792,'inventory ledger'!$E:$E,E792,'inventory ledger'!$A:$A,"&lt;="&amp;B792+TIME(23,59,59)))</f>
        <v>0</v>
      </c>
      <c r="G792" s="3">
        <f>IFERROR(__xludf.DUMMYFUNCTION("IF(F792&lt;=0,0,IFERROR(ROUNDUP(F792/INDEX(FILTER('warehouse config'!$D:$D,('warehouse config'!$B:$B=C792)*('warehouse config'!$C:$C=D792)*('warehouse config'!$G:$G&lt;=B792)*(('warehouse config'!$H:$H&gt;=B792)+ISBLANK('warehouse config'!$H:$H))),1)),0))"),0.0)</f>
        <v>0</v>
      </c>
      <c r="H792" s="3">
        <f>IFERROR(__xludf.DUMMYFUNCTION("IFERROR(INDEX(FILTER('cost master'!$E:$E,('cost master'!$B:$B=C792)*('cost master'!$D:$D=""Storage cost per pallet / week"")*('cost master'!$G:$G&lt;=B792)*(('cost master'!$H:$H&gt;=B792)+ISBLANK('cost master'!$H:$H))),1),0)"),3.9)</f>
        <v>3.9</v>
      </c>
      <c r="I792" s="3">
        <f t="shared" si="4"/>
        <v>0</v>
      </c>
      <c r="J792" s="27">
        <f t="shared" si="5"/>
        <v>45824</v>
      </c>
      <c r="K792" s="27">
        <f t="shared" si="6"/>
        <v>45853</v>
      </c>
    </row>
    <row r="793" hidden="1">
      <c r="A793" s="3" t="str">
        <f t="shared" si="3"/>
        <v>SL-20250616-FMC-CS-CDS-002-9</v>
      </c>
      <c r="B793" s="2">
        <f t="array" ref="B793">INDEX(helper!$A$3:$A3996,ROUNDUP((ROW()-1)/COUNTA(helper!$D$3:$D3996),0))</f>
        <v>45824</v>
      </c>
      <c r="C793" s="5" t="str">
        <f t="array" ref="C793">IF(B793="","",INDEX(helper!$D$3:$D3996,MOD(ROW()-2,COUNTA(helper!$D$3:$D3996))+1))</f>
        <v>FMC</v>
      </c>
      <c r="D793" s="3" t="str">
        <f t="array" ref="D793">IF(B793="","",INDEX(helper!$E$3:$E3996,MOD(ROW()-2,COUNTA(helper!$D$3:$D3996))+1))</f>
        <v>CS-CDS-002</v>
      </c>
      <c r="E793" s="3">
        <f t="array" ref="E793">IF(B793="","",INDEX(helper!$F$3:$F3996,MOD(ROW()-2,COUNTA(helper!$D$3:$D3996))+1))</f>
        <v>9</v>
      </c>
      <c r="F793" s="3">
        <f>IF(B793="","",SUMIFS('inventory ledger'!$H:$H,'inventory ledger'!$C:$C,C793,'inventory ledger'!$D:$D,D793,'inventory ledger'!$E:$E,E793,'inventory ledger'!$A:$A,"&lt;="&amp;B793+TIME(23,59,59))-SUMIFS('inventory ledger'!$I:$I,'inventory ledger'!$C:$C,C793,'inventory ledger'!$D:$D,D793,'inventory ledger'!$E:$E,E793,'inventory ledger'!$A:$A,"&lt;="&amp;B793+TIME(23,59,59)))</f>
        <v>0</v>
      </c>
      <c r="G793" s="3">
        <f>IFERROR(__xludf.DUMMYFUNCTION("IF(F793&lt;=0,0,IFERROR(ROUNDUP(F793/INDEX(FILTER('warehouse config'!$D:$D,('warehouse config'!$B:$B=C793)*('warehouse config'!$C:$C=D793)*('warehouse config'!$G:$G&lt;=B793)*(('warehouse config'!$H:$H&gt;=B793)+ISBLANK('warehouse config'!$H:$H))),1)),0))"),0.0)</f>
        <v>0</v>
      </c>
      <c r="H793" s="3">
        <f>IFERROR(__xludf.DUMMYFUNCTION("IFERROR(INDEX(FILTER('cost master'!$E:$E,('cost master'!$B:$B=C793)*('cost master'!$D:$D=""Storage cost per pallet / week"")*('cost master'!$G:$G&lt;=B793)*(('cost master'!$H:$H&gt;=B793)+ISBLANK('cost master'!$H:$H))),1),0)"),3.9)</f>
        <v>3.9</v>
      </c>
      <c r="I793" s="3">
        <f t="shared" si="4"/>
        <v>0</v>
      </c>
      <c r="J793" s="27">
        <f t="shared" si="5"/>
        <v>45824</v>
      </c>
      <c r="K793" s="27">
        <f t="shared" si="6"/>
        <v>45853</v>
      </c>
    </row>
    <row r="794" hidden="1">
      <c r="A794" s="3" t="str">
        <f t="shared" si="3"/>
        <v>SL-20250616-FMC-CS 007-10</v>
      </c>
      <c r="B794" s="2">
        <f t="array" ref="B794">INDEX(helper!$A$3:$A3996,ROUNDUP((ROW()-1)/COUNTA(helper!$D$3:$D3996),0))</f>
        <v>45824</v>
      </c>
      <c r="C794" s="5" t="str">
        <f t="array" ref="C794">IF(B794="","",INDEX(helper!$D$3:$D3996,MOD(ROW()-2,COUNTA(helper!$D$3:$D3996))+1))</f>
        <v>FMC</v>
      </c>
      <c r="D794" s="3" t="str">
        <f t="array" ref="D794">IF(B794="","",INDEX(helper!$E$3:$E3996,MOD(ROW()-2,COUNTA(helper!$D$3:$D3996))+1))</f>
        <v>CS 007</v>
      </c>
      <c r="E794" s="3">
        <f t="array" ref="E794">IF(B794="","",INDEX(helper!$F$3:$F3996,MOD(ROW()-2,COUNTA(helper!$D$3:$D3996))+1))</f>
        <v>10</v>
      </c>
      <c r="F794" s="3">
        <f>IF(B794="","",SUMIFS('inventory ledger'!$H:$H,'inventory ledger'!$C:$C,C794,'inventory ledger'!$D:$D,D794,'inventory ledger'!$E:$E,E794,'inventory ledger'!$A:$A,"&lt;="&amp;B794+TIME(23,59,59))-SUMIFS('inventory ledger'!$I:$I,'inventory ledger'!$C:$C,C794,'inventory ledger'!$D:$D,D794,'inventory ledger'!$E:$E,E794,'inventory ledger'!$A:$A,"&lt;="&amp;B794+TIME(23,59,59)))</f>
        <v>0</v>
      </c>
      <c r="G794" s="3">
        <f>IFERROR(__xludf.DUMMYFUNCTION("IF(F794&lt;=0,0,IFERROR(ROUNDUP(F794/INDEX(FILTER('warehouse config'!$D:$D,('warehouse config'!$B:$B=C794)*('warehouse config'!$C:$C=D794)*('warehouse config'!$G:$G&lt;=B794)*(('warehouse config'!$H:$H&gt;=B794)+ISBLANK('warehouse config'!$H:$H))),1)),0))"),0.0)</f>
        <v>0</v>
      </c>
      <c r="H794" s="3">
        <f>IFERROR(__xludf.DUMMYFUNCTION("IFERROR(INDEX(FILTER('cost master'!$E:$E,('cost master'!$B:$B=C794)*('cost master'!$D:$D=""Storage cost per pallet / week"")*('cost master'!$G:$G&lt;=B794)*(('cost master'!$H:$H&gt;=B794)+ISBLANK('cost master'!$H:$H))),1),0)"),3.9)</f>
        <v>3.9</v>
      </c>
      <c r="I794" s="3">
        <f t="shared" si="4"/>
        <v>0</v>
      </c>
      <c r="J794" s="27">
        <f t="shared" si="5"/>
        <v>45824</v>
      </c>
      <c r="K794" s="27">
        <f t="shared" si="6"/>
        <v>45853</v>
      </c>
    </row>
    <row r="795" hidden="1">
      <c r="A795" s="3" t="str">
        <f t="shared" si="3"/>
        <v>SL-20250616-FMC-CS 009-10</v>
      </c>
      <c r="B795" s="2">
        <f t="array" ref="B795">INDEX(helper!$A$3:$A3996,ROUNDUP((ROW()-1)/COUNTA(helper!$D$3:$D3996),0))</f>
        <v>45824</v>
      </c>
      <c r="C795" s="5" t="str">
        <f t="array" ref="C795">IF(B795="","",INDEX(helper!$D$3:$D3996,MOD(ROW()-2,COUNTA(helper!$D$3:$D3996))+1))</f>
        <v>FMC</v>
      </c>
      <c r="D795" s="3" t="str">
        <f t="array" ref="D795">IF(B795="","",INDEX(helper!$E$3:$E3996,MOD(ROW()-2,COUNTA(helper!$D$3:$D3996))+1))</f>
        <v>CS 009</v>
      </c>
      <c r="E795" s="3">
        <f t="array" ref="E795">IF(B795="","",INDEX(helper!$F$3:$F3996,MOD(ROW()-2,COUNTA(helper!$D$3:$D3996))+1))</f>
        <v>10</v>
      </c>
      <c r="F795" s="3">
        <f>IF(B795="","",SUMIFS('inventory ledger'!$H:$H,'inventory ledger'!$C:$C,C795,'inventory ledger'!$D:$D,D795,'inventory ledger'!$E:$E,E795,'inventory ledger'!$A:$A,"&lt;="&amp;B795+TIME(23,59,59))-SUMIFS('inventory ledger'!$I:$I,'inventory ledger'!$C:$C,C795,'inventory ledger'!$D:$D,D795,'inventory ledger'!$E:$E,E795,'inventory ledger'!$A:$A,"&lt;="&amp;B795+TIME(23,59,59)))</f>
        <v>0</v>
      </c>
      <c r="G795" s="3">
        <f>IFERROR(__xludf.DUMMYFUNCTION("IF(F795&lt;=0,0,IFERROR(ROUNDUP(F795/INDEX(FILTER('warehouse config'!$D:$D,('warehouse config'!$B:$B=C795)*('warehouse config'!$C:$C=D795)*('warehouse config'!$G:$G&lt;=B795)*(('warehouse config'!$H:$H&gt;=B795)+ISBLANK('warehouse config'!$H:$H))),1)),0))"),0.0)</f>
        <v>0</v>
      </c>
      <c r="H795" s="3">
        <f>IFERROR(__xludf.DUMMYFUNCTION("IFERROR(INDEX(FILTER('cost master'!$E:$E,('cost master'!$B:$B=C795)*('cost master'!$D:$D=""Storage cost per pallet / week"")*('cost master'!$G:$G&lt;=B795)*(('cost master'!$H:$H&gt;=B795)+ISBLANK('cost master'!$H:$H))),1),0)"),3.9)</f>
        <v>3.9</v>
      </c>
      <c r="I795" s="3">
        <f t="shared" si="4"/>
        <v>0</v>
      </c>
      <c r="J795" s="27">
        <f t="shared" si="5"/>
        <v>45824</v>
      </c>
      <c r="K795" s="27">
        <f t="shared" si="6"/>
        <v>45853</v>
      </c>
    </row>
    <row r="796" hidden="1">
      <c r="A796" s="3" t="str">
        <f t="shared" si="3"/>
        <v>SL-20250616-FMC-CS 010-10</v>
      </c>
      <c r="B796" s="2">
        <f t="array" ref="B796">INDEX(helper!$A$3:$A3996,ROUNDUP((ROW()-1)/COUNTA(helper!$D$3:$D3996),0))</f>
        <v>45824</v>
      </c>
      <c r="C796" s="5" t="str">
        <f t="array" ref="C796">IF(B796="","",INDEX(helper!$D$3:$D3996,MOD(ROW()-2,COUNTA(helper!$D$3:$D3996))+1))</f>
        <v>FMC</v>
      </c>
      <c r="D796" s="3" t="str">
        <f t="array" ref="D796">IF(B796="","",INDEX(helper!$E$3:$E3996,MOD(ROW()-2,COUNTA(helper!$D$3:$D3996))+1))</f>
        <v>CS 010</v>
      </c>
      <c r="E796" s="3">
        <f t="array" ref="E796">IF(B796="","",INDEX(helper!$F$3:$F3996,MOD(ROW()-2,COUNTA(helper!$D$3:$D3996))+1))</f>
        <v>10</v>
      </c>
      <c r="F796" s="3">
        <f>IF(B796="","",SUMIFS('inventory ledger'!$H:$H,'inventory ledger'!$C:$C,C796,'inventory ledger'!$D:$D,D796,'inventory ledger'!$E:$E,E796,'inventory ledger'!$A:$A,"&lt;="&amp;B796+TIME(23,59,59))-SUMIFS('inventory ledger'!$I:$I,'inventory ledger'!$C:$C,C796,'inventory ledger'!$D:$D,D796,'inventory ledger'!$E:$E,E796,'inventory ledger'!$A:$A,"&lt;="&amp;B796+TIME(23,59,59)))</f>
        <v>13</v>
      </c>
      <c r="G796" s="3">
        <f>IFERROR(__xludf.DUMMYFUNCTION("IF(F796&lt;=0,0,IFERROR(ROUNDUP(F796/INDEX(FILTER('warehouse config'!$D:$D,('warehouse config'!$B:$B=C796)*('warehouse config'!$C:$C=D796)*('warehouse config'!$G:$G&lt;=B796)*(('warehouse config'!$H:$H&gt;=B796)+ISBLANK('warehouse config'!$H:$H))),1)),0))"),1.0)</f>
        <v>1</v>
      </c>
      <c r="H796" s="3">
        <f>IFERROR(__xludf.DUMMYFUNCTION("IFERROR(INDEX(FILTER('cost master'!$E:$E,('cost master'!$B:$B=C796)*('cost master'!$D:$D=""Storage cost per pallet / week"")*('cost master'!$G:$G&lt;=B796)*(('cost master'!$H:$H&gt;=B796)+ISBLANK('cost master'!$H:$H))),1),0)"),3.9)</f>
        <v>3.9</v>
      </c>
      <c r="I796" s="3">
        <f t="shared" si="4"/>
        <v>3.9</v>
      </c>
      <c r="J796" s="27">
        <f t="shared" si="5"/>
        <v>45824</v>
      </c>
      <c r="K796" s="27">
        <f t="shared" si="6"/>
        <v>45853</v>
      </c>
    </row>
    <row r="797" hidden="1">
      <c r="A797" s="3" t="str">
        <f t="shared" si="3"/>
        <v>SL-20250616-FMC-CS-CDS-001-10</v>
      </c>
      <c r="B797" s="2">
        <f t="array" ref="B797">INDEX(helper!$A$3:$A3996,ROUNDUP((ROW()-1)/COUNTA(helper!$D$3:$D3996),0))</f>
        <v>45824</v>
      </c>
      <c r="C797" s="5" t="str">
        <f t="array" ref="C797">IF(B797="","",INDEX(helper!$D$3:$D3996,MOD(ROW()-2,COUNTA(helper!$D$3:$D3996))+1))</f>
        <v>FMC</v>
      </c>
      <c r="D797" s="3" t="str">
        <f t="array" ref="D797">IF(B797="","",INDEX(helper!$E$3:$E3996,MOD(ROW()-2,COUNTA(helper!$D$3:$D3996))+1))</f>
        <v>CS-CDS-001</v>
      </c>
      <c r="E797" s="3">
        <f t="array" ref="E797">IF(B797="","",INDEX(helper!$F$3:$F3996,MOD(ROW()-2,COUNTA(helper!$D$3:$D3996))+1))</f>
        <v>10</v>
      </c>
      <c r="F797" s="3">
        <f>IF(B797="","",SUMIFS('inventory ledger'!$H:$H,'inventory ledger'!$C:$C,C797,'inventory ledger'!$D:$D,D797,'inventory ledger'!$E:$E,E797,'inventory ledger'!$A:$A,"&lt;="&amp;B797+TIME(23,59,59))-SUMIFS('inventory ledger'!$I:$I,'inventory ledger'!$C:$C,C797,'inventory ledger'!$D:$D,D797,'inventory ledger'!$E:$E,E797,'inventory ledger'!$A:$A,"&lt;="&amp;B797+TIME(23,59,59)))</f>
        <v>0</v>
      </c>
      <c r="G797" s="3">
        <f>IFERROR(__xludf.DUMMYFUNCTION("IF(F797&lt;=0,0,IFERROR(ROUNDUP(F797/INDEX(FILTER('warehouse config'!$D:$D,('warehouse config'!$B:$B=C797)*('warehouse config'!$C:$C=D797)*('warehouse config'!$G:$G&lt;=B797)*(('warehouse config'!$H:$H&gt;=B797)+ISBLANK('warehouse config'!$H:$H))),1)),0))"),0.0)</f>
        <v>0</v>
      </c>
      <c r="H797" s="3">
        <f>IFERROR(__xludf.DUMMYFUNCTION("IFERROR(INDEX(FILTER('cost master'!$E:$E,('cost master'!$B:$B=C797)*('cost master'!$D:$D=""Storage cost per pallet / week"")*('cost master'!$G:$G&lt;=B797)*(('cost master'!$H:$H&gt;=B797)+ISBLANK('cost master'!$H:$H))),1),0)"),3.9)</f>
        <v>3.9</v>
      </c>
      <c r="I797" s="3">
        <f t="shared" si="4"/>
        <v>0</v>
      </c>
      <c r="J797" s="27">
        <f t="shared" si="5"/>
        <v>45824</v>
      </c>
      <c r="K797" s="27">
        <f t="shared" si="6"/>
        <v>45853</v>
      </c>
    </row>
    <row r="798">
      <c r="A798" s="3" t="str">
        <f t="shared" si="3"/>
        <v>SL-20250616-FMC-CS 007-11</v>
      </c>
      <c r="B798" s="2">
        <f t="array" ref="B798">INDEX(helper!$A$3:$A3996,ROUNDUP((ROW()-1)/COUNTA(helper!$D$3:$D3996),0))</f>
        <v>45824</v>
      </c>
      <c r="C798" s="5" t="str">
        <f t="array" ref="C798">IF(B798="","",INDEX(helper!$D$3:$D3996,MOD(ROW()-2,COUNTA(helper!$D$3:$D3996))+1))</f>
        <v>FMC</v>
      </c>
      <c r="D798" s="3" t="str">
        <f t="array" ref="D798">IF(B798="","",INDEX(helper!$E$3:$E3996,MOD(ROW()-2,COUNTA(helper!$D$3:$D3996))+1))</f>
        <v>CS 007</v>
      </c>
      <c r="E798" s="3">
        <f t="array" ref="E798">IF(B798="","",INDEX(helper!$F$3:$F3996,MOD(ROW()-2,COUNTA(helper!$D$3:$D3996))+1))</f>
        <v>11</v>
      </c>
      <c r="F798" s="3">
        <f>IF(B798="","",SUMIFS('inventory ledger'!$H:$H,'inventory ledger'!$C:$C,C798,'inventory ledger'!$D:$D,D798,'inventory ledger'!$E:$E,E798,'inventory ledger'!$A:$A,"&lt;="&amp;B798+TIME(23,59,59))-SUMIFS('inventory ledger'!$I:$I,'inventory ledger'!$C:$C,C798,'inventory ledger'!$D:$D,D798,'inventory ledger'!$E:$E,E798,'inventory ledger'!$A:$A,"&lt;="&amp;B798+TIME(23,59,59)))</f>
        <v>-1</v>
      </c>
      <c r="G798" s="3">
        <f>IFERROR(__xludf.DUMMYFUNCTION("IF(F798&lt;=0,0,IFERROR(ROUNDUP(F798/INDEX(FILTER('warehouse config'!$D:$D,('warehouse config'!$B:$B=C798)*('warehouse config'!$C:$C=D798)*('warehouse config'!$G:$G&lt;=B798)*(('warehouse config'!$H:$H&gt;=B798)+ISBLANK('warehouse config'!$H:$H))),1)),0))"),0.0)</f>
        <v>0</v>
      </c>
      <c r="H798" s="3">
        <f>IFERROR(__xludf.DUMMYFUNCTION("IFERROR(INDEX(FILTER('cost master'!$E:$E,('cost master'!$B:$B=C798)*('cost master'!$D:$D=""Storage cost per pallet / week"")*('cost master'!$G:$G&lt;=B798)*(('cost master'!$H:$H&gt;=B798)+ISBLANK('cost master'!$H:$H))),1),0)"),3.9)</f>
        <v>3.9</v>
      </c>
      <c r="I798" s="3">
        <f t="shared" si="4"/>
        <v>0</v>
      </c>
      <c r="J798" s="27">
        <f t="shared" si="5"/>
        <v>45824</v>
      </c>
      <c r="K798" s="27">
        <f t="shared" si="6"/>
        <v>45853</v>
      </c>
    </row>
    <row r="799" hidden="1">
      <c r="A799" s="3" t="str">
        <f t="shared" si="3"/>
        <v>SL-20250616-FMC-CS 009-11</v>
      </c>
      <c r="B799" s="2">
        <f t="array" ref="B799">INDEX(helper!$A$3:$A3996,ROUNDUP((ROW()-1)/COUNTA(helper!$D$3:$D3996),0))</f>
        <v>45824</v>
      </c>
      <c r="C799" s="5" t="str">
        <f t="array" ref="C799">IF(B799="","",INDEX(helper!$D$3:$D3996,MOD(ROW()-2,COUNTA(helper!$D$3:$D3996))+1))</f>
        <v>FMC</v>
      </c>
      <c r="D799" s="3" t="str">
        <f t="array" ref="D799">IF(B799="","",INDEX(helper!$E$3:$E3996,MOD(ROW()-2,COUNTA(helper!$D$3:$D3996))+1))</f>
        <v>CS 009</v>
      </c>
      <c r="E799" s="3">
        <f t="array" ref="E799">IF(B799="","",INDEX(helper!$F$3:$F3996,MOD(ROW()-2,COUNTA(helper!$D$3:$D3996))+1))</f>
        <v>11</v>
      </c>
      <c r="F799" s="3">
        <f>IF(B799="","",SUMIFS('inventory ledger'!$H:$H,'inventory ledger'!$C:$C,C799,'inventory ledger'!$D:$D,D799,'inventory ledger'!$E:$E,E799,'inventory ledger'!$A:$A,"&lt;="&amp;B799+TIME(23,59,59))-SUMIFS('inventory ledger'!$I:$I,'inventory ledger'!$C:$C,C799,'inventory ledger'!$D:$D,D799,'inventory ledger'!$E:$E,E799,'inventory ledger'!$A:$A,"&lt;="&amp;B799+TIME(23,59,59)))</f>
        <v>0</v>
      </c>
      <c r="G799" s="3">
        <f>IFERROR(__xludf.DUMMYFUNCTION("IF(F799&lt;=0,0,IFERROR(ROUNDUP(F799/INDEX(FILTER('warehouse config'!$D:$D,('warehouse config'!$B:$B=C799)*('warehouse config'!$C:$C=D799)*('warehouse config'!$G:$G&lt;=B799)*(('warehouse config'!$H:$H&gt;=B799)+ISBLANK('warehouse config'!$H:$H))),1)),0))"),0.0)</f>
        <v>0</v>
      </c>
      <c r="H799" s="3">
        <f>IFERROR(__xludf.DUMMYFUNCTION("IFERROR(INDEX(FILTER('cost master'!$E:$E,('cost master'!$B:$B=C799)*('cost master'!$D:$D=""Storage cost per pallet / week"")*('cost master'!$G:$G&lt;=B799)*(('cost master'!$H:$H&gt;=B799)+ISBLANK('cost master'!$H:$H))),1),0)"),3.9)</f>
        <v>3.9</v>
      </c>
      <c r="I799" s="3">
        <f t="shared" si="4"/>
        <v>0</v>
      </c>
      <c r="J799" s="27">
        <f t="shared" si="5"/>
        <v>45824</v>
      </c>
      <c r="K799" s="27">
        <f t="shared" si="6"/>
        <v>45853</v>
      </c>
    </row>
    <row r="800" hidden="1">
      <c r="A800" s="3" t="str">
        <f t="shared" si="3"/>
        <v>SL-20250616-FMC-CS 010-11</v>
      </c>
      <c r="B800" s="2">
        <f t="array" ref="B800">INDEX(helper!$A$3:$A3996,ROUNDUP((ROW()-1)/COUNTA(helper!$D$3:$D3996),0))</f>
        <v>45824</v>
      </c>
      <c r="C800" s="5" t="str">
        <f t="array" ref="C800">IF(B800="","",INDEX(helper!$D$3:$D3996,MOD(ROW()-2,COUNTA(helper!$D$3:$D3996))+1))</f>
        <v>FMC</v>
      </c>
      <c r="D800" s="3" t="str">
        <f t="array" ref="D800">IF(B800="","",INDEX(helper!$E$3:$E3996,MOD(ROW()-2,COUNTA(helper!$D$3:$D3996))+1))</f>
        <v>CS 010</v>
      </c>
      <c r="E800" s="3">
        <f t="array" ref="E800">IF(B800="","",INDEX(helper!$F$3:$F3996,MOD(ROW()-2,COUNTA(helper!$D$3:$D3996))+1))</f>
        <v>11</v>
      </c>
      <c r="F800" s="3">
        <f>IF(B800="","",SUMIFS('inventory ledger'!$H:$H,'inventory ledger'!$C:$C,C800,'inventory ledger'!$D:$D,D800,'inventory ledger'!$E:$E,E800,'inventory ledger'!$A:$A,"&lt;="&amp;B800+TIME(23,59,59))-SUMIFS('inventory ledger'!$I:$I,'inventory ledger'!$C:$C,C800,'inventory ledger'!$D:$D,D800,'inventory ledger'!$E:$E,E800,'inventory ledger'!$A:$A,"&lt;="&amp;B800+TIME(23,59,59)))</f>
        <v>6</v>
      </c>
      <c r="G800" s="3">
        <f>IFERROR(__xludf.DUMMYFUNCTION("IF(F800&lt;=0,0,IFERROR(ROUNDUP(F800/INDEX(FILTER('warehouse config'!$D:$D,('warehouse config'!$B:$B=C800)*('warehouse config'!$C:$C=D800)*('warehouse config'!$G:$G&lt;=B800)*(('warehouse config'!$H:$H&gt;=B800)+ISBLANK('warehouse config'!$H:$H))),1)),0))"),1.0)</f>
        <v>1</v>
      </c>
      <c r="H800" s="3">
        <f>IFERROR(__xludf.DUMMYFUNCTION("IFERROR(INDEX(FILTER('cost master'!$E:$E,('cost master'!$B:$B=C800)*('cost master'!$D:$D=""Storage cost per pallet / week"")*('cost master'!$G:$G&lt;=B800)*(('cost master'!$H:$H&gt;=B800)+ISBLANK('cost master'!$H:$H))),1),0)"),3.9)</f>
        <v>3.9</v>
      </c>
      <c r="I800" s="3">
        <f t="shared" si="4"/>
        <v>3.9</v>
      </c>
      <c r="J800" s="27">
        <f t="shared" si="5"/>
        <v>45824</v>
      </c>
      <c r="K800" s="27">
        <f t="shared" si="6"/>
        <v>45853</v>
      </c>
    </row>
    <row r="801" hidden="1">
      <c r="A801" s="3" t="str">
        <f t="shared" si="3"/>
        <v>SL-20250616-Vglobal-CS 007-12</v>
      </c>
      <c r="B801" s="2">
        <f t="array" ref="B801">INDEX(helper!$A$3:$A3996,ROUNDUP((ROW()-1)/COUNTA(helper!$D$3:$D3996),0))</f>
        <v>45824</v>
      </c>
      <c r="C801" s="5" t="str">
        <f t="array" ref="C801">IF(B801="","",INDEX(helper!$D$3:$D3996,MOD(ROW()-2,COUNTA(helper!$D$3:$D3996))+1))</f>
        <v>Vglobal</v>
      </c>
      <c r="D801" s="3" t="str">
        <f t="array" ref="D801">IF(B801="","",INDEX(helper!$E$3:$E3996,MOD(ROW()-2,COUNTA(helper!$D$3:$D3996))+1))</f>
        <v>CS 007</v>
      </c>
      <c r="E801" s="3">
        <f t="array" ref="E801">IF(B801="","",INDEX(helper!$F$3:$F3996,MOD(ROW()-2,COUNTA(helper!$D$3:$D3996))+1))</f>
        <v>12</v>
      </c>
      <c r="F801" s="3">
        <f>IF(B801="","",SUMIFS('inventory ledger'!$H:$H,'inventory ledger'!$C:$C,C801,'inventory ledger'!$D:$D,D801,'inventory ledger'!$E:$E,E801,'inventory ledger'!$A:$A,"&lt;="&amp;B801+TIME(23,59,59))-SUMIFS('inventory ledger'!$I:$I,'inventory ledger'!$C:$C,C801,'inventory ledger'!$D:$D,D801,'inventory ledger'!$E:$E,E801,'inventory ledger'!$A:$A,"&lt;="&amp;B801+TIME(23,59,59)))</f>
        <v>0</v>
      </c>
      <c r="G801" s="3">
        <f>IFERROR(__xludf.DUMMYFUNCTION("IF(F801&lt;=0,0,IFERROR(ROUNDUP(F801/INDEX(FILTER('warehouse config'!$D:$D,('warehouse config'!$B:$B=C801)*('warehouse config'!$C:$C=D801)*('warehouse config'!$G:$G&lt;=B801)*(('warehouse config'!$H:$H&gt;=B801)+ISBLANK('warehouse config'!$H:$H))),1)),0))"),0.0)</f>
        <v>0</v>
      </c>
      <c r="H801" s="3">
        <f>IFERROR(__xludf.DUMMYFUNCTION("IFERROR(INDEX(FILTER('cost master'!$E:$E,('cost master'!$B:$B=C801)*('cost master'!$D:$D=""Storage cost per pallet / week"")*('cost master'!$G:$G&lt;=B801)*(('cost master'!$H:$H&gt;=B801)+ISBLANK('cost master'!$H:$H))),1),0)"),2.6)</f>
        <v>2.6</v>
      </c>
      <c r="I801" s="3">
        <f t="shared" si="4"/>
        <v>0</v>
      </c>
      <c r="J801" s="27">
        <f t="shared" si="5"/>
        <v>45824</v>
      </c>
      <c r="K801" s="27">
        <f t="shared" si="6"/>
        <v>45853</v>
      </c>
    </row>
    <row r="802" hidden="1">
      <c r="A802" s="3" t="str">
        <f t="shared" si="3"/>
        <v>SL-20250616-Vglobal-CS 011-12</v>
      </c>
      <c r="B802" s="2">
        <f t="array" ref="B802">INDEX(helper!$A$3:$A3996,ROUNDUP((ROW()-1)/COUNTA(helper!$D$3:$D3996),0))</f>
        <v>45824</v>
      </c>
      <c r="C802" s="5" t="str">
        <f t="array" ref="C802">IF(B802="","",INDEX(helper!$D$3:$D3996,MOD(ROW()-2,COUNTA(helper!$D$3:$D3996))+1))</f>
        <v>Vglobal</v>
      </c>
      <c r="D802" s="3" t="str">
        <f t="array" ref="D802">IF(B802="","",INDEX(helper!$E$3:$E3996,MOD(ROW()-2,COUNTA(helper!$D$3:$D3996))+1))</f>
        <v>CS 011</v>
      </c>
      <c r="E802" s="3">
        <f t="array" ref="E802">IF(B802="","",INDEX(helper!$F$3:$F3996,MOD(ROW()-2,COUNTA(helper!$D$3:$D3996))+1))</f>
        <v>12</v>
      </c>
      <c r="F802" s="3">
        <f>IF(B802="","",SUMIFS('inventory ledger'!$H:$H,'inventory ledger'!$C:$C,C802,'inventory ledger'!$D:$D,D802,'inventory ledger'!$E:$E,E802,'inventory ledger'!$A:$A,"&lt;="&amp;B802+TIME(23,59,59))-SUMIFS('inventory ledger'!$I:$I,'inventory ledger'!$C:$C,C802,'inventory ledger'!$D:$D,D802,'inventory ledger'!$E:$E,E802,'inventory ledger'!$A:$A,"&lt;="&amp;B802+TIME(23,59,59)))</f>
        <v>0</v>
      </c>
      <c r="G802" s="3">
        <f>IFERROR(__xludf.DUMMYFUNCTION("IF(F802&lt;=0,0,IFERROR(ROUNDUP(F802/INDEX(FILTER('warehouse config'!$D:$D,('warehouse config'!$B:$B=C802)*('warehouse config'!$C:$C=D802)*('warehouse config'!$G:$G&lt;=B802)*(('warehouse config'!$H:$H&gt;=B802)+ISBLANK('warehouse config'!$H:$H))),1)),0))"),0.0)</f>
        <v>0</v>
      </c>
      <c r="H802" s="3">
        <f>IFERROR(__xludf.DUMMYFUNCTION("IFERROR(INDEX(FILTER('cost master'!$E:$E,('cost master'!$B:$B=C802)*('cost master'!$D:$D=""Storage cost per pallet / week"")*('cost master'!$G:$G&lt;=B802)*(('cost master'!$H:$H&gt;=B802)+ISBLANK('cost master'!$H:$H))),1),0)"),2.6)</f>
        <v>2.6</v>
      </c>
      <c r="I802" s="3">
        <f t="shared" si="4"/>
        <v>0</v>
      </c>
      <c r="J802" s="27">
        <f t="shared" si="5"/>
        <v>45824</v>
      </c>
      <c r="K802" s="27">
        <f t="shared" si="6"/>
        <v>45853</v>
      </c>
    </row>
    <row r="803" hidden="1">
      <c r="A803" s="3" t="str">
        <f t="shared" si="3"/>
        <v>SL-20250616-Vglobal-CS 008-12</v>
      </c>
      <c r="B803" s="2">
        <f t="array" ref="B803">INDEX(helper!$A$3:$A3996,ROUNDUP((ROW()-1)/COUNTA(helper!$D$3:$D3996),0))</f>
        <v>45824</v>
      </c>
      <c r="C803" s="5" t="str">
        <f t="array" ref="C803">IF(B803="","",INDEX(helper!$D$3:$D3996,MOD(ROW()-2,COUNTA(helper!$D$3:$D3996))+1))</f>
        <v>Vglobal</v>
      </c>
      <c r="D803" s="3" t="str">
        <f t="array" ref="D803">IF(B803="","",INDEX(helper!$E$3:$E3996,MOD(ROW()-2,COUNTA(helper!$D$3:$D3996))+1))</f>
        <v>CS 008</v>
      </c>
      <c r="E803" s="3">
        <f t="array" ref="E803">IF(B803="","",INDEX(helper!$F$3:$F3996,MOD(ROW()-2,COUNTA(helper!$D$3:$D3996))+1))</f>
        <v>12</v>
      </c>
      <c r="F803" s="3">
        <f>IF(B803="","",SUMIFS('inventory ledger'!$H:$H,'inventory ledger'!$C:$C,C803,'inventory ledger'!$D:$D,D803,'inventory ledger'!$E:$E,E803,'inventory ledger'!$A:$A,"&lt;="&amp;B803+TIME(23,59,59))-SUMIFS('inventory ledger'!$I:$I,'inventory ledger'!$C:$C,C803,'inventory ledger'!$D:$D,D803,'inventory ledger'!$E:$E,E803,'inventory ledger'!$A:$A,"&lt;="&amp;B803+TIME(23,59,59)))</f>
        <v>0</v>
      </c>
      <c r="G803" s="3">
        <f>IFERROR(__xludf.DUMMYFUNCTION("IF(F803&lt;=0,0,IFERROR(ROUNDUP(F803/INDEX(FILTER('warehouse config'!$D:$D,('warehouse config'!$B:$B=C803)*('warehouse config'!$C:$C=D803)*('warehouse config'!$G:$G&lt;=B803)*(('warehouse config'!$H:$H&gt;=B803)+ISBLANK('warehouse config'!$H:$H))),1)),0))"),0.0)</f>
        <v>0</v>
      </c>
      <c r="H803" s="3">
        <f>IFERROR(__xludf.DUMMYFUNCTION("IFERROR(INDEX(FILTER('cost master'!$E:$E,('cost master'!$B:$B=C803)*('cost master'!$D:$D=""Storage cost per pallet / week"")*('cost master'!$G:$G&lt;=B803)*(('cost master'!$H:$H&gt;=B803)+ISBLANK('cost master'!$H:$H))),1),0)"),2.6)</f>
        <v>2.6</v>
      </c>
      <c r="I803" s="3">
        <f t="shared" si="4"/>
        <v>0</v>
      </c>
      <c r="J803" s="27">
        <f t="shared" si="5"/>
        <v>45824</v>
      </c>
      <c r="K803" s="27">
        <f t="shared" si="6"/>
        <v>45853</v>
      </c>
    </row>
    <row r="804" hidden="1">
      <c r="A804" s="3" t="str">
        <f t="shared" si="3"/>
        <v>SL-20250616-Vglobal-CS 010-12</v>
      </c>
      <c r="B804" s="2">
        <f t="array" ref="B804">INDEX(helper!$A$3:$A3996,ROUNDUP((ROW()-1)/COUNTA(helper!$D$3:$D3996),0))</f>
        <v>45824</v>
      </c>
      <c r="C804" s="5" t="str">
        <f t="array" ref="C804">IF(B804="","",INDEX(helper!$D$3:$D3996,MOD(ROW()-2,COUNTA(helper!$D$3:$D3996))+1))</f>
        <v>Vglobal</v>
      </c>
      <c r="D804" s="3" t="str">
        <f t="array" ref="D804">IF(B804="","",INDEX(helper!$E$3:$E3996,MOD(ROW()-2,COUNTA(helper!$D$3:$D3996))+1))</f>
        <v>CS 010</v>
      </c>
      <c r="E804" s="3">
        <f t="array" ref="E804">IF(B804="","",INDEX(helper!$F$3:$F3996,MOD(ROW()-2,COUNTA(helper!$D$3:$D3996))+1))</f>
        <v>12</v>
      </c>
      <c r="F804" s="3">
        <f>IF(B804="","",SUMIFS('inventory ledger'!$H:$H,'inventory ledger'!$C:$C,C804,'inventory ledger'!$D:$D,D804,'inventory ledger'!$E:$E,E804,'inventory ledger'!$A:$A,"&lt;="&amp;B804+TIME(23,59,59))-SUMIFS('inventory ledger'!$I:$I,'inventory ledger'!$C:$C,C804,'inventory ledger'!$D:$D,D804,'inventory ledger'!$E:$E,E804,'inventory ledger'!$A:$A,"&lt;="&amp;B804+TIME(23,59,59)))</f>
        <v>70</v>
      </c>
      <c r="G804" s="3">
        <f>IFERROR(__xludf.DUMMYFUNCTION("IF(F804&lt;=0,0,IFERROR(ROUNDUP(F804/INDEX(FILTER('warehouse config'!$D:$D,('warehouse config'!$B:$B=C804)*('warehouse config'!$C:$C=D804)*('warehouse config'!$G:$G&lt;=B804)*(('warehouse config'!$H:$H&gt;=B804)+ISBLANK('warehouse config'!$H:$H))),1)),0))"),3.0)</f>
        <v>3</v>
      </c>
      <c r="H804" s="3">
        <f>IFERROR(__xludf.DUMMYFUNCTION("IFERROR(INDEX(FILTER('cost master'!$E:$E,('cost master'!$B:$B=C804)*('cost master'!$D:$D=""Storage cost per pallet / week"")*('cost master'!$G:$G&lt;=B804)*(('cost master'!$H:$H&gt;=B804)+ISBLANK('cost master'!$H:$H))),1),0)"),2.6)</f>
        <v>2.6</v>
      </c>
      <c r="I804" s="3">
        <f t="shared" si="4"/>
        <v>7.8</v>
      </c>
      <c r="J804" s="27">
        <f t="shared" si="5"/>
        <v>45824</v>
      </c>
      <c r="K804" s="27">
        <f t="shared" si="6"/>
        <v>45853</v>
      </c>
    </row>
    <row r="805" hidden="1">
      <c r="A805" s="3" t="str">
        <f t="shared" si="3"/>
        <v>SL-20250616-Vglobal-CS 009-12</v>
      </c>
      <c r="B805" s="2">
        <f t="array" ref="B805">INDEX(helper!$A$3:$A3996,ROUNDUP((ROW()-1)/COUNTA(helper!$D$3:$D3996),0))</f>
        <v>45824</v>
      </c>
      <c r="C805" s="5" t="str">
        <f t="array" ref="C805">IF(B805="","",INDEX(helper!$D$3:$D3996,MOD(ROW()-2,COUNTA(helper!$D$3:$D3996))+1))</f>
        <v>Vglobal</v>
      </c>
      <c r="D805" s="3" t="str">
        <f t="array" ref="D805">IF(B805="","",INDEX(helper!$E$3:$E3996,MOD(ROW()-2,COUNTA(helper!$D$3:$D3996))+1))</f>
        <v>CS 009</v>
      </c>
      <c r="E805" s="3">
        <f t="array" ref="E805">IF(B805="","",INDEX(helper!$F$3:$F3996,MOD(ROW()-2,COUNTA(helper!$D$3:$D3996))+1))</f>
        <v>12</v>
      </c>
      <c r="F805" s="3">
        <f>IF(B805="","",SUMIFS('inventory ledger'!$H:$H,'inventory ledger'!$C:$C,C805,'inventory ledger'!$D:$D,D805,'inventory ledger'!$E:$E,E805,'inventory ledger'!$A:$A,"&lt;="&amp;B805+TIME(23,59,59))-SUMIFS('inventory ledger'!$I:$I,'inventory ledger'!$C:$C,C805,'inventory ledger'!$D:$D,D805,'inventory ledger'!$E:$E,E805,'inventory ledger'!$A:$A,"&lt;="&amp;B805+TIME(23,59,59)))</f>
        <v>0</v>
      </c>
      <c r="G805" s="3">
        <f>IFERROR(__xludf.DUMMYFUNCTION("IF(F805&lt;=0,0,IFERROR(ROUNDUP(F805/INDEX(FILTER('warehouse config'!$D:$D,('warehouse config'!$B:$B=C805)*('warehouse config'!$C:$C=D805)*('warehouse config'!$G:$G&lt;=B805)*(('warehouse config'!$H:$H&gt;=B805)+ISBLANK('warehouse config'!$H:$H))),1)),0))"),0.0)</f>
        <v>0</v>
      </c>
      <c r="H805" s="3">
        <f>IFERROR(__xludf.DUMMYFUNCTION("IFERROR(INDEX(FILTER('cost master'!$E:$E,('cost master'!$B:$B=C805)*('cost master'!$D:$D=""Storage cost per pallet / week"")*('cost master'!$G:$G&lt;=B805)*(('cost master'!$H:$H&gt;=B805)+ISBLANK('cost master'!$H:$H))),1),0)"),2.6)</f>
        <v>2.6</v>
      </c>
      <c r="I805" s="3">
        <f t="shared" si="4"/>
        <v>0</v>
      </c>
      <c r="J805" s="27">
        <f t="shared" si="5"/>
        <v>45824</v>
      </c>
      <c r="K805" s="27">
        <f t="shared" si="6"/>
        <v>45853</v>
      </c>
    </row>
    <row r="806" hidden="1">
      <c r="A806" s="3" t="str">
        <f t="shared" si="3"/>
        <v>SL-20250616-Vglobal-CS 012-12</v>
      </c>
      <c r="B806" s="2">
        <f t="array" ref="B806">INDEX(helper!$A$3:$A3996,ROUNDUP((ROW()-1)/COUNTA(helper!$D$3:$D3996),0))</f>
        <v>45824</v>
      </c>
      <c r="C806" s="5" t="str">
        <f t="array" ref="C806">IF(B806="","",INDEX(helper!$D$3:$D3996,MOD(ROW()-2,COUNTA(helper!$D$3:$D3996))+1))</f>
        <v>Vglobal</v>
      </c>
      <c r="D806" s="3" t="str">
        <f t="array" ref="D806">IF(B806="","",INDEX(helper!$E$3:$E3996,MOD(ROW()-2,COUNTA(helper!$D$3:$D3996))+1))</f>
        <v>CS 012</v>
      </c>
      <c r="E806" s="3">
        <f t="array" ref="E806">IF(B806="","",INDEX(helper!$F$3:$F3996,MOD(ROW()-2,COUNTA(helper!$D$3:$D3996))+1))</f>
        <v>12</v>
      </c>
      <c r="F806" s="3">
        <f>IF(B806="","",SUMIFS('inventory ledger'!$H:$H,'inventory ledger'!$C:$C,C806,'inventory ledger'!$D:$D,D806,'inventory ledger'!$E:$E,E806,'inventory ledger'!$A:$A,"&lt;="&amp;B806+TIME(23,59,59))-SUMIFS('inventory ledger'!$I:$I,'inventory ledger'!$C:$C,C806,'inventory ledger'!$D:$D,D806,'inventory ledger'!$E:$E,E806,'inventory ledger'!$A:$A,"&lt;="&amp;B806+TIME(23,59,59)))</f>
        <v>0</v>
      </c>
      <c r="G806" s="3">
        <f>IFERROR(__xludf.DUMMYFUNCTION("IF(F806&lt;=0,0,IFERROR(ROUNDUP(F806/INDEX(FILTER('warehouse config'!$D:$D,('warehouse config'!$B:$B=C806)*('warehouse config'!$C:$C=D806)*('warehouse config'!$G:$G&lt;=B806)*(('warehouse config'!$H:$H&gt;=B806)+ISBLANK('warehouse config'!$H:$H))),1)),0))"),0.0)</f>
        <v>0</v>
      </c>
      <c r="H806" s="3">
        <f>IFERROR(__xludf.DUMMYFUNCTION("IFERROR(INDEX(FILTER('cost master'!$E:$E,('cost master'!$B:$B=C806)*('cost master'!$D:$D=""Storage cost per pallet / week"")*('cost master'!$G:$G&lt;=B806)*(('cost master'!$H:$H&gt;=B806)+ISBLANK('cost master'!$H:$H))),1),0)"),2.6)</f>
        <v>2.6</v>
      </c>
      <c r="I806" s="3">
        <f t="shared" si="4"/>
        <v>0</v>
      </c>
      <c r="J806" s="27">
        <f t="shared" si="5"/>
        <v>45824</v>
      </c>
      <c r="K806" s="27">
        <f t="shared" si="6"/>
        <v>45853</v>
      </c>
    </row>
    <row r="807" hidden="1">
      <c r="A807" s="3" t="str">
        <f t="shared" si="3"/>
        <v>SL-20250616-Vglobal-CS-CDS-001-3</v>
      </c>
      <c r="B807" s="2">
        <f t="array" ref="B807">INDEX(helper!$A$3:$A3996,ROUNDUP((ROW()-1)/COUNTA(helper!$D$3:$D3996),0))</f>
        <v>45824</v>
      </c>
      <c r="C807" s="5" t="str">
        <f t="array" ref="C807">IF(B807="","",INDEX(helper!$D$3:$D3996,MOD(ROW()-2,COUNTA(helper!$D$3:$D3996))+1))</f>
        <v>Vglobal</v>
      </c>
      <c r="D807" s="3" t="str">
        <f t="array" ref="D807">IF(B807="","",INDEX(helper!$E$3:$E3996,MOD(ROW()-2,COUNTA(helper!$D$3:$D3996))+1))</f>
        <v>CS-CDS-001</v>
      </c>
      <c r="E807" s="3">
        <f t="array" ref="E807">IF(B807="","",INDEX(helper!$F$3:$F3996,MOD(ROW()-2,COUNTA(helper!$D$3:$D3996))+1))</f>
        <v>3</v>
      </c>
      <c r="F807" s="3">
        <f>IF(B807="","",SUMIFS('inventory ledger'!$H:$H,'inventory ledger'!$C:$C,C807,'inventory ledger'!$D:$D,D807,'inventory ledger'!$E:$E,E807,'inventory ledger'!$A:$A,"&lt;="&amp;B807+TIME(23,59,59))-SUMIFS('inventory ledger'!$I:$I,'inventory ledger'!$C:$C,C807,'inventory ledger'!$D:$D,D807,'inventory ledger'!$E:$E,E807,'inventory ledger'!$A:$A,"&lt;="&amp;B807+TIME(23,59,59)))</f>
        <v>1</v>
      </c>
      <c r="G807" s="3">
        <f>IFERROR(__xludf.DUMMYFUNCTION("IF(F807&lt;=0,0,IFERROR(ROUNDUP(F807/INDEX(FILTER('warehouse config'!$D:$D,('warehouse config'!$B:$B=C807)*('warehouse config'!$C:$C=D807)*('warehouse config'!$G:$G&lt;=B807)*(('warehouse config'!$H:$H&gt;=B807)+ISBLANK('warehouse config'!$H:$H))),1)),0))"),1.0)</f>
        <v>1</v>
      </c>
      <c r="H807" s="3">
        <f>IFERROR(__xludf.DUMMYFUNCTION("IFERROR(INDEX(FILTER('cost master'!$E:$E,('cost master'!$B:$B=C807)*('cost master'!$D:$D=""Storage cost per pallet / week"")*('cost master'!$G:$G&lt;=B807)*(('cost master'!$H:$H&gt;=B807)+ISBLANK('cost master'!$H:$H))),1),0)"),2.6)</f>
        <v>2.6</v>
      </c>
      <c r="I807" s="3">
        <f t="shared" si="4"/>
        <v>2.6</v>
      </c>
      <c r="J807" s="27">
        <f t="shared" si="5"/>
        <v>45824</v>
      </c>
      <c r="K807" s="27">
        <f t="shared" si="6"/>
        <v>45853</v>
      </c>
    </row>
    <row r="808" hidden="1">
      <c r="A808" s="3" t="str">
        <f t="shared" si="3"/>
        <v>SL-20250616-Vglobal-CS-CDS-002-3</v>
      </c>
      <c r="B808" s="2">
        <f t="array" ref="B808">INDEX(helper!$A$3:$A3996,ROUNDUP((ROW()-1)/COUNTA(helper!$D$3:$D3996),0))</f>
        <v>45824</v>
      </c>
      <c r="C808" s="5" t="str">
        <f t="array" ref="C808">IF(B808="","",INDEX(helper!$D$3:$D3996,MOD(ROW()-2,COUNTA(helper!$D$3:$D3996))+1))</f>
        <v>Vglobal</v>
      </c>
      <c r="D808" s="3" t="str">
        <f t="array" ref="D808">IF(B808="","",INDEX(helper!$E$3:$E3996,MOD(ROW()-2,COUNTA(helper!$D$3:$D3996))+1))</f>
        <v>CS-CDS-002</v>
      </c>
      <c r="E808" s="3">
        <f t="array" ref="E808">IF(B808="","",INDEX(helper!$F$3:$F3996,MOD(ROW()-2,COUNTA(helper!$D$3:$D3996))+1))</f>
        <v>3</v>
      </c>
      <c r="F808" s="3">
        <f>IF(B808="","",SUMIFS('inventory ledger'!$H:$H,'inventory ledger'!$C:$C,C808,'inventory ledger'!$D:$D,D808,'inventory ledger'!$E:$E,E808,'inventory ledger'!$A:$A,"&lt;="&amp;B808+TIME(23,59,59))-SUMIFS('inventory ledger'!$I:$I,'inventory ledger'!$C:$C,C808,'inventory ledger'!$D:$D,D808,'inventory ledger'!$E:$E,E808,'inventory ledger'!$A:$A,"&lt;="&amp;B808+TIME(23,59,59)))</f>
        <v>0</v>
      </c>
      <c r="G808" s="3">
        <f>IFERROR(__xludf.DUMMYFUNCTION("IF(F808&lt;=0,0,IFERROR(ROUNDUP(F808/INDEX(FILTER('warehouse config'!$D:$D,('warehouse config'!$B:$B=C808)*('warehouse config'!$C:$C=D808)*('warehouse config'!$G:$G&lt;=B808)*(('warehouse config'!$H:$H&gt;=B808)+ISBLANK('warehouse config'!$H:$H))),1)),0))"),0.0)</f>
        <v>0</v>
      </c>
      <c r="H808" s="3">
        <f>IFERROR(__xludf.DUMMYFUNCTION("IFERROR(INDEX(FILTER('cost master'!$E:$E,('cost master'!$B:$B=C808)*('cost master'!$D:$D=""Storage cost per pallet / week"")*('cost master'!$G:$G&lt;=B808)*(('cost master'!$H:$H&gt;=B808)+ISBLANK('cost master'!$H:$H))),1),0)"),2.6)</f>
        <v>2.6</v>
      </c>
      <c r="I808" s="3">
        <f t="shared" si="4"/>
        <v>0</v>
      </c>
      <c r="J808" s="27">
        <f t="shared" si="5"/>
        <v>45824</v>
      </c>
      <c r="K808" s="27">
        <f t="shared" si="6"/>
        <v>45853</v>
      </c>
    </row>
    <row r="809" hidden="1">
      <c r="A809" s="3" t="str">
        <f t="shared" si="3"/>
        <v>SL-20250616-4as-CS-CDS-001-4</v>
      </c>
      <c r="B809" s="2">
        <f t="array" ref="B809">INDEX(helper!$A$3:$A3996,ROUNDUP((ROW()-1)/COUNTA(helper!$D$3:$D3996),0))</f>
        <v>45824</v>
      </c>
      <c r="C809" s="5" t="str">
        <f t="array" ref="C809">IF(B809="","",INDEX(helper!$D$3:$D3996,MOD(ROW()-2,COUNTA(helper!$D$3:$D3996))+1))</f>
        <v>4as</v>
      </c>
      <c r="D809" s="3" t="str">
        <f t="array" ref="D809">IF(B809="","",INDEX(helper!$E$3:$E3996,MOD(ROW()-2,COUNTA(helper!$D$3:$D3996))+1))</f>
        <v>CS-CDS-001</v>
      </c>
      <c r="E809" s="3">
        <f t="array" ref="E809">IF(B809="","",INDEX(helper!$F$3:$F3996,MOD(ROW()-2,COUNTA(helper!$D$3:$D3996))+1))</f>
        <v>4</v>
      </c>
      <c r="F809" s="3">
        <f>IF(B809="","",SUMIFS('inventory ledger'!$H:$H,'inventory ledger'!$C:$C,C809,'inventory ledger'!$D:$D,D809,'inventory ledger'!$E:$E,E809,'inventory ledger'!$A:$A,"&lt;="&amp;B809+TIME(23,59,59))-SUMIFS('inventory ledger'!$I:$I,'inventory ledger'!$C:$C,C809,'inventory ledger'!$D:$D,D809,'inventory ledger'!$E:$E,E809,'inventory ledger'!$A:$A,"&lt;="&amp;B809+TIME(23,59,59)))</f>
        <v>0</v>
      </c>
      <c r="G809" s="3">
        <f>IFERROR(__xludf.DUMMYFUNCTION("IF(F809&lt;=0,0,IFERROR(ROUNDUP(F809/INDEX(FILTER('warehouse config'!$D:$D,('warehouse config'!$B:$B=C809)*('warehouse config'!$C:$C=D809)*('warehouse config'!$G:$G&lt;=B809)*(('warehouse config'!$H:$H&gt;=B809)+ISBLANK('warehouse config'!$H:$H))),1)),0))"),0.0)</f>
        <v>0</v>
      </c>
      <c r="H809" s="3">
        <f>IFERROR(__xludf.DUMMYFUNCTION("IFERROR(INDEX(FILTER('cost master'!$E:$E,('cost master'!$B:$B=C809)*('cost master'!$D:$D=""Storage cost per pallet / week"")*('cost master'!$G:$G&lt;=B809)*(('cost master'!$H:$H&gt;=B809)+ISBLANK('cost master'!$H:$H))),1),0)"),9.0)</f>
        <v>9</v>
      </c>
      <c r="I809" s="3">
        <f t="shared" si="4"/>
        <v>0</v>
      </c>
      <c r="J809" s="27">
        <f t="shared" si="5"/>
        <v>45824</v>
      </c>
      <c r="K809" s="27">
        <f t="shared" si="6"/>
        <v>45853</v>
      </c>
    </row>
    <row r="810" hidden="1">
      <c r="A810" s="3" t="str">
        <f t="shared" si="3"/>
        <v>SL-20250616-4as-CS-CDS-002-4</v>
      </c>
      <c r="B810" s="2">
        <f t="array" ref="B810">INDEX(helper!$A$3:$A3996,ROUNDUP((ROW()-1)/COUNTA(helper!$D$3:$D3996),0))</f>
        <v>45824</v>
      </c>
      <c r="C810" s="5" t="str">
        <f t="array" ref="C810">IF(B810="","",INDEX(helper!$D$3:$D3996,MOD(ROW()-2,COUNTA(helper!$D$3:$D3996))+1))</f>
        <v>4as</v>
      </c>
      <c r="D810" s="3" t="str">
        <f t="array" ref="D810">IF(B810="","",INDEX(helper!$E$3:$E3996,MOD(ROW()-2,COUNTA(helper!$D$3:$D3996))+1))</f>
        <v>CS-CDS-002</v>
      </c>
      <c r="E810" s="3">
        <f t="array" ref="E810">IF(B810="","",INDEX(helper!$F$3:$F3996,MOD(ROW()-2,COUNTA(helper!$D$3:$D3996))+1))</f>
        <v>4</v>
      </c>
      <c r="F810" s="3">
        <f>IF(B810="","",SUMIFS('inventory ledger'!$H:$H,'inventory ledger'!$C:$C,C810,'inventory ledger'!$D:$D,D810,'inventory ledger'!$E:$E,E810,'inventory ledger'!$A:$A,"&lt;="&amp;B810+TIME(23,59,59))-SUMIFS('inventory ledger'!$I:$I,'inventory ledger'!$C:$C,C810,'inventory ledger'!$D:$D,D810,'inventory ledger'!$E:$E,E810,'inventory ledger'!$A:$A,"&lt;="&amp;B810+TIME(23,59,59)))</f>
        <v>0</v>
      </c>
      <c r="G810" s="3">
        <f>IFERROR(__xludf.DUMMYFUNCTION("IF(F810&lt;=0,0,IFERROR(ROUNDUP(F810/INDEX(FILTER('warehouse config'!$D:$D,('warehouse config'!$B:$B=C810)*('warehouse config'!$C:$C=D810)*('warehouse config'!$G:$G&lt;=B810)*(('warehouse config'!$H:$H&gt;=B810)+ISBLANK('warehouse config'!$H:$H))),1)),0))"),0.0)</f>
        <v>0</v>
      </c>
      <c r="H810" s="3">
        <f>IFERROR(__xludf.DUMMYFUNCTION("IFERROR(INDEX(FILTER('cost master'!$E:$E,('cost master'!$B:$B=C810)*('cost master'!$D:$D=""Storage cost per pallet / week"")*('cost master'!$G:$G&lt;=B810)*(('cost master'!$H:$H&gt;=B810)+ISBLANK('cost master'!$H:$H))),1),0)"),9.0)</f>
        <v>9</v>
      </c>
      <c r="I810" s="3">
        <f t="shared" si="4"/>
        <v>0</v>
      </c>
      <c r="J810" s="27">
        <f t="shared" si="5"/>
        <v>45824</v>
      </c>
      <c r="K810" s="27">
        <f t="shared" si="6"/>
        <v>45853</v>
      </c>
    </row>
    <row r="811" hidden="1">
      <c r="A811" s="3" t="str">
        <f t="shared" si="3"/>
        <v>SL-20250616-Vglobal-CS 007-13</v>
      </c>
      <c r="B811" s="2">
        <f t="array" ref="B811">INDEX(helper!$A$3:$A3996,ROUNDUP((ROW()-1)/COUNTA(helper!$D$3:$D3996),0))</f>
        <v>45824</v>
      </c>
      <c r="C811" s="5" t="str">
        <f t="array" ref="C811">IF(B811="","",INDEX(helper!$D$3:$D3996,MOD(ROW()-2,COUNTA(helper!$D$3:$D3996))+1))</f>
        <v>Vglobal</v>
      </c>
      <c r="D811" s="3" t="str">
        <f t="array" ref="D811">IF(B811="","",INDEX(helper!$E$3:$E3996,MOD(ROW()-2,COUNTA(helper!$D$3:$D3996))+1))</f>
        <v>CS 007</v>
      </c>
      <c r="E811" s="3">
        <f t="array" ref="E811">IF(B811="","",INDEX(helper!$F$3:$F3996,MOD(ROW()-2,COUNTA(helper!$D$3:$D3996))+1))</f>
        <v>13</v>
      </c>
      <c r="F811" s="3">
        <f>IF(B811="","",SUMIFS('inventory ledger'!$H:$H,'inventory ledger'!$C:$C,C811,'inventory ledger'!$D:$D,D811,'inventory ledger'!$E:$E,E811,'inventory ledger'!$A:$A,"&lt;="&amp;B811+TIME(23,59,59))-SUMIFS('inventory ledger'!$I:$I,'inventory ledger'!$C:$C,C811,'inventory ledger'!$D:$D,D811,'inventory ledger'!$E:$E,E811,'inventory ledger'!$A:$A,"&lt;="&amp;B811+TIME(23,59,59)))</f>
        <v>45</v>
      </c>
      <c r="G811" s="3">
        <f>IFERROR(__xludf.DUMMYFUNCTION("IF(F811&lt;=0,0,IFERROR(ROUNDUP(F811/INDEX(FILTER('warehouse config'!$D:$D,('warehouse config'!$B:$B=C811)*('warehouse config'!$C:$C=D811)*('warehouse config'!$G:$G&lt;=B811)*(('warehouse config'!$H:$H&gt;=B811)+ISBLANK('warehouse config'!$H:$H))),1)),0))"),3.0)</f>
        <v>3</v>
      </c>
      <c r="H811" s="3">
        <f>IFERROR(__xludf.DUMMYFUNCTION("IFERROR(INDEX(FILTER('cost master'!$E:$E,('cost master'!$B:$B=C811)*('cost master'!$D:$D=""Storage cost per pallet / week"")*('cost master'!$G:$G&lt;=B811)*(('cost master'!$H:$H&gt;=B811)+ISBLANK('cost master'!$H:$H))),1),0)"),2.6)</f>
        <v>2.6</v>
      </c>
      <c r="I811" s="3">
        <f t="shared" si="4"/>
        <v>7.8</v>
      </c>
      <c r="J811" s="27">
        <f t="shared" si="5"/>
        <v>45824</v>
      </c>
      <c r="K811" s="27">
        <f t="shared" si="6"/>
        <v>45853</v>
      </c>
    </row>
    <row r="812" hidden="1">
      <c r="A812" s="3" t="str">
        <f t="shared" si="3"/>
        <v>SL-20250616-Vglobal-CS 011-13</v>
      </c>
      <c r="B812" s="2">
        <f t="array" ref="B812">INDEX(helper!$A$3:$A3996,ROUNDUP((ROW()-1)/COUNTA(helper!$D$3:$D3996),0))</f>
        <v>45824</v>
      </c>
      <c r="C812" s="5" t="str">
        <f t="array" ref="C812">IF(B812="","",INDEX(helper!$D$3:$D3996,MOD(ROW()-2,COUNTA(helper!$D$3:$D3996))+1))</f>
        <v>Vglobal</v>
      </c>
      <c r="D812" s="3" t="str">
        <f t="array" ref="D812">IF(B812="","",INDEX(helper!$E$3:$E3996,MOD(ROW()-2,COUNTA(helper!$D$3:$D3996))+1))</f>
        <v>CS 011</v>
      </c>
      <c r="E812" s="3">
        <f t="array" ref="E812">IF(B812="","",INDEX(helper!$F$3:$F3996,MOD(ROW()-2,COUNTA(helper!$D$3:$D3996))+1))</f>
        <v>13</v>
      </c>
      <c r="F812" s="3">
        <f>IF(B812="","",SUMIFS('inventory ledger'!$H:$H,'inventory ledger'!$C:$C,C812,'inventory ledger'!$D:$D,D812,'inventory ledger'!$E:$E,E812,'inventory ledger'!$A:$A,"&lt;="&amp;B812+TIME(23,59,59))-SUMIFS('inventory ledger'!$I:$I,'inventory ledger'!$C:$C,C812,'inventory ledger'!$D:$D,D812,'inventory ledger'!$E:$E,E812,'inventory ledger'!$A:$A,"&lt;="&amp;B812+TIME(23,59,59)))</f>
        <v>0</v>
      </c>
      <c r="G812" s="3">
        <f>IFERROR(__xludf.DUMMYFUNCTION("IF(F812&lt;=0,0,IFERROR(ROUNDUP(F812/INDEX(FILTER('warehouse config'!$D:$D,('warehouse config'!$B:$B=C812)*('warehouse config'!$C:$C=D812)*('warehouse config'!$G:$G&lt;=B812)*(('warehouse config'!$H:$H&gt;=B812)+ISBLANK('warehouse config'!$H:$H))),1)),0))"),0.0)</f>
        <v>0</v>
      </c>
      <c r="H812" s="3">
        <f>IFERROR(__xludf.DUMMYFUNCTION("IFERROR(INDEX(FILTER('cost master'!$E:$E,('cost master'!$B:$B=C812)*('cost master'!$D:$D=""Storage cost per pallet / week"")*('cost master'!$G:$G&lt;=B812)*(('cost master'!$H:$H&gt;=B812)+ISBLANK('cost master'!$H:$H))),1),0)"),2.6)</f>
        <v>2.6</v>
      </c>
      <c r="I812" s="3">
        <f t="shared" si="4"/>
        <v>0</v>
      </c>
      <c r="J812" s="27">
        <f t="shared" si="5"/>
        <v>45824</v>
      </c>
      <c r="K812" s="27">
        <f t="shared" si="6"/>
        <v>45853</v>
      </c>
    </row>
    <row r="813" hidden="1">
      <c r="A813" s="3" t="str">
        <f t="shared" si="3"/>
        <v>SL-20250616-Vglobal-CS 008-13</v>
      </c>
      <c r="B813" s="2">
        <f t="array" ref="B813">INDEX(helper!$A$3:$A3996,ROUNDUP((ROW()-1)/COUNTA(helper!$D$3:$D3996),0))</f>
        <v>45824</v>
      </c>
      <c r="C813" s="5" t="str">
        <f t="array" ref="C813">IF(B813="","",INDEX(helper!$D$3:$D3996,MOD(ROW()-2,COUNTA(helper!$D$3:$D3996))+1))</f>
        <v>Vglobal</v>
      </c>
      <c r="D813" s="3" t="str">
        <f t="array" ref="D813">IF(B813="","",INDEX(helper!$E$3:$E3996,MOD(ROW()-2,COUNTA(helper!$D$3:$D3996))+1))</f>
        <v>CS 008</v>
      </c>
      <c r="E813" s="3">
        <f t="array" ref="E813">IF(B813="","",INDEX(helper!$F$3:$F3996,MOD(ROW()-2,COUNTA(helper!$D$3:$D3996))+1))</f>
        <v>13</v>
      </c>
      <c r="F813" s="3">
        <f>IF(B813="","",SUMIFS('inventory ledger'!$H:$H,'inventory ledger'!$C:$C,C813,'inventory ledger'!$D:$D,D813,'inventory ledger'!$E:$E,E813,'inventory ledger'!$A:$A,"&lt;="&amp;B813+TIME(23,59,59))-SUMIFS('inventory ledger'!$I:$I,'inventory ledger'!$C:$C,C813,'inventory ledger'!$D:$D,D813,'inventory ledger'!$E:$E,E813,'inventory ledger'!$A:$A,"&lt;="&amp;B813+TIME(23,59,59)))</f>
        <v>20</v>
      </c>
      <c r="G813" s="3">
        <f>IFERROR(__xludf.DUMMYFUNCTION("IF(F813&lt;=0,0,IFERROR(ROUNDUP(F813/INDEX(FILTER('warehouse config'!$D:$D,('warehouse config'!$B:$B=C813)*('warehouse config'!$C:$C=D813)*('warehouse config'!$G:$G&lt;=B813)*(('warehouse config'!$H:$H&gt;=B813)+ISBLANK('warehouse config'!$H:$H))),1)),0))"),1.0)</f>
        <v>1</v>
      </c>
      <c r="H813" s="3">
        <f>IFERROR(__xludf.DUMMYFUNCTION("IFERROR(INDEX(FILTER('cost master'!$E:$E,('cost master'!$B:$B=C813)*('cost master'!$D:$D=""Storage cost per pallet / week"")*('cost master'!$G:$G&lt;=B813)*(('cost master'!$H:$H&gt;=B813)+ISBLANK('cost master'!$H:$H))),1),0)"),2.6)</f>
        <v>2.6</v>
      </c>
      <c r="I813" s="3">
        <f t="shared" si="4"/>
        <v>2.6</v>
      </c>
      <c r="J813" s="27">
        <f t="shared" si="5"/>
        <v>45824</v>
      </c>
      <c r="K813" s="27">
        <f t="shared" si="6"/>
        <v>45853</v>
      </c>
    </row>
    <row r="814" hidden="1">
      <c r="A814" s="3" t="str">
        <f t="shared" si="3"/>
        <v>SL-20250616-Vglobal-CS 010-13</v>
      </c>
      <c r="B814" s="2">
        <f t="array" ref="B814">INDEX(helper!$A$3:$A3996,ROUNDUP((ROW()-1)/COUNTA(helper!$D$3:$D3996),0))</f>
        <v>45824</v>
      </c>
      <c r="C814" s="5" t="str">
        <f t="array" ref="C814">IF(B814="","",INDEX(helper!$D$3:$D3996,MOD(ROW()-2,COUNTA(helper!$D$3:$D3996))+1))</f>
        <v>Vglobal</v>
      </c>
      <c r="D814" s="3" t="str">
        <f t="array" ref="D814">IF(B814="","",INDEX(helper!$E$3:$E3996,MOD(ROW()-2,COUNTA(helper!$D$3:$D3996))+1))</f>
        <v>CS 010</v>
      </c>
      <c r="E814" s="3">
        <f t="array" ref="E814">IF(B814="","",INDEX(helper!$F$3:$F3996,MOD(ROW()-2,COUNTA(helper!$D$3:$D3996))+1))</f>
        <v>13</v>
      </c>
      <c r="F814" s="3">
        <f>IF(B814="","",SUMIFS('inventory ledger'!$H:$H,'inventory ledger'!$C:$C,C814,'inventory ledger'!$D:$D,D814,'inventory ledger'!$E:$E,E814,'inventory ledger'!$A:$A,"&lt;="&amp;B814+TIME(23,59,59))-SUMIFS('inventory ledger'!$I:$I,'inventory ledger'!$C:$C,C814,'inventory ledger'!$D:$D,D814,'inventory ledger'!$E:$E,E814,'inventory ledger'!$A:$A,"&lt;="&amp;B814+TIME(23,59,59)))</f>
        <v>80</v>
      </c>
      <c r="G814" s="3">
        <f>IFERROR(__xludf.DUMMYFUNCTION("IF(F814&lt;=0,0,IFERROR(ROUNDUP(F814/INDEX(FILTER('warehouse config'!$D:$D,('warehouse config'!$B:$B=C814)*('warehouse config'!$C:$C=D814)*('warehouse config'!$G:$G&lt;=B814)*(('warehouse config'!$H:$H&gt;=B814)+ISBLANK('warehouse config'!$H:$H))),1)),0))"),4.0)</f>
        <v>4</v>
      </c>
      <c r="H814" s="3">
        <f>IFERROR(__xludf.DUMMYFUNCTION("IFERROR(INDEX(FILTER('cost master'!$E:$E,('cost master'!$B:$B=C814)*('cost master'!$D:$D=""Storage cost per pallet / week"")*('cost master'!$G:$G&lt;=B814)*(('cost master'!$H:$H&gt;=B814)+ISBLANK('cost master'!$H:$H))),1),0)"),2.6)</f>
        <v>2.6</v>
      </c>
      <c r="I814" s="3">
        <f t="shared" si="4"/>
        <v>10.4</v>
      </c>
      <c r="J814" s="27">
        <f t="shared" si="5"/>
        <v>45824</v>
      </c>
      <c r="K814" s="27">
        <f t="shared" si="6"/>
        <v>45853</v>
      </c>
    </row>
    <row r="815" hidden="1">
      <c r="A815" s="3" t="str">
        <f t="shared" si="3"/>
        <v>SL-20250616-Vglobal-CS 009-13</v>
      </c>
      <c r="B815" s="2">
        <f t="array" ref="B815">INDEX(helper!$A$3:$A3996,ROUNDUP((ROW()-1)/COUNTA(helper!$D$3:$D3996),0))</f>
        <v>45824</v>
      </c>
      <c r="C815" s="5" t="str">
        <f t="array" ref="C815">IF(B815="","",INDEX(helper!$D$3:$D3996,MOD(ROW()-2,COUNTA(helper!$D$3:$D3996))+1))</f>
        <v>Vglobal</v>
      </c>
      <c r="D815" s="3" t="str">
        <f t="array" ref="D815">IF(B815="","",INDEX(helper!$E$3:$E3996,MOD(ROW()-2,COUNTA(helper!$D$3:$D3996))+1))</f>
        <v>CS 009</v>
      </c>
      <c r="E815" s="3">
        <f t="array" ref="E815">IF(B815="","",INDEX(helper!$F$3:$F3996,MOD(ROW()-2,COUNTA(helper!$D$3:$D3996))+1))</f>
        <v>13</v>
      </c>
      <c r="F815" s="3">
        <f>IF(B815="","",SUMIFS('inventory ledger'!$H:$H,'inventory ledger'!$C:$C,C815,'inventory ledger'!$D:$D,D815,'inventory ledger'!$E:$E,E815,'inventory ledger'!$A:$A,"&lt;="&amp;B815+TIME(23,59,59))-SUMIFS('inventory ledger'!$I:$I,'inventory ledger'!$C:$C,C815,'inventory ledger'!$D:$D,D815,'inventory ledger'!$E:$E,E815,'inventory ledger'!$A:$A,"&lt;="&amp;B815+TIME(23,59,59)))</f>
        <v>0</v>
      </c>
      <c r="G815" s="3">
        <f>IFERROR(__xludf.DUMMYFUNCTION("IF(F815&lt;=0,0,IFERROR(ROUNDUP(F815/INDEX(FILTER('warehouse config'!$D:$D,('warehouse config'!$B:$B=C815)*('warehouse config'!$C:$C=D815)*('warehouse config'!$G:$G&lt;=B815)*(('warehouse config'!$H:$H&gt;=B815)+ISBLANK('warehouse config'!$H:$H))),1)),0))"),0.0)</f>
        <v>0</v>
      </c>
      <c r="H815" s="3">
        <f>IFERROR(__xludf.DUMMYFUNCTION("IFERROR(INDEX(FILTER('cost master'!$E:$E,('cost master'!$B:$B=C815)*('cost master'!$D:$D=""Storage cost per pallet / week"")*('cost master'!$G:$G&lt;=B815)*(('cost master'!$H:$H&gt;=B815)+ISBLANK('cost master'!$H:$H))),1),0)"),2.6)</f>
        <v>2.6</v>
      </c>
      <c r="I815" s="3">
        <f t="shared" si="4"/>
        <v>0</v>
      </c>
      <c r="J815" s="27">
        <f t="shared" si="5"/>
        <v>45824</v>
      </c>
      <c r="K815" s="27">
        <f t="shared" si="6"/>
        <v>45853</v>
      </c>
    </row>
    <row r="816" hidden="1">
      <c r="A816" s="3" t="str">
        <f t="shared" si="3"/>
        <v>SL-20250616-Vglobal-CS 012-13</v>
      </c>
      <c r="B816" s="2">
        <f t="array" ref="B816">INDEX(helper!$A$3:$A3996,ROUNDUP((ROW()-1)/COUNTA(helper!$D$3:$D3996),0))</f>
        <v>45824</v>
      </c>
      <c r="C816" s="5" t="str">
        <f t="array" ref="C816">IF(B816="","",INDEX(helper!$D$3:$D3996,MOD(ROW()-2,COUNTA(helper!$D$3:$D3996))+1))</f>
        <v>Vglobal</v>
      </c>
      <c r="D816" s="3" t="str">
        <f t="array" ref="D816">IF(B816="","",INDEX(helper!$E$3:$E3996,MOD(ROW()-2,COUNTA(helper!$D$3:$D3996))+1))</f>
        <v>CS 012</v>
      </c>
      <c r="E816" s="3">
        <f t="array" ref="E816">IF(B816="","",INDEX(helper!$F$3:$F3996,MOD(ROW()-2,COUNTA(helper!$D$3:$D3996))+1))</f>
        <v>13</v>
      </c>
      <c r="F816" s="3">
        <f>IF(B816="","",SUMIFS('inventory ledger'!$H:$H,'inventory ledger'!$C:$C,C816,'inventory ledger'!$D:$D,D816,'inventory ledger'!$E:$E,E816,'inventory ledger'!$A:$A,"&lt;="&amp;B816+TIME(23,59,59))-SUMIFS('inventory ledger'!$I:$I,'inventory ledger'!$C:$C,C816,'inventory ledger'!$D:$D,D816,'inventory ledger'!$E:$E,E816,'inventory ledger'!$A:$A,"&lt;="&amp;B816+TIME(23,59,59)))</f>
        <v>0</v>
      </c>
      <c r="G816" s="3">
        <f>IFERROR(__xludf.DUMMYFUNCTION("IF(F816&lt;=0,0,IFERROR(ROUNDUP(F816/INDEX(FILTER('warehouse config'!$D:$D,('warehouse config'!$B:$B=C816)*('warehouse config'!$C:$C=D816)*('warehouse config'!$G:$G&lt;=B816)*(('warehouse config'!$H:$H&gt;=B816)+ISBLANK('warehouse config'!$H:$H))),1)),0))"),0.0)</f>
        <v>0</v>
      </c>
      <c r="H816" s="3">
        <f>IFERROR(__xludf.DUMMYFUNCTION("IFERROR(INDEX(FILTER('cost master'!$E:$E,('cost master'!$B:$B=C816)*('cost master'!$D:$D=""Storage cost per pallet / week"")*('cost master'!$G:$G&lt;=B816)*(('cost master'!$H:$H&gt;=B816)+ISBLANK('cost master'!$H:$H))),1),0)"),2.6)</f>
        <v>2.6</v>
      </c>
      <c r="I816" s="3">
        <f t="shared" si="4"/>
        <v>0</v>
      </c>
      <c r="J816" s="27">
        <f t="shared" si="5"/>
        <v>45824</v>
      </c>
      <c r="K816" s="27">
        <f t="shared" si="6"/>
        <v>45853</v>
      </c>
    </row>
    <row r="817">
      <c r="A817" s="3" t="str">
        <f t="shared" si="3"/>
        <v>SL-20250616-FMC-CS 008-11</v>
      </c>
      <c r="B817" s="2">
        <f t="array" ref="B817">INDEX(helper!$A$3:$A3996,ROUNDUP((ROW()-1)/COUNTA(helper!$D$3:$D3996),0))</f>
        <v>45824</v>
      </c>
      <c r="C817" s="5" t="str">
        <f t="array" ref="C817">IF(B817="","",INDEX(helper!$D$3:$D3996,MOD(ROW()-2,COUNTA(helper!$D$3:$D3996))+1))</f>
        <v>FMC</v>
      </c>
      <c r="D817" s="3" t="str">
        <f t="array" ref="D817">IF(B817="","",INDEX(helper!$E$3:$E3996,MOD(ROW()-2,COUNTA(helper!$D$3:$D3996))+1))</f>
        <v>CS 008</v>
      </c>
      <c r="E817" s="3">
        <f t="array" ref="E817">IF(B817="","",INDEX(helper!$F$3:$F3996,MOD(ROW()-2,COUNTA(helper!$D$3:$D3996))+1))</f>
        <v>11</v>
      </c>
      <c r="F817" s="3">
        <f>IF(B817="","",SUMIFS('inventory ledger'!$H:$H,'inventory ledger'!$C:$C,C817,'inventory ledger'!$D:$D,D817,'inventory ledger'!$E:$E,E817,'inventory ledger'!$A:$A,"&lt;="&amp;B817+TIME(23,59,59))-SUMIFS('inventory ledger'!$I:$I,'inventory ledger'!$C:$C,C817,'inventory ledger'!$D:$D,D817,'inventory ledger'!$E:$E,E817,'inventory ledger'!$A:$A,"&lt;="&amp;B817+TIME(23,59,59)))</f>
        <v>-2</v>
      </c>
      <c r="G817" s="3">
        <f>IFERROR(__xludf.DUMMYFUNCTION("IF(F817&lt;=0,0,IFERROR(ROUNDUP(F817/INDEX(FILTER('warehouse config'!$D:$D,('warehouse config'!$B:$B=C817)*('warehouse config'!$C:$C=D817)*('warehouse config'!$G:$G&lt;=B817)*(('warehouse config'!$H:$H&gt;=B817)+ISBLANK('warehouse config'!$H:$H))),1)),0))"),0.0)</f>
        <v>0</v>
      </c>
      <c r="H817" s="3">
        <f>IFERROR(__xludf.DUMMYFUNCTION("IFERROR(INDEX(FILTER('cost master'!$E:$E,('cost master'!$B:$B=C817)*('cost master'!$D:$D=""Storage cost per pallet / week"")*('cost master'!$G:$G&lt;=B817)*(('cost master'!$H:$H&gt;=B817)+ISBLANK('cost master'!$H:$H))),1),0)"),3.9)</f>
        <v>3.9</v>
      </c>
      <c r="I817" s="3">
        <f t="shared" si="4"/>
        <v>0</v>
      </c>
      <c r="J817" s="27">
        <f t="shared" si="5"/>
        <v>45824</v>
      </c>
      <c r="K817" s="27">
        <f t="shared" si="6"/>
        <v>45853</v>
      </c>
    </row>
    <row r="818" hidden="1">
      <c r="A818" s="3" t="str">
        <f t="shared" si="3"/>
        <v>SL-20250623-FMC-CS 007-8</v>
      </c>
      <c r="B818" s="2">
        <f t="array" ref="B818">INDEX(helper!$A$3:$A3996,ROUNDUP((ROW()-1)/COUNTA(helper!$D$3:$D3996),0))</f>
        <v>45831</v>
      </c>
      <c r="C818" s="5" t="str">
        <f t="array" ref="C818">IF(B818="","",INDEX(helper!$D$3:$D3996,MOD(ROW()-2,COUNTA(helper!$D$3:$D3996))+1))</f>
        <v>FMC</v>
      </c>
      <c r="D818" s="3" t="str">
        <f t="array" ref="D818">IF(B818="","",INDEX(helper!$E$3:$E3996,MOD(ROW()-2,COUNTA(helper!$D$3:$D3996))+1))</f>
        <v>CS 007</v>
      </c>
      <c r="E818" s="3">
        <f t="array" ref="E818">IF(B818="","",INDEX(helper!$F$3:$F3996,MOD(ROW()-2,COUNTA(helper!$D$3:$D3996))+1))</f>
        <v>8</v>
      </c>
      <c r="F818" s="3">
        <f>IF(B818="","",SUMIFS('inventory ledger'!$H:$H,'inventory ledger'!$C:$C,C818,'inventory ledger'!$D:$D,D818,'inventory ledger'!$E:$E,E818,'inventory ledger'!$A:$A,"&lt;="&amp;B818+TIME(23,59,59))-SUMIFS('inventory ledger'!$I:$I,'inventory ledger'!$C:$C,C818,'inventory ledger'!$D:$D,D818,'inventory ledger'!$E:$E,E818,'inventory ledger'!$A:$A,"&lt;="&amp;B818+TIME(23,59,59)))</f>
        <v>0</v>
      </c>
      <c r="G818" s="3">
        <f>IFERROR(__xludf.DUMMYFUNCTION("IF(F818&lt;=0,0,IFERROR(ROUNDUP(F818/INDEX(FILTER('warehouse config'!$D:$D,('warehouse config'!$B:$B=C818)*('warehouse config'!$C:$C=D818)*('warehouse config'!$G:$G&lt;=B818)*(('warehouse config'!$H:$H&gt;=B818)+ISBLANK('warehouse config'!$H:$H))),1)),0))"),0.0)</f>
        <v>0</v>
      </c>
      <c r="H818" s="3">
        <f>IFERROR(__xludf.DUMMYFUNCTION("IFERROR(INDEX(FILTER('cost master'!$E:$E,('cost master'!$B:$B=C818)*('cost master'!$D:$D=""Storage cost per pallet / week"")*('cost master'!$G:$G&lt;=B818)*(('cost master'!$H:$H&gt;=B818)+ISBLANK('cost master'!$H:$H))),1),0)"),3.9)</f>
        <v>3.9</v>
      </c>
      <c r="I818" s="3">
        <f t="shared" si="4"/>
        <v>0</v>
      </c>
      <c r="J818" s="27">
        <f t="shared" si="5"/>
        <v>45824</v>
      </c>
      <c r="K818" s="27">
        <f t="shared" si="6"/>
        <v>45853</v>
      </c>
    </row>
    <row r="819" hidden="1">
      <c r="A819" s="3" t="str">
        <f t="shared" si="3"/>
        <v>SL-20250623-FMC-CS 008-8</v>
      </c>
      <c r="B819" s="2">
        <f t="array" ref="B819">INDEX(helper!$A$3:$A3996,ROUNDUP((ROW()-1)/COUNTA(helper!$D$3:$D3996),0))</f>
        <v>45831</v>
      </c>
      <c r="C819" s="5" t="str">
        <f t="array" ref="C819">IF(B819="","",INDEX(helper!$D$3:$D3996,MOD(ROW()-2,COUNTA(helper!$D$3:$D3996))+1))</f>
        <v>FMC</v>
      </c>
      <c r="D819" s="3" t="str">
        <f t="array" ref="D819">IF(B819="","",INDEX(helper!$E$3:$E3996,MOD(ROW()-2,COUNTA(helper!$D$3:$D3996))+1))</f>
        <v>CS 008</v>
      </c>
      <c r="E819" s="3">
        <f t="array" ref="E819">IF(B819="","",INDEX(helper!$F$3:$F3996,MOD(ROW()-2,COUNTA(helper!$D$3:$D3996))+1))</f>
        <v>8</v>
      </c>
      <c r="F819" s="3">
        <f>IF(B819="","",SUMIFS('inventory ledger'!$H:$H,'inventory ledger'!$C:$C,C819,'inventory ledger'!$D:$D,D819,'inventory ledger'!$E:$E,E819,'inventory ledger'!$A:$A,"&lt;="&amp;B819+TIME(23,59,59))-SUMIFS('inventory ledger'!$I:$I,'inventory ledger'!$C:$C,C819,'inventory ledger'!$D:$D,D819,'inventory ledger'!$E:$E,E819,'inventory ledger'!$A:$A,"&lt;="&amp;B819+TIME(23,59,59)))</f>
        <v>0</v>
      </c>
      <c r="G819" s="3">
        <f>IFERROR(__xludf.DUMMYFUNCTION("IF(F819&lt;=0,0,IFERROR(ROUNDUP(F819/INDEX(FILTER('warehouse config'!$D:$D,('warehouse config'!$B:$B=C819)*('warehouse config'!$C:$C=D819)*('warehouse config'!$G:$G&lt;=B819)*(('warehouse config'!$H:$H&gt;=B819)+ISBLANK('warehouse config'!$H:$H))),1)),0))"),0.0)</f>
        <v>0</v>
      </c>
      <c r="H819" s="3">
        <f>IFERROR(__xludf.DUMMYFUNCTION("IFERROR(INDEX(FILTER('cost master'!$E:$E,('cost master'!$B:$B=C819)*('cost master'!$D:$D=""Storage cost per pallet / week"")*('cost master'!$G:$G&lt;=B819)*(('cost master'!$H:$H&gt;=B819)+ISBLANK('cost master'!$H:$H))),1),0)"),3.9)</f>
        <v>3.9</v>
      </c>
      <c r="I819" s="3">
        <f t="shared" si="4"/>
        <v>0</v>
      </c>
      <c r="J819" s="27">
        <f t="shared" si="5"/>
        <v>45824</v>
      </c>
      <c r="K819" s="27">
        <f t="shared" si="6"/>
        <v>45853</v>
      </c>
    </row>
    <row r="820" hidden="1">
      <c r="A820" s="3" t="str">
        <f t="shared" si="3"/>
        <v>SL-20250623-FMC-CS 009-8</v>
      </c>
      <c r="B820" s="2">
        <f t="array" ref="B820">INDEX(helper!$A$3:$A3996,ROUNDUP((ROW()-1)/COUNTA(helper!$D$3:$D3996),0))</f>
        <v>45831</v>
      </c>
      <c r="C820" s="5" t="str">
        <f t="array" ref="C820">IF(B820="","",INDEX(helper!$D$3:$D3996,MOD(ROW()-2,COUNTA(helper!$D$3:$D3996))+1))</f>
        <v>FMC</v>
      </c>
      <c r="D820" s="3" t="str">
        <f t="array" ref="D820">IF(B820="","",INDEX(helper!$E$3:$E3996,MOD(ROW()-2,COUNTA(helper!$D$3:$D3996))+1))</f>
        <v>CS 009</v>
      </c>
      <c r="E820" s="3">
        <f t="array" ref="E820">IF(B820="","",INDEX(helper!$F$3:$F3996,MOD(ROW()-2,COUNTA(helper!$D$3:$D3996))+1))</f>
        <v>8</v>
      </c>
      <c r="F820" s="3">
        <f>IF(B820="","",SUMIFS('inventory ledger'!$H:$H,'inventory ledger'!$C:$C,C820,'inventory ledger'!$D:$D,D820,'inventory ledger'!$E:$E,E820,'inventory ledger'!$A:$A,"&lt;="&amp;B820+TIME(23,59,59))-SUMIFS('inventory ledger'!$I:$I,'inventory ledger'!$C:$C,C820,'inventory ledger'!$D:$D,D820,'inventory ledger'!$E:$E,E820,'inventory ledger'!$A:$A,"&lt;="&amp;B820+TIME(23,59,59)))</f>
        <v>0</v>
      </c>
      <c r="G820" s="3">
        <f>IFERROR(__xludf.DUMMYFUNCTION("IF(F820&lt;=0,0,IFERROR(ROUNDUP(F820/INDEX(FILTER('warehouse config'!$D:$D,('warehouse config'!$B:$B=C820)*('warehouse config'!$C:$C=D820)*('warehouse config'!$G:$G&lt;=B820)*(('warehouse config'!$H:$H&gt;=B820)+ISBLANK('warehouse config'!$H:$H))),1)),0))"),0.0)</f>
        <v>0</v>
      </c>
      <c r="H820" s="3">
        <f>IFERROR(__xludf.DUMMYFUNCTION("IFERROR(INDEX(FILTER('cost master'!$E:$E,('cost master'!$B:$B=C820)*('cost master'!$D:$D=""Storage cost per pallet / week"")*('cost master'!$G:$G&lt;=B820)*(('cost master'!$H:$H&gt;=B820)+ISBLANK('cost master'!$H:$H))),1),0)"),3.9)</f>
        <v>3.9</v>
      </c>
      <c r="I820" s="3">
        <f t="shared" si="4"/>
        <v>0</v>
      </c>
      <c r="J820" s="27">
        <f t="shared" si="5"/>
        <v>45824</v>
      </c>
      <c r="K820" s="27">
        <f t="shared" si="6"/>
        <v>45853</v>
      </c>
    </row>
    <row r="821" hidden="1">
      <c r="A821" s="3" t="str">
        <f t="shared" si="3"/>
        <v>SL-20250623-FMC-CS 010-8</v>
      </c>
      <c r="B821" s="2">
        <f t="array" ref="B821">INDEX(helper!$A$3:$A3996,ROUNDUP((ROW()-1)/COUNTA(helper!$D$3:$D3996),0))</f>
        <v>45831</v>
      </c>
      <c r="C821" s="5" t="str">
        <f t="array" ref="C821">IF(B821="","",INDEX(helper!$D$3:$D3996,MOD(ROW()-2,COUNTA(helper!$D$3:$D3996))+1))</f>
        <v>FMC</v>
      </c>
      <c r="D821" s="3" t="str">
        <f t="array" ref="D821">IF(B821="","",INDEX(helper!$E$3:$E3996,MOD(ROW()-2,COUNTA(helper!$D$3:$D3996))+1))</f>
        <v>CS 010</v>
      </c>
      <c r="E821" s="3">
        <f t="array" ref="E821">IF(B821="","",INDEX(helper!$F$3:$F3996,MOD(ROW()-2,COUNTA(helper!$D$3:$D3996))+1))</f>
        <v>8</v>
      </c>
      <c r="F821" s="3">
        <f>IF(B821="","",SUMIFS('inventory ledger'!$H:$H,'inventory ledger'!$C:$C,C821,'inventory ledger'!$D:$D,D821,'inventory ledger'!$E:$E,E821,'inventory ledger'!$A:$A,"&lt;="&amp;B821+TIME(23,59,59))-SUMIFS('inventory ledger'!$I:$I,'inventory ledger'!$C:$C,C821,'inventory ledger'!$D:$D,D821,'inventory ledger'!$E:$E,E821,'inventory ledger'!$A:$A,"&lt;="&amp;B821+TIME(23,59,59)))</f>
        <v>0</v>
      </c>
      <c r="G821" s="3">
        <f>IFERROR(__xludf.DUMMYFUNCTION("IF(F821&lt;=0,0,IFERROR(ROUNDUP(F821/INDEX(FILTER('warehouse config'!$D:$D,('warehouse config'!$B:$B=C821)*('warehouse config'!$C:$C=D821)*('warehouse config'!$G:$G&lt;=B821)*(('warehouse config'!$H:$H&gt;=B821)+ISBLANK('warehouse config'!$H:$H))),1)),0))"),0.0)</f>
        <v>0</v>
      </c>
      <c r="H821" s="3">
        <f>IFERROR(__xludf.DUMMYFUNCTION("IFERROR(INDEX(FILTER('cost master'!$E:$E,('cost master'!$B:$B=C821)*('cost master'!$D:$D=""Storage cost per pallet / week"")*('cost master'!$G:$G&lt;=B821)*(('cost master'!$H:$H&gt;=B821)+ISBLANK('cost master'!$H:$H))),1),0)"),3.9)</f>
        <v>3.9</v>
      </c>
      <c r="I821" s="3">
        <f t="shared" si="4"/>
        <v>0</v>
      </c>
      <c r="J821" s="27">
        <f t="shared" si="5"/>
        <v>45824</v>
      </c>
      <c r="K821" s="27">
        <f t="shared" si="6"/>
        <v>45853</v>
      </c>
    </row>
    <row r="822" hidden="1">
      <c r="A822" s="3" t="str">
        <f t="shared" si="3"/>
        <v>SL-20250623-FMC-CS 007-9</v>
      </c>
      <c r="B822" s="2">
        <f t="array" ref="B822">INDEX(helper!$A$3:$A3996,ROUNDUP((ROW()-1)/COUNTA(helper!$D$3:$D3996),0))</f>
        <v>45831</v>
      </c>
      <c r="C822" s="5" t="str">
        <f t="array" ref="C822">IF(B822="","",INDEX(helper!$D$3:$D3996,MOD(ROW()-2,COUNTA(helper!$D$3:$D3996))+1))</f>
        <v>FMC</v>
      </c>
      <c r="D822" s="3" t="str">
        <f t="array" ref="D822">IF(B822="","",INDEX(helper!$E$3:$E3996,MOD(ROW()-2,COUNTA(helper!$D$3:$D3996))+1))</f>
        <v>CS 007</v>
      </c>
      <c r="E822" s="3">
        <f t="array" ref="E822">IF(B822="","",INDEX(helper!$F$3:$F3996,MOD(ROW()-2,COUNTA(helper!$D$3:$D3996))+1))</f>
        <v>9</v>
      </c>
      <c r="F822" s="3">
        <f>IF(B822="","",SUMIFS('inventory ledger'!$H:$H,'inventory ledger'!$C:$C,C822,'inventory ledger'!$D:$D,D822,'inventory ledger'!$E:$E,E822,'inventory ledger'!$A:$A,"&lt;="&amp;B822+TIME(23,59,59))-SUMIFS('inventory ledger'!$I:$I,'inventory ledger'!$C:$C,C822,'inventory ledger'!$D:$D,D822,'inventory ledger'!$E:$E,E822,'inventory ledger'!$A:$A,"&lt;="&amp;B822+TIME(23,59,59)))</f>
        <v>0</v>
      </c>
      <c r="G822" s="3">
        <f>IFERROR(__xludf.DUMMYFUNCTION("IF(F822&lt;=0,0,IFERROR(ROUNDUP(F822/INDEX(FILTER('warehouse config'!$D:$D,('warehouse config'!$B:$B=C822)*('warehouse config'!$C:$C=D822)*('warehouse config'!$G:$G&lt;=B822)*(('warehouse config'!$H:$H&gt;=B822)+ISBLANK('warehouse config'!$H:$H))),1)),0))"),0.0)</f>
        <v>0</v>
      </c>
      <c r="H822" s="3">
        <f>IFERROR(__xludf.DUMMYFUNCTION("IFERROR(INDEX(FILTER('cost master'!$E:$E,('cost master'!$B:$B=C822)*('cost master'!$D:$D=""Storage cost per pallet / week"")*('cost master'!$G:$G&lt;=B822)*(('cost master'!$H:$H&gt;=B822)+ISBLANK('cost master'!$H:$H))),1),0)"),3.9)</f>
        <v>3.9</v>
      </c>
      <c r="I822" s="3">
        <f t="shared" si="4"/>
        <v>0</v>
      </c>
      <c r="J822" s="27">
        <f t="shared" si="5"/>
        <v>45824</v>
      </c>
      <c r="K822" s="27">
        <f t="shared" si="6"/>
        <v>45853</v>
      </c>
    </row>
    <row r="823" hidden="1">
      <c r="A823" s="3" t="str">
        <f t="shared" si="3"/>
        <v>SL-20250623-FMC-CS 008-9</v>
      </c>
      <c r="B823" s="2">
        <f t="array" ref="B823">INDEX(helper!$A$3:$A3996,ROUNDUP((ROW()-1)/COUNTA(helper!$D$3:$D3996),0))</f>
        <v>45831</v>
      </c>
      <c r="C823" s="5" t="str">
        <f t="array" ref="C823">IF(B823="","",INDEX(helper!$D$3:$D3996,MOD(ROW()-2,COUNTA(helper!$D$3:$D3996))+1))</f>
        <v>FMC</v>
      </c>
      <c r="D823" s="3" t="str">
        <f t="array" ref="D823">IF(B823="","",INDEX(helper!$E$3:$E3996,MOD(ROW()-2,COUNTA(helper!$D$3:$D3996))+1))</f>
        <v>CS 008</v>
      </c>
      <c r="E823" s="3">
        <f t="array" ref="E823">IF(B823="","",INDEX(helper!$F$3:$F3996,MOD(ROW()-2,COUNTA(helper!$D$3:$D3996))+1))</f>
        <v>9</v>
      </c>
      <c r="F823" s="3">
        <f>IF(B823="","",SUMIFS('inventory ledger'!$H:$H,'inventory ledger'!$C:$C,C823,'inventory ledger'!$D:$D,D823,'inventory ledger'!$E:$E,E823,'inventory ledger'!$A:$A,"&lt;="&amp;B823+TIME(23,59,59))-SUMIFS('inventory ledger'!$I:$I,'inventory ledger'!$C:$C,C823,'inventory ledger'!$D:$D,D823,'inventory ledger'!$E:$E,E823,'inventory ledger'!$A:$A,"&lt;="&amp;B823+TIME(23,59,59)))</f>
        <v>2</v>
      </c>
      <c r="G823" s="3">
        <f>IFERROR(__xludf.DUMMYFUNCTION("IF(F823&lt;=0,0,IFERROR(ROUNDUP(F823/INDEX(FILTER('warehouse config'!$D:$D,('warehouse config'!$B:$B=C823)*('warehouse config'!$C:$C=D823)*('warehouse config'!$G:$G&lt;=B823)*(('warehouse config'!$H:$H&gt;=B823)+ISBLANK('warehouse config'!$H:$H))),1)),0))"),1.0)</f>
        <v>1</v>
      </c>
      <c r="H823" s="3">
        <f>IFERROR(__xludf.DUMMYFUNCTION("IFERROR(INDEX(FILTER('cost master'!$E:$E,('cost master'!$B:$B=C823)*('cost master'!$D:$D=""Storage cost per pallet / week"")*('cost master'!$G:$G&lt;=B823)*(('cost master'!$H:$H&gt;=B823)+ISBLANK('cost master'!$H:$H))),1),0)"),3.9)</f>
        <v>3.9</v>
      </c>
      <c r="I823" s="3">
        <f t="shared" si="4"/>
        <v>3.9</v>
      </c>
      <c r="J823" s="27">
        <f t="shared" si="5"/>
        <v>45824</v>
      </c>
      <c r="K823" s="27">
        <f t="shared" si="6"/>
        <v>45853</v>
      </c>
    </row>
    <row r="824" hidden="1">
      <c r="A824" s="3" t="str">
        <f t="shared" si="3"/>
        <v>SL-20250623-FMC-CS 009-9</v>
      </c>
      <c r="B824" s="2">
        <f t="array" ref="B824">INDEX(helper!$A$3:$A3996,ROUNDUP((ROW()-1)/COUNTA(helper!$D$3:$D3996),0))</f>
        <v>45831</v>
      </c>
      <c r="C824" s="5" t="str">
        <f t="array" ref="C824">IF(B824="","",INDEX(helper!$D$3:$D3996,MOD(ROW()-2,COUNTA(helper!$D$3:$D3996))+1))</f>
        <v>FMC</v>
      </c>
      <c r="D824" s="3" t="str">
        <f t="array" ref="D824">IF(B824="","",INDEX(helper!$E$3:$E3996,MOD(ROW()-2,COUNTA(helper!$D$3:$D3996))+1))</f>
        <v>CS 009</v>
      </c>
      <c r="E824" s="3">
        <f t="array" ref="E824">IF(B824="","",INDEX(helper!$F$3:$F3996,MOD(ROW()-2,COUNTA(helper!$D$3:$D3996))+1))</f>
        <v>9</v>
      </c>
      <c r="F824" s="3">
        <f>IF(B824="","",SUMIFS('inventory ledger'!$H:$H,'inventory ledger'!$C:$C,C824,'inventory ledger'!$D:$D,D824,'inventory ledger'!$E:$E,E824,'inventory ledger'!$A:$A,"&lt;="&amp;B824+TIME(23,59,59))-SUMIFS('inventory ledger'!$I:$I,'inventory ledger'!$C:$C,C824,'inventory ledger'!$D:$D,D824,'inventory ledger'!$E:$E,E824,'inventory ledger'!$A:$A,"&lt;="&amp;B824+TIME(23,59,59)))</f>
        <v>0</v>
      </c>
      <c r="G824" s="3">
        <f>IFERROR(__xludf.DUMMYFUNCTION("IF(F824&lt;=0,0,IFERROR(ROUNDUP(F824/INDEX(FILTER('warehouse config'!$D:$D,('warehouse config'!$B:$B=C824)*('warehouse config'!$C:$C=D824)*('warehouse config'!$G:$G&lt;=B824)*(('warehouse config'!$H:$H&gt;=B824)+ISBLANK('warehouse config'!$H:$H))),1)),0))"),0.0)</f>
        <v>0</v>
      </c>
      <c r="H824" s="3">
        <f>IFERROR(__xludf.DUMMYFUNCTION("IFERROR(INDEX(FILTER('cost master'!$E:$E,('cost master'!$B:$B=C824)*('cost master'!$D:$D=""Storage cost per pallet / week"")*('cost master'!$G:$G&lt;=B824)*(('cost master'!$H:$H&gt;=B824)+ISBLANK('cost master'!$H:$H))),1),0)"),3.9)</f>
        <v>3.9</v>
      </c>
      <c r="I824" s="3">
        <f t="shared" si="4"/>
        <v>0</v>
      </c>
      <c r="J824" s="27">
        <f t="shared" si="5"/>
        <v>45824</v>
      </c>
      <c r="K824" s="27">
        <f t="shared" si="6"/>
        <v>45853</v>
      </c>
    </row>
    <row r="825" hidden="1">
      <c r="A825" s="3" t="str">
        <f t="shared" si="3"/>
        <v>SL-20250623-FMC-CS 010-9</v>
      </c>
      <c r="B825" s="2">
        <f t="array" ref="B825">INDEX(helper!$A$3:$A3996,ROUNDUP((ROW()-1)/COUNTA(helper!$D$3:$D3996),0))</f>
        <v>45831</v>
      </c>
      <c r="C825" s="5" t="str">
        <f t="array" ref="C825">IF(B825="","",INDEX(helper!$D$3:$D3996,MOD(ROW()-2,COUNTA(helper!$D$3:$D3996))+1))</f>
        <v>FMC</v>
      </c>
      <c r="D825" s="3" t="str">
        <f t="array" ref="D825">IF(B825="","",INDEX(helper!$E$3:$E3996,MOD(ROW()-2,COUNTA(helper!$D$3:$D3996))+1))</f>
        <v>CS 010</v>
      </c>
      <c r="E825" s="3">
        <f t="array" ref="E825">IF(B825="","",INDEX(helper!$F$3:$F3996,MOD(ROW()-2,COUNTA(helper!$D$3:$D3996))+1))</f>
        <v>9</v>
      </c>
      <c r="F825" s="3">
        <f>IF(B825="","",SUMIFS('inventory ledger'!$H:$H,'inventory ledger'!$C:$C,C825,'inventory ledger'!$D:$D,D825,'inventory ledger'!$E:$E,E825,'inventory ledger'!$A:$A,"&lt;="&amp;B825+TIME(23,59,59))-SUMIFS('inventory ledger'!$I:$I,'inventory ledger'!$C:$C,C825,'inventory ledger'!$D:$D,D825,'inventory ledger'!$E:$E,E825,'inventory ledger'!$A:$A,"&lt;="&amp;B825+TIME(23,59,59)))</f>
        <v>0</v>
      </c>
      <c r="G825" s="3">
        <f>IFERROR(__xludf.DUMMYFUNCTION("IF(F825&lt;=0,0,IFERROR(ROUNDUP(F825/INDEX(FILTER('warehouse config'!$D:$D,('warehouse config'!$B:$B=C825)*('warehouse config'!$C:$C=D825)*('warehouse config'!$G:$G&lt;=B825)*(('warehouse config'!$H:$H&gt;=B825)+ISBLANK('warehouse config'!$H:$H))),1)),0))"),0.0)</f>
        <v>0</v>
      </c>
      <c r="H825" s="3">
        <f>IFERROR(__xludf.DUMMYFUNCTION("IFERROR(INDEX(FILTER('cost master'!$E:$E,('cost master'!$B:$B=C825)*('cost master'!$D:$D=""Storage cost per pallet / week"")*('cost master'!$G:$G&lt;=B825)*(('cost master'!$H:$H&gt;=B825)+ISBLANK('cost master'!$H:$H))),1),0)"),3.9)</f>
        <v>3.9</v>
      </c>
      <c r="I825" s="3">
        <f t="shared" si="4"/>
        <v>0</v>
      </c>
      <c r="J825" s="27">
        <f t="shared" si="5"/>
        <v>45824</v>
      </c>
      <c r="K825" s="27">
        <f t="shared" si="6"/>
        <v>45853</v>
      </c>
    </row>
    <row r="826" hidden="1">
      <c r="A826" s="3" t="str">
        <f t="shared" si="3"/>
        <v>SL-20250623-FMC-CS-CDS-001-9</v>
      </c>
      <c r="B826" s="2">
        <f t="array" ref="B826">INDEX(helper!$A$3:$A3996,ROUNDUP((ROW()-1)/COUNTA(helper!$D$3:$D3996),0))</f>
        <v>45831</v>
      </c>
      <c r="C826" s="5" t="str">
        <f t="array" ref="C826">IF(B826="","",INDEX(helper!$D$3:$D3996,MOD(ROW()-2,COUNTA(helper!$D$3:$D3996))+1))</f>
        <v>FMC</v>
      </c>
      <c r="D826" s="3" t="str">
        <f t="array" ref="D826">IF(B826="","",INDEX(helper!$E$3:$E3996,MOD(ROW()-2,COUNTA(helper!$D$3:$D3996))+1))</f>
        <v>CS-CDS-001</v>
      </c>
      <c r="E826" s="3">
        <f t="array" ref="E826">IF(B826="","",INDEX(helper!$F$3:$F3996,MOD(ROW()-2,COUNTA(helper!$D$3:$D3996))+1))</f>
        <v>9</v>
      </c>
      <c r="F826" s="3">
        <f>IF(B826="","",SUMIFS('inventory ledger'!$H:$H,'inventory ledger'!$C:$C,C826,'inventory ledger'!$D:$D,D826,'inventory ledger'!$E:$E,E826,'inventory ledger'!$A:$A,"&lt;="&amp;B826+TIME(23,59,59))-SUMIFS('inventory ledger'!$I:$I,'inventory ledger'!$C:$C,C826,'inventory ledger'!$D:$D,D826,'inventory ledger'!$E:$E,E826,'inventory ledger'!$A:$A,"&lt;="&amp;B826+TIME(23,59,59)))</f>
        <v>0</v>
      </c>
      <c r="G826" s="3">
        <f>IFERROR(__xludf.DUMMYFUNCTION("IF(F826&lt;=0,0,IFERROR(ROUNDUP(F826/INDEX(FILTER('warehouse config'!$D:$D,('warehouse config'!$B:$B=C826)*('warehouse config'!$C:$C=D826)*('warehouse config'!$G:$G&lt;=B826)*(('warehouse config'!$H:$H&gt;=B826)+ISBLANK('warehouse config'!$H:$H))),1)),0))"),0.0)</f>
        <v>0</v>
      </c>
      <c r="H826" s="3">
        <f>IFERROR(__xludf.DUMMYFUNCTION("IFERROR(INDEX(FILTER('cost master'!$E:$E,('cost master'!$B:$B=C826)*('cost master'!$D:$D=""Storage cost per pallet / week"")*('cost master'!$G:$G&lt;=B826)*(('cost master'!$H:$H&gt;=B826)+ISBLANK('cost master'!$H:$H))),1),0)"),3.9)</f>
        <v>3.9</v>
      </c>
      <c r="I826" s="3">
        <f t="shared" si="4"/>
        <v>0</v>
      </c>
      <c r="J826" s="27">
        <f t="shared" si="5"/>
        <v>45824</v>
      </c>
      <c r="K826" s="27">
        <f t="shared" si="6"/>
        <v>45853</v>
      </c>
    </row>
    <row r="827" hidden="1">
      <c r="A827" s="3" t="str">
        <f t="shared" si="3"/>
        <v>SL-20250623-FMC-CS-CDS-002-9</v>
      </c>
      <c r="B827" s="2">
        <f t="array" ref="B827">INDEX(helper!$A$3:$A3996,ROUNDUP((ROW()-1)/COUNTA(helper!$D$3:$D3996),0))</f>
        <v>45831</v>
      </c>
      <c r="C827" s="5" t="str">
        <f t="array" ref="C827">IF(B827="","",INDEX(helper!$D$3:$D3996,MOD(ROW()-2,COUNTA(helper!$D$3:$D3996))+1))</f>
        <v>FMC</v>
      </c>
      <c r="D827" s="3" t="str">
        <f t="array" ref="D827">IF(B827="","",INDEX(helper!$E$3:$E3996,MOD(ROW()-2,COUNTA(helper!$D$3:$D3996))+1))</f>
        <v>CS-CDS-002</v>
      </c>
      <c r="E827" s="3">
        <f t="array" ref="E827">IF(B827="","",INDEX(helper!$F$3:$F3996,MOD(ROW()-2,COUNTA(helper!$D$3:$D3996))+1))</f>
        <v>9</v>
      </c>
      <c r="F827" s="3">
        <f>IF(B827="","",SUMIFS('inventory ledger'!$H:$H,'inventory ledger'!$C:$C,C827,'inventory ledger'!$D:$D,D827,'inventory ledger'!$E:$E,E827,'inventory ledger'!$A:$A,"&lt;="&amp;B827+TIME(23,59,59))-SUMIFS('inventory ledger'!$I:$I,'inventory ledger'!$C:$C,C827,'inventory ledger'!$D:$D,D827,'inventory ledger'!$E:$E,E827,'inventory ledger'!$A:$A,"&lt;="&amp;B827+TIME(23,59,59)))</f>
        <v>0</v>
      </c>
      <c r="G827" s="3">
        <f>IFERROR(__xludf.DUMMYFUNCTION("IF(F827&lt;=0,0,IFERROR(ROUNDUP(F827/INDEX(FILTER('warehouse config'!$D:$D,('warehouse config'!$B:$B=C827)*('warehouse config'!$C:$C=D827)*('warehouse config'!$G:$G&lt;=B827)*(('warehouse config'!$H:$H&gt;=B827)+ISBLANK('warehouse config'!$H:$H))),1)),0))"),0.0)</f>
        <v>0</v>
      </c>
      <c r="H827" s="3">
        <f>IFERROR(__xludf.DUMMYFUNCTION("IFERROR(INDEX(FILTER('cost master'!$E:$E,('cost master'!$B:$B=C827)*('cost master'!$D:$D=""Storage cost per pallet / week"")*('cost master'!$G:$G&lt;=B827)*(('cost master'!$H:$H&gt;=B827)+ISBLANK('cost master'!$H:$H))),1),0)"),3.9)</f>
        <v>3.9</v>
      </c>
      <c r="I827" s="3">
        <f t="shared" si="4"/>
        <v>0</v>
      </c>
      <c r="J827" s="27">
        <f t="shared" si="5"/>
        <v>45824</v>
      </c>
      <c r="K827" s="27">
        <f t="shared" si="6"/>
        <v>45853</v>
      </c>
    </row>
    <row r="828" hidden="1">
      <c r="A828" s="3" t="str">
        <f t="shared" si="3"/>
        <v>SL-20250623-FMC-CS 007-10</v>
      </c>
      <c r="B828" s="2">
        <f t="array" ref="B828">INDEX(helper!$A$3:$A3996,ROUNDUP((ROW()-1)/COUNTA(helper!$D$3:$D3996),0))</f>
        <v>45831</v>
      </c>
      <c r="C828" s="5" t="str">
        <f t="array" ref="C828">IF(B828="","",INDEX(helper!$D$3:$D3996,MOD(ROW()-2,COUNTA(helper!$D$3:$D3996))+1))</f>
        <v>FMC</v>
      </c>
      <c r="D828" s="3" t="str">
        <f t="array" ref="D828">IF(B828="","",INDEX(helper!$E$3:$E3996,MOD(ROW()-2,COUNTA(helper!$D$3:$D3996))+1))</f>
        <v>CS 007</v>
      </c>
      <c r="E828" s="3">
        <f t="array" ref="E828">IF(B828="","",INDEX(helper!$F$3:$F3996,MOD(ROW()-2,COUNTA(helper!$D$3:$D3996))+1))</f>
        <v>10</v>
      </c>
      <c r="F828" s="3">
        <f>IF(B828="","",SUMIFS('inventory ledger'!$H:$H,'inventory ledger'!$C:$C,C828,'inventory ledger'!$D:$D,D828,'inventory ledger'!$E:$E,E828,'inventory ledger'!$A:$A,"&lt;="&amp;B828+TIME(23,59,59))-SUMIFS('inventory ledger'!$I:$I,'inventory ledger'!$C:$C,C828,'inventory ledger'!$D:$D,D828,'inventory ledger'!$E:$E,E828,'inventory ledger'!$A:$A,"&lt;="&amp;B828+TIME(23,59,59)))</f>
        <v>0</v>
      </c>
      <c r="G828" s="3">
        <f>IFERROR(__xludf.DUMMYFUNCTION("IF(F828&lt;=0,0,IFERROR(ROUNDUP(F828/INDEX(FILTER('warehouse config'!$D:$D,('warehouse config'!$B:$B=C828)*('warehouse config'!$C:$C=D828)*('warehouse config'!$G:$G&lt;=B828)*(('warehouse config'!$H:$H&gt;=B828)+ISBLANK('warehouse config'!$H:$H))),1)),0))"),0.0)</f>
        <v>0</v>
      </c>
      <c r="H828" s="3">
        <f>IFERROR(__xludf.DUMMYFUNCTION("IFERROR(INDEX(FILTER('cost master'!$E:$E,('cost master'!$B:$B=C828)*('cost master'!$D:$D=""Storage cost per pallet / week"")*('cost master'!$G:$G&lt;=B828)*(('cost master'!$H:$H&gt;=B828)+ISBLANK('cost master'!$H:$H))),1),0)"),3.9)</f>
        <v>3.9</v>
      </c>
      <c r="I828" s="3">
        <f t="shared" si="4"/>
        <v>0</v>
      </c>
      <c r="J828" s="27">
        <f t="shared" si="5"/>
        <v>45824</v>
      </c>
      <c r="K828" s="27">
        <f t="shared" si="6"/>
        <v>45853</v>
      </c>
    </row>
    <row r="829" hidden="1">
      <c r="A829" s="3" t="str">
        <f t="shared" si="3"/>
        <v>SL-20250623-FMC-CS 009-10</v>
      </c>
      <c r="B829" s="2">
        <f t="array" ref="B829">INDEX(helper!$A$3:$A3996,ROUNDUP((ROW()-1)/COUNTA(helper!$D$3:$D3996),0))</f>
        <v>45831</v>
      </c>
      <c r="C829" s="5" t="str">
        <f t="array" ref="C829">IF(B829="","",INDEX(helper!$D$3:$D3996,MOD(ROW()-2,COUNTA(helper!$D$3:$D3996))+1))</f>
        <v>FMC</v>
      </c>
      <c r="D829" s="3" t="str">
        <f t="array" ref="D829">IF(B829="","",INDEX(helper!$E$3:$E3996,MOD(ROW()-2,COUNTA(helper!$D$3:$D3996))+1))</f>
        <v>CS 009</v>
      </c>
      <c r="E829" s="3">
        <f t="array" ref="E829">IF(B829="","",INDEX(helper!$F$3:$F3996,MOD(ROW()-2,COUNTA(helper!$D$3:$D3996))+1))</f>
        <v>10</v>
      </c>
      <c r="F829" s="3">
        <f>IF(B829="","",SUMIFS('inventory ledger'!$H:$H,'inventory ledger'!$C:$C,C829,'inventory ledger'!$D:$D,D829,'inventory ledger'!$E:$E,E829,'inventory ledger'!$A:$A,"&lt;="&amp;B829+TIME(23,59,59))-SUMIFS('inventory ledger'!$I:$I,'inventory ledger'!$C:$C,C829,'inventory ledger'!$D:$D,D829,'inventory ledger'!$E:$E,E829,'inventory ledger'!$A:$A,"&lt;="&amp;B829+TIME(23,59,59)))</f>
        <v>0</v>
      </c>
      <c r="G829" s="3">
        <f>IFERROR(__xludf.DUMMYFUNCTION("IF(F829&lt;=0,0,IFERROR(ROUNDUP(F829/INDEX(FILTER('warehouse config'!$D:$D,('warehouse config'!$B:$B=C829)*('warehouse config'!$C:$C=D829)*('warehouse config'!$G:$G&lt;=B829)*(('warehouse config'!$H:$H&gt;=B829)+ISBLANK('warehouse config'!$H:$H))),1)),0))"),0.0)</f>
        <v>0</v>
      </c>
      <c r="H829" s="3">
        <f>IFERROR(__xludf.DUMMYFUNCTION("IFERROR(INDEX(FILTER('cost master'!$E:$E,('cost master'!$B:$B=C829)*('cost master'!$D:$D=""Storage cost per pallet / week"")*('cost master'!$G:$G&lt;=B829)*(('cost master'!$H:$H&gt;=B829)+ISBLANK('cost master'!$H:$H))),1),0)"),3.9)</f>
        <v>3.9</v>
      </c>
      <c r="I829" s="3">
        <f t="shared" si="4"/>
        <v>0</v>
      </c>
      <c r="J829" s="27">
        <f t="shared" si="5"/>
        <v>45824</v>
      </c>
      <c r="K829" s="27">
        <f t="shared" si="6"/>
        <v>45853</v>
      </c>
    </row>
    <row r="830" hidden="1">
      <c r="A830" s="3" t="str">
        <f t="shared" si="3"/>
        <v>SL-20250623-FMC-CS 010-10</v>
      </c>
      <c r="B830" s="2">
        <f t="array" ref="B830">INDEX(helper!$A$3:$A3996,ROUNDUP((ROW()-1)/COUNTA(helper!$D$3:$D3996),0))</f>
        <v>45831</v>
      </c>
      <c r="C830" s="5" t="str">
        <f t="array" ref="C830">IF(B830="","",INDEX(helper!$D$3:$D3996,MOD(ROW()-2,COUNTA(helper!$D$3:$D3996))+1))</f>
        <v>FMC</v>
      </c>
      <c r="D830" s="3" t="str">
        <f t="array" ref="D830">IF(B830="","",INDEX(helper!$E$3:$E3996,MOD(ROW()-2,COUNTA(helper!$D$3:$D3996))+1))</f>
        <v>CS 010</v>
      </c>
      <c r="E830" s="3">
        <f t="array" ref="E830">IF(B830="","",INDEX(helper!$F$3:$F3996,MOD(ROW()-2,COUNTA(helper!$D$3:$D3996))+1))</f>
        <v>10</v>
      </c>
      <c r="F830" s="3">
        <f>IF(B830="","",SUMIFS('inventory ledger'!$H:$H,'inventory ledger'!$C:$C,C830,'inventory ledger'!$D:$D,D830,'inventory ledger'!$E:$E,E830,'inventory ledger'!$A:$A,"&lt;="&amp;B830+TIME(23,59,59))-SUMIFS('inventory ledger'!$I:$I,'inventory ledger'!$C:$C,C830,'inventory ledger'!$D:$D,D830,'inventory ledger'!$E:$E,E830,'inventory ledger'!$A:$A,"&lt;="&amp;B830+TIME(23,59,59)))</f>
        <v>13</v>
      </c>
      <c r="G830" s="3">
        <f>IFERROR(__xludf.DUMMYFUNCTION("IF(F830&lt;=0,0,IFERROR(ROUNDUP(F830/INDEX(FILTER('warehouse config'!$D:$D,('warehouse config'!$B:$B=C830)*('warehouse config'!$C:$C=D830)*('warehouse config'!$G:$G&lt;=B830)*(('warehouse config'!$H:$H&gt;=B830)+ISBLANK('warehouse config'!$H:$H))),1)),0))"),1.0)</f>
        <v>1</v>
      </c>
      <c r="H830" s="3">
        <f>IFERROR(__xludf.DUMMYFUNCTION("IFERROR(INDEX(FILTER('cost master'!$E:$E,('cost master'!$B:$B=C830)*('cost master'!$D:$D=""Storage cost per pallet / week"")*('cost master'!$G:$G&lt;=B830)*(('cost master'!$H:$H&gt;=B830)+ISBLANK('cost master'!$H:$H))),1),0)"),3.9)</f>
        <v>3.9</v>
      </c>
      <c r="I830" s="3">
        <f t="shared" si="4"/>
        <v>3.9</v>
      </c>
      <c r="J830" s="27">
        <f t="shared" si="5"/>
        <v>45824</v>
      </c>
      <c r="K830" s="27">
        <f t="shared" si="6"/>
        <v>45853</v>
      </c>
    </row>
    <row r="831" hidden="1">
      <c r="A831" s="3" t="str">
        <f t="shared" si="3"/>
        <v>SL-20250623-FMC-CS-CDS-001-10</v>
      </c>
      <c r="B831" s="2">
        <f t="array" ref="B831">INDEX(helper!$A$3:$A3996,ROUNDUP((ROW()-1)/COUNTA(helper!$D$3:$D3996),0))</f>
        <v>45831</v>
      </c>
      <c r="C831" s="5" t="str">
        <f t="array" ref="C831">IF(B831="","",INDEX(helper!$D$3:$D3996,MOD(ROW()-2,COUNTA(helper!$D$3:$D3996))+1))</f>
        <v>FMC</v>
      </c>
      <c r="D831" s="3" t="str">
        <f t="array" ref="D831">IF(B831="","",INDEX(helper!$E$3:$E3996,MOD(ROW()-2,COUNTA(helper!$D$3:$D3996))+1))</f>
        <v>CS-CDS-001</v>
      </c>
      <c r="E831" s="3">
        <f t="array" ref="E831">IF(B831="","",INDEX(helper!$F$3:$F3996,MOD(ROW()-2,COUNTA(helper!$D$3:$D3996))+1))</f>
        <v>10</v>
      </c>
      <c r="F831" s="3">
        <f>IF(B831="","",SUMIFS('inventory ledger'!$H:$H,'inventory ledger'!$C:$C,C831,'inventory ledger'!$D:$D,D831,'inventory ledger'!$E:$E,E831,'inventory ledger'!$A:$A,"&lt;="&amp;B831+TIME(23,59,59))-SUMIFS('inventory ledger'!$I:$I,'inventory ledger'!$C:$C,C831,'inventory ledger'!$D:$D,D831,'inventory ledger'!$E:$E,E831,'inventory ledger'!$A:$A,"&lt;="&amp;B831+TIME(23,59,59)))</f>
        <v>0</v>
      </c>
      <c r="G831" s="3">
        <f>IFERROR(__xludf.DUMMYFUNCTION("IF(F831&lt;=0,0,IFERROR(ROUNDUP(F831/INDEX(FILTER('warehouse config'!$D:$D,('warehouse config'!$B:$B=C831)*('warehouse config'!$C:$C=D831)*('warehouse config'!$G:$G&lt;=B831)*(('warehouse config'!$H:$H&gt;=B831)+ISBLANK('warehouse config'!$H:$H))),1)),0))"),0.0)</f>
        <v>0</v>
      </c>
      <c r="H831" s="3">
        <f>IFERROR(__xludf.DUMMYFUNCTION("IFERROR(INDEX(FILTER('cost master'!$E:$E,('cost master'!$B:$B=C831)*('cost master'!$D:$D=""Storage cost per pallet / week"")*('cost master'!$G:$G&lt;=B831)*(('cost master'!$H:$H&gt;=B831)+ISBLANK('cost master'!$H:$H))),1),0)"),3.9)</f>
        <v>3.9</v>
      </c>
      <c r="I831" s="3">
        <f t="shared" si="4"/>
        <v>0</v>
      </c>
      <c r="J831" s="27">
        <f t="shared" si="5"/>
        <v>45824</v>
      </c>
      <c r="K831" s="27">
        <f t="shared" si="6"/>
        <v>45853</v>
      </c>
    </row>
    <row r="832">
      <c r="A832" s="3" t="str">
        <f t="shared" si="3"/>
        <v>SL-20250623-FMC-CS 007-11</v>
      </c>
      <c r="B832" s="2">
        <f t="array" ref="B832">INDEX(helper!$A$3:$A3996,ROUNDUP((ROW()-1)/COUNTA(helper!$D$3:$D3996),0))</f>
        <v>45831</v>
      </c>
      <c r="C832" s="5" t="str">
        <f t="array" ref="C832">IF(B832="","",INDEX(helper!$D$3:$D3996,MOD(ROW()-2,COUNTA(helper!$D$3:$D3996))+1))</f>
        <v>FMC</v>
      </c>
      <c r="D832" s="3" t="str">
        <f t="array" ref="D832">IF(B832="","",INDEX(helper!$E$3:$E3996,MOD(ROW()-2,COUNTA(helper!$D$3:$D3996))+1))</f>
        <v>CS 007</v>
      </c>
      <c r="E832" s="3">
        <f t="array" ref="E832">IF(B832="","",INDEX(helper!$F$3:$F3996,MOD(ROW()-2,COUNTA(helper!$D$3:$D3996))+1))</f>
        <v>11</v>
      </c>
      <c r="F832" s="3">
        <f>IF(B832="","",SUMIFS('inventory ledger'!$H:$H,'inventory ledger'!$C:$C,C832,'inventory ledger'!$D:$D,D832,'inventory ledger'!$E:$E,E832,'inventory ledger'!$A:$A,"&lt;="&amp;B832+TIME(23,59,59))-SUMIFS('inventory ledger'!$I:$I,'inventory ledger'!$C:$C,C832,'inventory ledger'!$D:$D,D832,'inventory ledger'!$E:$E,E832,'inventory ledger'!$A:$A,"&lt;="&amp;B832+TIME(23,59,59)))</f>
        <v>-1</v>
      </c>
      <c r="G832" s="3">
        <f>IFERROR(__xludf.DUMMYFUNCTION("IF(F832&lt;=0,0,IFERROR(ROUNDUP(F832/INDEX(FILTER('warehouse config'!$D:$D,('warehouse config'!$B:$B=C832)*('warehouse config'!$C:$C=D832)*('warehouse config'!$G:$G&lt;=B832)*(('warehouse config'!$H:$H&gt;=B832)+ISBLANK('warehouse config'!$H:$H))),1)),0))"),0.0)</f>
        <v>0</v>
      </c>
      <c r="H832" s="3">
        <f>IFERROR(__xludf.DUMMYFUNCTION("IFERROR(INDEX(FILTER('cost master'!$E:$E,('cost master'!$B:$B=C832)*('cost master'!$D:$D=""Storage cost per pallet / week"")*('cost master'!$G:$G&lt;=B832)*(('cost master'!$H:$H&gt;=B832)+ISBLANK('cost master'!$H:$H))),1),0)"),3.9)</f>
        <v>3.9</v>
      </c>
      <c r="I832" s="3">
        <f t="shared" si="4"/>
        <v>0</v>
      </c>
      <c r="J832" s="27">
        <f t="shared" si="5"/>
        <v>45824</v>
      </c>
      <c r="K832" s="27">
        <f t="shared" si="6"/>
        <v>45853</v>
      </c>
    </row>
    <row r="833" hidden="1">
      <c r="A833" s="3" t="str">
        <f t="shared" si="3"/>
        <v>SL-20250623-FMC-CS 009-11</v>
      </c>
      <c r="B833" s="2">
        <f t="array" ref="B833">INDEX(helper!$A$3:$A3996,ROUNDUP((ROW()-1)/COUNTA(helper!$D$3:$D3996),0))</f>
        <v>45831</v>
      </c>
      <c r="C833" s="5" t="str">
        <f t="array" ref="C833">IF(B833="","",INDEX(helper!$D$3:$D3996,MOD(ROW()-2,COUNTA(helper!$D$3:$D3996))+1))</f>
        <v>FMC</v>
      </c>
      <c r="D833" s="3" t="str">
        <f t="array" ref="D833">IF(B833="","",INDEX(helper!$E$3:$E3996,MOD(ROW()-2,COUNTA(helper!$D$3:$D3996))+1))</f>
        <v>CS 009</v>
      </c>
      <c r="E833" s="3">
        <f t="array" ref="E833">IF(B833="","",INDEX(helper!$F$3:$F3996,MOD(ROW()-2,COUNTA(helper!$D$3:$D3996))+1))</f>
        <v>11</v>
      </c>
      <c r="F833" s="3">
        <f>IF(B833="","",SUMIFS('inventory ledger'!$H:$H,'inventory ledger'!$C:$C,C833,'inventory ledger'!$D:$D,D833,'inventory ledger'!$E:$E,E833,'inventory ledger'!$A:$A,"&lt;="&amp;B833+TIME(23,59,59))-SUMIFS('inventory ledger'!$I:$I,'inventory ledger'!$C:$C,C833,'inventory ledger'!$D:$D,D833,'inventory ledger'!$E:$E,E833,'inventory ledger'!$A:$A,"&lt;="&amp;B833+TIME(23,59,59)))</f>
        <v>0</v>
      </c>
      <c r="G833" s="3">
        <f>IFERROR(__xludf.DUMMYFUNCTION("IF(F833&lt;=0,0,IFERROR(ROUNDUP(F833/INDEX(FILTER('warehouse config'!$D:$D,('warehouse config'!$B:$B=C833)*('warehouse config'!$C:$C=D833)*('warehouse config'!$G:$G&lt;=B833)*(('warehouse config'!$H:$H&gt;=B833)+ISBLANK('warehouse config'!$H:$H))),1)),0))"),0.0)</f>
        <v>0</v>
      </c>
      <c r="H833" s="3">
        <f>IFERROR(__xludf.DUMMYFUNCTION("IFERROR(INDEX(FILTER('cost master'!$E:$E,('cost master'!$B:$B=C833)*('cost master'!$D:$D=""Storage cost per pallet / week"")*('cost master'!$G:$G&lt;=B833)*(('cost master'!$H:$H&gt;=B833)+ISBLANK('cost master'!$H:$H))),1),0)"),3.9)</f>
        <v>3.9</v>
      </c>
      <c r="I833" s="3">
        <f t="shared" si="4"/>
        <v>0</v>
      </c>
      <c r="J833" s="27">
        <f t="shared" si="5"/>
        <v>45824</v>
      </c>
      <c r="K833" s="27">
        <f t="shared" si="6"/>
        <v>45853</v>
      </c>
    </row>
    <row r="834" hidden="1">
      <c r="A834" s="3" t="str">
        <f t="shared" si="3"/>
        <v>SL-20250623-FMC-CS 010-11</v>
      </c>
      <c r="B834" s="2">
        <f t="array" ref="B834">INDEX(helper!$A$3:$A3996,ROUNDUP((ROW()-1)/COUNTA(helper!$D$3:$D3996),0))</f>
        <v>45831</v>
      </c>
      <c r="C834" s="5" t="str">
        <f t="array" ref="C834">IF(B834="","",INDEX(helper!$D$3:$D3996,MOD(ROW()-2,COUNTA(helper!$D$3:$D3996))+1))</f>
        <v>FMC</v>
      </c>
      <c r="D834" s="3" t="str">
        <f t="array" ref="D834">IF(B834="","",INDEX(helper!$E$3:$E3996,MOD(ROW()-2,COUNTA(helper!$D$3:$D3996))+1))</f>
        <v>CS 010</v>
      </c>
      <c r="E834" s="3">
        <f t="array" ref="E834">IF(B834="","",INDEX(helper!$F$3:$F3996,MOD(ROW()-2,COUNTA(helper!$D$3:$D3996))+1))</f>
        <v>11</v>
      </c>
      <c r="F834" s="3">
        <f>IF(B834="","",SUMIFS('inventory ledger'!$H:$H,'inventory ledger'!$C:$C,C834,'inventory ledger'!$D:$D,D834,'inventory ledger'!$E:$E,E834,'inventory ledger'!$A:$A,"&lt;="&amp;B834+TIME(23,59,59))-SUMIFS('inventory ledger'!$I:$I,'inventory ledger'!$C:$C,C834,'inventory ledger'!$D:$D,D834,'inventory ledger'!$E:$E,E834,'inventory ledger'!$A:$A,"&lt;="&amp;B834+TIME(23,59,59)))</f>
        <v>6</v>
      </c>
      <c r="G834" s="3">
        <f>IFERROR(__xludf.DUMMYFUNCTION("IF(F834&lt;=0,0,IFERROR(ROUNDUP(F834/INDEX(FILTER('warehouse config'!$D:$D,('warehouse config'!$B:$B=C834)*('warehouse config'!$C:$C=D834)*('warehouse config'!$G:$G&lt;=B834)*(('warehouse config'!$H:$H&gt;=B834)+ISBLANK('warehouse config'!$H:$H))),1)),0))"),1.0)</f>
        <v>1</v>
      </c>
      <c r="H834" s="3">
        <f>IFERROR(__xludf.DUMMYFUNCTION("IFERROR(INDEX(FILTER('cost master'!$E:$E,('cost master'!$B:$B=C834)*('cost master'!$D:$D=""Storage cost per pallet / week"")*('cost master'!$G:$G&lt;=B834)*(('cost master'!$H:$H&gt;=B834)+ISBLANK('cost master'!$H:$H))),1),0)"),3.9)</f>
        <v>3.9</v>
      </c>
      <c r="I834" s="3">
        <f t="shared" si="4"/>
        <v>3.9</v>
      </c>
      <c r="J834" s="27">
        <f t="shared" si="5"/>
        <v>45824</v>
      </c>
      <c r="K834" s="27">
        <f t="shared" si="6"/>
        <v>45853</v>
      </c>
    </row>
    <row r="835" hidden="1">
      <c r="A835" s="3" t="str">
        <f t="shared" si="3"/>
        <v>SL-20250623-Vglobal-CS 007-12</v>
      </c>
      <c r="B835" s="2">
        <f t="array" ref="B835">INDEX(helper!$A$3:$A3996,ROUNDUP((ROW()-1)/COUNTA(helper!$D$3:$D3996),0))</f>
        <v>45831</v>
      </c>
      <c r="C835" s="5" t="str">
        <f t="array" ref="C835">IF(B835="","",INDEX(helper!$D$3:$D3996,MOD(ROW()-2,COUNTA(helper!$D$3:$D3996))+1))</f>
        <v>Vglobal</v>
      </c>
      <c r="D835" s="3" t="str">
        <f t="array" ref="D835">IF(B835="","",INDEX(helper!$E$3:$E3996,MOD(ROW()-2,COUNTA(helper!$D$3:$D3996))+1))</f>
        <v>CS 007</v>
      </c>
      <c r="E835" s="3">
        <f t="array" ref="E835">IF(B835="","",INDEX(helper!$F$3:$F3996,MOD(ROW()-2,COUNTA(helper!$D$3:$D3996))+1))</f>
        <v>12</v>
      </c>
      <c r="F835" s="3">
        <f>IF(B835="","",SUMIFS('inventory ledger'!$H:$H,'inventory ledger'!$C:$C,C835,'inventory ledger'!$D:$D,D835,'inventory ledger'!$E:$E,E835,'inventory ledger'!$A:$A,"&lt;="&amp;B835+TIME(23,59,59))-SUMIFS('inventory ledger'!$I:$I,'inventory ledger'!$C:$C,C835,'inventory ledger'!$D:$D,D835,'inventory ledger'!$E:$E,E835,'inventory ledger'!$A:$A,"&lt;="&amp;B835+TIME(23,59,59)))</f>
        <v>0</v>
      </c>
      <c r="G835" s="3">
        <f>IFERROR(__xludf.DUMMYFUNCTION("IF(F835&lt;=0,0,IFERROR(ROUNDUP(F835/INDEX(FILTER('warehouse config'!$D:$D,('warehouse config'!$B:$B=C835)*('warehouse config'!$C:$C=D835)*('warehouse config'!$G:$G&lt;=B835)*(('warehouse config'!$H:$H&gt;=B835)+ISBLANK('warehouse config'!$H:$H))),1)),0))"),0.0)</f>
        <v>0</v>
      </c>
      <c r="H835" s="3">
        <f>IFERROR(__xludf.DUMMYFUNCTION("IFERROR(INDEX(FILTER('cost master'!$E:$E,('cost master'!$B:$B=C835)*('cost master'!$D:$D=""Storage cost per pallet / week"")*('cost master'!$G:$G&lt;=B835)*(('cost master'!$H:$H&gt;=B835)+ISBLANK('cost master'!$H:$H))),1),0)"),2.6)</f>
        <v>2.6</v>
      </c>
      <c r="I835" s="3">
        <f t="shared" si="4"/>
        <v>0</v>
      </c>
      <c r="J835" s="27">
        <f t="shared" si="5"/>
        <v>45824</v>
      </c>
      <c r="K835" s="27">
        <f t="shared" si="6"/>
        <v>45853</v>
      </c>
    </row>
    <row r="836" hidden="1">
      <c r="A836" s="3" t="str">
        <f t="shared" si="3"/>
        <v>SL-20250623-Vglobal-CS 011-12</v>
      </c>
      <c r="B836" s="2">
        <f t="array" ref="B836">INDEX(helper!$A$3:$A3996,ROUNDUP((ROW()-1)/COUNTA(helper!$D$3:$D3996),0))</f>
        <v>45831</v>
      </c>
      <c r="C836" s="5" t="str">
        <f t="array" ref="C836">IF(B836="","",INDEX(helper!$D$3:$D3996,MOD(ROW()-2,COUNTA(helper!$D$3:$D3996))+1))</f>
        <v>Vglobal</v>
      </c>
      <c r="D836" s="3" t="str">
        <f t="array" ref="D836">IF(B836="","",INDEX(helper!$E$3:$E3996,MOD(ROW()-2,COUNTA(helper!$D$3:$D3996))+1))</f>
        <v>CS 011</v>
      </c>
      <c r="E836" s="3">
        <f t="array" ref="E836">IF(B836="","",INDEX(helper!$F$3:$F3996,MOD(ROW()-2,COUNTA(helper!$D$3:$D3996))+1))</f>
        <v>12</v>
      </c>
      <c r="F836" s="3">
        <f>IF(B836="","",SUMIFS('inventory ledger'!$H:$H,'inventory ledger'!$C:$C,C836,'inventory ledger'!$D:$D,D836,'inventory ledger'!$E:$E,E836,'inventory ledger'!$A:$A,"&lt;="&amp;B836+TIME(23,59,59))-SUMIFS('inventory ledger'!$I:$I,'inventory ledger'!$C:$C,C836,'inventory ledger'!$D:$D,D836,'inventory ledger'!$E:$E,E836,'inventory ledger'!$A:$A,"&lt;="&amp;B836+TIME(23,59,59)))</f>
        <v>0</v>
      </c>
      <c r="G836" s="3">
        <f>IFERROR(__xludf.DUMMYFUNCTION("IF(F836&lt;=0,0,IFERROR(ROUNDUP(F836/INDEX(FILTER('warehouse config'!$D:$D,('warehouse config'!$B:$B=C836)*('warehouse config'!$C:$C=D836)*('warehouse config'!$G:$G&lt;=B836)*(('warehouse config'!$H:$H&gt;=B836)+ISBLANK('warehouse config'!$H:$H))),1)),0))"),0.0)</f>
        <v>0</v>
      </c>
      <c r="H836" s="3">
        <f>IFERROR(__xludf.DUMMYFUNCTION("IFERROR(INDEX(FILTER('cost master'!$E:$E,('cost master'!$B:$B=C836)*('cost master'!$D:$D=""Storage cost per pallet / week"")*('cost master'!$G:$G&lt;=B836)*(('cost master'!$H:$H&gt;=B836)+ISBLANK('cost master'!$H:$H))),1),0)"),2.6)</f>
        <v>2.6</v>
      </c>
      <c r="I836" s="3">
        <f t="shared" si="4"/>
        <v>0</v>
      </c>
      <c r="J836" s="27">
        <f t="shared" si="5"/>
        <v>45824</v>
      </c>
      <c r="K836" s="27">
        <f t="shared" si="6"/>
        <v>45853</v>
      </c>
    </row>
    <row r="837" hidden="1">
      <c r="A837" s="3" t="str">
        <f t="shared" si="3"/>
        <v>SL-20250623-Vglobal-CS 008-12</v>
      </c>
      <c r="B837" s="2">
        <f t="array" ref="B837">INDEX(helper!$A$3:$A3996,ROUNDUP((ROW()-1)/COUNTA(helper!$D$3:$D3996),0))</f>
        <v>45831</v>
      </c>
      <c r="C837" s="5" t="str">
        <f t="array" ref="C837">IF(B837="","",INDEX(helper!$D$3:$D3996,MOD(ROW()-2,COUNTA(helper!$D$3:$D3996))+1))</f>
        <v>Vglobal</v>
      </c>
      <c r="D837" s="3" t="str">
        <f t="array" ref="D837">IF(B837="","",INDEX(helper!$E$3:$E3996,MOD(ROW()-2,COUNTA(helper!$D$3:$D3996))+1))</f>
        <v>CS 008</v>
      </c>
      <c r="E837" s="3">
        <f t="array" ref="E837">IF(B837="","",INDEX(helper!$F$3:$F3996,MOD(ROW()-2,COUNTA(helper!$D$3:$D3996))+1))</f>
        <v>12</v>
      </c>
      <c r="F837" s="3">
        <f>IF(B837="","",SUMIFS('inventory ledger'!$H:$H,'inventory ledger'!$C:$C,C837,'inventory ledger'!$D:$D,D837,'inventory ledger'!$E:$E,E837,'inventory ledger'!$A:$A,"&lt;="&amp;B837+TIME(23,59,59))-SUMIFS('inventory ledger'!$I:$I,'inventory ledger'!$C:$C,C837,'inventory ledger'!$D:$D,D837,'inventory ledger'!$E:$E,E837,'inventory ledger'!$A:$A,"&lt;="&amp;B837+TIME(23,59,59)))</f>
        <v>0</v>
      </c>
      <c r="G837" s="3">
        <f>IFERROR(__xludf.DUMMYFUNCTION("IF(F837&lt;=0,0,IFERROR(ROUNDUP(F837/INDEX(FILTER('warehouse config'!$D:$D,('warehouse config'!$B:$B=C837)*('warehouse config'!$C:$C=D837)*('warehouse config'!$G:$G&lt;=B837)*(('warehouse config'!$H:$H&gt;=B837)+ISBLANK('warehouse config'!$H:$H))),1)),0))"),0.0)</f>
        <v>0</v>
      </c>
      <c r="H837" s="3">
        <f>IFERROR(__xludf.DUMMYFUNCTION("IFERROR(INDEX(FILTER('cost master'!$E:$E,('cost master'!$B:$B=C837)*('cost master'!$D:$D=""Storage cost per pallet / week"")*('cost master'!$G:$G&lt;=B837)*(('cost master'!$H:$H&gt;=B837)+ISBLANK('cost master'!$H:$H))),1),0)"),2.6)</f>
        <v>2.6</v>
      </c>
      <c r="I837" s="3">
        <f t="shared" si="4"/>
        <v>0</v>
      </c>
      <c r="J837" s="27">
        <f t="shared" si="5"/>
        <v>45824</v>
      </c>
      <c r="K837" s="27">
        <f t="shared" si="6"/>
        <v>45853</v>
      </c>
    </row>
    <row r="838" hidden="1">
      <c r="A838" s="3" t="str">
        <f t="shared" si="3"/>
        <v>SL-20250623-Vglobal-CS 010-12</v>
      </c>
      <c r="B838" s="2">
        <f t="array" ref="B838">INDEX(helper!$A$3:$A3996,ROUNDUP((ROW()-1)/COUNTA(helper!$D$3:$D3996),0))</f>
        <v>45831</v>
      </c>
      <c r="C838" s="5" t="str">
        <f t="array" ref="C838">IF(B838="","",INDEX(helper!$D$3:$D3996,MOD(ROW()-2,COUNTA(helper!$D$3:$D3996))+1))</f>
        <v>Vglobal</v>
      </c>
      <c r="D838" s="3" t="str">
        <f t="array" ref="D838">IF(B838="","",INDEX(helper!$E$3:$E3996,MOD(ROW()-2,COUNTA(helper!$D$3:$D3996))+1))</f>
        <v>CS 010</v>
      </c>
      <c r="E838" s="3">
        <f t="array" ref="E838">IF(B838="","",INDEX(helper!$F$3:$F3996,MOD(ROW()-2,COUNTA(helper!$D$3:$D3996))+1))</f>
        <v>12</v>
      </c>
      <c r="F838" s="3">
        <f>IF(B838="","",SUMIFS('inventory ledger'!$H:$H,'inventory ledger'!$C:$C,C838,'inventory ledger'!$D:$D,D838,'inventory ledger'!$E:$E,E838,'inventory ledger'!$A:$A,"&lt;="&amp;B838+TIME(23,59,59))-SUMIFS('inventory ledger'!$I:$I,'inventory ledger'!$C:$C,C838,'inventory ledger'!$D:$D,D838,'inventory ledger'!$E:$E,E838,'inventory ledger'!$A:$A,"&lt;="&amp;B838+TIME(23,59,59)))</f>
        <v>70</v>
      </c>
      <c r="G838" s="3">
        <f>IFERROR(__xludf.DUMMYFUNCTION("IF(F838&lt;=0,0,IFERROR(ROUNDUP(F838/INDEX(FILTER('warehouse config'!$D:$D,('warehouse config'!$B:$B=C838)*('warehouse config'!$C:$C=D838)*('warehouse config'!$G:$G&lt;=B838)*(('warehouse config'!$H:$H&gt;=B838)+ISBLANK('warehouse config'!$H:$H))),1)),0))"),3.0)</f>
        <v>3</v>
      </c>
      <c r="H838" s="3">
        <f>IFERROR(__xludf.DUMMYFUNCTION("IFERROR(INDEX(FILTER('cost master'!$E:$E,('cost master'!$B:$B=C838)*('cost master'!$D:$D=""Storage cost per pallet / week"")*('cost master'!$G:$G&lt;=B838)*(('cost master'!$H:$H&gt;=B838)+ISBLANK('cost master'!$H:$H))),1),0)"),2.6)</f>
        <v>2.6</v>
      </c>
      <c r="I838" s="3">
        <f t="shared" si="4"/>
        <v>7.8</v>
      </c>
      <c r="J838" s="27">
        <f t="shared" si="5"/>
        <v>45824</v>
      </c>
      <c r="K838" s="27">
        <f t="shared" si="6"/>
        <v>45853</v>
      </c>
    </row>
    <row r="839" hidden="1">
      <c r="A839" s="3" t="str">
        <f t="shared" si="3"/>
        <v>SL-20250623-Vglobal-CS 009-12</v>
      </c>
      <c r="B839" s="2">
        <f t="array" ref="B839">INDEX(helper!$A$3:$A3996,ROUNDUP((ROW()-1)/COUNTA(helper!$D$3:$D3996),0))</f>
        <v>45831</v>
      </c>
      <c r="C839" s="5" t="str">
        <f t="array" ref="C839">IF(B839="","",INDEX(helper!$D$3:$D3996,MOD(ROW()-2,COUNTA(helper!$D$3:$D3996))+1))</f>
        <v>Vglobal</v>
      </c>
      <c r="D839" s="3" t="str">
        <f t="array" ref="D839">IF(B839="","",INDEX(helper!$E$3:$E3996,MOD(ROW()-2,COUNTA(helper!$D$3:$D3996))+1))</f>
        <v>CS 009</v>
      </c>
      <c r="E839" s="3">
        <f t="array" ref="E839">IF(B839="","",INDEX(helper!$F$3:$F3996,MOD(ROW()-2,COUNTA(helper!$D$3:$D3996))+1))</f>
        <v>12</v>
      </c>
      <c r="F839" s="3">
        <f>IF(B839="","",SUMIFS('inventory ledger'!$H:$H,'inventory ledger'!$C:$C,C839,'inventory ledger'!$D:$D,D839,'inventory ledger'!$E:$E,E839,'inventory ledger'!$A:$A,"&lt;="&amp;B839+TIME(23,59,59))-SUMIFS('inventory ledger'!$I:$I,'inventory ledger'!$C:$C,C839,'inventory ledger'!$D:$D,D839,'inventory ledger'!$E:$E,E839,'inventory ledger'!$A:$A,"&lt;="&amp;B839+TIME(23,59,59)))</f>
        <v>0</v>
      </c>
      <c r="G839" s="3">
        <f>IFERROR(__xludf.DUMMYFUNCTION("IF(F839&lt;=0,0,IFERROR(ROUNDUP(F839/INDEX(FILTER('warehouse config'!$D:$D,('warehouse config'!$B:$B=C839)*('warehouse config'!$C:$C=D839)*('warehouse config'!$G:$G&lt;=B839)*(('warehouse config'!$H:$H&gt;=B839)+ISBLANK('warehouse config'!$H:$H))),1)),0))"),0.0)</f>
        <v>0</v>
      </c>
      <c r="H839" s="3">
        <f>IFERROR(__xludf.DUMMYFUNCTION("IFERROR(INDEX(FILTER('cost master'!$E:$E,('cost master'!$B:$B=C839)*('cost master'!$D:$D=""Storage cost per pallet / week"")*('cost master'!$G:$G&lt;=B839)*(('cost master'!$H:$H&gt;=B839)+ISBLANK('cost master'!$H:$H))),1),0)"),2.6)</f>
        <v>2.6</v>
      </c>
      <c r="I839" s="3">
        <f t="shared" si="4"/>
        <v>0</v>
      </c>
      <c r="J839" s="27">
        <f t="shared" si="5"/>
        <v>45824</v>
      </c>
      <c r="K839" s="27">
        <f t="shared" si="6"/>
        <v>45853</v>
      </c>
    </row>
    <row r="840" hidden="1">
      <c r="A840" s="3" t="str">
        <f t="shared" si="3"/>
        <v>SL-20250623-Vglobal-CS 012-12</v>
      </c>
      <c r="B840" s="2">
        <f t="array" ref="B840">INDEX(helper!$A$3:$A3996,ROUNDUP((ROW()-1)/COUNTA(helper!$D$3:$D3996),0))</f>
        <v>45831</v>
      </c>
      <c r="C840" s="5" t="str">
        <f t="array" ref="C840">IF(B840="","",INDEX(helper!$D$3:$D3996,MOD(ROW()-2,COUNTA(helper!$D$3:$D3996))+1))</f>
        <v>Vglobal</v>
      </c>
      <c r="D840" s="3" t="str">
        <f t="array" ref="D840">IF(B840="","",INDEX(helper!$E$3:$E3996,MOD(ROW()-2,COUNTA(helper!$D$3:$D3996))+1))</f>
        <v>CS 012</v>
      </c>
      <c r="E840" s="3">
        <f t="array" ref="E840">IF(B840="","",INDEX(helper!$F$3:$F3996,MOD(ROW()-2,COUNTA(helper!$D$3:$D3996))+1))</f>
        <v>12</v>
      </c>
      <c r="F840" s="3">
        <f>IF(B840="","",SUMIFS('inventory ledger'!$H:$H,'inventory ledger'!$C:$C,C840,'inventory ledger'!$D:$D,D840,'inventory ledger'!$E:$E,E840,'inventory ledger'!$A:$A,"&lt;="&amp;B840+TIME(23,59,59))-SUMIFS('inventory ledger'!$I:$I,'inventory ledger'!$C:$C,C840,'inventory ledger'!$D:$D,D840,'inventory ledger'!$E:$E,E840,'inventory ledger'!$A:$A,"&lt;="&amp;B840+TIME(23,59,59)))</f>
        <v>0</v>
      </c>
      <c r="G840" s="3">
        <f>IFERROR(__xludf.DUMMYFUNCTION("IF(F840&lt;=0,0,IFERROR(ROUNDUP(F840/INDEX(FILTER('warehouse config'!$D:$D,('warehouse config'!$B:$B=C840)*('warehouse config'!$C:$C=D840)*('warehouse config'!$G:$G&lt;=B840)*(('warehouse config'!$H:$H&gt;=B840)+ISBLANK('warehouse config'!$H:$H))),1)),0))"),0.0)</f>
        <v>0</v>
      </c>
      <c r="H840" s="3">
        <f>IFERROR(__xludf.DUMMYFUNCTION("IFERROR(INDEX(FILTER('cost master'!$E:$E,('cost master'!$B:$B=C840)*('cost master'!$D:$D=""Storage cost per pallet / week"")*('cost master'!$G:$G&lt;=B840)*(('cost master'!$H:$H&gt;=B840)+ISBLANK('cost master'!$H:$H))),1),0)"),2.6)</f>
        <v>2.6</v>
      </c>
      <c r="I840" s="3">
        <f t="shared" si="4"/>
        <v>0</v>
      </c>
      <c r="J840" s="27">
        <f t="shared" si="5"/>
        <v>45824</v>
      </c>
      <c r="K840" s="27">
        <f t="shared" si="6"/>
        <v>45853</v>
      </c>
    </row>
    <row r="841" hidden="1">
      <c r="A841" s="3" t="str">
        <f t="shared" si="3"/>
        <v>SL-20250623-Vglobal-CS-CDS-001-3</v>
      </c>
      <c r="B841" s="2">
        <f t="array" ref="B841">INDEX(helper!$A$3:$A3996,ROUNDUP((ROW()-1)/COUNTA(helper!$D$3:$D3996),0))</f>
        <v>45831</v>
      </c>
      <c r="C841" s="5" t="str">
        <f t="array" ref="C841">IF(B841="","",INDEX(helper!$D$3:$D3996,MOD(ROW()-2,COUNTA(helper!$D$3:$D3996))+1))</f>
        <v>Vglobal</v>
      </c>
      <c r="D841" s="3" t="str">
        <f t="array" ref="D841">IF(B841="","",INDEX(helper!$E$3:$E3996,MOD(ROW()-2,COUNTA(helper!$D$3:$D3996))+1))</f>
        <v>CS-CDS-001</v>
      </c>
      <c r="E841" s="3">
        <f t="array" ref="E841">IF(B841="","",INDEX(helper!$F$3:$F3996,MOD(ROW()-2,COUNTA(helper!$D$3:$D3996))+1))</f>
        <v>3</v>
      </c>
      <c r="F841" s="3">
        <f>IF(B841="","",SUMIFS('inventory ledger'!$H:$H,'inventory ledger'!$C:$C,C841,'inventory ledger'!$D:$D,D841,'inventory ledger'!$E:$E,E841,'inventory ledger'!$A:$A,"&lt;="&amp;B841+TIME(23,59,59))-SUMIFS('inventory ledger'!$I:$I,'inventory ledger'!$C:$C,C841,'inventory ledger'!$D:$D,D841,'inventory ledger'!$E:$E,E841,'inventory ledger'!$A:$A,"&lt;="&amp;B841+TIME(23,59,59)))</f>
        <v>1</v>
      </c>
      <c r="G841" s="3">
        <f>IFERROR(__xludf.DUMMYFUNCTION("IF(F841&lt;=0,0,IFERROR(ROUNDUP(F841/INDEX(FILTER('warehouse config'!$D:$D,('warehouse config'!$B:$B=C841)*('warehouse config'!$C:$C=D841)*('warehouse config'!$G:$G&lt;=B841)*(('warehouse config'!$H:$H&gt;=B841)+ISBLANK('warehouse config'!$H:$H))),1)),0))"),1.0)</f>
        <v>1</v>
      </c>
      <c r="H841" s="3">
        <f>IFERROR(__xludf.DUMMYFUNCTION("IFERROR(INDEX(FILTER('cost master'!$E:$E,('cost master'!$B:$B=C841)*('cost master'!$D:$D=""Storage cost per pallet / week"")*('cost master'!$G:$G&lt;=B841)*(('cost master'!$H:$H&gt;=B841)+ISBLANK('cost master'!$H:$H))),1),0)"),2.6)</f>
        <v>2.6</v>
      </c>
      <c r="I841" s="3">
        <f t="shared" si="4"/>
        <v>2.6</v>
      </c>
      <c r="J841" s="27">
        <f t="shared" si="5"/>
        <v>45824</v>
      </c>
      <c r="K841" s="27">
        <f t="shared" si="6"/>
        <v>45853</v>
      </c>
    </row>
    <row r="842" hidden="1">
      <c r="A842" s="3" t="str">
        <f t="shared" si="3"/>
        <v>SL-20250623-Vglobal-CS-CDS-002-3</v>
      </c>
      <c r="B842" s="2">
        <f t="array" ref="B842">INDEX(helper!$A$3:$A3996,ROUNDUP((ROW()-1)/COUNTA(helper!$D$3:$D3996),0))</f>
        <v>45831</v>
      </c>
      <c r="C842" s="5" t="str">
        <f t="array" ref="C842">IF(B842="","",INDEX(helper!$D$3:$D3996,MOD(ROW()-2,COUNTA(helper!$D$3:$D3996))+1))</f>
        <v>Vglobal</v>
      </c>
      <c r="D842" s="3" t="str">
        <f t="array" ref="D842">IF(B842="","",INDEX(helper!$E$3:$E3996,MOD(ROW()-2,COUNTA(helper!$D$3:$D3996))+1))</f>
        <v>CS-CDS-002</v>
      </c>
      <c r="E842" s="3">
        <f t="array" ref="E842">IF(B842="","",INDEX(helper!$F$3:$F3996,MOD(ROW()-2,COUNTA(helper!$D$3:$D3996))+1))</f>
        <v>3</v>
      </c>
      <c r="F842" s="3">
        <f>IF(B842="","",SUMIFS('inventory ledger'!$H:$H,'inventory ledger'!$C:$C,C842,'inventory ledger'!$D:$D,D842,'inventory ledger'!$E:$E,E842,'inventory ledger'!$A:$A,"&lt;="&amp;B842+TIME(23,59,59))-SUMIFS('inventory ledger'!$I:$I,'inventory ledger'!$C:$C,C842,'inventory ledger'!$D:$D,D842,'inventory ledger'!$E:$E,E842,'inventory ledger'!$A:$A,"&lt;="&amp;B842+TIME(23,59,59)))</f>
        <v>0</v>
      </c>
      <c r="G842" s="3">
        <f>IFERROR(__xludf.DUMMYFUNCTION("IF(F842&lt;=0,0,IFERROR(ROUNDUP(F842/INDEX(FILTER('warehouse config'!$D:$D,('warehouse config'!$B:$B=C842)*('warehouse config'!$C:$C=D842)*('warehouse config'!$G:$G&lt;=B842)*(('warehouse config'!$H:$H&gt;=B842)+ISBLANK('warehouse config'!$H:$H))),1)),0))"),0.0)</f>
        <v>0</v>
      </c>
      <c r="H842" s="3">
        <f>IFERROR(__xludf.DUMMYFUNCTION("IFERROR(INDEX(FILTER('cost master'!$E:$E,('cost master'!$B:$B=C842)*('cost master'!$D:$D=""Storage cost per pallet / week"")*('cost master'!$G:$G&lt;=B842)*(('cost master'!$H:$H&gt;=B842)+ISBLANK('cost master'!$H:$H))),1),0)"),2.6)</f>
        <v>2.6</v>
      </c>
      <c r="I842" s="3">
        <f t="shared" si="4"/>
        <v>0</v>
      </c>
      <c r="J842" s="27">
        <f t="shared" si="5"/>
        <v>45824</v>
      </c>
      <c r="K842" s="27">
        <f t="shared" si="6"/>
        <v>45853</v>
      </c>
    </row>
    <row r="843" hidden="1">
      <c r="A843" s="3" t="str">
        <f t="shared" si="3"/>
        <v>SL-20250623-4as-CS-CDS-001-4</v>
      </c>
      <c r="B843" s="2">
        <f t="array" ref="B843">INDEX(helper!$A$3:$A3996,ROUNDUP((ROW()-1)/COUNTA(helper!$D$3:$D3996),0))</f>
        <v>45831</v>
      </c>
      <c r="C843" s="5" t="str">
        <f t="array" ref="C843">IF(B843="","",INDEX(helper!$D$3:$D3996,MOD(ROW()-2,COUNTA(helper!$D$3:$D3996))+1))</f>
        <v>4as</v>
      </c>
      <c r="D843" s="3" t="str">
        <f t="array" ref="D843">IF(B843="","",INDEX(helper!$E$3:$E3996,MOD(ROW()-2,COUNTA(helper!$D$3:$D3996))+1))</f>
        <v>CS-CDS-001</v>
      </c>
      <c r="E843" s="3">
        <f t="array" ref="E843">IF(B843="","",INDEX(helper!$F$3:$F3996,MOD(ROW()-2,COUNTA(helper!$D$3:$D3996))+1))</f>
        <v>4</v>
      </c>
      <c r="F843" s="3">
        <f>IF(B843="","",SUMIFS('inventory ledger'!$H:$H,'inventory ledger'!$C:$C,C843,'inventory ledger'!$D:$D,D843,'inventory ledger'!$E:$E,E843,'inventory ledger'!$A:$A,"&lt;="&amp;B843+TIME(23,59,59))-SUMIFS('inventory ledger'!$I:$I,'inventory ledger'!$C:$C,C843,'inventory ledger'!$D:$D,D843,'inventory ledger'!$E:$E,E843,'inventory ledger'!$A:$A,"&lt;="&amp;B843+TIME(23,59,59)))</f>
        <v>0</v>
      </c>
      <c r="G843" s="3">
        <f>IFERROR(__xludf.DUMMYFUNCTION("IF(F843&lt;=0,0,IFERROR(ROUNDUP(F843/INDEX(FILTER('warehouse config'!$D:$D,('warehouse config'!$B:$B=C843)*('warehouse config'!$C:$C=D843)*('warehouse config'!$G:$G&lt;=B843)*(('warehouse config'!$H:$H&gt;=B843)+ISBLANK('warehouse config'!$H:$H))),1)),0))"),0.0)</f>
        <v>0</v>
      </c>
      <c r="H843" s="3">
        <f>IFERROR(__xludf.DUMMYFUNCTION("IFERROR(INDEX(FILTER('cost master'!$E:$E,('cost master'!$B:$B=C843)*('cost master'!$D:$D=""Storage cost per pallet / week"")*('cost master'!$G:$G&lt;=B843)*(('cost master'!$H:$H&gt;=B843)+ISBLANK('cost master'!$H:$H))),1),0)"),9.0)</f>
        <v>9</v>
      </c>
      <c r="I843" s="3">
        <f t="shared" si="4"/>
        <v>0</v>
      </c>
      <c r="J843" s="27">
        <f t="shared" si="5"/>
        <v>45824</v>
      </c>
      <c r="K843" s="27">
        <f t="shared" si="6"/>
        <v>45853</v>
      </c>
    </row>
    <row r="844" hidden="1">
      <c r="A844" s="3" t="str">
        <f t="shared" si="3"/>
        <v>SL-20250623-4as-CS-CDS-002-4</v>
      </c>
      <c r="B844" s="2">
        <f t="array" ref="B844">INDEX(helper!$A$3:$A3996,ROUNDUP((ROW()-1)/COUNTA(helper!$D$3:$D3996),0))</f>
        <v>45831</v>
      </c>
      <c r="C844" s="5" t="str">
        <f t="array" ref="C844">IF(B844="","",INDEX(helper!$D$3:$D3996,MOD(ROW()-2,COUNTA(helper!$D$3:$D3996))+1))</f>
        <v>4as</v>
      </c>
      <c r="D844" s="3" t="str">
        <f t="array" ref="D844">IF(B844="","",INDEX(helper!$E$3:$E3996,MOD(ROW()-2,COUNTA(helper!$D$3:$D3996))+1))</f>
        <v>CS-CDS-002</v>
      </c>
      <c r="E844" s="3">
        <f t="array" ref="E844">IF(B844="","",INDEX(helper!$F$3:$F3996,MOD(ROW()-2,COUNTA(helper!$D$3:$D3996))+1))</f>
        <v>4</v>
      </c>
      <c r="F844" s="3">
        <f>IF(B844="","",SUMIFS('inventory ledger'!$H:$H,'inventory ledger'!$C:$C,C844,'inventory ledger'!$D:$D,D844,'inventory ledger'!$E:$E,E844,'inventory ledger'!$A:$A,"&lt;="&amp;B844+TIME(23,59,59))-SUMIFS('inventory ledger'!$I:$I,'inventory ledger'!$C:$C,C844,'inventory ledger'!$D:$D,D844,'inventory ledger'!$E:$E,E844,'inventory ledger'!$A:$A,"&lt;="&amp;B844+TIME(23,59,59)))</f>
        <v>0</v>
      </c>
      <c r="G844" s="3">
        <f>IFERROR(__xludf.DUMMYFUNCTION("IF(F844&lt;=0,0,IFERROR(ROUNDUP(F844/INDEX(FILTER('warehouse config'!$D:$D,('warehouse config'!$B:$B=C844)*('warehouse config'!$C:$C=D844)*('warehouse config'!$G:$G&lt;=B844)*(('warehouse config'!$H:$H&gt;=B844)+ISBLANK('warehouse config'!$H:$H))),1)),0))"),0.0)</f>
        <v>0</v>
      </c>
      <c r="H844" s="3">
        <f>IFERROR(__xludf.DUMMYFUNCTION("IFERROR(INDEX(FILTER('cost master'!$E:$E,('cost master'!$B:$B=C844)*('cost master'!$D:$D=""Storage cost per pallet / week"")*('cost master'!$G:$G&lt;=B844)*(('cost master'!$H:$H&gt;=B844)+ISBLANK('cost master'!$H:$H))),1),0)"),9.0)</f>
        <v>9</v>
      </c>
      <c r="I844" s="3">
        <f t="shared" si="4"/>
        <v>0</v>
      </c>
      <c r="J844" s="27">
        <f t="shared" si="5"/>
        <v>45824</v>
      </c>
      <c r="K844" s="27">
        <f t="shared" si="6"/>
        <v>45853</v>
      </c>
    </row>
    <row r="845" hidden="1">
      <c r="A845" s="3" t="str">
        <f t="shared" si="3"/>
        <v>SL-20250623-Vglobal-CS 007-13</v>
      </c>
      <c r="B845" s="2">
        <f t="array" ref="B845">INDEX(helper!$A$3:$A3996,ROUNDUP((ROW()-1)/COUNTA(helper!$D$3:$D3996),0))</f>
        <v>45831</v>
      </c>
      <c r="C845" s="5" t="str">
        <f t="array" ref="C845">IF(B845="","",INDEX(helper!$D$3:$D3996,MOD(ROW()-2,COUNTA(helper!$D$3:$D3996))+1))</f>
        <v>Vglobal</v>
      </c>
      <c r="D845" s="3" t="str">
        <f t="array" ref="D845">IF(B845="","",INDEX(helper!$E$3:$E3996,MOD(ROW()-2,COUNTA(helper!$D$3:$D3996))+1))</f>
        <v>CS 007</v>
      </c>
      <c r="E845" s="3">
        <f t="array" ref="E845">IF(B845="","",INDEX(helper!$F$3:$F3996,MOD(ROW()-2,COUNTA(helper!$D$3:$D3996))+1))</f>
        <v>13</v>
      </c>
      <c r="F845" s="3">
        <f>IF(B845="","",SUMIFS('inventory ledger'!$H:$H,'inventory ledger'!$C:$C,C845,'inventory ledger'!$D:$D,D845,'inventory ledger'!$E:$E,E845,'inventory ledger'!$A:$A,"&lt;="&amp;B845+TIME(23,59,59))-SUMIFS('inventory ledger'!$I:$I,'inventory ledger'!$C:$C,C845,'inventory ledger'!$D:$D,D845,'inventory ledger'!$E:$E,E845,'inventory ledger'!$A:$A,"&lt;="&amp;B845+TIME(23,59,59)))</f>
        <v>45</v>
      </c>
      <c r="G845" s="3">
        <f>IFERROR(__xludf.DUMMYFUNCTION("IF(F845&lt;=0,0,IFERROR(ROUNDUP(F845/INDEX(FILTER('warehouse config'!$D:$D,('warehouse config'!$B:$B=C845)*('warehouse config'!$C:$C=D845)*('warehouse config'!$G:$G&lt;=B845)*(('warehouse config'!$H:$H&gt;=B845)+ISBLANK('warehouse config'!$H:$H))),1)),0))"),3.0)</f>
        <v>3</v>
      </c>
      <c r="H845" s="3">
        <f>IFERROR(__xludf.DUMMYFUNCTION("IFERROR(INDEX(FILTER('cost master'!$E:$E,('cost master'!$B:$B=C845)*('cost master'!$D:$D=""Storage cost per pallet / week"")*('cost master'!$G:$G&lt;=B845)*(('cost master'!$H:$H&gt;=B845)+ISBLANK('cost master'!$H:$H))),1),0)"),2.6)</f>
        <v>2.6</v>
      </c>
      <c r="I845" s="3">
        <f t="shared" si="4"/>
        <v>7.8</v>
      </c>
      <c r="J845" s="27">
        <f t="shared" si="5"/>
        <v>45824</v>
      </c>
      <c r="K845" s="27">
        <f t="shared" si="6"/>
        <v>45853</v>
      </c>
    </row>
    <row r="846" hidden="1">
      <c r="A846" s="3" t="str">
        <f t="shared" si="3"/>
        <v>SL-20250623-Vglobal-CS 011-13</v>
      </c>
      <c r="B846" s="2">
        <f t="array" ref="B846">INDEX(helper!$A$3:$A3996,ROUNDUP((ROW()-1)/COUNTA(helper!$D$3:$D3996),0))</f>
        <v>45831</v>
      </c>
      <c r="C846" s="5" t="str">
        <f t="array" ref="C846">IF(B846="","",INDEX(helper!$D$3:$D3996,MOD(ROW()-2,COUNTA(helper!$D$3:$D3996))+1))</f>
        <v>Vglobal</v>
      </c>
      <c r="D846" s="3" t="str">
        <f t="array" ref="D846">IF(B846="","",INDEX(helper!$E$3:$E3996,MOD(ROW()-2,COUNTA(helper!$D$3:$D3996))+1))</f>
        <v>CS 011</v>
      </c>
      <c r="E846" s="3">
        <f t="array" ref="E846">IF(B846="","",INDEX(helper!$F$3:$F3996,MOD(ROW()-2,COUNTA(helper!$D$3:$D3996))+1))</f>
        <v>13</v>
      </c>
      <c r="F846" s="3">
        <f>IF(B846="","",SUMIFS('inventory ledger'!$H:$H,'inventory ledger'!$C:$C,C846,'inventory ledger'!$D:$D,D846,'inventory ledger'!$E:$E,E846,'inventory ledger'!$A:$A,"&lt;="&amp;B846+TIME(23,59,59))-SUMIFS('inventory ledger'!$I:$I,'inventory ledger'!$C:$C,C846,'inventory ledger'!$D:$D,D846,'inventory ledger'!$E:$E,E846,'inventory ledger'!$A:$A,"&lt;="&amp;B846+TIME(23,59,59)))</f>
        <v>0</v>
      </c>
      <c r="G846" s="3">
        <f>IFERROR(__xludf.DUMMYFUNCTION("IF(F846&lt;=0,0,IFERROR(ROUNDUP(F846/INDEX(FILTER('warehouse config'!$D:$D,('warehouse config'!$B:$B=C846)*('warehouse config'!$C:$C=D846)*('warehouse config'!$G:$G&lt;=B846)*(('warehouse config'!$H:$H&gt;=B846)+ISBLANK('warehouse config'!$H:$H))),1)),0))"),0.0)</f>
        <v>0</v>
      </c>
      <c r="H846" s="3">
        <f>IFERROR(__xludf.DUMMYFUNCTION("IFERROR(INDEX(FILTER('cost master'!$E:$E,('cost master'!$B:$B=C846)*('cost master'!$D:$D=""Storage cost per pallet / week"")*('cost master'!$G:$G&lt;=B846)*(('cost master'!$H:$H&gt;=B846)+ISBLANK('cost master'!$H:$H))),1),0)"),2.6)</f>
        <v>2.6</v>
      </c>
      <c r="I846" s="3">
        <f t="shared" si="4"/>
        <v>0</v>
      </c>
      <c r="J846" s="27">
        <f t="shared" si="5"/>
        <v>45824</v>
      </c>
      <c r="K846" s="27">
        <f t="shared" si="6"/>
        <v>45853</v>
      </c>
    </row>
    <row r="847" hidden="1">
      <c r="A847" s="3" t="str">
        <f t="shared" si="3"/>
        <v>SL-20250623-Vglobal-CS 008-13</v>
      </c>
      <c r="B847" s="2">
        <f t="array" ref="B847">INDEX(helper!$A$3:$A3996,ROUNDUP((ROW()-1)/COUNTA(helper!$D$3:$D3996),0))</f>
        <v>45831</v>
      </c>
      <c r="C847" s="5" t="str">
        <f t="array" ref="C847">IF(B847="","",INDEX(helper!$D$3:$D3996,MOD(ROW()-2,COUNTA(helper!$D$3:$D3996))+1))</f>
        <v>Vglobal</v>
      </c>
      <c r="D847" s="3" t="str">
        <f t="array" ref="D847">IF(B847="","",INDEX(helper!$E$3:$E3996,MOD(ROW()-2,COUNTA(helper!$D$3:$D3996))+1))</f>
        <v>CS 008</v>
      </c>
      <c r="E847" s="3">
        <f t="array" ref="E847">IF(B847="","",INDEX(helper!$F$3:$F3996,MOD(ROW()-2,COUNTA(helper!$D$3:$D3996))+1))</f>
        <v>13</v>
      </c>
      <c r="F847" s="3">
        <f>IF(B847="","",SUMIFS('inventory ledger'!$H:$H,'inventory ledger'!$C:$C,C847,'inventory ledger'!$D:$D,D847,'inventory ledger'!$E:$E,E847,'inventory ledger'!$A:$A,"&lt;="&amp;B847+TIME(23,59,59))-SUMIFS('inventory ledger'!$I:$I,'inventory ledger'!$C:$C,C847,'inventory ledger'!$D:$D,D847,'inventory ledger'!$E:$E,E847,'inventory ledger'!$A:$A,"&lt;="&amp;B847+TIME(23,59,59)))</f>
        <v>20</v>
      </c>
      <c r="G847" s="3">
        <f>IFERROR(__xludf.DUMMYFUNCTION("IF(F847&lt;=0,0,IFERROR(ROUNDUP(F847/INDEX(FILTER('warehouse config'!$D:$D,('warehouse config'!$B:$B=C847)*('warehouse config'!$C:$C=D847)*('warehouse config'!$G:$G&lt;=B847)*(('warehouse config'!$H:$H&gt;=B847)+ISBLANK('warehouse config'!$H:$H))),1)),0))"),1.0)</f>
        <v>1</v>
      </c>
      <c r="H847" s="3">
        <f>IFERROR(__xludf.DUMMYFUNCTION("IFERROR(INDEX(FILTER('cost master'!$E:$E,('cost master'!$B:$B=C847)*('cost master'!$D:$D=""Storage cost per pallet / week"")*('cost master'!$G:$G&lt;=B847)*(('cost master'!$H:$H&gt;=B847)+ISBLANK('cost master'!$H:$H))),1),0)"),2.6)</f>
        <v>2.6</v>
      </c>
      <c r="I847" s="3">
        <f t="shared" si="4"/>
        <v>2.6</v>
      </c>
      <c r="J847" s="27">
        <f t="shared" si="5"/>
        <v>45824</v>
      </c>
      <c r="K847" s="27">
        <f t="shared" si="6"/>
        <v>45853</v>
      </c>
    </row>
    <row r="848" hidden="1">
      <c r="A848" s="3" t="str">
        <f t="shared" si="3"/>
        <v>SL-20250623-Vglobal-CS 010-13</v>
      </c>
      <c r="B848" s="2">
        <f t="array" ref="B848">INDEX(helper!$A$3:$A3996,ROUNDUP((ROW()-1)/COUNTA(helper!$D$3:$D3996),0))</f>
        <v>45831</v>
      </c>
      <c r="C848" s="5" t="str">
        <f t="array" ref="C848">IF(B848="","",INDEX(helper!$D$3:$D3996,MOD(ROW()-2,COUNTA(helper!$D$3:$D3996))+1))</f>
        <v>Vglobal</v>
      </c>
      <c r="D848" s="3" t="str">
        <f t="array" ref="D848">IF(B848="","",INDEX(helper!$E$3:$E3996,MOD(ROW()-2,COUNTA(helper!$D$3:$D3996))+1))</f>
        <v>CS 010</v>
      </c>
      <c r="E848" s="3">
        <f t="array" ref="E848">IF(B848="","",INDEX(helper!$F$3:$F3996,MOD(ROW()-2,COUNTA(helper!$D$3:$D3996))+1))</f>
        <v>13</v>
      </c>
      <c r="F848" s="3">
        <f>IF(B848="","",SUMIFS('inventory ledger'!$H:$H,'inventory ledger'!$C:$C,C848,'inventory ledger'!$D:$D,D848,'inventory ledger'!$E:$E,E848,'inventory ledger'!$A:$A,"&lt;="&amp;B848+TIME(23,59,59))-SUMIFS('inventory ledger'!$I:$I,'inventory ledger'!$C:$C,C848,'inventory ledger'!$D:$D,D848,'inventory ledger'!$E:$E,E848,'inventory ledger'!$A:$A,"&lt;="&amp;B848+TIME(23,59,59)))</f>
        <v>80</v>
      </c>
      <c r="G848" s="3">
        <f>IFERROR(__xludf.DUMMYFUNCTION("IF(F848&lt;=0,0,IFERROR(ROUNDUP(F848/INDEX(FILTER('warehouse config'!$D:$D,('warehouse config'!$B:$B=C848)*('warehouse config'!$C:$C=D848)*('warehouse config'!$G:$G&lt;=B848)*(('warehouse config'!$H:$H&gt;=B848)+ISBLANK('warehouse config'!$H:$H))),1)),0))"),4.0)</f>
        <v>4</v>
      </c>
      <c r="H848" s="3">
        <f>IFERROR(__xludf.DUMMYFUNCTION("IFERROR(INDEX(FILTER('cost master'!$E:$E,('cost master'!$B:$B=C848)*('cost master'!$D:$D=""Storage cost per pallet / week"")*('cost master'!$G:$G&lt;=B848)*(('cost master'!$H:$H&gt;=B848)+ISBLANK('cost master'!$H:$H))),1),0)"),2.6)</f>
        <v>2.6</v>
      </c>
      <c r="I848" s="3">
        <f t="shared" si="4"/>
        <v>10.4</v>
      </c>
      <c r="J848" s="27">
        <f t="shared" si="5"/>
        <v>45824</v>
      </c>
      <c r="K848" s="27">
        <f t="shared" si="6"/>
        <v>45853</v>
      </c>
    </row>
    <row r="849" hidden="1">
      <c r="A849" s="3" t="str">
        <f t="shared" si="3"/>
        <v>SL-20250623-Vglobal-CS 009-13</v>
      </c>
      <c r="B849" s="2">
        <f t="array" ref="B849">INDEX(helper!$A$3:$A3996,ROUNDUP((ROW()-1)/COUNTA(helper!$D$3:$D3996),0))</f>
        <v>45831</v>
      </c>
      <c r="C849" s="5" t="str">
        <f t="array" ref="C849">IF(B849="","",INDEX(helper!$D$3:$D3996,MOD(ROW()-2,COUNTA(helper!$D$3:$D3996))+1))</f>
        <v>Vglobal</v>
      </c>
      <c r="D849" s="3" t="str">
        <f t="array" ref="D849">IF(B849="","",INDEX(helper!$E$3:$E3996,MOD(ROW()-2,COUNTA(helper!$D$3:$D3996))+1))</f>
        <v>CS 009</v>
      </c>
      <c r="E849" s="3">
        <f t="array" ref="E849">IF(B849="","",INDEX(helper!$F$3:$F3996,MOD(ROW()-2,COUNTA(helper!$D$3:$D3996))+1))</f>
        <v>13</v>
      </c>
      <c r="F849" s="3">
        <f>IF(B849="","",SUMIFS('inventory ledger'!$H:$H,'inventory ledger'!$C:$C,C849,'inventory ledger'!$D:$D,D849,'inventory ledger'!$E:$E,E849,'inventory ledger'!$A:$A,"&lt;="&amp;B849+TIME(23,59,59))-SUMIFS('inventory ledger'!$I:$I,'inventory ledger'!$C:$C,C849,'inventory ledger'!$D:$D,D849,'inventory ledger'!$E:$E,E849,'inventory ledger'!$A:$A,"&lt;="&amp;B849+TIME(23,59,59)))</f>
        <v>0</v>
      </c>
      <c r="G849" s="3">
        <f>IFERROR(__xludf.DUMMYFUNCTION("IF(F849&lt;=0,0,IFERROR(ROUNDUP(F849/INDEX(FILTER('warehouse config'!$D:$D,('warehouse config'!$B:$B=C849)*('warehouse config'!$C:$C=D849)*('warehouse config'!$G:$G&lt;=B849)*(('warehouse config'!$H:$H&gt;=B849)+ISBLANK('warehouse config'!$H:$H))),1)),0))"),0.0)</f>
        <v>0</v>
      </c>
      <c r="H849" s="3">
        <f>IFERROR(__xludf.DUMMYFUNCTION("IFERROR(INDEX(FILTER('cost master'!$E:$E,('cost master'!$B:$B=C849)*('cost master'!$D:$D=""Storage cost per pallet / week"")*('cost master'!$G:$G&lt;=B849)*(('cost master'!$H:$H&gt;=B849)+ISBLANK('cost master'!$H:$H))),1),0)"),2.6)</f>
        <v>2.6</v>
      </c>
      <c r="I849" s="3">
        <f t="shared" si="4"/>
        <v>0</v>
      </c>
      <c r="J849" s="27">
        <f t="shared" si="5"/>
        <v>45824</v>
      </c>
      <c r="K849" s="27">
        <f t="shared" si="6"/>
        <v>45853</v>
      </c>
    </row>
    <row r="850" hidden="1">
      <c r="A850" s="3" t="str">
        <f t="shared" si="3"/>
        <v>SL-20250623-Vglobal-CS 012-13</v>
      </c>
      <c r="B850" s="2">
        <f t="array" ref="B850">INDEX(helper!$A$3:$A3996,ROUNDUP((ROW()-1)/COUNTA(helper!$D$3:$D3996),0))</f>
        <v>45831</v>
      </c>
      <c r="C850" s="5" t="str">
        <f t="array" ref="C850">IF(B850="","",INDEX(helper!$D$3:$D3996,MOD(ROW()-2,COUNTA(helper!$D$3:$D3996))+1))</f>
        <v>Vglobal</v>
      </c>
      <c r="D850" s="3" t="str">
        <f t="array" ref="D850">IF(B850="","",INDEX(helper!$E$3:$E3996,MOD(ROW()-2,COUNTA(helper!$D$3:$D3996))+1))</f>
        <v>CS 012</v>
      </c>
      <c r="E850" s="3">
        <f t="array" ref="E850">IF(B850="","",INDEX(helper!$F$3:$F3996,MOD(ROW()-2,COUNTA(helper!$D$3:$D3996))+1))</f>
        <v>13</v>
      </c>
      <c r="F850" s="3">
        <f>IF(B850="","",SUMIFS('inventory ledger'!$H:$H,'inventory ledger'!$C:$C,C850,'inventory ledger'!$D:$D,D850,'inventory ledger'!$E:$E,E850,'inventory ledger'!$A:$A,"&lt;="&amp;B850+TIME(23,59,59))-SUMIFS('inventory ledger'!$I:$I,'inventory ledger'!$C:$C,C850,'inventory ledger'!$D:$D,D850,'inventory ledger'!$E:$E,E850,'inventory ledger'!$A:$A,"&lt;="&amp;B850+TIME(23,59,59)))</f>
        <v>0</v>
      </c>
      <c r="G850" s="3">
        <f>IFERROR(__xludf.DUMMYFUNCTION("IF(F850&lt;=0,0,IFERROR(ROUNDUP(F850/INDEX(FILTER('warehouse config'!$D:$D,('warehouse config'!$B:$B=C850)*('warehouse config'!$C:$C=D850)*('warehouse config'!$G:$G&lt;=B850)*(('warehouse config'!$H:$H&gt;=B850)+ISBLANK('warehouse config'!$H:$H))),1)),0))"),0.0)</f>
        <v>0</v>
      </c>
      <c r="H850" s="3">
        <f>IFERROR(__xludf.DUMMYFUNCTION("IFERROR(INDEX(FILTER('cost master'!$E:$E,('cost master'!$B:$B=C850)*('cost master'!$D:$D=""Storage cost per pallet / week"")*('cost master'!$G:$G&lt;=B850)*(('cost master'!$H:$H&gt;=B850)+ISBLANK('cost master'!$H:$H))),1),0)"),2.6)</f>
        <v>2.6</v>
      </c>
      <c r="I850" s="3">
        <f t="shared" si="4"/>
        <v>0</v>
      </c>
      <c r="J850" s="27">
        <f t="shared" si="5"/>
        <v>45824</v>
      </c>
      <c r="K850" s="27">
        <f t="shared" si="6"/>
        <v>45853</v>
      </c>
    </row>
    <row r="851">
      <c r="A851" s="3" t="str">
        <f t="shared" si="3"/>
        <v>SL-20250623-FMC-CS 008-11</v>
      </c>
      <c r="B851" s="2">
        <f t="array" ref="B851">INDEX(helper!$A$3:$A3996,ROUNDUP((ROW()-1)/COUNTA(helper!$D$3:$D3996),0))</f>
        <v>45831</v>
      </c>
      <c r="C851" s="5" t="str">
        <f t="array" ref="C851">IF(B851="","",INDEX(helper!$D$3:$D3996,MOD(ROW()-2,COUNTA(helper!$D$3:$D3996))+1))</f>
        <v>FMC</v>
      </c>
      <c r="D851" s="3" t="str">
        <f t="array" ref="D851">IF(B851="","",INDEX(helper!$E$3:$E3996,MOD(ROW()-2,COUNTA(helper!$D$3:$D3996))+1))</f>
        <v>CS 008</v>
      </c>
      <c r="E851" s="3">
        <f t="array" ref="E851">IF(B851="","",INDEX(helper!$F$3:$F3996,MOD(ROW()-2,COUNTA(helper!$D$3:$D3996))+1))</f>
        <v>11</v>
      </c>
      <c r="F851" s="3">
        <f>IF(B851="","",SUMIFS('inventory ledger'!$H:$H,'inventory ledger'!$C:$C,C851,'inventory ledger'!$D:$D,D851,'inventory ledger'!$E:$E,E851,'inventory ledger'!$A:$A,"&lt;="&amp;B851+TIME(23,59,59))-SUMIFS('inventory ledger'!$I:$I,'inventory ledger'!$C:$C,C851,'inventory ledger'!$D:$D,D851,'inventory ledger'!$E:$E,E851,'inventory ledger'!$A:$A,"&lt;="&amp;B851+TIME(23,59,59)))</f>
        <v>-2</v>
      </c>
      <c r="G851" s="3">
        <f>IFERROR(__xludf.DUMMYFUNCTION("IF(F851&lt;=0,0,IFERROR(ROUNDUP(F851/INDEX(FILTER('warehouse config'!$D:$D,('warehouse config'!$B:$B=C851)*('warehouse config'!$C:$C=D851)*('warehouse config'!$G:$G&lt;=B851)*(('warehouse config'!$H:$H&gt;=B851)+ISBLANK('warehouse config'!$H:$H))),1)),0))"),0.0)</f>
        <v>0</v>
      </c>
      <c r="H851" s="3">
        <f>IFERROR(__xludf.DUMMYFUNCTION("IFERROR(INDEX(FILTER('cost master'!$E:$E,('cost master'!$B:$B=C851)*('cost master'!$D:$D=""Storage cost per pallet / week"")*('cost master'!$G:$G&lt;=B851)*(('cost master'!$H:$H&gt;=B851)+ISBLANK('cost master'!$H:$H))),1),0)"),3.9)</f>
        <v>3.9</v>
      </c>
      <c r="I851" s="3">
        <f t="shared" si="4"/>
        <v>0</v>
      </c>
      <c r="J851" s="27">
        <f t="shared" si="5"/>
        <v>45824</v>
      </c>
      <c r="K851" s="27">
        <f t="shared" si="6"/>
        <v>45853</v>
      </c>
    </row>
    <row r="852" hidden="1">
      <c r="A852" s="3" t="str">
        <f t="shared" si="3"/>
        <v>SL-20250630-FMC-CS 007-8</v>
      </c>
      <c r="B852" s="2">
        <f t="array" ref="B852">INDEX(helper!$A$3:$A3996,ROUNDUP((ROW()-1)/COUNTA(helper!$D$3:$D3996),0))</f>
        <v>45838</v>
      </c>
      <c r="C852" s="5" t="str">
        <f t="array" ref="C852">IF(B852="","",INDEX(helper!$D$3:$D3996,MOD(ROW()-2,COUNTA(helper!$D$3:$D3996))+1))</f>
        <v>FMC</v>
      </c>
      <c r="D852" s="3" t="str">
        <f t="array" ref="D852">IF(B852="","",INDEX(helper!$E$3:$E3996,MOD(ROW()-2,COUNTA(helper!$D$3:$D3996))+1))</f>
        <v>CS 007</v>
      </c>
      <c r="E852" s="3">
        <f t="array" ref="E852">IF(B852="","",INDEX(helper!$F$3:$F3996,MOD(ROW()-2,COUNTA(helper!$D$3:$D3996))+1))</f>
        <v>8</v>
      </c>
      <c r="F852" s="3">
        <f>IF(B852="","",SUMIFS('inventory ledger'!$H:$H,'inventory ledger'!$C:$C,C852,'inventory ledger'!$D:$D,D852,'inventory ledger'!$E:$E,E852,'inventory ledger'!$A:$A,"&lt;="&amp;B852+TIME(23,59,59))-SUMIFS('inventory ledger'!$I:$I,'inventory ledger'!$C:$C,C852,'inventory ledger'!$D:$D,D852,'inventory ledger'!$E:$E,E852,'inventory ledger'!$A:$A,"&lt;="&amp;B852+TIME(23,59,59)))</f>
        <v>0</v>
      </c>
      <c r="G852" s="3">
        <f>IFERROR(__xludf.DUMMYFUNCTION("IF(F852&lt;=0,0,IFERROR(ROUNDUP(F852/INDEX(FILTER('warehouse config'!$D:$D,('warehouse config'!$B:$B=C852)*('warehouse config'!$C:$C=D852)*('warehouse config'!$G:$G&lt;=B852)*(('warehouse config'!$H:$H&gt;=B852)+ISBLANK('warehouse config'!$H:$H))),1)),0))"),0.0)</f>
        <v>0</v>
      </c>
      <c r="H852" s="3">
        <f>IFERROR(__xludf.DUMMYFUNCTION("IFERROR(INDEX(FILTER('cost master'!$E:$E,('cost master'!$B:$B=C852)*('cost master'!$D:$D=""Storage cost per pallet / week"")*('cost master'!$G:$G&lt;=B852)*(('cost master'!$H:$H&gt;=B852)+ISBLANK('cost master'!$H:$H))),1),0)"),3.9)</f>
        <v>3.9</v>
      </c>
      <c r="I852" s="3">
        <f t="shared" si="4"/>
        <v>0</v>
      </c>
      <c r="J852" s="27">
        <f t="shared" si="5"/>
        <v>45824</v>
      </c>
      <c r="K852" s="27">
        <f t="shared" si="6"/>
        <v>45853</v>
      </c>
    </row>
    <row r="853" hidden="1">
      <c r="A853" s="3" t="str">
        <f t="shared" si="3"/>
        <v>SL-20250630-FMC-CS 008-8</v>
      </c>
      <c r="B853" s="2">
        <f t="array" ref="B853">INDEX(helper!$A$3:$A3996,ROUNDUP((ROW()-1)/COUNTA(helper!$D$3:$D3996),0))</f>
        <v>45838</v>
      </c>
      <c r="C853" s="5" t="str">
        <f t="array" ref="C853">IF(B853="","",INDEX(helper!$D$3:$D3996,MOD(ROW()-2,COUNTA(helper!$D$3:$D3996))+1))</f>
        <v>FMC</v>
      </c>
      <c r="D853" s="3" t="str">
        <f t="array" ref="D853">IF(B853="","",INDEX(helper!$E$3:$E3996,MOD(ROW()-2,COUNTA(helper!$D$3:$D3996))+1))</f>
        <v>CS 008</v>
      </c>
      <c r="E853" s="3">
        <f t="array" ref="E853">IF(B853="","",INDEX(helper!$F$3:$F3996,MOD(ROW()-2,COUNTA(helper!$D$3:$D3996))+1))</f>
        <v>8</v>
      </c>
      <c r="F853" s="3">
        <f>IF(B853="","",SUMIFS('inventory ledger'!$H:$H,'inventory ledger'!$C:$C,C853,'inventory ledger'!$D:$D,D853,'inventory ledger'!$E:$E,E853,'inventory ledger'!$A:$A,"&lt;="&amp;B853+TIME(23,59,59))-SUMIFS('inventory ledger'!$I:$I,'inventory ledger'!$C:$C,C853,'inventory ledger'!$D:$D,D853,'inventory ledger'!$E:$E,E853,'inventory ledger'!$A:$A,"&lt;="&amp;B853+TIME(23,59,59)))</f>
        <v>0</v>
      </c>
      <c r="G853" s="3">
        <f>IFERROR(__xludf.DUMMYFUNCTION("IF(F853&lt;=0,0,IFERROR(ROUNDUP(F853/INDEX(FILTER('warehouse config'!$D:$D,('warehouse config'!$B:$B=C853)*('warehouse config'!$C:$C=D853)*('warehouse config'!$G:$G&lt;=B853)*(('warehouse config'!$H:$H&gt;=B853)+ISBLANK('warehouse config'!$H:$H))),1)),0))"),0.0)</f>
        <v>0</v>
      </c>
      <c r="H853" s="3">
        <f>IFERROR(__xludf.DUMMYFUNCTION("IFERROR(INDEX(FILTER('cost master'!$E:$E,('cost master'!$B:$B=C853)*('cost master'!$D:$D=""Storage cost per pallet / week"")*('cost master'!$G:$G&lt;=B853)*(('cost master'!$H:$H&gt;=B853)+ISBLANK('cost master'!$H:$H))),1),0)"),3.9)</f>
        <v>3.9</v>
      </c>
      <c r="I853" s="3">
        <f t="shared" si="4"/>
        <v>0</v>
      </c>
      <c r="J853" s="27">
        <f t="shared" si="5"/>
        <v>45824</v>
      </c>
      <c r="K853" s="27">
        <f t="shared" si="6"/>
        <v>45853</v>
      </c>
    </row>
    <row r="854" hidden="1">
      <c r="A854" s="3" t="str">
        <f t="shared" si="3"/>
        <v>SL-20250630-FMC-CS 009-8</v>
      </c>
      <c r="B854" s="2">
        <f t="array" ref="B854">INDEX(helper!$A$3:$A3996,ROUNDUP((ROW()-1)/COUNTA(helper!$D$3:$D3996),0))</f>
        <v>45838</v>
      </c>
      <c r="C854" s="5" t="str">
        <f t="array" ref="C854">IF(B854="","",INDEX(helper!$D$3:$D3996,MOD(ROW()-2,COUNTA(helper!$D$3:$D3996))+1))</f>
        <v>FMC</v>
      </c>
      <c r="D854" s="3" t="str">
        <f t="array" ref="D854">IF(B854="","",INDEX(helper!$E$3:$E3996,MOD(ROW()-2,COUNTA(helper!$D$3:$D3996))+1))</f>
        <v>CS 009</v>
      </c>
      <c r="E854" s="3">
        <f t="array" ref="E854">IF(B854="","",INDEX(helper!$F$3:$F3996,MOD(ROW()-2,COUNTA(helper!$D$3:$D3996))+1))</f>
        <v>8</v>
      </c>
      <c r="F854" s="3">
        <f>IF(B854="","",SUMIFS('inventory ledger'!$H:$H,'inventory ledger'!$C:$C,C854,'inventory ledger'!$D:$D,D854,'inventory ledger'!$E:$E,E854,'inventory ledger'!$A:$A,"&lt;="&amp;B854+TIME(23,59,59))-SUMIFS('inventory ledger'!$I:$I,'inventory ledger'!$C:$C,C854,'inventory ledger'!$D:$D,D854,'inventory ledger'!$E:$E,E854,'inventory ledger'!$A:$A,"&lt;="&amp;B854+TIME(23,59,59)))</f>
        <v>0</v>
      </c>
      <c r="G854" s="3">
        <f>IFERROR(__xludf.DUMMYFUNCTION("IF(F854&lt;=0,0,IFERROR(ROUNDUP(F854/INDEX(FILTER('warehouse config'!$D:$D,('warehouse config'!$B:$B=C854)*('warehouse config'!$C:$C=D854)*('warehouse config'!$G:$G&lt;=B854)*(('warehouse config'!$H:$H&gt;=B854)+ISBLANK('warehouse config'!$H:$H))),1)),0))"),0.0)</f>
        <v>0</v>
      </c>
      <c r="H854" s="3">
        <f>IFERROR(__xludf.DUMMYFUNCTION("IFERROR(INDEX(FILTER('cost master'!$E:$E,('cost master'!$B:$B=C854)*('cost master'!$D:$D=""Storage cost per pallet / week"")*('cost master'!$G:$G&lt;=B854)*(('cost master'!$H:$H&gt;=B854)+ISBLANK('cost master'!$H:$H))),1),0)"),3.9)</f>
        <v>3.9</v>
      </c>
      <c r="I854" s="3">
        <f t="shared" si="4"/>
        <v>0</v>
      </c>
      <c r="J854" s="27">
        <f t="shared" si="5"/>
        <v>45824</v>
      </c>
      <c r="K854" s="27">
        <f t="shared" si="6"/>
        <v>45853</v>
      </c>
    </row>
    <row r="855" hidden="1">
      <c r="A855" s="3" t="str">
        <f t="shared" si="3"/>
        <v>SL-20250630-FMC-CS 010-8</v>
      </c>
      <c r="B855" s="2">
        <f t="array" ref="B855">INDEX(helper!$A$3:$A3996,ROUNDUP((ROW()-1)/COUNTA(helper!$D$3:$D3996),0))</f>
        <v>45838</v>
      </c>
      <c r="C855" s="5" t="str">
        <f t="array" ref="C855">IF(B855="","",INDEX(helper!$D$3:$D3996,MOD(ROW()-2,COUNTA(helper!$D$3:$D3996))+1))</f>
        <v>FMC</v>
      </c>
      <c r="D855" s="3" t="str">
        <f t="array" ref="D855">IF(B855="","",INDEX(helper!$E$3:$E3996,MOD(ROW()-2,COUNTA(helper!$D$3:$D3996))+1))</f>
        <v>CS 010</v>
      </c>
      <c r="E855" s="3">
        <f t="array" ref="E855">IF(B855="","",INDEX(helper!$F$3:$F3996,MOD(ROW()-2,COUNTA(helper!$D$3:$D3996))+1))</f>
        <v>8</v>
      </c>
      <c r="F855" s="3">
        <f>IF(B855="","",SUMIFS('inventory ledger'!$H:$H,'inventory ledger'!$C:$C,C855,'inventory ledger'!$D:$D,D855,'inventory ledger'!$E:$E,E855,'inventory ledger'!$A:$A,"&lt;="&amp;B855+TIME(23,59,59))-SUMIFS('inventory ledger'!$I:$I,'inventory ledger'!$C:$C,C855,'inventory ledger'!$D:$D,D855,'inventory ledger'!$E:$E,E855,'inventory ledger'!$A:$A,"&lt;="&amp;B855+TIME(23,59,59)))</f>
        <v>0</v>
      </c>
      <c r="G855" s="3">
        <f>IFERROR(__xludf.DUMMYFUNCTION("IF(F855&lt;=0,0,IFERROR(ROUNDUP(F855/INDEX(FILTER('warehouse config'!$D:$D,('warehouse config'!$B:$B=C855)*('warehouse config'!$C:$C=D855)*('warehouse config'!$G:$G&lt;=B855)*(('warehouse config'!$H:$H&gt;=B855)+ISBLANK('warehouse config'!$H:$H))),1)),0))"),0.0)</f>
        <v>0</v>
      </c>
      <c r="H855" s="3">
        <f>IFERROR(__xludf.DUMMYFUNCTION("IFERROR(INDEX(FILTER('cost master'!$E:$E,('cost master'!$B:$B=C855)*('cost master'!$D:$D=""Storage cost per pallet / week"")*('cost master'!$G:$G&lt;=B855)*(('cost master'!$H:$H&gt;=B855)+ISBLANK('cost master'!$H:$H))),1),0)"),3.9)</f>
        <v>3.9</v>
      </c>
      <c r="I855" s="3">
        <f t="shared" si="4"/>
        <v>0</v>
      </c>
      <c r="J855" s="27">
        <f t="shared" si="5"/>
        <v>45824</v>
      </c>
      <c r="K855" s="27">
        <f t="shared" si="6"/>
        <v>45853</v>
      </c>
    </row>
    <row r="856" hidden="1">
      <c r="A856" s="3" t="str">
        <f t="shared" si="3"/>
        <v>SL-20250630-FMC-CS 007-9</v>
      </c>
      <c r="B856" s="2">
        <f t="array" ref="B856">INDEX(helper!$A$3:$A3996,ROUNDUP((ROW()-1)/COUNTA(helper!$D$3:$D3996),0))</f>
        <v>45838</v>
      </c>
      <c r="C856" s="5" t="str">
        <f t="array" ref="C856">IF(B856="","",INDEX(helper!$D$3:$D3996,MOD(ROW()-2,COUNTA(helper!$D$3:$D3996))+1))</f>
        <v>FMC</v>
      </c>
      <c r="D856" s="3" t="str">
        <f t="array" ref="D856">IF(B856="","",INDEX(helper!$E$3:$E3996,MOD(ROW()-2,COUNTA(helper!$D$3:$D3996))+1))</f>
        <v>CS 007</v>
      </c>
      <c r="E856" s="3">
        <f t="array" ref="E856">IF(B856="","",INDEX(helper!$F$3:$F3996,MOD(ROW()-2,COUNTA(helper!$D$3:$D3996))+1))</f>
        <v>9</v>
      </c>
      <c r="F856" s="3">
        <f>IF(B856="","",SUMIFS('inventory ledger'!$H:$H,'inventory ledger'!$C:$C,C856,'inventory ledger'!$D:$D,D856,'inventory ledger'!$E:$E,E856,'inventory ledger'!$A:$A,"&lt;="&amp;B856+TIME(23,59,59))-SUMIFS('inventory ledger'!$I:$I,'inventory ledger'!$C:$C,C856,'inventory ledger'!$D:$D,D856,'inventory ledger'!$E:$E,E856,'inventory ledger'!$A:$A,"&lt;="&amp;B856+TIME(23,59,59)))</f>
        <v>0</v>
      </c>
      <c r="G856" s="3">
        <f>IFERROR(__xludf.DUMMYFUNCTION("IF(F856&lt;=0,0,IFERROR(ROUNDUP(F856/INDEX(FILTER('warehouse config'!$D:$D,('warehouse config'!$B:$B=C856)*('warehouse config'!$C:$C=D856)*('warehouse config'!$G:$G&lt;=B856)*(('warehouse config'!$H:$H&gt;=B856)+ISBLANK('warehouse config'!$H:$H))),1)),0))"),0.0)</f>
        <v>0</v>
      </c>
      <c r="H856" s="3">
        <f>IFERROR(__xludf.DUMMYFUNCTION("IFERROR(INDEX(FILTER('cost master'!$E:$E,('cost master'!$B:$B=C856)*('cost master'!$D:$D=""Storage cost per pallet / week"")*('cost master'!$G:$G&lt;=B856)*(('cost master'!$H:$H&gt;=B856)+ISBLANK('cost master'!$H:$H))),1),0)"),3.9)</f>
        <v>3.9</v>
      </c>
      <c r="I856" s="3">
        <f t="shared" si="4"/>
        <v>0</v>
      </c>
      <c r="J856" s="27">
        <f t="shared" si="5"/>
        <v>45824</v>
      </c>
      <c r="K856" s="27">
        <f t="shared" si="6"/>
        <v>45853</v>
      </c>
    </row>
    <row r="857" hidden="1">
      <c r="A857" s="3" t="str">
        <f t="shared" si="3"/>
        <v>SL-20250630-FMC-CS 008-9</v>
      </c>
      <c r="B857" s="2">
        <f t="array" ref="B857">INDEX(helper!$A$3:$A3996,ROUNDUP((ROW()-1)/COUNTA(helper!$D$3:$D3996),0))</f>
        <v>45838</v>
      </c>
      <c r="C857" s="5" t="str">
        <f t="array" ref="C857">IF(B857="","",INDEX(helper!$D$3:$D3996,MOD(ROW()-2,COUNTA(helper!$D$3:$D3996))+1))</f>
        <v>FMC</v>
      </c>
      <c r="D857" s="3" t="str">
        <f t="array" ref="D857">IF(B857="","",INDEX(helper!$E$3:$E3996,MOD(ROW()-2,COUNTA(helper!$D$3:$D3996))+1))</f>
        <v>CS 008</v>
      </c>
      <c r="E857" s="3">
        <f t="array" ref="E857">IF(B857="","",INDEX(helper!$F$3:$F3996,MOD(ROW()-2,COUNTA(helper!$D$3:$D3996))+1))</f>
        <v>9</v>
      </c>
      <c r="F857" s="3">
        <f>IF(B857="","",SUMIFS('inventory ledger'!$H:$H,'inventory ledger'!$C:$C,C857,'inventory ledger'!$D:$D,D857,'inventory ledger'!$E:$E,E857,'inventory ledger'!$A:$A,"&lt;="&amp;B857+TIME(23,59,59))-SUMIFS('inventory ledger'!$I:$I,'inventory ledger'!$C:$C,C857,'inventory ledger'!$D:$D,D857,'inventory ledger'!$E:$E,E857,'inventory ledger'!$A:$A,"&lt;="&amp;B857+TIME(23,59,59)))</f>
        <v>2</v>
      </c>
      <c r="G857" s="3">
        <f>IFERROR(__xludf.DUMMYFUNCTION("IF(F857&lt;=0,0,IFERROR(ROUNDUP(F857/INDEX(FILTER('warehouse config'!$D:$D,('warehouse config'!$B:$B=C857)*('warehouse config'!$C:$C=D857)*('warehouse config'!$G:$G&lt;=B857)*(('warehouse config'!$H:$H&gt;=B857)+ISBLANK('warehouse config'!$H:$H))),1)),0))"),1.0)</f>
        <v>1</v>
      </c>
      <c r="H857" s="3">
        <f>IFERROR(__xludf.DUMMYFUNCTION("IFERROR(INDEX(FILTER('cost master'!$E:$E,('cost master'!$B:$B=C857)*('cost master'!$D:$D=""Storage cost per pallet / week"")*('cost master'!$G:$G&lt;=B857)*(('cost master'!$H:$H&gt;=B857)+ISBLANK('cost master'!$H:$H))),1),0)"),3.9)</f>
        <v>3.9</v>
      </c>
      <c r="I857" s="3">
        <f t="shared" si="4"/>
        <v>3.9</v>
      </c>
      <c r="J857" s="27">
        <f t="shared" si="5"/>
        <v>45824</v>
      </c>
      <c r="K857" s="27">
        <f t="shared" si="6"/>
        <v>45853</v>
      </c>
    </row>
    <row r="858" hidden="1">
      <c r="A858" s="3" t="str">
        <f t="shared" si="3"/>
        <v>SL-20250630-FMC-CS 009-9</v>
      </c>
      <c r="B858" s="2">
        <f t="array" ref="B858">INDEX(helper!$A$3:$A3996,ROUNDUP((ROW()-1)/COUNTA(helper!$D$3:$D3996),0))</f>
        <v>45838</v>
      </c>
      <c r="C858" s="5" t="str">
        <f t="array" ref="C858">IF(B858="","",INDEX(helper!$D$3:$D3996,MOD(ROW()-2,COUNTA(helper!$D$3:$D3996))+1))</f>
        <v>FMC</v>
      </c>
      <c r="D858" s="3" t="str">
        <f t="array" ref="D858">IF(B858="","",INDEX(helper!$E$3:$E3996,MOD(ROW()-2,COUNTA(helper!$D$3:$D3996))+1))</f>
        <v>CS 009</v>
      </c>
      <c r="E858" s="3">
        <f t="array" ref="E858">IF(B858="","",INDEX(helper!$F$3:$F3996,MOD(ROW()-2,COUNTA(helper!$D$3:$D3996))+1))</f>
        <v>9</v>
      </c>
      <c r="F858" s="3">
        <f>IF(B858="","",SUMIFS('inventory ledger'!$H:$H,'inventory ledger'!$C:$C,C858,'inventory ledger'!$D:$D,D858,'inventory ledger'!$E:$E,E858,'inventory ledger'!$A:$A,"&lt;="&amp;B858+TIME(23,59,59))-SUMIFS('inventory ledger'!$I:$I,'inventory ledger'!$C:$C,C858,'inventory ledger'!$D:$D,D858,'inventory ledger'!$E:$E,E858,'inventory ledger'!$A:$A,"&lt;="&amp;B858+TIME(23,59,59)))</f>
        <v>0</v>
      </c>
      <c r="G858" s="3">
        <f>IFERROR(__xludf.DUMMYFUNCTION("IF(F858&lt;=0,0,IFERROR(ROUNDUP(F858/INDEX(FILTER('warehouse config'!$D:$D,('warehouse config'!$B:$B=C858)*('warehouse config'!$C:$C=D858)*('warehouse config'!$G:$G&lt;=B858)*(('warehouse config'!$H:$H&gt;=B858)+ISBLANK('warehouse config'!$H:$H))),1)),0))"),0.0)</f>
        <v>0</v>
      </c>
      <c r="H858" s="3">
        <f>IFERROR(__xludf.DUMMYFUNCTION("IFERROR(INDEX(FILTER('cost master'!$E:$E,('cost master'!$B:$B=C858)*('cost master'!$D:$D=""Storage cost per pallet / week"")*('cost master'!$G:$G&lt;=B858)*(('cost master'!$H:$H&gt;=B858)+ISBLANK('cost master'!$H:$H))),1),0)"),3.9)</f>
        <v>3.9</v>
      </c>
      <c r="I858" s="3">
        <f t="shared" si="4"/>
        <v>0</v>
      </c>
      <c r="J858" s="27">
        <f t="shared" si="5"/>
        <v>45824</v>
      </c>
      <c r="K858" s="27">
        <f t="shared" si="6"/>
        <v>45853</v>
      </c>
    </row>
    <row r="859" hidden="1">
      <c r="A859" s="3" t="str">
        <f t="shared" si="3"/>
        <v>SL-20250630-FMC-CS 010-9</v>
      </c>
      <c r="B859" s="2">
        <f t="array" ref="B859">INDEX(helper!$A$3:$A3996,ROUNDUP((ROW()-1)/COUNTA(helper!$D$3:$D3996),0))</f>
        <v>45838</v>
      </c>
      <c r="C859" s="5" t="str">
        <f t="array" ref="C859">IF(B859="","",INDEX(helper!$D$3:$D3996,MOD(ROW()-2,COUNTA(helper!$D$3:$D3996))+1))</f>
        <v>FMC</v>
      </c>
      <c r="D859" s="3" t="str">
        <f t="array" ref="D859">IF(B859="","",INDEX(helper!$E$3:$E3996,MOD(ROW()-2,COUNTA(helper!$D$3:$D3996))+1))</f>
        <v>CS 010</v>
      </c>
      <c r="E859" s="3">
        <f t="array" ref="E859">IF(B859="","",INDEX(helper!$F$3:$F3996,MOD(ROW()-2,COUNTA(helper!$D$3:$D3996))+1))</f>
        <v>9</v>
      </c>
      <c r="F859" s="3">
        <f>IF(B859="","",SUMIFS('inventory ledger'!$H:$H,'inventory ledger'!$C:$C,C859,'inventory ledger'!$D:$D,D859,'inventory ledger'!$E:$E,E859,'inventory ledger'!$A:$A,"&lt;="&amp;B859+TIME(23,59,59))-SUMIFS('inventory ledger'!$I:$I,'inventory ledger'!$C:$C,C859,'inventory ledger'!$D:$D,D859,'inventory ledger'!$E:$E,E859,'inventory ledger'!$A:$A,"&lt;="&amp;B859+TIME(23,59,59)))</f>
        <v>0</v>
      </c>
      <c r="G859" s="3">
        <f>IFERROR(__xludf.DUMMYFUNCTION("IF(F859&lt;=0,0,IFERROR(ROUNDUP(F859/INDEX(FILTER('warehouse config'!$D:$D,('warehouse config'!$B:$B=C859)*('warehouse config'!$C:$C=D859)*('warehouse config'!$G:$G&lt;=B859)*(('warehouse config'!$H:$H&gt;=B859)+ISBLANK('warehouse config'!$H:$H))),1)),0))"),0.0)</f>
        <v>0</v>
      </c>
      <c r="H859" s="3">
        <f>IFERROR(__xludf.DUMMYFUNCTION("IFERROR(INDEX(FILTER('cost master'!$E:$E,('cost master'!$B:$B=C859)*('cost master'!$D:$D=""Storage cost per pallet / week"")*('cost master'!$G:$G&lt;=B859)*(('cost master'!$H:$H&gt;=B859)+ISBLANK('cost master'!$H:$H))),1),0)"),3.9)</f>
        <v>3.9</v>
      </c>
      <c r="I859" s="3">
        <f t="shared" si="4"/>
        <v>0</v>
      </c>
      <c r="J859" s="27">
        <f t="shared" si="5"/>
        <v>45824</v>
      </c>
      <c r="K859" s="27">
        <f t="shared" si="6"/>
        <v>45853</v>
      </c>
    </row>
    <row r="860" hidden="1">
      <c r="A860" s="3" t="str">
        <f t="shared" si="3"/>
        <v>SL-20250630-FMC-CS-CDS-001-9</v>
      </c>
      <c r="B860" s="2">
        <f t="array" ref="B860">INDEX(helper!$A$3:$A3996,ROUNDUP((ROW()-1)/COUNTA(helper!$D$3:$D3996),0))</f>
        <v>45838</v>
      </c>
      <c r="C860" s="5" t="str">
        <f t="array" ref="C860">IF(B860="","",INDEX(helper!$D$3:$D3996,MOD(ROW()-2,COUNTA(helper!$D$3:$D3996))+1))</f>
        <v>FMC</v>
      </c>
      <c r="D860" s="3" t="str">
        <f t="array" ref="D860">IF(B860="","",INDEX(helper!$E$3:$E3996,MOD(ROW()-2,COUNTA(helper!$D$3:$D3996))+1))</f>
        <v>CS-CDS-001</v>
      </c>
      <c r="E860" s="3">
        <f t="array" ref="E860">IF(B860="","",INDEX(helper!$F$3:$F3996,MOD(ROW()-2,COUNTA(helper!$D$3:$D3996))+1))</f>
        <v>9</v>
      </c>
      <c r="F860" s="3">
        <f>IF(B860="","",SUMIFS('inventory ledger'!$H:$H,'inventory ledger'!$C:$C,C860,'inventory ledger'!$D:$D,D860,'inventory ledger'!$E:$E,E860,'inventory ledger'!$A:$A,"&lt;="&amp;B860+TIME(23,59,59))-SUMIFS('inventory ledger'!$I:$I,'inventory ledger'!$C:$C,C860,'inventory ledger'!$D:$D,D860,'inventory ledger'!$E:$E,E860,'inventory ledger'!$A:$A,"&lt;="&amp;B860+TIME(23,59,59)))</f>
        <v>0</v>
      </c>
      <c r="G860" s="3">
        <f>IFERROR(__xludf.DUMMYFUNCTION("IF(F860&lt;=0,0,IFERROR(ROUNDUP(F860/INDEX(FILTER('warehouse config'!$D:$D,('warehouse config'!$B:$B=C860)*('warehouse config'!$C:$C=D860)*('warehouse config'!$G:$G&lt;=B860)*(('warehouse config'!$H:$H&gt;=B860)+ISBLANK('warehouse config'!$H:$H))),1)),0))"),0.0)</f>
        <v>0</v>
      </c>
      <c r="H860" s="3">
        <f>IFERROR(__xludf.DUMMYFUNCTION("IFERROR(INDEX(FILTER('cost master'!$E:$E,('cost master'!$B:$B=C860)*('cost master'!$D:$D=""Storage cost per pallet / week"")*('cost master'!$G:$G&lt;=B860)*(('cost master'!$H:$H&gt;=B860)+ISBLANK('cost master'!$H:$H))),1),0)"),3.9)</f>
        <v>3.9</v>
      </c>
      <c r="I860" s="3">
        <f t="shared" si="4"/>
        <v>0</v>
      </c>
      <c r="J860" s="27">
        <f t="shared" si="5"/>
        <v>45824</v>
      </c>
      <c r="K860" s="27">
        <f t="shared" si="6"/>
        <v>45853</v>
      </c>
    </row>
    <row r="861" hidden="1">
      <c r="A861" s="3" t="str">
        <f t="shared" si="3"/>
        <v>SL-20250630-FMC-CS-CDS-002-9</v>
      </c>
      <c r="B861" s="2">
        <f t="array" ref="B861">INDEX(helper!$A$3:$A3996,ROUNDUP((ROW()-1)/COUNTA(helper!$D$3:$D3996),0))</f>
        <v>45838</v>
      </c>
      <c r="C861" s="5" t="str">
        <f t="array" ref="C861">IF(B861="","",INDEX(helper!$D$3:$D3996,MOD(ROW()-2,COUNTA(helper!$D$3:$D3996))+1))</f>
        <v>FMC</v>
      </c>
      <c r="D861" s="3" t="str">
        <f t="array" ref="D861">IF(B861="","",INDEX(helper!$E$3:$E3996,MOD(ROW()-2,COUNTA(helper!$D$3:$D3996))+1))</f>
        <v>CS-CDS-002</v>
      </c>
      <c r="E861" s="3">
        <f t="array" ref="E861">IF(B861="","",INDEX(helper!$F$3:$F3996,MOD(ROW()-2,COUNTA(helper!$D$3:$D3996))+1))</f>
        <v>9</v>
      </c>
      <c r="F861" s="3">
        <f>IF(B861="","",SUMIFS('inventory ledger'!$H:$H,'inventory ledger'!$C:$C,C861,'inventory ledger'!$D:$D,D861,'inventory ledger'!$E:$E,E861,'inventory ledger'!$A:$A,"&lt;="&amp;B861+TIME(23,59,59))-SUMIFS('inventory ledger'!$I:$I,'inventory ledger'!$C:$C,C861,'inventory ledger'!$D:$D,D861,'inventory ledger'!$E:$E,E861,'inventory ledger'!$A:$A,"&lt;="&amp;B861+TIME(23,59,59)))</f>
        <v>0</v>
      </c>
      <c r="G861" s="3">
        <f>IFERROR(__xludf.DUMMYFUNCTION("IF(F861&lt;=0,0,IFERROR(ROUNDUP(F861/INDEX(FILTER('warehouse config'!$D:$D,('warehouse config'!$B:$B=C861)*('warehouse config'!$C:$C=D861)*('warehouse config'!$G:$G&lt;=B861)*(('warehouse config'!$H:$H&gt;=B861)+ISBLANK('warehouse config'!$H:$H))),1)),0))"),0.0)</f>
        <v>0</v>
      </c>
      <c r="H861" s="3">
        <f>IFERROR(__xludf.DUMMYFUNCTION("IFERROR(INDEX(FILTER('cost master'!$E:$E,('cost master'!$B:$B=C861)*('cost master'!$D:$D=""Storage cost per pallet / week"")*('cost master'!$G:$G&lt;=B861)*(('cost master'!$H:$H&gt;=B861)+ISBLANK('cost master'!$H:$H))),1),0)"),3.9)</f>
        <v>3.9</v>
      </c>
      <c r="I861" s="3">
        <f t="shared" si="4"/>
        <v>0</v>
      </c>
      <c r="J861" s="27">
        <f t="shared" si="5"/>
        <v>45824</v>
      </c>
      <c r="K861" s="27">
        <f t="shared" si="6"/>
        <v>45853</v>
      </c>
    </row>
    <row r="862" hidden="1">
      <c r="A862" s="3" t="str">
        <f t="shared" si="3"/>
        <v>SL-20250630-FMC-CS 007-10</v>
      </c>
      <c r="B862" s="2">
        <f t="array" ref="B862">INDEX(helper!$A$3:$A3996,ROUNDUP((ROW()-1)/COUNTA(helper!$D$3:$D3996),0))</f>
        <v>45838</v>
      </c>
      <c r="C862" s="5" t="str">
        <f t="array" ref="C862">IF(B862="","",INDEX(helper!$D$3:$D3996,MOD(ROW()-2,COUNTA(helper!$D$3:$D3996))+1))</f>
        <v>FMC</v>
      </c>
      <c r="D862" s="3" t="str">
        <f t="array" ref="D862">IF(B862="","",INDEX(helper!$E$3:$E3996,MOD(ROW()-2,COUNTA(helper!$D$3:$D3996))+1))</f>
        <v>CS 007</v>
      </c>
      <c r="E862" s="3">
        <f t="array" ref="E862">IF(B862="","",INDEX(helper!$F$3:$F3996,MOD(ROW()-2,COUNTA(helper!$D$3:$D3996))+1))</f>
        <v>10</v>
      </c>
      <c r="F862" s="3">
        <f>IF(B862="","",SUMIFS('inventory ledger'!$H:$H,'inventory ledger'!$C:$C,C862,'inventory ledger'!$D:$D,D862,'inventory ledger'!$E:$E,E862,'inventory ledger'!$A:$A,"&lt;="&amp;B862+TIME(23,59,59))-SUMIFS('inventory ledger'!$I:$I,'inventory ledger'!$C:$C,C862,'inventory ledger'!$D:$D,D862,'inventory ledger'!$E:$E,E862,'inventory ledger'!$A:$A,"&lt;="&amp;B862+TIME(23,59,59)))</f>
        <v>0</v>
      </c>
      <c r="G862" s="3">
        <f>IFERROR(__xludf.DUMMYFUNCTION("IF(F862&lt;=0,0,IFERROR(ROUNDUP(F862/INDEX(FILTER('warehouse config'!$D:$D,('warehouse config'!$B:$B=C862)*('warehouse config'!$C:$C=D862)*('warehouse config'!$G:$G&lt;=B862)*(('warehouse config'!$H:$H&gt;=B862)+ISBLANK('warehouse config'!$H:$H))),1)),0))"),0.0)</f>
        <v>0</v>
      </c>
      <c r="H862" s="3">
        <f>IFERROR(__xludf.DUMMYFUNCTION("IFERROR(INDEX(FILTER('cost master'!$E:$E,('cost master'!$B:$B=C862)*('cost master'!$D:$D=""Storage cost per pallet / week"")*('cost master'!$G:$G&lt;=B862)*(('cost master'!$H:$H&gt;=B862)+ISBLANK('cost master'!$H:$H))),1),0)"),3.9)</f>
        <v>3.9</v>
      </c>
      <c r="I862" s="3">
        <f t="shared" si="4"/>
        <v>0</v>
      </c>
      <c r="J862" s="27">
        <f t="shared" si="5"/>
        <v>45824</v>
      </c>
      <c r="K862" s="27">
        <f t="shared" si="6"/>
        <v>45853</v>
      </c>
    </row>
    <row r="863" hidden="1">
      <c r="A863" s="3" t="str">
        <f t="shared" si="3"/>
        <v>SL-20250630-FMC-CS 009-10</v>
      </c>
      <c r="B863" s="2">
        <f t="array" ref="B863">INDEX(helper!$A$3:$A3996,ROUNDUP((ROW()-1)/COUNTA(helper!$D$3:$D3996),0))</f>
        <v>45838</v>
      </c>
      <c r="C863" s="5" t="str">
        <f t="array" ref="C863">IF(B863="","",INDEX(helper!$D$3:$D3996,MOD(ROW()-2,COUNTA(helper!$D$3:$D3996))+1))</f>
        <v>FMC</v>
      </c>
      <c r="D863" s="3" t="str">
        <f t="array" ref="D863">IF(B863="","",INDEX(helper!$E$3:$E3996,MOD(ROW()-2,COUNTA(helper!$D$3:$D3996))+1))</f>
        <v>CS 009</v>
      </c>
      <c r="E863" s="3">
        <f t="array" ref="E863">IF(B863="","",INDEX(helper!$F$3:$F3996,MOD(ROW()-2,COUNTA(helper!$D$3:$D3996))+1))</f>
        <v>10</v>
      </c>
      <c r="F863" s="3">
        <f>IF(B863="","",SUMIFS('inventory ledger'!$H:$H,'inventory ledger'!$C:$C,C863,'inventory ledger'!$D:$D,D863,'inventory ledger'!$E:$E,E863,'inventory ledger'!$A:$A,"&lt;="&amp;B863+TIME(23,59,59))-SUMIFS('inventory ledger'!$I:$I,'inventory ledger'!$C:$C,C863,'inventory ledger'!$D:$D,D863,'inventory ledger'!$E:$E,E863,'inventory ledger'!$A:$A,"&lt;="&amp;B863+TIME(23,59,59)))</f>
        <v>0</v>
      </c>
      <c r="G863" s="3">
        <f>IFERROR(__xludf.DUMMYFUNCTION("IF(F863&lt;=0,0,IFERROR(ROUNDUP(F863/INDEX(FILTER('warehouse config'!$D:$D,('warehouse config'!$B:$B=C863)*('warehouse config'!$C:$C=D863)*('warehouse config'!$G:$G&lt;=B863)*(('warehouse config'!$H:$H&gt;=B863)+ISBLANK('warehouse config'!$H:$H))),1)),0))"),0.0)</f>
        <v>0</v>
      </c>
      <c r="H863" s="3">
        <f>IFERROR(__xludf.DUMMYFUNCTION("IFERROR(INDEX(FILTER('cost master'!$E:$E,('cost master'!$B:$B=C863)*('cost master'!$D:$D=""Storage cost per pallet / week"")*('cost master'!$G:$G&lt;=B863)*(('cost master'!$H:$H&gt;=B863)+ISBLANK('cost master'!$H:$H))),1),0)"),3.9)</f>
        <v>3.9</v>
      </c>
      <c r="I863" s="3">
        <f t="shared" si="4"/>
        <v>0</v>
      </c>
      <c r="J863" s="27">
        <f t="shared" si="5"/>
        <v>45824</v>
      </c>
      <c r="K863" s="27">
        <f t="shared" si="6"/>
        <v>45853</v>
      </c>
    </row>
    <row r="864" hidden="1">
      <c r="A864" s="3" t="str">
        <f t="shared" si="3"/>
        <v>SL-20250630-FMC-CS 010-10</v>
      </c>
      <c r="B864" s="2">
        <f t="array" ref="B864">INDEX(helper!$A$3:$A3996,ROUNDUP((ROW()-1)/COUNTA(helper!$D$3:$D3996),0))</f>
        <v>45838</v>
      </c>
      <c r="C864" s="5" t="str">
        <f t="array" ref="C864">IF(B864="","",INDEX(helper!$D$3:$D3996,MOD(ROW()-2,COUNTA(helper!$D$3:$D3996))+1))</f>
        <v>FMC</v>
      </c>
      <c r="D864" s="3" t="str">
        <f t="array" ref="D864">IF(B864="","",INDEX(helper!$E$3:$E3996,MOD(ROW()-2,COUNTA(helper!$D$3:$D3996))+1))</f>
        <v>CS 010</v>
      </c>
      <c r="E864" s="3">
        <f t="array" ref="E864">IF(B864="","",INDEX(helper!$F$3:$F3996,MOD(ROW()-2,COUNTA(helper!$D$3:$D3996))+1))</f>
        <v>10</v>
      </c>
      <c r="F864" s="3">
        <f>IF(B864="","",SUMIFS('inventory ledger'!$H:$H,'inventory ledger'!$C:$C,C864,'inventory ledger'!$D:$D,D864,'inventory ledger'!$E:$E,E864,'inventory ledger'!$A:$A,"&lt;="&amp;B864+TIME(23,59,59))-SUMIFS('inventory ledger'!$I:$I,'inventory ledger'!$C:$C,C864,'inventory ledger'!$D:$D,D864,'inventory ledger'!$E:$E,E864,'inventory ledger'!$A:$A,"&lt;="&amp;B864+TIME(23,59,59)))</f>
        <v>13</v>
      </c>
      <c r="G864" s="3">
        <f>IFERROR(__xludf.DUMMYFUNCTION("IF(F864&lt;=0,0,IFERROR(ROUNDUP(F864/INDEX(FILTER('warehouse config'!$D:$D,('warehouse config'!$B:$B=C864)*('warehouse config'!$C:$C=D864)*('warehouse config'!$G:$G&lt;=B864)*(('warehouse config'!$H:$H&gt;=B864)+ISBLANK('warehouse config'!$H:$H))),1)),0))"),1.0)</f>
        <v>1</v>
      </c>
      <c r="H864" s="3">
        <f>IFERROR(__xludf.DUMMYFUNCTION("IFERROR(INDEX(FILTER('cost master'!$E:$E,('cost master'!$B:$B=C864)*('cost master'!$D:$D=""Storage cost per pallet / week"")*('cost master'!$G:$G&lt;=B864)*(('cost master'!$H:$H&gt;=B864)+ISBLANK('cost master'!$H:$H))),1),0)"),3.9)</f>
        <v>3.9</v>
      </c>
      <c r="I864" s="3">
        <f t="shared" si="4"/>
        <v>3.9</v>
      </c>
      <c r="J864" s="27">
        <f t="shared" si="5"/>
        <v>45824</v>
      </c>
      <c r="K864" s="27">
        <f t="shared" si="6"/>
        <v>45853</v>
      </c>
    </row>
    <row r="865" hidden="1">
      <c r="A865" s="3" t="str">
        <f t="shared" si="3"/>
        <v>SL-20250630-FMC-CS-CDS-001-10</v>
      </c>
      <c r="B865" s="2">
        <f t="array" ref="B865">INDEX(helper!$A$3:$A3996,ROUNDUP((ROW()-1)/COUNTA(helper!$D$3:$D3996),0))</f>
        <v>45838</v>
      </c>
      <c r="C865" s="5" t="str">
        <f t="array" ref="C865">IF(B865="","",INDEX(helper!$D$3:$D3996,MOD(ROW()-2,COUNTA(helper!$D$3:$D3996))+1))</f>
        <v>FMC</v>
      </c>
      <c r="D865" s="3" t="str">
        <f t="array" ref="D865">IF(B865="","",INDEX(helper!$E$3:$E3996,MOD(ROW()-2,COUNTA(helper!$D$3:$D3996))+1))</f>
        <v>CS-CDS-001</v>
      </c>
      <c r="E865" s="3">
        <f t="array" ref="E865">IF(B865="","",INDEX(helper!$F$3:$F3996,MOD(ROW()-2,COUNTA(helper!$D$3:$D3996))+1))</f>
        <v>10</v>
      </c>
      <c r="F865" s="3">
        <f>IF(B865="","",SUMIFS('inventory ledger'!$H:$H,'inventory ledger'!$C:$C,C865,'inventory ledger'!$D:$D,D865,'inventory ledger'!$E:$E,E865,'inventory ledger'!$A:$A,"&lt;="&amp;B865+TIME(23,59,59))-SUMIFS('inventory ledger'!$I:$I,'inventory ledger'!$C:$C,C865,'inventory ledger'!$D:$D,D865,'inventory ledger'!$E:$E,E865,'inventory ledger'!$A:$A,"&lt;="&amp;B865+TIME(23,59,59)))</f>
        <v>0</v>
      </c>
      <c r="G865" s="3">
        <f>IFERROR(__xludf.DUMMYFUNCTION("IF(F865&lt;=0,0,IFERROR(ROUNDUP(F865/INDEX(FILTER('warehouse config'!$D:$D,('warehouse config'!$B:$B=C865)*('warehouse config'!$C:$C=D865)*('warehouse config'!$G:$G&lt;=B865)*(('warehouse config'!$H:$H&gt;=B865)+ISBLANK('warehouse config'!$H:$H))),1)),0))"),0.0)</f>
        <v>0</v>
      </c>
      <c r="H865" s="3">
        <f>IFERROR(__xludf.DUMMYFUNCTION("IFERROR(INDEX(FILTER('cost master'!$E:$E,('cost master'!$B:$B=C865)*('cost master'!$D:$D=""Storage cost per pallet / week"")*('cost master'!$G:$G&lt;=B865)*(('cost master'!$H:$H&gt;=B865)+ISBLANK('cost master'!$H:$H))),1),0)"),3.9)</f>
        <v>3.9</v>
      </c>
      <c r="I865" s="3">
        <f t="shared" si="4"/>
        <v>0</v>
      </c>
      <c r="J865" s="27">
        <f t="shared" si="5"/>
        <v>45824</v>
      </c>
      <c r="K865" s="27">
        <f t="shared" si="6"/>
        <v>45853</v>
      </c>
    </row>
    <row r="866">
      <c r="A866" s="3" t="str">
        <f t="shared" si="3"/>
        <v>SL-20250630-FMC-CS 007-11</v>
      </c>
      <c r="B866" s="2">
        <f t="array" ref="B866">INDEX(helper!$A$3:$A3996,ROUNDUP((ROW()-1)/COUNTA(helper!$D$3:$D3996),0))</f>
        <v>45838</v>
      </c>
      <c r="C866" s="5" t="str">
        <f t="array" ref="C866">IF(B866="","",INDEX(helper!$D$3:$D3996,MOD(ROW()-2,COUNTA(helper!$D$3:$D3996))+1))</f>
        <v>FMC</v>
      </c>
      <c r="D866" s="3" t="str">
        <f t="array" ref="D866">IF(B866="","",INDEX(helper!$E$3:$E3996,MOD(ROW()-2,COUNTA(helper!$D$3:$D3996))+1))</f>
        <v>CS 007</v>
      </c>
      <c r="E866" s="3">
        <f t="array" ref="E866">IF(B866="","",INDEX(helper!$F$3:$F3996,MOD(ROW()-2,COUNTA(helper!$D$3:$D3996))+1))</f>
        <v>11</v>
      </c>
      <c r="F866" s="3">
        <f>IF(B866="","",SUMIFS('inventory ledger'!$H:$H,'inventory ledger'!$C:$C,C866,'inventory ledger'!$D:$D,D866,'inventory ledger'!$E:$E,E866,'inventory ledger'!$A:$A,"&lt;="&amp;B866+TIME(23,59,59))-SUMIFS('inventory ledger'!$I:$I,'inventory ledger'!$C:$C,C866,'inventory ledger'!$D:$D,D866,'inventory ledger'!$E:$E,E866,'inventory ledger'!$A:$A,"&lt;="&amp;B866+TIME(23,59,59)))</f>
        <v>-1</v>
      </c>
      <c r="G866" s="3">
        <f>IFERROR(__xludf.DUMMYFUNCTION("IF(F866&lt;=0,0,IFERROR(ROUNDUP(F866/INDEX(FILTER('warehouse config'!$D:$D,('warehouse config'!$B:$B=C866)*('warehouse config'!$C:$C=D866)*('warehouse config'!$G:$G&lt;=B866)*(('warehouse config'!$H:$H&gt;=B866)+ISBLANK('warehouse config'!$H:$H))),1)),0))"),0.0)</f>
        <v>0</v>
      </c>
      <c r="H866" s="3">
        <f>IFERROR(__xludf.DUMMYFUNCTION("IFERROR(INDEX(FILTER('cost master'!$E:$E,('cost master'!$B:$B=C866)*('cost master'!$D:$D=""Storage cost per pallet / week"")*('cost master'!$G:$G&lt;=B866)*(('cost master'!$H:$H&gt;=B866)+ISBLANK('cost master'!$H:$H))),1),0)"),3.9)</f>
        <v>3.9</v>
      </c>
      <c r="I866" s="3">
        <f t="shared" si="4"/>
        <v>0</v>
      </c>
      <c r="J866" s="27">
        <f t="shared" si="5"/>
        <v>45824</v>
      </c>
      <c r="K866" s="27">
        <f t="shared" si="6"/>
        <v>45853</v>
      </c>
    </row>
    <row r="867" hidden="1">
      <c r="A867" s="3" t="str">
        <f t="shared" si="3"/>
        <v>SL-20250630-FMC-CS 009-11</v>
      </c>
      <c r="B867" s="2">
        <f t="array" ref="B867">INDEX(helper!$A$3:$A3996,ROUNDUP((ROW()-1)/COUNTA(helper!$D$3:$D3996),0))</f>
        <v>45838</v>
      </c>
      <c r="C867" s="5" t="str">
        <f t="array" ref="C867">IF(B867="","",INDEX(helper!$D$3:$D3996,MOD(ROW()-2,COUNTA(helper!$D$3:$D3996))+1))</f>
        <v>FMC</v>
      </c>
      <c r="D867" s="3" t="str">
        <f t="array" ref="D867">IF(B867="","",INDEX(helper!$E$3:$E3996,MOD(ROW()-2,COUNTA(helper!$D$3:$D3996))+1))</f>
        <v>CS 009</v>
      </c>
      <c r="E867" s="3">
        <f t="array" ref="E867">IF(B867="","",INDEX(helper!$F$3:$F3996,MOD(ROW()-2,COUNTA(helper!$D$3:$D3996))+1))</f>
        <v>11</v>
      </c>
      <c r="F867" s="3">
        <f>IF(B867="","",SUMIFS('inventory ledger'!$H:$H,'inventory ledger'!$C:$C,C867,'inventory ledger'!$D:$D,D867,'inventory ledger'!$E:$E,E867,'inventory ledger'!$A:$A,"&lt;="&amp;B867+TIME(23,59,59))-SUMIFS('inventory ledger'!$I:$I,'inventory ledger'!$C:$C,C867,'inventory ledger'!$D:$D,D867,'inventory ledger'!$E:$E,E867,'inventory ledger'!$A:$A,"&lt;="&amp;B867+TIME(23,59,59)))</f>
        <v>0</v>
      </c>
      <c r="G867" s="3">
        <f>IFERROR(__xludf.DUMMYFUNCTION("IF(F867&lt;=0,0,IFERROR(ROUNDUP(F867/INDEX(FILTER('warehouse config'!$D:$D,('warehouse config'!$B:$B=C867)*('warehouse config'!$C:$C=D867)*('warehouse config'!$G:$G&lt;=B867)*(('warehouse config'!$H:$H&gt;=B867)+ISBLANK('warehouse config'!$H:$H))),1)),0))"),0.0)</f>
        <v>0</v>
      </c>
      <c r="H867" s="3">
        <f>IFERROR(__xludf.DUMMYFUNCTION("IFERROR(INDEX(FILTER('cost master'!$E:$E,('cost master'!$B:$B=C867)*('cost master'!$D:$D=""Storage cost per pallet / week"")*('cost master'!$G:$G&lt;=B867)*(('cost master'!$H:$H&gt;=B867)+ISBLANK('cost master'!$H:$H))),1),0)"),3.9)</f>
        <v>3.9</v>
      </c>
      <c r="I867" s="3">
        <f t="shared" si="4"/>
        <v>0</v>
      </c>
      <c r="J867" s="27">
        <f t="shared" si="5"/>
        <v>45824</v>
      </c>
      <c r="K867" s="27">
        <f t="shared" si="6"/>
        <v>45853</v>
      </c>
    </row>
    <row r="868" hidden="1">
      <c r="A868" s="3" t="str">
        <f t="shared" si="3"/>
        <v>SL-20250630-FMC-CS 010-11</v>
      </c>
      <c r="B868" s="2">
        <f t="array" ref="B868">INDEX(helper!$A$3:$A3996,ROUNDUP((ROW()-1)/COUNTA(helper!$D$3:$D3996),0))</f>
        <v>45838</v>
      </c>
      <c r="C868" s="5" t="str">
        <f t="array" ref="C868">IF(B868="","",INDEX(helper!$D$3:$D3996,MOD(ROW()-2,COUNTA(helper!$D$3:$D3996))+1))</f>
        <v>FMC</v>
      </c>
      <c r="D868" s="3" t="str">
        <f t="array" ref="D868">IF(B868="","",INDEX(helper!$E$3:$E3996,MOD(ROW()-2,COUNTA(helper!$D$3:$D3996))+1))</f>
        <v>CS 010</v>
      </c>
      <c r="E868" s="3">
        <f t="array" ref="E868">IF(B868="","",INDEX(helper!$F$3:$F3996,MOD(ROW()-2,COUNTA(helper!$D$3:$D3996))+1))</f>
        <v>11</v>
      </c>
      <c r="F868" s="3">
        <f>IF(B868="","",SUMIFS('inventory ledger'!$H:$H,'inventory ledger'!$C:$C,C868,'inventory ledger'!$D:$D,D868,'inventory ledger'!$E:$E,E868,'inventory ledger'!$A:$A,"&lt;="&amp;B868+TIME(23,59,59))-SUMIFS('inventory ledger'!$I:$I,'inventory ledger'!$C:$C,C868,'inventory ledger'!$D:$D,D868,'inventory ledger'!$E:$E,E868,'inventory ledger'!$A:$A,"&lt;="&amp;B868+TIME(23,59,59)))</f>
        <v>6</v>
      </c>
      <c r="G868" s="3">
        <f>IFERROR(__xludf.DUMMYFUNCTION("IF(F868&lt;=0,0,IFERROR(ROUNDUP(F868/INDEX(FILTER('warehouse config'!$D:$D,('warehouse config'!$B:$B=C868)*('warehouse config'!$C:$C=D868)*('warehouse config'!$G:$G&lt;=B868)*(('warehouse config'!$H:$H&gt;=B868)+ISBLANK('warehouse config'!$H:$H))),1)),0))"),1.0)</f>
        <v>1</v>
      </c>
      <c r="H868" s="3">
        <f>IFERROR(__xludf.DUMMYFUNCTION("IFERROR(INDEX(FILTER('cost master'!$E:$E,('cost master'!$B:$B=C868)*('cost master'!$D:$D=""Storage cost per pallet / week"")*('cost master'!$G:$G&lt;=B868)*(('cost master'!$H:$H&gt;=B868)+ISBLANK('cost master'!$H:$H))),1),0)"),3.9)</f>
        <v>3.9</v>
      </c>
      <c r="I868" s="3">
        <f t="shared" si="4"/>
        <v>3.9</v>
      </c>
      <c r="J868" s="27">
        <f t="shared" si="5"/>
        <v>45824</v>
      </c>
      <c r="K868" s="27">
        <f t="shared" si="6"/>
        <v>45853</v>
      </c>
    </row>
    <row r="869" hidden="1">
      <c r="A869" s="3" t="str">
        <f t="shared" si="3"/>
        <v>SL-20250630-Vglobal-CS 007-12</v>
      </c>
      <c r="B869" s="2">
        <f t="array" ref="B869">INDEX(helper!$A$3:$A3996,ROUNDUP((ROW()-1)/COUNTA(helper!$D$3:$D3996),0))</f>
        <v>45838</v>
      </c>
      <c r="C869" s="5" t="str">
        <f t="array" ref="C869">IF(B869="","",INDEX(helper!$D$3:$D3996,MOD(ROW()-2,COUNTA(helper!$D$3:$D3996))+1))</f>
        <v>Vglobal</v>
      </c>
      <c r="D869" s="3" t="str">
        <f t="array" ref="D869">IF(B869="","",INDEX(helper!$E$3:$E3996,MOD(ROW()-2,COUNTA(helper!$D$3:$D3996))+1))</f>
        <v>CS 007</v>
      </c>
      <c r="E869" s="3">
        <f t="array" ref="E869">IF(B869="","",INDEX(helper!$F$3:$F3996,MOD(ROW()-2,COUNTA(helper!$D$3:$D3996))+1))</f>
        <v>12</v>
      </c>
      <c r="F869" s="3">
        <f>IF(B869="","",SUMIFS('inventory ledger'!$H:$H,'inventory ledger'!$C:$C,C869,'inventory ledger'!$D:$D,D869,'inventory ledger'!$E:$E,E869,'inventory ledger'!$A:$A,"&lt;="&amp;B869+TIME(23,59,59))-SUMIFS('inventory ledger'!$I:$I,'inventory ledger'!$C:$C,C869,'inventory ledger'!$D:$D,D869,'inventory ledger'!$E:$E,E869,'inventory ledger'!$A:$A,"&lt;="&amp;B869+TIME(23,59,59)))</f>
        <v>0</v>
      </c>
      <c r="G869" s="3">
        <f>IFERROR(__xludf.DUMMYFUNCTION("IF(F869&lt;=0,0,IFERROR(ROUNDUP(F869/INDEX(FILTER('warehouse config'!$D:$D,('warehouse config'!$B:$B=C869)*('warehouse config'!$C:$C=D869)*('warehouse config'!$G:$G&lt;=B869)*(('warehouse config'!$H:$H&gt;=B869)+ISBLANK('warehouse config'!$H:$H))),1)),0))"),0.0)</f>
        <v>0</v>
      </c>
      <c r="H869" s="3">
        <f>IFERROR(__xludf.DUMMYFUNCTION("IFERROR(INDEX(FILTER('cost master'!$E:$E,('cost master'!$B:$B=C869)*('cost master'!$D:$D=""Storage cost per pallet / week"")*('cost master'!$G:$G&lt;=B869)*(('cost master'!$H:$H&gt;=B869)+ISBLANK('cost master'!$H:$H))),1),0)"),2.6)</f>
        <v>2.6</v>
      </c>
      <c r="I869" s="3">
        <f t="shared" si="4"/>
        <v>0</v>
      </c>
      <c r="J869" s="27">
        <f t="shared" si="5"/>
        <v>45824</v>
      </c>
      <c r="K869" s="27">
        <f t="shared" si="6"/>
        <v>45853</v>
      </c>
    </row>
    <row r="870" hidden="1">
      <c r="A870" s="3" t="str">
        <f t="shared" si="3"/>
        <v>SL-20250630-Vglobal-CS 011-12</v>
      </c>
      <c r="B870" s="2">
        <f t="array" ref="B870">INDEX(helper!$A$3:$A3996,ROUNDUP((ROW()-1)/COUNTA(helper!$D$3:$D3996),0))</f>
        <v>45838</v>
      </c>
      <c r="C870" s="5" t="str">
        <f t="array" ref="C870">IF(B870="","",INDEX(helper!$D$3:$D3996,MOD(ROW()-2,COUNTA(helper!$D$3:$D3996))+1))</f>
        <v>Vglobal</v>
      </c>
      <c r="D870" s="3" t="str">
        <f t="array" ref="D870">IF(B870="","",INDEX(helper!$E$3:$E3996,MOD(ROW()-2,COUNTA(helper!$D$3:$D3996))+1))</f>
        <v>CS 011</v>
      </c>
      <c r="E870" s="3">
        <f t="array" ref="E870">IF(B870="","",INDEX(helper!$F$3:$F3996,MOD(ROW()-2,COUNTA(helper!$D$3:$D3996))+1))</f>
        <v>12</v>
      </c>
      <c r="F870" s="3">
        <f>IF(B870="","",SUMIFS('inventory ledger'!$H:$H,'inventory ledger'!$C:$C,C870,'inventory ledger'!$D:$D,D870,'inventory ledger'!$E:$E,E870,'inventory ledger'!$A:$A,"&lt;="&amp;B870+TIME(23,59,59))-SUMIFS('inventory ledger'!$I:$I,'inventory ledger'!$C:$C,C870,'inventory ledger'!$D:$D,D870,'inventory ledger'!$E:$E,E870,'inventory ledger'!$A:$A,"&lt;="&amp;B870+TIME(23,59,59)))</f>
        <v>0</v>
      </c>
      <c r="G870" s="3">
        <f>IFERROR(__xludf.DUMMYFUNCTION("IF(F870&lt;=0,0,IFERROR(ROUNDUP(F870/INDEX(FILTER('warehouse config'!$D:$D,('warehouse config'!$B:$B=C870)*('warehouse config'!$C:$C=D870)*('warehouse config'!$G:$G&lt;=B870)*(('warehouse config'!$H:$H&gt;=B870)+ISBLANK('warehouse config'!$H:$H))),1)),0))"),0.0)</f>
        <v>0</v>
      </c>
      <c r="H870" s="3">
        <f>IFERROR(__xludf.DUMMYFUNCTION("IFERROR(INDEX(FILTER('cost master'!$E:$E,('cost master'!$B:$B=C870)*('cost master'!$D:$D=""Storage cost per pallet / week"")*('cost master'!$G:$G&lt;=B870)*(('cost master'!$H:$H&gt;=B870)+ISBLANK('cost master'!$H:$H))),1),0)"),2.6)</f>
        <v>2.6</v>
      </c>
      <c r="I870" s="3">
        <f t="shared" si="4"/>
        <v>0</v>
      </c>
      <c r="J870" s="27">
        <f t="shared" si="5"/>
        <v>45824</v>
      </c>
      <c r="K870" s="27">
        <f t="shared" si="6"/>
        <v>45853</v>
      </c>
    </row>
    <row r="871" hidden="1">
      <c r="A871" s="3" t="str">
        <f t="shared" si="3"/>
        <v>SL-20250630-Vglobal-CS 008-12</v>
      </c>
      <c r="B871" s="2">
        <f t="array" ref="B871">INDEX(helper!$A$3:$A3996,ROUNDUP((ROW()-1)/COUNTA(helper!$D$3:$D3996),0))</f>
        <v>45838</v>
      </c>
      <c r="C871" s="5" t="str">
        <f t="array" ref="C871">IF(B871="","",INDEX(helper!$D$3:$D3996,MOD(ROW()-2,COUNTA(helper!$D$3:$D3996))+1))</f>
        <v>Vglobal</v>
      </c>
      <c r="D871" s="3" t="str">
        <f t="array" ref="D871">IF(B871="","",INDEX(helper!$E$3:$E3996,MOD(ROW()-2,COUNTA(helper!$D$3:$D3996))+1))</f>
        <v>CS 008</v>
      </c>
      <c r="E871" s="3">
        <f t="array" ref="E871">IF(B871="","",INDEX(helper!$F$3:$F3996,MOD(ROW()-2,COUNTA(helper!$D$3:$D3996))+1))</f>
        <v>12</v>
      </c>
      <c r="F871" s="3">
        <f>IF(B871="","",SUMIFS('inventory ledger'!$H:$H,'inventory ledger'!$C:$C,C871,'inventory ledger'!$D:$D,D871,'inventory ledger'!$E:$E,E871,'inventory ledger'!$A:$A,"&lt;="&amp;B871+TIME(23,59,59))-SUMIFS('inventory ledger'!$I:$I,'inventory ledger'!$C:$C,C871,'inventory ledger'!$D:$D,D871,'inventory ledger'!$E:$E,E871,'inventory ledger'!$A:$A,"&lt;="&amp;B871+TIME(23,59,59)))</f>
        <v>0</v>
      </c>
      <c r="G871" s="3">
        <f>IFERROR(__xludf.DUMMYFUNCTION("IF(F871&lt;=0,0,IFERROR(ROUNDUP(F871/INDEX(FILTER('warehouse config'!$D:$D,('warehouse config'!$B:$B=C871)*('warehouse config'!$C:$C=D871)*('warehouse config'!$G:$G&lt;=B871)*(('warehouse config'!$H:$H&gt;=B871)+ISBLANK('warehouse config'!$H:$H))),1)),0))"),0.0)</f>
        <v>0</v>
      </c>
      <c r="H871" s="3">
        <f>IFERROR(__xludf.DUMMYFUNCTION("IFERROR(INDEX(FILTER('cost master'!$E:$E,('cost master'!$B:$B=C871)*('cost master'!$D:$D=""Storage cost per pallet / week"")*('cost master'!$G:$G&lt;=B871)*(('cost master'!$H:$H&gt;=B871)+ISBLANK('cost master'!$H:$H))),1),0)"),2.6)</f>
        <v>2.6</v>
      </c>
      <c r="I871" s="3">
        <f t="shared" si="4"/>
        <v>0</v>
      </c>
      <c r="J871" s="27">
        <f t="shared" si="5"/>
        <v>45824</v>
      </c>
      <c r="K871" s="27">
        <f t="shared" si="6"/>
        <v>45853</v>
      </c>
    </row>
    <row r="872" hidden="1">
      <c r="A872" s="3" t="str">
        <f t="shared" si="3"/>
        <v>SL-20250630-Vglobal-CS 010-12</v>
      </c>
      <c r="B872" s="2">
        <f t="array" ref="B872">INDEX(helper!$A$3:$A3996,ROUNDUP((ROW()-1)/COUNTA(helper!$D$3:$D3996),0))</f>
        <v>45838</v>
      </c>
      <c r="C872" s="5" t="str">
        <f t="array" ref="C872">IF(B872="","",INDEX(helper!$D$3:$D3996,MOD(ROW()-2,COUNTA(helper!$D$3:$D3996))+1))</f>
        <v>Vglobal</v>
      </c>
      <c r="D872" s="3" t="str">
        <f t="array" ref="D872">IF(B872="","",INDEX(helper!$E$3:$E3996,MOD(ROW()-2,COUNTA(helper!$D$3:$D3996))+1))</f>
        <v>CS 010</v>
      </c>
      <c r="E872" s="3">
        <f t="array" ref="E872">IF(B872="","",INDEX(helper!$F$3:$F3996,MOD(ROW()-2,COUNTA(helper!$D$3:$D3996))+1))</f>
        <v>12</v>
      </c>
      <c r="F872" s="3">
        <f>IF(B872="","",SUMIFS('inventory ledger'!$H:$H,'inventory ledger'!$C:$C,C872,'inventory ledger'!$D:$D,D872,'inventory ledger'!$E:$E,E872,'inventory ledger'!$A:$A,"&lt;="&amp;B872+TIME(23,59,59))-SUMIFS('inventory ledger'!$I:$I,'inventory ledger'!$C:$C,C872,'inventory ledger'!$D:$D,D872,'inventory ledger'!$E:$E,E872,'inventory ledger'!$A:$A,"&lt;="&amp;B872+TIME(23,59,59)))</f>
        <v>70</v>
      </c>
      <c r="G872" s="3">
        <f>IFERROR(__xludf.DUMMYFUNCTION("IF(F872&lt;=0,0,IFERROR(ROUNDUP(F872/INDEX(FILTER('warehouse config'!$D:$D,('warehouse config'!$B:$B=C872)*('warehouse config'!$C:$C=D872)*('warehouse config'!$G:$G&lt;=B872)*(('warehouse config'!$H:$H&gt;=B872)+ISBLANK('warehouse config'!$H:$H))),1)),0))"),3.0)</f>
        <v>3</v>
      </c>
      <c r="H872" s="3">
        <f>IFERROR(__xludf.DUMMYFUNCTION("IFERROR(INDEX(FILTER('cost master'!$E:$E,('cost master'!$B:$B=C872)*('cost master'!$D:$D=""Storage cost per pallet / week"")*('cost master'!$G:$G&lt;=B872)*(('cost master'!$H:$H&gt;=B872)+ISBLANK('cost master'!$H:$H))),1),0)"),2.6)</f>
        <v>2.6</v>
      </c>
      <c r="I872" s="3">
        <f t="shared" si="4"/>
        <v>7.8</v>
      </c>
      <c r="J872" s="27">
        <f t="shared" si="5"/>
        <v>45824</v>
      </c>
      <c r="K872" s="27">
        <f t="shared" si="6"/>
        <v>45853</v>
      </c>
    </row>
    <row r="873" hidden="1">
      <c r="A873" s="3" t="str">
        <f t="shared" si="3"/>
        <v>SL-20250630-Vglobal-CS 009-12</v>
      </c>
      <c r="B873" s="2">
        <f t="array" ref="B873">INDEX(helper!$A$3:$A3996,ROUNDUP((ROW()-1)/COUNTA(helper!$D$3:$D3996),0))</f>
        <v>45838</v>
      </c>
      <c r="C873" s="5" t="str">
        <f t="array" ref="C873">IF(B873="","",INDEX(helper!$D$3:$D3996,MOD(ROW()-2,COUNTA(helper!$D$3:$D3996))+1))</f>
        <v>Vglobal</v>
      </c>
      <c r="D873" s="3" t="str">
        <f t="array" ref="D873">IF(B873="","",INDEX(helper!$E$3:$E3996,MOD(ROW()-2,COUNTA(helper!$D$3:$D3996))+1))</f>
        <v>CS 009</v>
      </c>
      <c r="E873" s="3">
        <f t="array" ref="E873">IF(B873="","",INDEX(helper!$F$3:$F3996,MOD(ROW()-2,COUNTA(helper!$D$3:$D3996))+1))</f>
        <v>12</v>
      </c>
      <c r="F873" s="3">
        <f>IF(B873="","",SUMIFS('inventory ledger'!$H:$H,'inventory ledger'!$C:$C,C873,'inventory ledger'!$D:$D,D873,'inventory ledger'!$E:$E,E873,'inventory ledger'!$A:$A,"&lt;="&amp;B873+TIME(23,59,59))-SUMIFS('inventory ledger'!$I:$I,'inventory ledger'!$C:$C,C873,'inventory ledger'!$D:$D,D873,'inventory ledger'!$E:$E,E873,'inventory ledger'!$A:$A,"&lt;="&amp;B873+TIME(23,59,59)))</f>
        <v>0</v>
      </c>
      <c r="G873" s="3">
        <f>IFERROR(__xludf.DUMMYFUNCTION("IF(F873&lt;=0,0,IFERROR(ROUNDUP(F873/INDEX(FILTER('warehouse config'!$D:$D,('warehouse config'!$B:$B=C873)*('warehouse config'!$C:$C=D873)*('warehouse config'!$G:$G&lt;=B873)*(('warehouse config'!$H:$H&gt;=B873)+ISBLANK('warehouse config'!$H:$H))),1)),0))"),0.0)</f>
        <v>0</v>
      </c>
      <c r="H873" s="3">
        <f>IFERROR(__xludf.DUMMYFUNCTION("IFERROR(INDEX(FILTER('cost master'!$E:$E,('cost master'!$B:$B=C873)*('cost master'!$D:$D=""Storage cost per pallet / week"")*('cost master'!$G:$G&lt;=B873)*(('cost master'!$H:$H&gt;=B873)+ISBLANK('cost master'!$H:$H))),1),0)"),2.6)</f>
        <v>2.6</v>
      </c>
      <c r="I873" s="3">
        <f t="shared" si="4"/>
        <v>0</v>
      </c>
      <c r="J873" s="27">
        <f t="shared" si="5"/>
        <v>45824</v>
      </c>
      <c r="K873" s="27">
        <f t="shared" si="6"/>
        <v>45853</v>
      </c>
    </row>
    <row r="874" hidden="1">
      <c r="A874" s="3" t="str">
        <f t="shared" si="3"/>
        <v>SL-20250630-Vglobal-CS 012-12</v>
      </c>
      <c r="B874" s="2">
        <f t="array" ref="B874">INDEX(helper!$A$3:$A3996,ROUNDUP((ROW()-1)/COUNTA(helper!$D$3:$D3996),0))</f>
        <v>45838</v>
      </c>
      <c r="C874" s="5" t="str">
        <f t="array" ref="C874">IF(B874="","",INDEX(helper!$D$3:$D3996,MOD(ROW()-2,COUNTA(helper!$D$3:$D3996))+1))</f>
        <v>Vglobal</v>
      </c>
      <c r="D874" s="3" t="str">
        <f t="array" ref="D874">IF(B874="","",INDEX(helper!$E$3:$E3996,MOD(ROW()-2,COUNTA(helper!$D$3:$D3996))+1))</f>
        <v>CS 012</v>
      </c>
      <c r="E874" s="3">
        <f t="array" ref="E874">IF(B874="","",INDEX(helper!$F$3:$F3996,MOD(ROW()-2,COUNTA(helper!$D$3:$D3996))+1))</f>
        <v>12</v>
      </c>
      <c r="F874" s="3">
        <f>IF(B874="","",SUMIFS('inventory ledger'!$H:$H,'inventory ledger'!$C:$C,C874,'inventory ledger'!$D:$D,D874,'inventory ledger'!$E:$E,E874,'inventory ledger'!$A:$A,"&lt;="&amp;B874+TIME(23,59,59))-SUMIFS('inventory ledger'!$I:$I,'inventory ledger'!$C:$C,C874,'inventory ledger'!$D:$D,D874,'inventory ledger'!$E:$E,E874,'inventory ledger'!$A:$A,"&lt;="&amp;B874+TIME(23,59,59)))</f>
        <v>0</v>
      </c>
      <c r="G874" s="3">
        <f>IFERROR(__xludf.DUMMYFUNCTION("IF(F874&lt;=0,0,IFERROR(ROUNDUP(F874/INDEX(FILTER('warehouse config'!$D:$D,('warehouse config'!$B:$B=C874)*('warehouse config'!$C:$C=D874)*('warehouse config'!$G:$G&lt;=B874)*(('warehouse config'!$H:$H&gt;=B874)+ISBLANK('warehouse config'!$H:$H))),1)),0))"),0.0)</f>
        <v>0</v>
      </c>
      <c r="H874" s="3">
        <f>IFERROR(__xludf.DUMMYFUNCTION("IFERROR(INDEX(FILTER('cost master'!$E:$E,('cost master'!$B:$B=C874)*('cost master'!$D:$D=""Storage cost per pallet / week"")*('cost master'!$G:$G&lt;=B874)*(('cost master'!$H:$H&gt;=B874)+ISBLANK('cost master'!$H:$H))),1),0)"),2.6)</f>
        <v>2.6</v>
      </c>
      <c r="I874" s="3">
        <f t="shared" si="4"/>
        <v>0</v>
      </c>
      <c r="J874" s="27">
        <f t="shared" si="5"/>
        <v>45824</v>
      </c>
      <c r="K874" s="27">
        <f t="shared" si="6"/>
        <v>45853</v>
      </c>
    </row>
    <row r="875" hidden="1">
      <c r="A875" s="3" t="str">
        <f t="shared" si="3"/>
        <v>SL-20250630-Vglobal-CS-CDS-001-3</v>
      </c>
      <c r="B875" s="2">
        <f t="array" ref="B875">INDEX(helper!$A$3:$A3996,ROUNDUP((ROW()-1)/COUNTA(helper!$D$3:$D3996),0))</f>
        <v>45838</v>
      </c>
      <c r="C875" s="5" t="str">
        <f t="array" ref="C875">IF(B875="","",INDEX(helper!$D$3:$D3996,MOD(ROW()-2,COUNTA(helper!$D$3:$D3996))+1))</f>
        <v>Vglobal</v>
      </c>
      <c r="D875" s="3" t="str">
        <f t="array" ref="D875">IF(B875="","",INDEX(helper!$E$3:$E3996,MOD(ROW()-2,COUNTA(helper!$D$3:$D3996))+1))</f>
        <v>CS-CDS-001</v>
      </c>
      <c r="E875" s="3">
        <f t="array" ref="E875">IF(B875="","",INDEX(helper!$F$3:$F3996,MOD(ROW()-2,COUNTA(helper!$D$3:$D3996))+1))</f>
        <v>3</v>
      </c>
      <c r="F875" s="3">
        <f>IF(B875="","",SUMIFS('inventory ledger'!$H:$H,'inventory ledger'!$C:$C,C875,'inventory ledger'!$D:$D,D875,'inventory ledger'!$E:$E,E875,'inventory ledger'!$A:$A,"&lt;="&amp;B875+TIME(23,59,59))-SUMIFS('inventory ledger'!$I:$I,'inventory ledger'!$C:$C,C875,'inventory ledger'!$D:$D,D875,'inventory ledger'!$E:$E,E875,'inventory ledger'!$A:$A,"&lt;="&amp;B875+TIME(23,59,59)))</f>
        <v>1</v>
      </c>
      <c r="G875" s="3">
        <f>IFERROR(__xludf.DUMMYFUNCTION("IF(F875&lt;=0,0,IFERROR(ROUNDUP(F875/INDEX(FILTER('warehouse config'!$D:$D,('warehouse config'!$B:$B=C875)*('warehouse config'!$C:$C=D875)*('warehouse config'!$G:$G&lt;=B875)*(('warehouse config'!$H:$H&gt;=B875)+ISBLANK('warehouse config'!$H:$H))),1)),0))"),1.0)</f>
        <v>1</v>
      </c>
      <c r="H875" s="3">
        <f>IFERROR(__xludf.DUMMYFUNCTION("IFERROR(INDEX(FILTER('cost master'!$E:$E,('cost master'!$B:$B=C875)*('cost master'!$D:$D=""Storage cost per pallet / week"")*('cost master'!$G:$G&lt;=B875)*(('cost master'!$H:$H&gt;=B875)+ISBLANK('cost master'!$H:$H))),1),0)"),2.6)</f>
        <v>2.6</v>
      </c>
      <c r="I875" s="3">
        <f t="shared" si="4"/>
        <v>2.6</v>
      </c>
      <c r="J875" s="27">
        <f t="shared" si="5"/>
        <v>45824</v>
      </c>
      <c r="K875" s="27">
        <f t="shared" si="6"/>
        <v>45853</v>
      </c>
    </row>
    <row r="876" hidden="1">
      <c r="A876" s="3" t="str">
        <f t="shared" si="3"/>
        <v>SL-20250630-Vglobal-CS-CDS-002-3</v>
      </c>
      <c r="B876" s="2">
        <f t="array" ref="B876">INDEX(helper!$A$3:$A3996,ROUNDUP((ROW()-1)/COUNTA(helper!$D$3:$D3996),0))</f>
        <v>45838</v>
      </c>
      <c r="C876" s="5" t="str">
        <f t="array" ref="C876">IF(B876="","",INDEX(helper!$D$3:$D3996,MOD(ROW()-2,COUNTA(helper!$D$3:$D3996))+1))</f>
        <v>Vglobal</v>
      </c>
      <c r="D876" s="3" t="str">
        <f t="array" ref="D876">IF(B876="","",INDEX(helper!$E$3:$E3996,MOD(ROW()-2,COUNTA(helper!$D$3:$D3996))+1))</f>
        <v>CS-CDS-002</v>
      </c>
      <c r="E876" s="3">
        <f t="array" ref="E876">IF(B876="","",INDEX(helper!$F$3:$F3996,MOD(ROW()-2,COUNTA(helper!$D$3:$D3996))+1))</f>
        <v>3</v>
      </c>
      <c r="F876" s="3">
        <f>IF(B876="","",SUMIFS('inventory ledger'!$H:$H,'inventory ledger'!$C:$C,C876,'inventory ledger'!$D:$D,D876,'inventory ledger'!$E:$E,E876,'inventory ledger'!$A:$A,"&lt;="&amp;B876+TIME(23,59,59))-SUMIFS('inventory ledger'!$I:$I,'inventory ledger'!$C:$C,C876,'inventory ledger'!$D:$D,D876,'inventory ledger'!$E:$E,E876,'inventory ledger'!$A:$A,"&lt;="&amp;B876+TIME(23,59,59)))</f>
        <v>0</v>
      </c>
      <c r="G876" s="3">
        <f>IFERROR(__xludf.DUMMYFUNCTION("IF(F876&lt;=0,0,IFERROR(ROUNDUP(F876/INDEX(FILTER('warehouse config'!$D:$D,('warehouse config'!$B:$B=C876)*('warehouse config'!$C:$C=D876)*('warehouse config'!$G:$G&lt;=B876)*(('warehouse config'!$H:$H&gt;=B876)+ISBLANK('warehouse config'!$H:$H))),1)),0))"),0.0)</f>
        <v>0</v>
      </c>
      <c r="H876" s="3">
        <f>IFERROR(__xludf.DUMMYFUNCTION("IFERROR(INDEX(FILTER('cost master'!$E:$E,('cost master'!$B:$B=C876)*('cost master'!$D:$D=""Storage cost per pallet / week"")*('cost master'!$G:$G&lt;=B876)*(('cost master'!$H:$H&gt;=B876)+ISBLANK('cost master'!$H:$H))),1),0)"),2.6)</f>
        <v>2.6</v>
      </c>
      <c r="I876" s="3">
        <f t="shared" si="4"/>
        <v>0</v>
      </c>
      <c r="J876" s="27">
        <f t="shared" si="5"/>
        <v>45824</v>
      </c>
      <c r="K876" s="27">
        <f t="shared" si="6"/>
        <v>45853</v>
      </c>
    </row>
    <row r="877" hidden="1">
      <c r="A877" s="3" t="str">
        <f t="shared" si="3"/>
        <v>SL-20250630-4as-CS-CDS-001-4</v>
      </c>
      <c r="B877" s="2">
        <f t="array" ref="B877">INDEX(helper!$A$3:$A3996,ROUNDUP((ROW()-1)/COUNTA(helper!$D$3:$D3996),0))</f>
        <v>45838</v>
      </c>
      <c r="C877" s="5" t="str">
        <f t="array" ref="C877">IF(B877="","",INDEX(helper!$D$3:$D3996,MOD(ROW()-2,COUNTA(helper!$D$3:$D3996))+1))</f>
        <v>4as</v>
      </c>
      <c r="D877" s="3" t="str">
        <f t="array" ref="D877">IF(B877="","",INDEX(helper!$E$3:$E3996,MOD(ROW()-2,COUNTA(helper!$D$3:$D3996))+1))</f>
        <v>CS-CDS-001</v>
      </c>
      <c r="E877" s="3">
        <f t="array" ref="E877">IF(B877="","",INDEX(helper!$F$3:$F3996,MOD(ROW()-2,COUNTA(helper!$D$3:$D3996))+1))</f>
        <v>4</v>
      </c>
      <c r="F877" s="3">
        <f>IF(B877="","",SUMIFS('inventory ledger'!$H:$H,'inventory ledger'!$C:$C,C877,'inventory ledger'!$D:$D,D877,'inventory ledger'!$E:$E,E877,'inventory ledger'!$A:$A,"&lt;="&amp;B877+TIME(23,59,59))-SUMIFS('inventory ledger'!$I:$I,'inventory ledger'!$C:$C,C877,'inventory ledger'!$D:$D,D877,'inventory ledger'!$E:$E,E877,'inventory ledger'!$A:$A,"&lt;="&amp;B877+TIME(23,59,59)))</f>
        <v>0</v>
      </c>
      <c r="G877" s="3">
        <f>IFERROR(__xludf.DUMMYFUNCTION("IF(F877&lt;=0,0,IFERROR(ROUNDUP(F877/INDEX(FILTER('warehouse config'!$D:$D,('warehouse config'!$B:$B=C877)*('warehouse config'!$C:$C=D877)*('warehouse config'!$G:$G&lt;=B877)*(('warehouse config'!$H:$H&gt;=B877)+ISBLANK('warehouse config'!$H:$H))),1)),0))"),0.0)</f>
        <v>0</v>
      </c>
      <c r="H877" s="3">
        <f>IFERROR(__xludf.DUMMYFUNCTION("IFERROR(INDEX(FILTER('cost master'!$E:$E,('cost master'!$B:$B=C877)*('cost master'!$D:$D=""Storage cost per pallet / week"")*('cost master'!$G:$G&lt;=B877)*(('cost master'!$H:$H&gt;=B877)+ISBLANK('cost master'!$H:$H))),1),0)"),9.0)</f>
        <v>9</v>
      </c>
      <c r="I877" s="3">
        <f t="shared" si="4"/>
        <v>0</v>
      </c>
      <c r="J877" s="27">
        <f t="shared" si="5"/>
        <v>45824</v>
      </c>
      <c r="K877" s="27">
        <f t="shared" si="6"/>
        <v>45853</v>
      </c>
    </row>
    <row r="878" hidden="1">
      <c r="A878" s="3" t="str">
        <f t="shared" si="3"/>
        <v>SL-20250630-4as-CS-CDS-002-4</v>
      </c>
      <c r="B878" s="2">
        <f t="array" ref="B878">INDEX(helper!$A$3:$A3996,ROUNDUP((ROW()-1)/COUNTA(helper!$D$3:$D3996),0))</f>
        <v>45838</v>
      </c>
      <c r="C878" s="5" t="str">
        <f t="array" ref="C878">IF(B878="","",INDEX(helper!$D$3:$D3996,MOD(ROW()-2,COUNTA(helper!$D$3:$D3996))+1))</f>
        <v>4as</v>
      </c>
      <c r="D878" s="3" t="str">
        <f t="array" ref="D878">IF(B878="","",INDEX(helper!$E$3:$E3996,MOD(ROW()-2,COUNTA(helper!$D$3:$D3996))+1))</f>
        <v>CS-CDS-002</v>
      </c>
      <c r="E878" s="3">
        <f t="array" ref="E878">IF(B878="","",INDEX(helper!$F$3:$F3996,MOD(ROW()-2,COUNTA(helper!$D$3:$D3996))+1))</f>
        <v>4</v>
      </c>
      <c r="F878" s="3">
        <f>IF(B878="","",SUMIFS('inventory ledger'!$H:$H,'inventory ledger'!$C:$C,C878,'inventory ledger'!$D:$D,D878,'inventory ledger'!$E:$E,E878,'inventory ledger'!$A:$A,"&lt;="&amp;B878+TIME(23,59,59))-SUMIFS('inventory ledger'!$I:$I,'inventory ledger'!$C:$C,C878,'inventory ledger'!$D:$D,D878,'inventory ledger'!$E:$E,E878,'inventory ledger'!$A:$A,"&lt;="&amp;B878+TIME(23,59,59)))</f>
        <v>0</v>
      </c>
      <c r="G878" s="3">
        <f>IFERROR(__xludf.DUMMYFUNCTION("IF(F878&lt;=0,0,IFERROR(ROUNDUP(F878/INDEX(FILTER('warehouse config'!$D:$D,('warehouse config'!$B:$B=C878)*('warehouse config'!$C:$C=D878)*('warehouse config'!$G:$G&lt;=B878)*(('warehouse config'!$H:$H&gt;=B878)+ISBLANK('warehouse config'!$H:$H))),1)),0))"),0.0)</f>
        <v>0</v>
      </c>
      <c r="H878" s="3">
        <f>IFERROR(__xludf.DUMMYFUNCTION("IFERROR(INDEX(FILTER('cost master'!$E:$E,('cost master'!$B:$B=C878)*('cost master'!$D:$D=""Storage cost per pallet / week"")*('cost master'!$G:$G&lt;=B878)*(('cost master'!$H:$H&gt;=B878)+ISBLANK('cost master'!$H:$H))),1),0)"),9.0)</f>
        <v>9</v>
      </c>
      <c r="I878" s="3">
        <f t="shared" si="4"/>
        <v>0</v>
      </c>
      <c r="J878" s="27">
        <f t="shared" si="5"/>
        <v>45824</v>
      </c>
      <c r="K878" s="27">
        <f t="shared" si="6"/>
        <v>45853</v>
      </c>
    </row>
    <row r="879" hidden="1">
      <c r="A879" s="3" t="str">
        <f t="shared" si="3"/>
        <v>SL-20250630-Vglobal-CS 007-13</v>
      </c>
      <c r="B879" s="2">
        <f t="array" ref="B879">INDEX(helper!$A$3:$A3996,ROUNDUP((ROW()-1)/COUNTA(helper!$D$3:$D3996),0))</f>
        <v>45838</v>
      </c>
      <c r="C879" s="5" t="str">
        <f t="array" ref="C879">IF(B879="","",INDEX(helper!$D$3:$D3996,MOD(ROW()-2,COUNTA(helper!$D$3:$D3996))+1))</f>
        <v>Vglobal</v>
      </c>
      <c r="D879" s="3" t="str">
        <f t="array" ref="D879">IF(B879="","",INDEX(helper!$E$3:$E3996,MOD(ROW()-2,COUNTA(helper!$D$3:$D3996))+1))</f>
        <v>CS 007</v>
      </c>
      <c r="E879" s="3">
        <f t="array" ref="E879">IF(B879="","",INDEX(helper!$F$3:$F3996,MOD(ROW()-2,COUNTA(helper!$D$3:$D3996))+1))</f>
        <v>13</v>
      </c>
      <c r="F879" s="3">
        <f>IF(B879="","",SUMIFS('inventory ledger'!$H:$H,'inventory ledger'!$C:$C,C879,'inventory ledger'!$D:$D,D879,'inventory ledger'!$E:$E,E879,'inventory ledger'!$A:$A,"&lt;="&amp;B879+TIME(23,59,59))-SUMIFS('inventory ledger'!$I:$I,'inventory ledger'!$C:$C,C879,'inventory ledger'!$D:$D,D879,'inventory ledger'!$E:$E,E879,'inventory ledger'!$A:$A,"&lt;="&amp;B879+TIME(23,59,59)))</f>
        <v>45</v>
      </c>
      <c r="G879" s="3">
        <f>IFERROR(__xludf.DUMMYFUNCTION("IF(F879&lt;=0,0,IFERROR(ROUNDUP(F879/INDEX(FILTER('warehouse config'!$D:$D,('warehouse config'!$B:$B=C879)*('warehouse config'!$C:$C=D879)*('warehouse config'!$G:$G&lt;=B879)*(('warehouse config'!$H:$H&gt;=B879)+ISBLANK('warehouse config'!$H:$H))),1)),0))"),3.0)</f>
        <v>3</v>
      </c>
      <c r="H879" s="3">
        <f>IFERROR(__xludf.DUMMYFUNCTION("IFERROR(INDEX(FILTER('cost master'!$E:$E,('cost master'!$B:$B=C879)*('cost master'!$D:$D=""Storage cost per pallet / week"")*('cost master'!$G:$G&lt;=B879)*(('cost master'!$H:$H&gt;=B879)+ISBLANK('cost master'!$H:$H))),1),0)"),2.6)</f>
        <v>2.6</v>
      </c>
      <c r="I879" s="3">
        <f t="shared" si="4"/>
        <v>7.8</v>
      </c>
      <c r="J879" s="27">
        <f t="shared" si="5"/>
        <v>45824</v>
      </c>
      <c r="K879" s="27">
        <f t="shared" si="6"/>
        <v>45853</v>
      </c>
    </row>
    <row r="880" hidden="1">
      <c r="A880" s="3" t="str">
        <f t="shared" si="3"/>
        <v>SL-20250630-Vglobal-CS 011-13</v>
      </c>
      <c r="B880" s="2">
        <f t="array" ref="B880">INDEX(helper!$A$3:$A3996,ROUNDUP((ROW()-1)/COUNTA(helper!$D$3:$D3996),0))</f>
        <v>45838</v>
      </c>
      <c r="C880" s="5" t="str">
        <f t="array" ref="C880">IF(B880="","",INDEX(helper!$D$3:$D3996,MOD(ROW()-2,COUNTA(helper!$D$3:$D3996))+1))</f>
        <v>Vglobal</v>
      </c>
      <c r="D880" s="3" t="str">
        <f t="array" ref="D880">IF(B880="","",INDEX(helper!$E$3:$E3996,MOD(ROW()-2,COUNTA(helper!$D$3:$D3996))+1))</f>
        <v>CS 011</v>
      </c>
      <c r="E880" s="3">
        <f t="array" ref="E880">IF(B880="","",INDEX(helper!$F$3:$F3996,MOD(ROW()-2,COUNTA(helper!$D$3:$D3996))+1))</f>
        <v>13</v>
      </c>
      <c r="F880" s="3">
        <f>IF(B880="","",SUMIFS('inventory ledger'!$H:$H,'inventory ledger'!$C:$C,C880,'inventory ledger'!$D:$D,D880,'inventory ledger'!$E:$E,E880,'inventory ledger'!$A:$A,"&lt;="&amp;B880+TIME(23,59,59))-SUMIFS('inventory ledger'!$I:$I,'inventory ledger'!$C:$C,C880,'inventory ledger'!$D:$D,D880,'inventory ledger'!$E:$E,E880,'inventory ledger'!$A:$A,"&lt;="&amp;B880+TIME(23,59,59)))</f>
        <v>0</v>
      </c>
      <c r="G880" s="3">
        <f>IFERROR(__xludf.DUMMYFUNCTION("IF(F880&lt;=0,0,IFERROR(ROUNDUP(F880/INDEX(FILTER('warehouse config'!$D:$D,('warehouse config'!$B:$B=C880)*('warehouse config'!$C:$C=D880)*('warehouse config'!$G:$G&lt;=B880)*(('warehouse config'!$H:$H&gt;=B880)+ISBLANK('warehouse config'!$H:$H))),1)),0))"),0.0)</f>
        <v>0</v>
      </c>
      <c r="H880" s="3">
        <f>IFERROR(__xludf.DUMMYFUNCTION("IFERROR(INDEX(FILTER('cost master'!$E:$E,('cost master'!$B:$B=C880)*('cost master'!$D:$D=""Storage cost per pallet / week"")*('cost master'!$G:$G&lt;=B880)*(('cost master'!$H:$H&gt;=B880)+ISBLANK('cost master'!$H:$H))),1),0)"),2.6)</f>
        <v>2.6</v>
      </c>
      <c r="I880" s="3">
        <f t="shared" si="4"/>
        <v>0</v>
      </c>
      <c r="J880" s="27">
        <f t="shared" si="5"/>
        <v>45824</v>
      </c>
      <c r="K880" s="27">
        <f t="shared" si="6"/>
        <v>45853</v>
      </c>
    </row>
    <row r="881" hidden="1">
      <c r="A881" s="3" t="str">
        <f t="shared" si="3"/>
        <v>SL-20250630-Vglobal-CS 008-13</v>
      </c>
      <c r="B881" s="2">
        <f t="array" ref="B881">INDEX(helper!$A$3:$A3996,ROUNDUP((ROW()-1)/COUNTA(helper!$D$3:$D3996),0))</f>
        <v>45838</v>
      </c>
      <c r="C881" s="5" t="str">
        <f t="array" ref="C881">IF(B881="","",INDEX(helper!$D$3:$D3996,MOD(ROW()-2,COUNTA(helper!$D$3:$D3996))+1))</f>
        <v>Vglobal</v>
      </c>
      <c r="D881" s="3" t="str">
        <f t="array" ref="D881">IF(B881="","",INDEX(helper!$E$3:$E3996,MOD(ROW()-2,COUNTA(helper!$D$3:$D3996))+1))</f>
        <v>CS 008</v>
      </c>
      <c r="E881" s="3">
        <f t="array" ref="E881">IF(B881="","",INDEX(helper!$F$3:$F3996,MOD(ROW()-2,COUNTA(helper!$D$3:$D3996))+1))</f>
        <v>13</v>
      </c>
      <c r="F881" s="3">
        <f>IF(B881="","",SUMIFS('inventory ledger'!$H:$H,'inventory ledger'!$C:$C,C881,'inventory ledger'!$D:$D,D881,'inventory ledger'!$E:$E,E881,'inventory ledger'!$A:$A,"&lt;="&amp;B881+TIME(23,59,59))-SUMIFS('inventory ledger'!$I:$I,'inventory ledger'!$C:$C,C881,'inventory ledger'!$D:$D,D881,'inventory ledger'!$E:$E,E881,'inventory ledger'!$A:$A,"&lt;="&amp;B881+TIME(23,59,59)))</f>
        <v>20</v>
      </c>
      <c r="G881" s="3">
        <f>IFERROR(__xludf.DUMMYFUNCTION("IF(F881&lt;=0,0,IFERROR(ROUNDUP(F881/INDEX(FILTER('warehouse config'!$D:$D,('warehouse config'!$B:$B=C881)*('warehouse config'!$C:$C=D881)*('warehouse config'!$G:$G&lt;=B881)*(('warehouse config'!$H:$H&gt;=B881)+ISBLANK('warehouse config'!$H:$H))),1)),0))"),1.0)</f>
        <v>1</v>
      </c>
      <c r="H881" s="3">
        <f>IFERROR(__xludf.DUMMYFUNCTION("IFERROR(INDEX(FILTER('cost master'!$E:$E,('cost master'!$B:$B=C881)*('cost master'!$D:$D=""Storage cost per pallet / week"")*('cost master'!$G:$G&lt;=B881)*(('cost master'!$H:$H&gt;=B881)+ISBLANK('cost master'!$H:$H))),1),0)"),2.6)</f>
        <v>2.6</v>
      </c>
      <c r="I881" s="3">
        <f t="shared" si="4"/>
        <v>2.6</v>
      </c>
      <c r="J881" s="27">
        <f t="shared" si="5"/>
        <v>45824</v>
      </c>
      <c r="K881" s="27">
        <f t="shared" si="6"/>
        <v>45853</v>
      </c>
    </row>
    <row r="882" hidden="1">
      <c r="A882" s="3" t="str">
        <f t="shared" si="3"/>
        <v>SL-20250630-Vglobal-CS 010-13</v>
      </c>
      <c r="B882" s="2">
        <f t="array" ref="B882">INDEX(helper!$A$3:$A3996,ROUNDUP((ROW()-1)/COUNTA(helper!$D$3:$D3996),0))</f>
        <v>45838</v>
      </c>
      <c r="C882" s="5" t="str">
        <f t="array" ref="C882">IF(B882="","",INDEX(helper!$D$3:$D3996,MOD(ROW()-2,COUNTA(helper!$D$3:$D3996))+1))</f>
        <v>Vglobal</v>
      </c>
      <c r="D882" s="3" t="str">
        <f t="array" ref="D882">IF(B882="","",INDEX(helper!$E$3:$E3996,MOD(ROW()-2,COUNTA(helper!$D$3:$D3996))+1))</f>
        <v>CS 010</v>
      </c>
      <c r="E882" s="3">
        <f t="array" ref="E882">IF(B882="","",INDEX(helper!$F$3:$F3996,MOD(ROW()-2,COUNTA(helper!$D$3:$D3996))+1))</f>
        <v>13</v>
      </c>
      <c r="F882" s="3">
        <f>IF(B882="","",SUMIFS('inventory ledger'!$H:$H,'inventory ledger'!$C:$C,C882,'inventory ledger'!$D:$D,D882,'inventory ledger'!$E:$E,E882,'inventory ledger'!$A:$A,"&lt;="&amp;B882+TIME(23,59,59))-SUMIFS('inventory ledger'!$I:$I,'inventory ledger'!$C:$C,C882,'inventory ledger'!$D:$D,D882,'inventory ledger'!$E:$E,E882,'inventory ledger'!$A:$A,"&lt;="&amp;B882+TIME(23,59,59)))</f>
        <v>80</v>
      </c>
      <c r="G882" s="3">
        <f>IFERROR(__xludf.DUMMYFUNCTION("IF(F882&lt;=0,0,IFERROR(ROUNDUP(F882/INDEX(FILTER('warehouse config'!$D:$D,('warehouse config'!$B:$B=C882)*('warehouse config'!$C:$C=D882)*('warehouse config'!$G:$G&lt;=B882)*(('warehouse config'!$H:$H&gt;=B882)+ISBLANK('warehouse config'!$H:$H))),1)),0))"),4.0)</f>
        <v>4</v>
      </c>
      <c r="H882" s="3">
        <f>IFERROR(__xludf.DUMMYFUNCTION("IFERROR(INDEX(FILTER('cost master'!$E:$E,('cost master'!$B:$B=C882)*('cost master'!$D:$D=""Storage cost per pallet / week"")*('cost master'!$G:$G&lt;=B882)*(('cost master'!$H:$H&gt;=B882)+ISBLANK('cost master'!$H:$H))),1),0)"),2.6)</f>
        <v>2.6</v>
      </c>
      <c r="I882" s="3">
        <f t="shared" si="4"/>
        <v>10.4</v>
      </c>
      <c r="J882" s="27">
        <f t="shared" si="5"/>
        <v>45824</v>
      </c>
      <c r="K882" s="27">
        <f t="shared" si="6"/>
        <v>45853</v>
      </c>
    </row>
    <row r="883" hidden="1">
      <c r="A883" s="3" t="str">
        <f t="shared" si="3"/>
        <v>SL-20250630-Vglobal-CS 009-13</v>
      </c>
      <c r="B883" s="2">
        <f t="array" ref="B883">INDEX(helper!$A$3:$A3996,ROUNDUP((ROW()-1)/COUNTA(helper!$D$3:$D3996),0))</f>
        <v>45838</v>
      </c>
      <c r="C883" s="5" t="str">
        <f t="array" ref="C883">IF(B883="","",INDEX(helper!$D$3:$D3996,MOD(ROW()-2,COUNTA(helper!$D$3:$D3996))+1))</f>
        <v>Vglobal</v>
      </c>
      <c r="D883" s="3" t="str">
        <f t="array" ref="D883">IF(B883="","",INDEX(helper!$E$3:$E3996,MOD(ROW()-2,COUNTA(helper!$D$3:$D3996))+1))</f>
        <v>CS 009</v>
      </c>
      <c r="E883" s="3">
        <f t="array" ref="E883">IF(B883="","",INDEX(helper!$F$3:$F3996,MOD(ROW()-2,COUNTA(helper!$D$3:$D3996))+1))</f>
        <v>13</v>
      </c>
      <c r="F883" s="3">
        <f>IF(B883="","",SUMIFS('inventory ledger'!$H:$H,'inventory ledger'!$C:$C,C883,'inventory ledger'!$D:$D,D883,'inventory ledger'!$E:$E,E883,'inventory ledger'!$A:$A,"&lt;="&amp;B883+TIME(23,59,59))-SUMIFS('inventory ledger'!$I:$I,'inventory ledger'!$C:$C,C883,'inventory ledger'!$D:$D,D883,'inventory ledger'!$E:$E,E883,'inventory ledger'!$A:$A,"&lt;="&amp;B883+TIME(23,59,59)))</f>
        <v>0</v>
      </c>
      <c r="G883" s="3">
        <f>IFERROR(__xludf.DUMMYFUNCTION("IF(F883&lt;=0,0,IFERROR(ROUNDUP(F883/INDEX(FILTER('warehouse config'!$D:$D,('warehouse config'!$B:$B=C883)*('warehouse config'!$C:$C=D883)*('warehouse config'!$G:$G&lt;=B883)*(('warehouse config'!$H:$H&gt;=B883)+ISBLANK('warehouse config'!$H:$H))),1)),0))"),0.0)</f>
        <v>0</v>
      </c>
      <c r="H883" s="3">
        <f>IFERROR(__xludf.DUMMYFUNCTION("IFERROR(INDEX(FILTER('cost master'!$E:$E,('cost master'!$B:$B=C883)*('cost master'!$D:$D=""Storage cost per pallet / week"")*('cost master'!$G:$G&lt;=B883)*(('cost master'!$H:$H&gt;=B883)+ISBLANK('cost master'!$H:$H))),1),0)"),2.6)</f>
        <v>2.6</v>
      </c>
      <c r="I883" s="3">
        <f t="shared" si="4"/>
        <v>0</v>
      </c>
      <c r="J883" s="27">
        <f t="shared" si="5"/>
        <v>45824</v>
      </c>
      <c r="K883" s="27">
        <f t="shared" si="6"/>
        <v>45853</v>
      </c>
    </row>
    <row r="884" hidden="1">
      <c r="A884" s="3" t="str">
        <f t="shared" si="3"/>
        <v>SL-20250630-Vglobal-CS 012-13</v>
      </c>
      <c r="B884" s="2">
        <f t="array" ref="B884">INDEX(helper!$A$3:$A3996,ROUNDUP((ROW()-1)/COUNTA(helper!$D$3:$D3996),0))</f>
        <v>45838</v>
      </c>
      <c r="C884" s="5" t="str">
        <f t="array" ref="C884">IF(B884="","",INDEX(helper!$D$3:$D3996,MOD(ROW()-2,COUNTA(helper!$D$3:$D3996))+1))</f>
        <v>Vglobal</v>
      </c>
      <c r="D884" s="3" t="str">
        <f t="array" ref="D884">IF(B884="","",INDEX(helper!$E$3:$E3996,MOD(ROW()-2,COUNTA(helper!$D$3:$D3996))+1))</f>
        <v>CS 012</v>
      </c>
      <c r="E884" s="3">
        <f t="array" ref="E884">IF(B884="","",INDEX(helper!$F$3:$F3996,MOD(ROW()-2,COUNTA(helper!$D$3:$D3996))+1))</f>
        <v>13</v>
      </c>
      <c r="F884" s="3">
        <f>IF(B884="","",SUMIFS('inventory ledger'!$H:$H,'inventory ledger'!$C:$C,C884,'inventory ledger'!$D:$D,D884,'inventory ledger'!$E:$E,E884,'inventory ledger'!$A:$A,"&lt;="&amp;B884+TIME(23,59,59))-SUMIFS('inventory ledger'!$I:$I,'inventory ledger'!$C:$C,C884,'inventory ledger'!$D:$D,D884,'inventory ledger'!$E:$E,E884,'inventory ledger'!$A:$A,"&lt;="&amp;B884+TIME(23,59,59)))</f>
        <v>0</v>
      </c>
      <c r="G884" s="3">
        <f>IFERROR(__xludf.DUMMYFUNCTION("IF(F884&lt;=0,0,IFERROR(ROUNDUP(F884/INDEX(FILTER('warehouse config'!$D:$D,('warehouse config'!$B:$B=C884)*('warehouse config'!$C:$C=D884)*('warehouse config'!$G:$G&lt;=B884)*(('warehouse config'!$H:$H&gt;=B884)+ISBLANK('warehouse config'!$H:$H))),1)),0))"),0.0)</f>
        <v>0</v>
      </c>
      <c r="H884" s="3">
        <f>IFERROR(__xludf.DUMMYFUNCTION("IFERROR(INDEX(FILTER('cost master'!$E:$E,('cost master'!$B:$B=C884)*('cost master'!$D:$D=""Storage cost per pallet / week"")*('cost master'!$G:$G&lt;=B884)*(('cost master'!$H:$H&gt;=B884)+ISBLANK('cost master'!$H:$H))),1),0)"),2.6)</f>
        <v>2.6</v>
      </c>
      <c r="I884" s="3">
        <f t="shared" si="4"/>
        <v>0</v>
      </c>
      <c r="J884" s="27">
        <f t="shared" si="5"/>
        <v>45824</v>
      </c>
      <c r="K884" s="27">
        <f t="shared" si="6"/>
        <v>45853</v>
      </c>
    </row>
    <row r="885">
      <c r="A885" s="3" t="str">
        <f t="shared" si="3"/>
        <v>SL-20250630-FMC-CS 008-11</v>
      </c>
      <c r="B885" s="2">
        <f t="array" ref="B885">INDEX(helper!$A$3:$A3996,ROUNDUP((ROW()-1)/COUNTA(helper!$D$3:$D3996),0))</f>
        <v>45838</v>
      </c>
      <c r="C885" s="5" t="str">
        <f t="array" ref="C885">IF(B885="","",INDEX(helper!$D$3:$D3996,MOD(ROW()-2,COUNTA(helper!$D$3:$D3996))+1))</f>
        <v>FMC</v>
      </c>
      <c r="D885" s="3" t="str">
        <f t="array" ref="D885">IF(B885="","",INDEX(helper!$E$3:$E3996,MOD(ROW()-2,COUNTA(helper!$D$3:$D3996))+1))</f>
        <v>CS 008</v>
      </c>
      <c r="E885" s="3">
        <f t="array" ref="E885">IF(B885="","",INDEX(helper!$F$3:$F3996,MOD(ROW()-2,COUNTA(helper!$D$3:$D3996))+1))</f>
        <v>11</v>
      </c>
      <c r="F885" s="3">
        <f>IF(B885="","",SUMIFS('inventory ledger'!$H:$H,'inventory ledger'!$C:$C,C885,'inventory ledger'!$D:$D,D885,'inventory ledger'!$E:$E,E885,'inventory ledger'!$A:$A,"&lt;="&amp;B885+TIME(23,59,59))-SUMIFS('inventory ledger'!$I:$I,'inventory ledger'!$C:$C,C885,'inventory ledger'!$D:$D,D885,'inventory ledger'!$E:$E,E885,'inventory ledger'!$A:$A,"&lt;="&amp;B885+TIME(23,59,59)))</f>
        <v>-2</v>
      </c>
      <c r="G885" s="3">
        <f>IFERROR(__xludf.DUMMYFUNCTION("IF(F885&lt;=0,0,IFERROR(ROUNDUP(F885/INDEX(FILTER('warehouse config'!$D:$D,('warehouse config'!$B:$B=C885)*('warehouse config'!$C:$C=D885)*('warehouse config'!$G:$G&lt;=B885)*(('warehouse config'!$H:$H&gt;=B885)+ISBLANK('warehouse config'!$H:$H))),1)),0))"),0.0)</f>
        <v>0</v>
      </c>
      <c r="H885" s="3">
        <f>IFERROR(__xludf.DUMMYFUNCTION("IFERROR(INDEX(FILTER('cost master'!$E:$E,('cost master'!$B:$B=C885)*('cost master'!$D:$D=""Storage cost per pallet / week"")*('cost master'!$G:$G&lt;=B885)*(('cost master'!$H:$H&gt;=B885)+ISBLANK('cost master'!$H:$H))),1),0)"),3.9)</f>
        <v>3.9</v>
      </c>
      <c r="I885" s="3">
        <f t="shared" si="4"/>
        <v>0</v>
      </c>
      <c r="J885" s="27">
        <f t="shared" si="5"/>
        <v>45824</v>
      </c>
      <c r="K885" s="27">
        <f t="shared" si="6"/>
        <v>45853</v>
      </c>
    </row>
    <row r="886" hidden="1">
      <c r="A886" s="3" t="str">
        <f t="shared" si="3"/>
        <v>SL-20250707-FMC-CS 007-8</v>
      </c>
      <c r="B886" s="2">
        <f t="array" ref="B886">INDEX(helper!$A$3:$A3996,ROUNDUP((ROW()-1)/COUNTA(helper!$D$3:$D3996),0))</f>
        <v>45845</v>
      </c>
      <c r="C886" s="5" t="str">
        <f t="array" ref="C886">IF(B886="","",INDEX(helper!$D$3:$D3996,MOD(ROW()-2,COUNTA(helper!$D$3:$D3996))+1))</f>
        <v>FMC</v>
      </c>
      <c r="D886" s="3" t="str">
        <f t="array" ref="D886">IF(B886="","",INDEX(helper!$E$3:$E3996,MOD(ROW()-2,COUNTA(helper!$D$3:$D3996))+1))</f>
        <v>CS 007</v>
      </c>
      <c r="E886" s="3">
        <f t="array" ref="E886">IF(B886="","",INDEX(helper!$F$3:$F3996,MOD(ROW()-2,COUNTA(helper!$D$3:$D3996))+1))</f>
        <v>8</v>
      </c>
      <c r="F886" s="3">
        <f>IF(B886="","",SUMIFS('inventory ledger'!$H:$H,'inventory ledger'!$C:$C,C886,'inventory ledger'!$D:$D,D886,'inventory ledger'!$E:$E,E886,'inventory ledger'!$A:$A,"&lt;="&amp;B886+TIME(23,59,59))-SUMIFS('inventory ledger'!$I:$I,'inventory ledger'!$C:$C,C886,'inventory ledger'!$D:$D,D886,'inventory ledger'!$E:$E,E886,'inventory ledger'!$A:$A,"&lt;="&amp;B886+TIME(23,59,59)))</f>
        <v>0</v>
      </c>
      <c r="G886" s="3">
        <f>IFERROR(__xludf.DUMMYFUNCTION("IF(F886&lt;=0,0,IFERROR(ROUNDUP(F886/INDEX(FILTER('warehouse config'!$D:$D,('warehouse config'!$B:$B=C886)*('warehouse config'!$C:$C=D886)*('warehouse config'!$G:$G&lt;=B886)*(('warehouse config'!$H:$H&gt;=B886)+ISBLANK('warehouse config'!$H:$H))),1)),0))"),0.0)</f>
        <v>0</v>
      </c>
      <c r="H886" s="3">
        <f>IFERROR(__xludf.DUMMYFUNCTION("IFERROR(INDEX(FILTER('cost master'!$E:$E,('cost master'!$B:$B=C886)*('cost master'!$D:$D=""Storage cost per pallet / week"")*('cost master'!$G:$G&lt;=B886)*(('cost master'!$H:$H&gt;=B886)+ISBLANK('cost master'!$H:$H))),1),0)"),3.9)</f>
        <v>3.9</v>
      </c>
      <c r="I886" s="3">
        <f t="shared" si="4"/>
        <v>0</v>
      </c>
      <c r="J886" s="27">
        <f t="shared" si="5"/>
        <v>45824</v>
      </c>
      <c r="K886" s="27">
        <f t="shared" si="6"/>
        <v>45853</v>
      </c>
    </row>
    <row r="887" hidden="1">
      <c r="A887" s="3" t="str">
        <f t="shared" si="3"/>
        <v>SL-20250707-FMC-CS 008-8</v>
      </c>
      <c r="B887" s="2">
        <f t="array" ref="B887">INDEX(helper!$A$3:$A3996,ROUNDUP((ROW()-1)/COUNTA(helper!$D$3:$D3996),0))</f>
        <v>45845</v>
      </c>
      <c r="C887" s="5" t="str">
        <f t="array" ref="C887">IF(B887="","",INDEX(helper!$D$3:$D3996,MOD(ROW()-2,COUNTA(helper!$D$3:$D3996))+1))</f>
        <v>FMC</v>
      </c>
      <c r="D887" s="3" t="str">
        <f t="array" ref="D887">IF(B887="","",INDEX(helper!$E$3:$E3996,MOD(ROW()-2,COUNTA(helper!$D$3:$D3996))+1))</f>
        <v>CS 008</v>
      </c>
      <c r="E887" s="3">
        <f t="array" ref="E887">IF(B887="","",INDEX(helper!$F$3:$F3996,MOD(ROW()-2,COUNTA(helper!$D$3:$D3996))+1))</f>
        <v>8</v>
      </c>
      <c r="F887" s="3">
        <f>IF(B887="","",SUMIFS('inventory ledger'!$H:$H,'inventory ledger'!$C:$C,C887,'inventory ledger'!$D:$D,D887,'inventory ledger'!$E:$E,E887,'inventory ledger'!$A:$A,"&lt;="&amp;B887+TIME(23,59,59))-SUMIFS('inventory ledger'!$I:$I,'inventory ledger'!$C:$C,C887,'inventory ledger'!$D:$D,D887,'inventory ledger'!$E:$E,E887,'inventory ledger'!$A:$A,"&lt;="&amp;B887+TIME(23,59,59)))</f>
        <v>0</v>
      </c>
      <c r="G887" s="3">
        <f>IFERROR(__xludf.DUMMYFUNCTION("IF(F887&lt;=0,0,IFERROR(ROUNDUP(F887/INDEX(FILTER('warehouse config'!$D:$D,('warehouse config'!$B:$B=C887)*('warehouse config'!$C:$C=D887)*('warehouse config'!$G:$G&lt;=B887)*(('warehouse config'!$H:$H&gt;=B887)+ISBLANK('warehouse config'!$H:$H))),1)),0))"),0.0)</f>
        <v>0</v>
      </c>
      <c r="H887" s="3">
        <f>IFERROR(__xludf.DUMMYFUNCTION("IFERROR(INDEX(FILTER('cost master'!$E:$E,('cost master'!$B:$B=C887)*('cost master'!$D:$D=""Storage cost per pallet / week"")*('cost master'!$G:$G&lt;=B887)*(('cost master'!$H:$H&gt;=B887)+ISBLANK('cost master'!$H:$H))),1),0)"),3.9)</f>
        <v>3.9</v>
      </c>
      <c r="I887" s="3">
        <f t="shared" si="4"/>
        <v>0</v>
      </c>
      <c r="J887" s="27">
        <f t="shared" si="5"/>
        <v>45824</v>
      </c>
      <c r="K887" s="27">
        <f t="shared" si="6"/>
        <v>45853</v>
      </c>
    </row>
    <row r="888" hidden="1">
      <c r="A888" s="3" t="str">
        <f t="shared" si="3"/>
        <v>SL-20250707-FMC-CS 009-8</v>
      </c>
      <c r="B888" s="2">
        <f t="array" ref="B888">INDEX(helper!$A$3:$A3996,ROUNDUP((ROW()-1)/COUNTA(helper!$D$3:$D3996),0))</f>
        <v>45845</v>
      </c>
      <c r="C888" s="5" t="str">
        <f t="array" ref="C888">IF(B888="","",INDEX(helper!$D$3:$D3996,MOD(ROW()-2,COUNTA(helper!$D$3:$D3996))+1))</f>
        <v>FMC</v>
      </c>
      <c r="D888" s="3" t="str">
        <f t="array" ref="D888">IF(B888="","",INDEX(helper!$E$3:$E3996,MOD(ROW()-2,COUNTA(helper!$D$3:$D3996))+1))</f>
        <v>CS 009</v>
      </c>
      <c r="E888" s="3">
        <f t="array" ref="E888">IF(B888="","",INDEX(helper!$F$3:$F3996,MOD(ROW()-2,COUNTA(helper!$D$3:$D3996))+1))</f>
        <v>8</v>
      </c>
      <c r="F888" s="3">
        <f>IF(B888="","",SUMIFS('inventory ledger'!$H:$H,'inventory ledger'!$C:$C,C888,'inventory ledger'!$D:$D,D888,'inventory ledger'!$E:$E,E888,'inventory ledger'!$A:$A,"&lt;="&amp;B888+TIME(23,59,59))-SUMIFS('inventory ledger'!$I:$I,'inventory ledger'!$C:$C,C888,'inventory ledger'!$D:$D,D888,'inventory ledger'!$E:$E,E888,'inventory ledger'!$A:$A,"&lt;="&amp;B888+TIME(23,59,59)))</f>
        <v>0</v>
      </c>
      <c r="G888" s="3">
        <f>IFERROR(__xludf.DUMMYFUNCTION("IF(F888&lt;=0,0,IFERROR(ROUNDUP(F888/INDEX(FILTER('warehouse config'!$D:$D,('warehouse config'!$B:$B=C888)*('warehouse config'!$C:$C=D888)*('warehouse config'!$G:$G&lt;=B888)*(('warehouse config'!$H:$H&gt;=B888)+ISBLANK('warehouse config'!$H:$H))),1)),0))"),0.0)</f>
        <v>0</v>
      </c>
      <c r="H888" s="3">
        <f>IFERROR(__xludf.DUMMYFUNCTION("IFERROR(INDEX(FILTER('cost master'!$E:$E,('cost master'!$B:$B=C888)*('cost master'!$D:$D=""Storage cost per pallet / week"")*('cost master'!$G:$G&lt;=B888)*(('cost master'!$H:$H&gt;=B888)+ISBLANK('cost master'!$H:$H))),1),0)"),3.9)</f>
        <v>3.9</v>
      </c>
      <c r="I888" s="3">
        <f t="shared" si="4"/>
        <v>0</v>
      </c>
      <c r="J888" s="27">
        <f t="shared" si="5"/>
        <v>45824</v>
      </c>
      <c r="K888" s="27">
        <f t="shared" si="6"/>
        <v>45853</v>
      </c>
    </row>
    <row r="889" hidden="1">
      <c r="A889" s="3" t="str">
        <f t="shared" si="3"/>
        <v>SL-20250707-FMC-CS 010-8</v>
      </c>
      <c r="B889" s="2">
        <f t="array" ref="B889">INDEX(helper!$A$3:$A3996,ROUNDUP((ROW()-1)/COUNTA(helper!$D$3:$D3996),0))</f>
        <v>45845</v>
      </c>
      <c r="C889" s="5" t="str">
        <f t="array" ref="C889">IF(B889="","",INDEX(helper!$D$3:$D3996,MOD(ROW()-2,COUNTA(helper!$D$3:$D3996))+1))</f>
        <v>FMC</v>
      </c>
      <c r="D889" s="3" t="str">
        <f t="array" ref="D889">IF(B889="","",INDEX(helper!$E$3:$E3996,MOD(ROW()-2,COUNTA(helper!$D$3:$D3996))+1))</f>
        <v>CS 010</v>
      </c>
      <c r="E889" s="3">
        <f t="array" ref="E889">IF(B889="","",INDEX(helper!$F$3:$F3996,MOD(ROW()-2,COUNTA(helper!$D$3:$D3996))+1))</f>
        <v>8</v>
      </c>
      <c r="F889" s="3">
        <f>IF(B889="","",SUMIFS('inventory ledger'!$H:$H,'inventory ledger'!$C:$C,C889,'inventory ledger'!$D:$D,D889,'inventory ledger'!$E:$E,E889,'inventory ledger'!$A:$A,"&lt;="&amp;B889+TIME(23,59,59))-SUMIFS('inventory ledger'!$I:$I,'inventory ledger'!$C:$C,C889,'inventory ledger'!$D:$D,D889,'inventory ledger'!$E:$E,E889,'inventory ledger'!$A:$A,"&lt;="&amp;B889+TIME(23,59,59)))</f>
        <v>0</v>
      </c>
      <c r="G889" s="3">
        <f>IFERROR(__xludf.DUMMYFUNCTION("IF(F889&lt;=0,0,IFERROR(ROUNDUP(F889/INDEX(FILTER('warehouse config'!$D:$D,('warehouse config'!$B:$B=C889)*('warehouse config'!$C:$C=D889)*('warehouse config'!$G:$G&lt;=B889)*(('warehouse config'!$H:$H&gt;=B889)+ISBLANK('warehouse config'!$H:$H))),1)),0))"),0.0)</f>
        <v>0</v>
      </c>
      <c r="H889" s="3">
        <f>IFERROR(__xludf.DUMMYFUNCTION("IFERROR(INDEX(FILTER('cost master'!$E:$E,('cost master'!$B:$B=C889)*('cost master'!$D:$D=""Storage cost per pallet / week"")*('cost master'!$G:$G&lt;=B889)*(('cost master'!$H:$H&gt;=B889)+ISBLANK('cost master'!$H:$H))),1),0)"),3.9)</f>
        <v>3.9</v>
      </c>
      <c r="I889" s="3">
        <f t="shared" si="4"/>
        <v>0</v>
      </c>
      <c r="J889" s="27">
        <f t="shared" si="5"/>
        <v>45824</v>
      </c>
      <c r="K889" s="27">
        <f t="shared" si="6"/>
        <v>45853</v>
      </c>
    </row>
    <row r="890" hidden="1">
      <c r="A890" s="3" t="str">
        <f t="shared" si="3"/>
        <v>SL-20250707-FMC-CS 007-9</v>
      </c>
      <c r="B890" s="2">
        <f t="array" ref="B890">INDEX(helper!$A$3:$A3996,ROUNDUP((ROW()-1)/COUNTA(helper!$D$3:$D3996),0))</f>
        <v>45845</v>
      </c>
      <c r="C890" s="5" t="str">
        <f t="array" ref="C890">IF(B890="","",INDEX(helper!$D$3:$D3996,MOD(ROW()-2,COUNTA(helper!$D$3:$D3996))+1))</f>
        <v>FMC</v>
      </c>
      <c r="D890" s="3" t="str">
        <f t="array" ref="D890">IF(B890="","",INDEX(helper!$E$3:$E3996,MOD(ROW()-2,COUNTA(helper!$D$3:$D3996))+1))</f>
        <v>CS 007</v>
      </c>
      <c r="E890" s="3">
        <f t="array" ref="E890">IF(B890="","",INDEX(helper!$F$3:$F3996,MOD(ROW()-2,COUNTA(helper!$D$3:$D3996))+1))</f>
        <v>9</v>
      </c>
      <c r="F890" s="3">
        <f>IF(B890="","",SUMIFS('inventory ledger'!$H:$H,'inventory ledger'!$C:$C,C890,'inventory ledger'!$D:$D,D890,'inventory ledger'!$E:$E,E890,'inventory ledger'!$A:$A,"&lt;="&amp;B890+TIME(23,59,59))-SUMIFS('inventory ledger'!$I:$I,'inventory ledger'!$C:$C,C890,'inventory ledger'!$D:$D,D890,'inventory ledger'!$E:$E,E890,'inventory ledger'!$A:$A,"&lt;="&amp;B890+TIME(23,59,59)))</f>
        <v>0</v>
      </c>
      <c r="G890" s="3">
        <f>IFERROR(__xludf.DUMMYFUNCTION("IF(F890&lt;=0,0,IFERROR(ROUNDUP(F890/INDEX(FILTER('warehouse config'!$D:$D,('warehouse config'!$B:$B=C890)*('warehouse config'!$C:$C=D890)*('warehouse config'!$G:$G&lt;=B890)*(('warehouse config'!$H:$H&gt;=B890)+ISBLANK('warehouse config'!$H:$H))),1)),0))"),0.0)</f>
        <v>0</v>
      </c>
      <c r="H890" s="3">
        <f>IFERROR(__xludf.DUMMYFUNCTION("IFERROR(INDEX(FILTER('cost master'!$E:$E,('cost master'!$B:$B=C890)*('cost master'!$D:$D=""Storage cost per pallet / week"")*('cost master'!$G:$G&lt;=B890)*(('cost master'!$H:$H&gt;=B890)+ISBLANK('cost master'!$H:$H))),1),0)"),3.9)</f>
        <v>3.9</v>
      </c>
      <c r="I890" s="3">
        <f t="shared" si="4"/>
        <v>0</v>
      </c>
      <c r="J890" s="27">
        <f t="shared" si="5"/>
        <v>45824</v>
      </c>
      <c r="K890" s="27">
        <f t="shared" si="6"/>
        <v>45853</v>
      </c>
    </row>
    <row r="891" hidden="1">
      <c r="A891" s="3" t="str">
        <f t="shared" si="3"/>
        <v>SL-20250707-FMC-CS 008-9</v>
      </c>
      <c r="B891" s="2">
        <f t="array" ref="B891">INDEX(helper!$A$3:$A3996,ROUNDUP((ROW()-1)/COUNTA(helper!$D$3:$D3996),0))</f>
        <v>45845</v>
      </c>
      <c r="C891" s="5" t="str">
        <f t="array" ref="C891">IF(B891="","",INDEX(helper!$D$3:$D3996,MOD(ROW()-2,COUNTA(helper!$D$3:$D3996))+1))</f>
        <v>FMC</v>
      </c>
      <c r="D891" s="3" t="str">
        <f t="array" ref="D891">IF(B891="","",INDEX(helper!$E$3:$E3996,MOD(ROW()-2,COUNTA(helper!$D$3:$D3996))+1))</f>
        <v>CS 008</v>
      </c>
      <c r="E891" s="3">
        <f t="array" ref="E891">IF(B891="","",INDEX(helper!$F$3:$F3996,MOD(ROW()-2,COUNTA(helper!$D$3:$D3996))+1))</f>
        <v>9</v>
      </c>
      <c r="F891" s="3">
        <f>IF(B891="","",SUMIFS('inventory ledger'!$H:$H,'inventory ledger'!$C:$C,C891,'inventory ledger'!$D:$D,D891,'inventory ledger'!$E:$E,E891,'inventory ledger'!$A:$A,"&lt;="&amp;B891+TIME(23,59,59))-SUMIFS('inventory ledger'!$I:$I,'inventory ledger'!$C:$C,C891,'inventory ledger'!$D:$D,D891,'inventory ledger'!$E:$E,E891,'inventory ledger'!$A:$A,"&lt;="&amp;B891+TIME(23,59,59)))</f>
        <v>2</v>
      </c>
      <c r="G891" s="3">
        <f>IFERROR(__xludf.DUMMYFUNCTION("IF(F891&lt;=0,0,IFERROR(ROUNDUP(F891/INDEX(FILTER('warehouse config'!$D:$D,('warehouse config'!$B:$B=C891)*('warehouse config'!$C:$C=D891)*('warehouse config'!$G:$G&lt;=B891)*(('warehouse config'!$H:$H&gt;=B891)+ISBLANK('warehouse config'!$H:$H))),1)),0))"),1.0)</f>
        <v>1</v>
      </c>
      <c r="H891" s="3">
        <f>IFERROR(__xludf.DUMMYFUNCTION("IFERROR(INDEX(FILTER('cost master'!$E:$E,('cost master'!$B:$B=C891)*('cost master'!$D:$D=""Storage cost per pallet / week"")*('cost master'!$G:$G&lt;=B891)*(('cost master'!$H:$H&gt;=B891)+ISBLANK('cost master'!$H:$H))),1),0)"),3.9)</f>
        <v>3.9</v>
      </c>
      <c r="I891" s="3">
        <f t="shared" si="4"/>
        <v>3.9</v>
      </c>
      <c r="J891" s="27">
        <f t="shared" si="5"/>
        <v>45824</v>
      </c>
      <c r="K891" s="27">
        <f t="shared" si="6"/>
        <v>45853</v>
      </c>
    </row>
    <row r="892" hidden="1">
      <c r="A892" s="3" t="str">
        <f t="shared" si="3"/>
        <v>SL-20250707-FMC-CS 009-9</v>
      </c>
      <c r="B892" s="2">
        <f t="array" ref="B892">INDEX(helper!$A$3:$A3996,ROUNDUP((ROW()-1)/COUNTA(helper!$D$3:$D3996),0))</f>
        <v>45845</v>
      </c>
      <c r="C892" s="5" t="str">
        <f t="array" ref="C892">IF(B892="","",INDEX(helper!$D$3:$D3996,MOD(ROW()-2,COUNTA(helper!$D$3:$D3996))+1))</f>
        <v>FMC</v>
      </c>
      <c r="D892" s="3" t="str">
        <f t="array" ref="D892">IF(B892="","",INDEX(helper!$E$3:$E3996,MOD(ROW()-2,COUNTA(helper!$D$3:$D3996))+1))</f>
        <v>CS 009</v>
      </c>
      <c r="E892" s="3">
        <f t="array" ref="E892">IF(B892="","",INDEX(helper!$F$3:$F3996,MOD(ROW()-2,COUNTA(helper!$D$3:$D3996))+1))</f>
        <v>9</v>
      </c>
      <c r="F892" s="3">
        <f>IF(B892="","",SUMIFS('inventory ledger'!$H:$H,'inventory ledger'!$C:$C,C892,'inventory ledger'!$D:$D,D892,'inventory ledger'!$E:$E,E892,'inventory ledger'!$A:$A,"&lt;="&amp;B892+TIME(23,59,59))-SUMIFS('inventory ledger'!$I:$I,'inventory ledger'!$C:$C,C892,'inventory ledger'!$D:$D,D892,'inventory ledger'!$E:$E,E892,'inventory ledger'!$A:$A,"&lt;="&amp;B892+TIME(23,59,59)))</f>
        <v>0</v>
      </c>
      <c r="G892" s="3">
        <f>IFERROR(__xludf.DUMMYFUNCTION("IF(F892&lt;=0,0,IFERROR(ROUNDUP(F892/INDEX(FILTER('warehouse config'!$D:$D,('warehouse config'!$B:$B=C892)*('warehouse config'!$C:$C=D892)*('warehouse config'!$G:$G&lt;=B892)*(('warehouse config'!$H:$H&gt;=B892)+ISBLANK('warehouse config'!$H:$H))),1)),0))"),0.0)</f>
        <v>0</v>
      </c>
      <c r="H892" s="3">
        <f>IFERROR(__xludf.DUMMYFUNCTION("IFERROR(INDEX(FILTER('cost master'!$E:$E,('cost master'!$B:$B=C892)*('cost master'!$D:$D=""Storage cost per pallet / week"")*('cost master'!$G:$G&lt;=B892)*(('cost master'!$H:$H&gt;=B892)+ISBLANK('cost master'!$H:$H))),1),0)"),3.9)</f>
        <v>3.9</v>
      </c>
      <c r="I892" s="3">
        <f t="shared" si="4"/>
        <v>0</v>
      </c>
      <c r="J892" s="27">
        <f t="shared" si="5"/>
        <v>45824</v>
      </c>
      <c r="K892" s="27">
        <f t="shared" si="6"/>
        <v>45853</v>
      </c>
    </row>
    <row r="893" hidden="1">
      <c r="A893" s="3" t="str">
        <f t="shared" si="3"/>
        <v>SL-20250707-FMC-CS 010-9</v>
      </c>
      <c r="B893" s="2">
        <f t="array" ref="B893">INDEX(helper!$A$3:$A3996,ROUNDUP((ROW()-1)/COUNTA(helper!$D$3:$D3996),0))</f>
        <v>45845</v>
      </c>
      <c r="C893" s="5" t="str">
        <f t="array" ref="C893">IF(B893="","",INDEX(helper!$D$3:$D3996,MOD(ROW()-2,COUNTA(helper!$D$3:$D3996))+1))</f>
        <v>FMC</v>
      </c>
      <c r="D893" s="3" t="str">
        <f t="array" ref="D893">IF(B893="","",INDEX(helper!$E$3:$E3996,MOD(ROW()-2,COUNTA(helper!$D$3:$D3996))+1))</f>
        <v>CS 010</v>
      </c>
      <c r="E893" s="3">
        <f t="array" ref="E893">IF(B893="","",INDEX(helper!$F$3:$F3996,MOD(ROW()-2,COUNTA(helper!$D$3:$D3996))+1))</f>
        <v>9</v>
      </c>
      <c r="F893" s="3">
        <f>IF(B893="","",SUMIFS('inventory ledger'!$H:$H,'inventory ledger'!$C:$C,C893,'inventory ledger'!$D:$D,D893,'inventory ledger'!$E:$E,E893,'inventory ledger'!$A:$A,"&lt;="&amp;B893+TIME(23,59,59))-SUMIFS('inventory ledger'!$I:$I,'inventory ledger'!$C:$C,C893,'inventory ledger'!$D:$D,D893,'inventory ledger'!$E:$E,E893,'inventory ledger'!$A:$A,"&lt;="&amp;B893+TIME(23,59,59)))</f>
        <v>0</v>
      </c>
      <c r="G893" s="3">
        <f>IFERROR(__xludf.DUMMYFUNCTION("IF(F893&lt;=0,0,IFERROR(ROUNDUP(F893/INDEX(FILTER('warehouse config'!$D:$D,('warehouse config'!$B:$B=C893)*('warehouse config'!$C:$C=D893)*('warehouse config'!$G:$G&lt;=B893)*(('warehouse config'!$H:$H&gt;=B893)+ISBLANK('warehouse config'!$H:$H))),1)),0))"),0.0)</f>
        <v>0</v>
      </c>
      <c r="H893" s="3">
        <f>IFERROR(__xludf.DUMMYFUNCTION("IFERROR(INDEX(FILTER('cost master'!$E:$E,('cost master'!$B:$B=C893)*('cost master'!$D:$D=""Storage cost per pallet / week"")*('cost master'!$G:$G&lt;=B893)*(('cost master'!$H:$H&gt;=B893)+ISBLANK('cost master'!$H:$H))),1),0)"),3.9)</f>
        <v>3.9</v>
      </c>
      <c r="I893" s="3">
        <f t="shared" si="4"/>
        <v>0</v>
      </c>
      <c r="J893" s="27">
        <f t="shared" si="5"/>
        <v>45824</v>
      </c>
      <c r="K893" s="27">
        <f t="shared" si="6"/>
        <v>45853</v>
      </c>
    </row>
    <row r="894" hidden="1">
      <c r="A894" s="3" t="str">
        <f t="shared" si="3"/>
        <v>SL-20250707-FMC-CS-CDS-001-9</v>
      </c>
      <c r="B894" s="2">
        <f t="array" ref="B894">INDEX(helper!$A$3:$A3996,ROUNDUP((ROW()-1)/COUNTA(helper!$D$3:$D3996),0))</f>
        <v>45845</v>
      </c>
      <c r="C894" s="5" t="str">
        <f t="array" ref="C894">IF(B894="","",INDEX(helper!$D$3:$D3996,MOD(ROW()-2,COUNTA(helper!$D$3:$D3996))+1))</f>
        <v>FMC</v>
      </c>
      <c r="D894" s="3" t="str">
        <f t="array" ref="D894">IF(B894="","",INDEX(helper!$E$3:$E3996,MOD(ROW()-2,COUNTA(helper!$D$3:$D3996))+1))</f>
        <v>CS-CDS-001</v>
      </c>
      <c r="E894" s="3">
        <f t="array" ref="E894">IF(B894="","",INDEX(helper!$F$3:$F3996,MOD(ROW()-2,COUNTA(helper!$D$3:$D3996))+1))</f>
        <v>9</v>
      </c>
      <c r="F894" s="3">
        <f>IF(B894="","",SUMIFS('inventory ledger'!$H:$H,'inventory ledger'!$C:$C,C894,'inventory ledger'!$D:$D,D894,'inventory ledger'!$E:$E,E894,'inventory ledger'!$A:$A,"&lt;="&amp;B894+TIME(23,59,59))-SUMIFS('inventory ledger'!$I:$I,'inventory ledger'!$C:$C,C894,'inventory ledger'!$D:$D,D894,'inventory ledger'!$E:$E,E894,'inventory ledger'!$A:$A,"&lt;="&amp;B894+TIME(23,59,59)))</f>
        <v>0</v>
      </c>
      <c r="G894" s="3">
        <f>IFERROR(__xludf.DUMMYFUNCTION("IF(F894&lt;=0,0,IFERROR(ROUNDUP(F894/INDEX(FILTER('warehouse config'!$D:$D,('warehouse config'!$B:$B=C894)*('warehouse config'!$C:$C=D894)*('warehouse config'!$G:$G&lt;=B894)*(('warehouse config'!$H:$H&gt;=B894)+ISBLANK('warehouse config'!$H:$H))),1)),0))"),0.0)</f>
        <v>0</v>
      </c>
      <c r="H894" s="3">
        <f>IFERROR(__xludf.DUMMYFUNCTION("IFERROR(INDEX(FILTER('cost master'!$E:$E,('cost master'!$B:$B=C894)*('cost master'!$D:$D=""Storage cost per pallet / week"")*('cost master'!$G:$G&lt;=B894)*(('cost master'!$H:$H&gt;=B894)+ISBLANK('cost master'!$H:$H))),1),0)"),3.9)</f>
        <v>3.9</v>
      </c>
      <c r="I894" s="3">
        <f t="shared" si="4"/>
        <v>0</v>
      </c>
      <c r="J894" s="27">
        <f t="shared" si="5"/>
        <v>45824</v>
      </c>
      <c r="K894" s="27">
        <f t="shared" si="6"/>
        <v>45853</v>
      </c>
    </row>
    <row r="895" hidden="1">
      <c r="A895" s="3" t="str">
        <f t="shared" si="3"/>
        <v>SL-20250707-FMC-CS-CDS-002-9</v>
      </c>
      <c r="B895" s="2">
        <f t="array" ref="B895">INDEX(helper!$A$3:$A3996,ROUNDUP((ROW()-1)/COUNTA(helper!$D$3:$D3996),0))</f>
        <v>45845</v>
      </c>
      <c r="C895" s="5" t="str">
        <f t="array" ref="C895">IF(B895="","",INDEX(helper!$D$3:$D3996,MOD(ROW()-2,COUNTA(helper!$D$3:$D3996))+1))</f>
        <v>FMC</v>
      </c>
      <c r="D895" s="3" t="str">
        <f t="array" ref="D895">IF(B895="","",INDEX(helper!$E$3:$E3996,MOD(ROW()-2,COUNTA(helper!$D$3:$D3996))+1))</f>
        <v>CS-CDS-002</v>
      </c>
      <c r="E895" s="3">
        <f t="array" ref="E895">IF(B895="","",INDEX(helper!$F$3:$F3996,MOD(ROW()-2,COUNTA(helper!$D$3:$D3996))+1))</f>
        <v>9</v>
      </c>
      <c r="F895" s="3">
        <f>IF(B895="","",SUMIFS('inventory ledger'!$H:$H,'inventory ledger'!$C:$C,C895,'inventory ledger'!$D:$D,D895,'inventory ledger'!$E:$E,E895,'inventory ledger'!$A:$A,"&lt;="&amp;B895+TIME(23,59,59))-SUMIFS('inventory ledger'!$I:$I,'inventory ledger'!$C:$C,C895,'inventory ledger'!$D:$D,D895,'inventory ledger'!$E:$E,E895,'inventory ledger'!$A:$A,"&lt;="&amp;B895+TIME(23,59,59)))</f>
        <v>0</v>
      </c>
      <c r="G895" s="3">
        <f>IFERROR(__xludf.DUMMYFUNCTION("IF(F895&lt;=0,0,IFERROR(ROUNDUP(F895/INDEX(FILTER('warehouse config'!$D:$D,('warehouse config'!$B:$B=C895)*('warehouse config'!$C:$C=D895)*('warehouse config'!$G:$G&lt;=B895)*(('warehouse config'!$H:$H&gt;=B895)+ISBLANK('warehouse config'!$H:$H))),1)),0))"),0.0)</f>
        <v>0</v>
      </c>
      <c r="H895" s="3">
        <f>IFERROR(__xludf.DUMMYFUNCTION("IFERROR(INDEX(FILTER('cost master'!$E:$E,('cost master'!$B:$B=C895)*('cost master'!$D:$D=""Storage cost per pallet / week"")*('cost master'!$G:$G&lt;=B895)*(('cost master'!$H:$H&gt;=B895)+ISBLANK('cost master'!$H:$H))),1),0)"),3.9)</f>
        <v>3.9</v>
      </c>
      <c r="I895" s="3">
        <f t="shared" si="4"/>
        <v>0</v>
      </c>
      <c r="J895" s="27">
        <f t="shared" si="5"/>
        <v>45824</v>
      </c>
      <c r="K895" s="27">
        <f t="shared" si="6"/>
        <v>45853</v>
      </c>
    </row>
    <row r="896" hidden="1">
      <c r="A896" s="3" t="str">
        <f t="shared" si="3"/>
        <v>SL-20250707-FMC-CS 007-10</v>
      </c>
      <c r="B896" s="2">
        <f t="array" ref="B896">INDEX(helper!$A$3:$A3996,ROUNDUP((ROW()-1)/COUNTA(helper!$D$3:$D3996),0))</f>
        <v>45845</v>
      </c>
      <c r="C896" s="5" t="str">
        <f t="array" ref="C896">IF(B896="","",INDEX(helper!$D$3:$D3996,MOD(ROW()-2,COUNTA(helper!$D$3:$D3996))+1))</f>
        <v>FMC</v>
      </c>
      <c r="D896" s="3" t="str">
        <f t="array" ref="D896">IF(B896="","",INDEX(helper!$E$3:$E3996,MOD(ROW()-2,COUNTA(helper!$D$3:$D3996))+1))</f>
        <v>CS 007</v>
      </c>
      <c r="E896" s="3">
        <f t="array" ref="E896">IF(B896="","",INDEX(helper!$F$3:$F3996,MOD(ROW()-2,COUNTA(helper!$D$3:$D3996))+1))</f>
        <v>10</v>
      </c>
      <c r="F896" s="3">
        <f>IF(B896="","",SUMIFS('inventory ledger'!$H:$H,'inventory ledger'!$C:$C,C896,'inventory ledger'!$D:$D,D896,'inventory ledger'!$E:$E,E896,'inventory ledger'!$A:$A,"&lt;="&amp;B896+TIME(23,59,59))-SUMIFS('inventory ledger'!$I:$I,'inventory ledger'!$C:$C,C896,'inventory ledger'!$D:$D,D896,'inventory ledger'!$E:$E,E896,'inventory ledger'!$A:$A,"&lt;="&amp;B896+TIME(23,59,59)))</f>
        <v>0</v>
      </c>
      <c r="G896" s="3">
        <f>IFERROR(__xludf.DUMMYFUNCTION("IF(F896&lt;=0,0,IFERROR(ROUNDUP(F896/INDEX(FILTER('warehouse config'!$D:$D,('warehouse config'!$B:$B=C896)*('warehouse config'!$C:$C=D896)*('warehouse config'!$G:$G&lt;=B896)*(('warehouse config'!$H:$H&gt;=B896)+ISBLANK('warehouse config'!$H:$H))),1)),0))"),0.0)</f>
        <v>0</v>
      </c>
      <c r="H896" s="3">
        <f>IFERROR(__xludf.DUMMYFUNCTION("IFERROR(INDEX(FILTER('cost master'!$E:$E,('cost master'!$B:$B=C896)*('cost master'!$D:$D=""Storage cost per pallet / week"")*('cost master'!$G:$G&lt;=B896)*(('cost master'!$H:$H&gt;=B896)+ISBLANK('cost master'!$H:$H))),1),0)"),3.9)</f>
        <v>3.9</v>
      </c>
      <c r="I896" s="3">
        <f t="shared" si="4"/>
        <v>0</v>
      </c>
      <c r="J896" s="27">
        <f t="shared" si="5"/>
        <v>45824</v>
      </c>
      <c r="K896" s="27">
        <f t="shared" si="6"/>
        <v>45853</v>
      </c>
    </row>
    <row r="897" hidden="1">
      <c r="A897" s="3" t="str">
        <f t="shared" si="3"/>
        <v>SL-20250707-FMC-CS 009-10</v>
      </c>
      <c r="B897" s="2">
        <f t="array" ref="B897">INDEX(helper!$A$3:$A3996,ROUNDUP((ROW()-1)/COUNTA(helper!$D$3:$D3996),0))</f>
        <v>45845</v>
      </c>
      <c r="C897" s="5" t="str">
        <f t="array" ref="C897">IF(B897="","",INDEX(helper!$D$3:$D3996,MOD(ROW()-2,COUNTA(helper!$D$3:$D3996))+1))</f>
        <v>FMC</v>
      </c>
      <c r="D897" s="3" t="str">
        <f t="array" ref="D897">IF(B897="","",INDEX(helper!$E$3:$E3996,MOD(ROW()-2,COUNTA(helper!$D$3:$D3996))+1))</f>
        <v>CS 009</v>
      </c>
      <c r="E897" s="3">
        <f t="array" ref="E897">IF(B897="","",INDEX(helper!$F$3:$F3996,MOD(ROW()-2,COUNTA(helper!$D$3:$D3996))+1))</f>
        <v>10</v>
      </c>
      <c r="F897" s="3">
        <f>IF(B897="","",SUMIFS('inventory ledger'!$H:$H,'inventory ledger'!$C:$C,C897,'inventory ledger'!$D:$D,D897,'inventory ledger'!$E:$E,E897,'inventory ledger'!$A:$A,"&lt;="&amp;B897+TIME(23,59,59))-SUMIFS('inventory ledger'!$I:$I,'inventory ledger'!$C:$C,C897,'inventory ledger'!$D:$D,D897,'inventory ledger'!$E:$E,E897,'inventory ledger'!$A:$A,"&lt;="&amp;B897+TIME(23,59,59)))</f>
        <v>0</v>
      </c>
      <c r="G897" s="3">
        <f>IFERROR(__xludf.DUMMYFUNCTION("IF(F897&lt;=0,0,IFERROR(ROUNDUP(F897/INDEX(FILTER('warehouse config'!$D:$D,('warehouse config'!$B:$B=C897)*('warehouse config'!$C:$C=D897)*('warehouse config'!$G:$G&lt;=B897)*(('warehouse config'!$H:$H&gt;=B897)+ISBLANK('warehouse config'!$H:$H))),1)),0))"),0.0)</f>
        <v>0</v>
      </c>
      <c r="H897" s="3">
        <f>IFERROR(__xludf.DUMMYFUNCTION("IFERROR(INDEX(FILTER('cost master'!$E:$E,('cost master'!$B:$B=C897)*('cost master'!$D:$D=""Storage cost per pallet / week"")*('cost master'!$G:$G&lt;=B897)*(('cost master'!$H:$H&gt;=B897)+ISBLANK('cost master'!$H:$H))),1),0)"),3.9)</f>
        <v>3.9</v>
      </c>
      <c r="I897" s="3">
        <f t="shared" si="4"/>
        <v>0</v>
      </c>
      <c r="J897" s="27">
        <f t="shared" si="5"/>
        <v>45824</v>
      </c>
      <c r="K897" s="27">
        <f t="shared" si="6"/>
        <v>45853</v>
      </c>
    </row>
    <row r="898" hidden="1">
      <c r="A898" s="3" t="str">
        <f t="shared" si="3"/>
        <v>SL-20250707-FMC-CS 010-10</v>
      </c>
      <c r="B898" s="2">
        <f t="array" ref="B898">INDEX(helper!$A$3:$A3996,ROUNDUP((ROW()-1)/COUNTA(helper!$D$3:$D3996),0))</f>
        <v>45845</v>
      </c>
      <c r="C898" s="5" t="str">
        <f t="array" ref="C898">IF(B898="","",INDEX(helper!$D$3:$D3996,MOD(ROW()-2,COUNTA(helper!$D$3:$D3996))+1))</f>
        <v>FMC</v>
      </c>
      <c r="D898" s="3" t="str">
        <f t="array" ref="D898">IF(B898="","",INDEX(helper!$E$3:$E3996,MOD(ROW()-2,COUNTA(helper!$D$3:$D3996))+1))</f>
        <v>CS 010</v>
      </c>
      <c r="E898" s="3">
        <f t="array" ref="E898">IF(B898="","",INDEX(helper!$F$3:$F3996,MOD(ROW()-2,COUNTA(helper!$D$3:$D3996))+1))</f>
        <v>10</v>
      </c>
      <c r="F898" s="3">
        <f>IF(B898="","",SUMIFS('inventory ledger'!$H:$H,'inventory ledger'!$C:$C,C898,'inventory ledger'!$D:$D,D898,'inventory ledger'!$E:$E,E898,'inventory ledger'!$A:$A,"&lt;="&amp;B898+TIME(23,59,59))-SUMIFS('inventory ledger'!$I:$I,'inventory ledger'!$C:$C,C898,'inventory ledger'!$D:$D,D898,'inventory ledger'!$E:$E,E898,'inventory ledger'!$A:$A,"&lt;="&amp;B898+TIME(23,59,59)))</f>
        <v>13</v>
      </c>
      <c r="G898" s="3">
        <f>IFERROR(__xludf.DUMMYFUNCTION("IF(F898&lt;=0,0,IFERROR(ROUNDUP(F898/INDEX(FILTER('warehouse config'!$D:$D,('warehouse config'!$B:$B=C898)*('warehouse config'!$C:$C=D898)*('warehouse config'!$G:$G&lt;=B898)*(('warehouse config'!$H:$H&gt;=B898)+ISBLANK('warehouse config'!$H:$H))),1)),0))"),1.0)</f>
        <v>1</v>
      </c>
      <c r="H898" s="3">
        <f>IFERROR(__xludf.DUMMYFUNCTION("IFERROR(INDEX(FILTER('cost master'!$E:$E,('cost master'!$B:$B=C898)*('cost master'!$D:$D=""Storage cost per pallet / week"")*('cost master'!$G:$G&lt;=B898)*(('cost master'!$H:$H&gt;=B898)+ISBLANK('cost master'!$H:$H))),1),0)"),3.9)</f>
        <v>3.9</v>
      </c>
      <c r="I898" s="3">
        <f t="shared" si="4"/>
        <v>3.9</v>
      </c>
      <c r="J898" s="27">
        <f t="shared" si="5"/>
        <v>45824</v>
      </c>
      <c r="K898" s="27">
        <f t="shared" si="6"/>
        <v>45853</v>
      </c>
    </row>
    <row r="899" hidden="1">
      <c r="A899" s="3" t="str">
        <f t="shared" si="3"/>
        <v>SL-20250707-FMC-CS-CDS-001-10</v>
      </c>
      <c r="B899" s="2">
        <f t="array" ref="B899">INDEX(helper!$A$3:$A3996,ROUNDUP((ROW()-1)/COUNTA(helper!$D$3:$D3996),0))</f>
        <v>45845</v>
      </c>
      <c r="C899" s="5" t="str">
        <f t="array" ref="C899">IF(B899="","",INDEX(helper!$D$3:$D3996,MOD(ROW()-2,COUNTA(helper!$D$3:$D3996))+1))</f>
        <v>FMC</v>
      </c>
      <c r="D899" s="3" t="str">
        <f t="array" ref="D899">IF(B899="","",INDEX(helper!$E$3:$E3996,MOD(ROW()-2,COUNTA(helper!$D$3:$D3996))+1))</f>
        <v>CS-CDS-001</v>
      </c>
      <c r="E899" s="3">
        <f t="array" ref="E899">IF(B899="","",INDEX(helper!$F$3:$F3996,MOD(ROW()-2,COUNTA(helper!$D$3:$D3996))+1))</f>
        <v>10</v>
      </c>
      <c r="F899" s="3">
        <f>IF(B899="","",SUMIFS('inventory ledger'!$H:$H,'inventory ledger'!$C:$C,C899,'inventory ledger'!$D:$D,D899,'inventory ledger'!$E:$E,E899,'inventory ledger'!$A:$A,"&lt;="&amp;B899+TIME(23,59,59))-SUMIFS('inventory ledger'!$I:$I,'inventory ledger'!$C:$C,C899,'inventory ledger'!$D:$D,D899,'inventory ledger'!$E:$E,E899,'inventory ledger'!$A:$A,"&lt;="&amp;B899+TIME(23,59,59)))</f>
        <v>0</v>
      </c>
      <c r="G899" s="3">
        <f>IFERROR(__xludf.DUMMYFUNCTION("IF(F899&lt;=0,0,IFERROR(ROUNDUP(F899/INDEX(FILTER('warehouse config'!$D:$D,('warehouse config'!$B:$B=C899)*('warehouse config'!$C:$C=D899)*('warehouse config'!$G:$G&lt;=B899)*(('warehouse config'!$H:$H&gt;=B899)+ISBLANK('warehouse config'!$H:$H))),1)),0))"),0.0)</f>
        <v>0</v>
      </c>
      <c r="H899" s="3">
        <f>IFERROR(__xludf.DUMMYFUNCTION("IFERROR(INDEX(FILTER('cost master'!$E:$E,('cost master'!$B:$B=C899)*('cost master'!$D:$D=""Storage cost per pallet / week"")*('cost master'!$G:$G&lt;=B899)*(('cost master'!$H:$H&gt;=B899)+ISBLANK('cost master'!$H:$H))),1),0)"),3.9)</f>
        <v>3.9</v>
      </c>
      <c r="I899" s="3">
        <f t="shared" si="4"/>
        <v>0</v>
      </c>
      <c r="J899" s="27">
        <f t="shared" si="5"/>
        <v>45824</v>
      </c>
      <c r="K899" s="27">
        <f t="shared" si="6"/>
        <v>45853</v>
      </c>
    </row>
    <row r="900">
      <c r="A900" s="3" t="str">
        <f t="shared" si="3"/>
        <v>SL-20250707-FMC-CS 007-11</v>
      </c>
      <c r="B900" s="2">
        <f t="array" ref="B900">INDEX(helper!$A$3:$A3996,ROUNDUP((ROW()-1)/COUNTA(helper!$D$3:$D3996),0))</f>
        <v>45845</v>
      </c>
      <c r="C900" s="5" t="str">
        <f t="array" ref="C900">IF(B900="","",INDEX(helper!$D$3:$D3996,MOD(ROW()-2,COUNTA(helper!$D$3:$D3996))+1))</f>
        <v>FMC</v>
      </c>
      <c r="D900" s="3" t="str">
        <f t="array" ref="D900">IF(B900="","",INDEX(helper!$E$3:$E3996,MOD(ROW()-2,COUNTA(helper!$D$3:$D3996))+1))</f>
        <v>CS 007</v>
      </c>
      <c r="E900" s="3">
        <f t="array" ref="E900">IF(B900="","",INDEX(helper!$F$3:$F3996,MOD(ROW()-2,COUNTA(helper!$D$3:$D3996))+1))</f>
        <v>11</v>
      </c>
      <c r="F900" s="3">
        <f>IF(B900="","",SUMIFS('inventory ledger'!$H:$H,'inventory ledger'!$C:$C,C900,'inventory ledger'!$D:$D,D900,'inventory ledger'!$E:$E,E900,'inventory ledger'!$A:$A,"&lt;="&amp;B900+TIME(23,59,59))-SUMIFS('inventory ledger'!$I:$I,'inventory ledger'!$C:$C,C900,'inventory ledger'!$D:$D,D900,'inventory ledger'!$E:$E,E900,'inventory ledger'!$A:$A,"&lt;="&amp;B900+TIME(23,59,59)))</f>
        <v>-1</v>
      </c>
      <c r="G900" s="3">
        <f>IFERROR(__xludf.DUMMYFUNCTION("IF(F900&lt;=0,0,IFERROR(ROUNDUP(F900/INDEX(FILTER('warehouse config'!$D:$D,('warehouse config'!$B:$B=C900)*('warehouse config'!$C:$C=D900)*('warehouse config'!$G:$G&lt;=B900)*(('warehouse config'!$H:$H&gt;=B900)+ISBLANK('warehouse config'!$H:$H))),1)),0))"),0.0)</f>
        <v>0</v>
      </c>
      <c r="H900" s="3">
        <f>IFERROR(__xludf.DUMMYFUNCTION("IFERROR(INDEX(FILTER('cost master'!$E:$E,('cost master'!$B:$B=C900)*('cost master'!$D:$D=""Storage cost per pallet / week"")*('cost master'!$G:$G&lt;=B900)*(('cost master'!$H:$H&gt;=B900)+ISBLANK('cost master'!$H:$H))),1),0)"),3.9)</f>
        <v>3.9</v>
      </c>
      <c r="I900" s="3">
        <f t="shared" si="4"/>
        <v>0</v>
      </c>
      <c r="J900" s="27">
        <f t="shared" si="5"/>
        <v>45824</v>
      </c>
      <c r="K900" s="27">
        <f t="shared" si="6"/>
        <v>45853</v>
      </c>
    </row>
    <row r="901" hidden="1">
      <c r="A901" s="3" t="str">
        <f t="shared" si="3"/>
        <v>SL-20250707-FMC-CS 009-11</v>
      </c>
      <c r="B901" s="2">
        <f t="array" ref="B901">INDEX(helper!$A$3:$A3996,ROUNDUP((ROW()-1)/COUNTA(helper!$D$3:$D3996),0))</f>
        <v>45845</v>
      </c>
      <c r="C901" s="5" t="str">
        <f t="array" ref="C901">IF(B901="","",INDEX(helper!$D$3:$D3996,MOD(ROW()-2,COUNTA(helper!$D$3:$D3996))+1))</f>
        <v>FMC</v>
      </c>
      <c r="D901" s="3" t="str">
        <f t="array" ref="D901">IF(B901="","",INDEX(helper!$E$3:$E3996,MOD(ROW()-2,COUNTA(helper!$D$3:$D3996))+1))</f>
        <v>CS 009</v>
      </c>
      <c r="E901" s="3">
        <f t="array" ref="E901">IF(B901="","",INDEX(helper!$F$3:$F3996,MOD(ROW()-2,COUNTA(helper!$D$3:$D3996))+1))</f>
        <v>11</v>
      </c>
      <c r="F901" s="3">
        <f>IF(B901="","",SUMIFS('inventory ledger'!$H:$H,'inventory ledger'!$C:$C,C901,'inventory ledger'!$D:$D,D901,'inventory ledger'!$E:$E,E901,'inventory ledger'!$A:$A,"&lt;="&amp;B901+TIME(23,59,59))-SUMIFS('inventory ledger'!$I:$I,'inventory ledger'!$C:$C,C901,'inventory ledger'!$D:$D,D901,'inventory ledger'!$E:$E,E901,'inventory ledger'!$A:$A,"&lt;="&amp;B901+TIME(23,59,59)))</f>
        <v>0</v>
      </c>
      <c r="G901" s="3">
        <f>IFERROR(__xludf.DUMMYFUNCTION("IF(F901&lt;=0,0,IFERROR(ROUNDUP(F901/INDEX(FILTER('warehouse config'!$D:$D,('warehouse config'!$B:$B=C901)*('warehouse config'!$C:$C=D901)*('warehouse config'!$G:$G&lt;=B901)*(('warehouse config'!$H:$H&gt;=B901)+ISBLANK('warehouse config'!$H:$H))),1)),0))"),0.0)</f>
        <v>0</v>
      </c>
      <c r="H901" s="3">
        <f>IFERROR(__xludf.DUMMYFUNCTION("IFERROR(INDEX(FILTER('cost master'!$E:$E,('cost master'!$B:$B=C901)*('cost master'!$D:$D=""Storage cost per pallet / week"")*('cost master'!$G:$G&lt;=B901)*(('cost master'!$H:$H&gt;=B901)+ISBLANK('cost master'!$H:$H))),1),0)"),3.9)</f>
        <v>3.9</v>
      </c>
      <c r="I901" s="3">
        <f t="shared" si="4"/>
        <v>0</v>
      </c>
      <c r="J901" s="27">
        <f t="shared" si="5"/>
        <v>45824</v>
      </c>
      <c r="K901" s="27">
        <f t="shared" si="6"/>
        <v>45853</v>
      </c>
    </row>
    <row r="902" hidden="1">
      <c r="A902" s="3" t="str">
        <f t="shared" si="3"/>
        <v>SL-20250707-FMC-CS 010-11</v>
      </c>
      <c r="B902" s="2">
        <f t="array" ref="B902">INDEX(helper!$A$3:$A3996,ROUNDUP((ROW()-1)/COUNTA(helper!$D$3:$D3996),0))</f>
        <v>45845</v>
      </c>
      <c r="C902" s="5" t="str">
        <f t="array" ref="C902">IF(B902="","",INDEX(helper!$D$3:$D3996,MOD(ROW()-2,COUNTA(helper!$D$3:$D3996))+1))</f>
        <v>FMC</v>
      </c>
      <c r="D902" s="3" t="str">
        <f t="array" ref="D902">IF(B902="","",INDEX(helper!$E$3:$E3996,MOD(ROW()-2,COUNTA(helper!$D$3:$D3996))+1))</f>
        <v>CS 010</v>
      </c>
      <c r="E902" s="3">
        <f t="array" ref="E902">IF(B902="","",INDEX(helper!$F$3:$F3996,MOD(ROW()-2,COUNTA(helper!$D$3:$D3996))+1))</f>
        <v>11</v>
      </c>
      <c r="F902" s="3">
        <f>IF(B902="","",SUMIFS('inventory ledger'!$H:$H,'inventory ledger'!$C:$C,C902,'inventory ledger'!$D:$D,D902,'inventory ledger'!$E:$E,E902,'inventory ledger'!$A:$A,"&lt;="&amp;B902+TIME(23,59,59))-SUMIFS('inventory ledger'!$I:$I,'inventory ledger'!$C:$C,C902,'inventory ledger'!$D:$D,D902,'inventory ledger'!$E:$E,E902,'inventory ledger'!$A:$A,"&lt;="&amp;B902+TIME(23,59,59)))</f>
        <v>6</v>
      </c>
      <c r="G902" s="3">
        <f>IFERROR(__xludf.DUMMYFUNCTION("IF(F902&lt;=0,0,IFERROR(ROUNDUP(F902/INDEX(FILTER('warehouse config'!$D:$D,('warehouse config'!$B:$B=C902)*('warehouse config'!$C:$C=D902)*('warehouse config'!$G:$G&lt;=B902)*(('warehouse config'!$H:$H&gt;=B902)+ISBLANK('warehouse config'!$H:$H))),1)),0))"),1.0)</f>
        <v>1</v>
      </c>
      <c r="H902" s="3">
        <f>IFERROR(__xludf.DUMMYFUNCTION("IFERROR(INDEX(FILTER('cost master'!$E:$E,('cost master'!$B:$B=C902)*('cost master'!$D:$D=""Storage cost per pallet / week"")*('cost master'!$G:$G&lt;=B902)*(('cost master'!$H:$H&gt;=B902)+ISBLANK('cost master'!$H:$H))),1),0)"),3.9)</f>
        <v>3.9</v>
      </c>
      <c r="I902" s="3">
        <f t="shared" si="4"/>
        <v>3.9</v>
      </c>
      <c r="J902" s="27">
        <f t="shared" si="5"/>
        <v>45824</v>
      </c>
      <c r="K902" s="27">
        <f t="shared" si="6"/>
        <v>45853</v>
      </c>
    </row>
    <row r="903" hidden="1">
      <c r="A903" s="3" t="str">
        <f t="shared" si="3"/>
        <v>SL-20250707-Vglobal-CS 007-12</v>
      </c>
      <c r="B903" s="2">
        <f t="array" ref="B903">INDEX(helper!$A$3:$A3996,ROUNDUP((ROW()-1)/COUNTA(helper!$D$3:$D3996),0))</f>
        <v>45845</v>
      </c>
      <c r="C903" s="5" t="str">
        <f t="array" ref="C903">IF(B903="","",INDEX(helper!$D$3:$D3996,MOD(ROW()-2,COUNTA(helper!$D$3:$D3996))+1))</f>
        <v>Vglobal</v>
      </c>
      <c r="D903" s="3" t="str">
        <f t="array" ref="D903">IF(B903="","",INDEX(helper!$E$3:$E3996,MOD(ROW()-2,COUNTA(helper!$D$3:$D3996))+1))</f>
        <v>CS 007</v>
      </c>
      <c r="E903" s="3">
        <f t="array" ref="E903">IF(B903="","",INDEX(helper!$F$3:$F3996,MOD(ROW()-2,COUNTA(helper!$D$3:$D3996))+1))</f>
        <v>12</v>
      </c>
      <c r="F903" s="3">
        <f>IF(B903="","",SUMIFS('inventory ledger'!$H:$H,'inventory ledger'!$C:$C,C903,'inventory ledger'!$D:$D,D903,'inventory ledger'!$E:$E,E903,'inventory ledger'!$A:$A,"&lt;="&amp;B903+TIME(23,59,59))-SUMIFS('inventory ledger'!$I:$I,'inventory ledger'!$C:$C,C903,'inventory ledger'!$D:$D,D903,'inventory ledger'!$E:$E,E903,'inventory ledger'!$A:$A,"&lt;="&amp;B903+TIME(23,59,59)))</f>
        <v>0</v>
      </c>
      <c r="G903" s="3">
        <f>IFERROR(__xludf.DUMMYFUNCTION("IF(F903&lt;=0,0,IFERROR(ROUNDUP(F903/INDEX(FILTER('warehouse config'!$D:$D,('warehouse config'!$B:$B=C903)*('warehouse config'!$C:$C=D903)*('warehouse config'!$G:$G&lt;=B903)*(('warehouse config'!$H:$H&gt;=B903)+ISBLANK('warehouse config'!$H:$H))),1)),0))"),0.0)</f>
        <v>0</v>
      </c>
      <c r="H903" s="3">
        <f>IFERROR(__xludf.DUMMYFUNCTION("IFERROR(INDEX(FILTER('cost master'!$E:$E,('cost master'!$B:$B=C903)*('cost master'!$D:$D=""Storage cost per pallet / week"")*('cost master'!$G:$G&lt;=B903)*(('cost master'!$H:$H&gt;=B903)+ISBLANK('cost master'!$H:$H))),1),0)"),2.6)</f>
        <v>2.6</v>
      </c>
      <c r="I903" s="3">
        <f t="shared" si="4"/>
        <v>0</v>
      </c>
      <c r="J903" s="27">
        <f t="shared" si="5"/>
        <v>45824</v>
      </c>
      <c r="K903" s="27">
        <f t="shared" si="6"/>
        <v>45853</v>
      </c>
    </row>
    <row r="904" hidden="1">
      <c r="A904" s="3" t="str">
        <f t="shared" si="3"/>
        <v>SL-20250707-Vglobal-CS 011-12</v>
      </c>
      <c r="B904" s="2">
        <f t="array" ref="B904">INDEX(helper!$A$3:$A3996,ROUNDUP((ROW()-1)/COUNTA(helper!$D$3:$D3996),0))</f>
        <v>45845</v>
      </c>
      <c r="C904" s="5" t="str">
        <f t="array" ref="C904">IF(B904="","",INDEX(helper!$D$3:$D3996,MOD(ROW()-2,COUNTA(helper!$D$3:$D3996))+1))</f>
        <v>Vglobal</v>
      </c>
      <c r="D904" s="3" t="str">
        <f t="array" ref="D904">IF(B904="","",INDEX(helper!$E$3:$E3996,MOD(ROW()-2,COUNTA(helper!$D$3:$D3996))+1))</f>
        <v>CS 011</v>
      </c>
      <c r="E904" s="3">
        <f t="array" ref="E904">IF(B904="","",INDEX(helper!$F$3:$F3996,MOD(ROW()-2,COUNTA(helper!$D$3:$D3996))+1))</f>
        <v>12</v>
      </c>
      <c r="F904" s="3">
        <f>IF(B904="","",SUMIFS('inventory ledger'!$H:$H,'inventory ledger'!$C:$C,C904,'inventory ledger'!$D:$D,D904,'inventory ledger'!$E:$E,E904,'inventory ledger'!$A:$A,"&lt;="&amp;B904+TIME(23,59,59))-SUMIFS('inventory ledger'!$I:$I,'inventory ledger'!$C:$C,C904,'inventory ledger'!$D:$D,D904,'inventory ledger'!$E:$E,E904,'inventory ledger'!$A:$A,"&lt;="&amp;B904+TIME(23,59,59)))</f>
        <v>0</v>
      </c>
      <c r="G904" s="3">
        <f>IFERROR(__xludf.DUMMYFUNCTION("IF(F904&lt;=0,0,IFERROR(ROUNDUP(F904/INDEX(FILTER('warehouse config'!$D:$D,('warehouse config'!$B:$B=C904)*('warehouse config'!$C:$C=D904)*('warehouse config'!$G:$G&lt;=B904)*(('warehouse config'!$H:$H&gt;=B904)+ISBLANK('warehouse config'!$H:$H))),1)),0))"),0.0)</f>
        <v>0</v>
      </c>
      <c r="H904" s="3">
        <f>IFERROR(__xludf.DUMMYFUNCTION("IFERROR(INDEX(FILTER('cost master'!$E:$E,('cost master'!$B:$B=C904)*('cost master'!$D:$D=""Storage cost per pallet / week"")*('cost master'!$G:$G&lt;=B904)*(('cost master'!$H:$H&gt;=B904)+ISBLANK('cost master'!$H:$H))),1),0)"),2.6)</f>
        <v>2.6</v>
      </c>
      <c r="I904" s="3">
        <f t="shared" si="4"/>
        <v>0</v>
      </c>
      <c r="J904" s="27">
        <f t="shared" si="5"/>
        <v>45824</v>
      </c>
      <c r="K904" s="27">
        <f t="shared" si="6"/>
        <v>45853</v>
      </c>
    </row>
    <row r="905" hidden="1">
      <c r="A905" s="3" t="str">
        <f t="shared" si="3"/>
        <v>SL-20250707-Vglobal-CS 008-12</v>
      </c>
      <c r="B905" s="2">
        <f t="array" ref="B905">INDEX(helper!$A$3:$A3996,ROUNDUP((ROW()-1)/COUNTA(helper!$D$3:$D3996),0))</f>
        <v>45845</v>
      </c>
      <c r="C905" s="5" t="str">
        <f t="array" ref="C905">IF(B905="","",INDEX(helper!$D$3:$D3996,MOD(ROW()-2,COUNTA(helper!$D$3:$D3996))+1))</f>
        <v>Vglobal</v>
      </c>
      <c r="D905" s="3" t="str">
        <f t="array" ref="D905">IF(B905="","",INDEX(helper!$E$3:$E3996,MOD(ROW()-2,COUNTA(helper!$D$3:$D3996))+1))</f>
        <v>CS 008</v>
      </c>
      <c r="E905" s="3">
        <f t="array" ref="E905">IF(B905="","",INDEX(helper!$F$3:$F3996,MOD(ROW()-2,COUNTA(helper!$D$3:$D3996))+1))</f>
        <v>12</v>
      </c>
      <c r="F905" s="3">
        <f>IF(B905="","",SUMIFS('inventory ledger'!$H:$H,'inventory ledger'!$C:$C,C905,'inventory ledger'!$D:$D,D905,'inventory ledger'!$E:$E,E905,'inventory ledger'!$A:$A,"&lt;="&amp;B905+TIME(23,59,59))-SUMIFS('inventory ledger'!$I:$I,'inventory ledger'!$C:$C,C905,'inventory ledger'!$D:$D,D905,'inventory ledger'!$E:$E,E905,'inventory ledger'!$A:$A,"&lt;="&amp;B905+TIME(23,59,59)))</f>
        <v>0</v>
      </c>
      <c r="G905" s="3">
        <f>IFERROR(__xludf.DUMMYFUNCTION("IF(F905&lt;=0,0,IFERROR(ROUNDUP(F905/INDEX(FILTER('warehouse config'!$D:$D,('warehouse config'!$B:$B=C905)*('warehouse config'!$C:$C=D905)*('warehouse config'!$G:$G&lt;=B905)*(('warehouse config'!$H:$H&gt;=B905)+ISBLANK('warehouse config'!$H:$H))),1)),0))"),0.0)</f>
        <v>0</v>
      </c>
      <c r="H905" s="3">
        <f>IFERROR(__xludf.DUMMYFUNCTION("IFERROR(INDEX(FILTER('cost master'!$E:$E,('cost master'!$B:$B=C905)*('cost master'!$D:$D=""Storage cost per pallet / week"")*('cost master'!$G:$G&lt;=B905)*(('cost master'!$H:$H&gt;=B905)+ISBLANK('cost master'!$H:$H))),1),0)"),2.6)</f>
        <v>2.6</v>
      </c>
      <c r="I905" s="3">
        <f t="shared" si="4"/>
        <v>0</v>
      </c>
      <c r="J905" s="27">
        <f t="shared" si="5"/>
        <v>45824</v>
      </c>
      <c r="K905" s="27">
        <f t="shared" si="6"/>
        <v>45853</v>
      </c>
    </row>
    <row r="906" hidden="1">
      <c r="A906" s="3" t="str">
        <f t="shared" si="3"/>
        <v>SL-20250707-Vglobal-CS 010-12</v>
      </c>
      <c r="B906" s="2">
        <f t="array" ref="B906">INDEX(helper!$A$3:$A3996,ROUNDUP((ROW()-1)/COUNTA(helper!$D$3:$D3996),0))</f>
        <v>45845</v>
      </c>
      <c r="C906" s="5" t="str">
        <f t="array" ref="C906">IF(B906="","",INDEX(helper!$D$3:$D3996,MOD(ROW()-2,COUNTA(helper!$D$3:$D3996))+1))</f>
        <v>Vglobal</v>
      </c>
      <c r="D906" s="3" t="str">
        <f t="array" ref="D906">IF(B906="","",INDEX(helper!$E$3:$E3996,MOD(ROW()-2,COUNTA(helper!$D$3:$D3996))+1))</f>
        <v>CS 010</v>
      </c>
      <c r="E906" s="3">
        <f t="array" ref="E906">IF(B906="","",INDEX(helper!$F$3:$F3996,MOD(ROW()-2,COUNTA(helper!$D$3:$D3996))+1))</f>
        <v>12</v>
      </c>
      <c r="F906" s="3">
        <f>IF(B906="","",SUMIFS('inventory ledger'!$H:$H,'inventory ledger'!$C:$C,C906,'inventory ledger'!$D:$D,D906,'inventory ledger'!$E:$E,E906,'inventory ledger'!$A:$A,"&lt;="&amp;B906+TIME(23,59,59))-SUMIFS('inventory ledger'!$I:$I,'inventory ledger'!$C:$C,C906,'inventory ledger'!$D:$D,D906,'inventory ledger'!$E:$E,E906,'inventory ledger'!$A:$A,"&lt;="&amp;B906+TIME(23,59,59)))</f>
        <v>70</v>
      </c>
      <c r="G906" s="3">
        <f>IFERROR(__xludf.DUMMYFUNCTION("IF(F906&lt;=0,0,IFERROR(ROUNDUP(F906/INDEX(FILTER('warehouse config'!$D:$D,('warehouse config'!$B:$B=C906)*('warehouse config'!$C:$C=D906)*('warehouse config'!$G:$G&lt;=B906)*(('warehouse config'!$H:$H&gt;=B906)+ISBLANK('warehouse config'!$H:$H))),1)),0))"),3.0)</f>
        <v>3</v>
      </c>
      <c r="H906" s="3">
        <f>IFERROR(__xludf.DUMMYFUNCTION("IFERROR(INDEX(FILTER('cost master'!$E:$E,('cost master'!$B:$B=C906)*('cost master'!$D:$D=""Storage cost per pallet / week"")*('cost master'!$G:$G&lt;=B906)*(('cost master'!$H:$H&gt;=B906)+ISBLANK('cost master'!$H:$H))),1),0)"),2.6)</f>
        <v>2.6</v>
      </c>
      <c r="I906" s="3">
        <f t="shared" si="4"/>
        <v>7.8</v>
      </c>
      <c r="J906" s="27">
        <f t="shared" si="5"/>
        <v>45824</v>
      </c>
      <c r="K906" s="27">
        <f t="shared" si="6"/>
        <v>45853</v>
      </c>
    </row>
    <row r="907" hidden="1">
      <c r="A907" s="3" t="str">
        <f t="shared" si="3"/>
        <v>SL-20250707-Vglobal-CS 009-12</v>
      </c>
      <c r="B907" s="2">
        <f t="array" ref="B907">INDEX(helper!$A$3:$A3996,ROUNDUP((ROW()-1)/COUNTA(helper!$D$3:$D3996),0))</f>
        <v>45845</v>
      </c>
      <c r="C907" s="5" t="str">
        <f t="array" ref="C907">IF(B907="","",INDEX(helper!$D$3:$D3996,MOD(ROW()-2,COUNTA(helper!$D$3:$D3996))+1))</f>
        <v>Vglobal</v>
      </c>
      <c r="D907" s="3" t="str">
        <f t="array" ref="D907">IF(B907="","",INDEX(helper!$E$3:$E3996,MOD(ROW()-2,COUNTA(helper!$D$3:$D3996))+1))</f>
        <v>CS 009</v>
      </c>
      <c r="E907" s="3">
        <f t="array" ref="E907">IF(B907="","",INDEX(helper!$F$3:$F3996,MOD(ROW()-2,COUNTA(helper!$D$3:$D3996))+1))</f>
        <v>12</v>
      </c>
      <c r="F907" s="3">
        <f>IF(B907="","",SUMIFS('inventory ledger'!$H:$H,'inventory ledger'!$C:$C,C907,'inventory ledger'!$D:$D,D907,'inventory ledger'!$E:$E,E907,'inventory ledger'!$A:$A,"&lt;="&amp;B907+TIME(23,59,59))-SUMIFS('inventory ledger'!$I:$I,'inventory ledger'!$C:$C,C907,'inventory ledger'!$D:$D,D907,'inventory ledger'!$E:$E,E907,'inventory ledger'!$A:$A,"&lt;="&amp;B907+TIME(23,59,59)))</f>
        <v>0</v>
      </c>
      <c r="G907" s="3">
        <f>IFERROR(__xludf.DUMMYFUNCTION("IF(F907&lt;=0,0,IFERROR(ROUNDUP(F907/INDEX(FILTER('warehouse config'!$D:$D,('warehouse config'!$B:$B=C907)*('warehouse config'!$C:$C=D907)*('warehouse config'!$G:$G&lt;=B907)*(('warehouse config'!$H:$H&gt;=B907)+ISBLANK('warehouse config'!$H:$H))),1)),0))"),0.0)</f>
        <v>0</v>
      </c>
      <c r="H907" s="3">
        <f>IFERROR(__xludf.DUMMYFUNCTION("IFERROR(INDEX(FILTER('cost master'!$E:$E,('cost master'!$B:$B=C907)*('cost master'!$D:$D=""Storage cost per pallet / week"")*('cost master'!$G:$G&lt;=B907)*(('cost master'!$H:$H&gt;=B907)+ISBLANK('cost master'!$H:$H))),1),0)"),2.6)</f>
        <v>2.6</v>
      </c>
      <c r="I907" s="3">
        <f t="shared" si="4"/>
        <v>0</v>
      </c>
      <c r="J907" s="27">
        <f t="shared" si="5"/>
        <v>45824</v>
      </c>
      <c r="K907" s="27">
        <f t="shared" si="6"/>
        <v>45853</v>
      </c>
    </row>
    <row r="908" hidden="1">
      <c r="A908" s="3" t="str">
        <f t="shared" si="3"/>
        <v>SL-20250707-Vglobal-CS 012-12</v>
      </c>
      <c r="B908" s="2">
        <f t="array" ref="B908">INDEX(helper!$A$3:$A3996,ROUNDUP((ROW()-1)/COUNTA(helper!$D$3:$D3996),0))</f>
        <v>45845</v>
      </c>
      <c r="C908" s="5" t="str">
        <f t="array" ref="C908">IF(B908="","",INDEX(helper!$D$3:$D3996,MOD(ROW()-2,COUNTA(helper!$D$3:$D3996))+1))</f>
        <v>Vglobal</v>
      </c>
      <c r="D908" s="3" t="str">
        <f t="array" ref="D908">IF(B908="","",INDEX(helper!$E$3:$E3996,MOD(ROW()-2,COUNTA(helper!$D$3:$D3996))+1))</f>
        <v>CS 012</v>
      </c>
      <c r="E908" s="3">
        <f t="array" ref="E908">IF(B908="","",INDEX(helper!$F$3:$F3996,MOD(ROW()-2,COUNTA(helper!$D$3:$D3996))+1))</f>
        <v>12</v>
      </c>
      <c r="F908" s="3">
        <f>IF(B908="","",SUMIFS('inventory ledger'!$H:$H,'inventory ledger'!$C:$C,C908,'inventory ledger'!$D:$D,D908,'inventory ledger'!$E:$E,E908,'inventory ledger'!$A:$A,"&lt;="&amp;B908+TIME(23,59,59))-SUMIFS('inventory ledger'!$I:$I,'inventory ledger'!$C:$C,C908,'inventory ledger'!$D:$D,D908,'inventory ledger'!$E:$E,E908,'inventory ledger'!$A:$A,"&lt;="&amp;B908+TIME(23,59,59)))</f>
        <v>0</v>
      </c>
      <c r="G908" s="3">
        <f>IFERROR(__xludf.DUMMYFUNCTION("IF(F908&lt;=0,0,IFERROR(ROUNDUP(F908/INDEX(FILTER('warehouse config'!$D:$D,('warehouse config'!$B:$B=C908)*('warehouse config'!$C:$C=D908)*('warehouse config'!$G:$G&lt;=B908)*(('warehouse config'!$H:$H&gt;=B908)+ISBLANK('warehouse config'!$H:$H))),1)),0))"),0.0)</f>
        <v>0</v>
      </c>
      <c r="H908" s="3">
        <f>IFERROR(__xludf.DUMMYFUNCTION("IFERROR(INDEX(FILTER('cost master'!$E:$E,('cost master'!$B:$B=C908)*('cost master'!$D:$D=""Storage cost per pallet / week"")*('cost master'!$G:$G&lt;=B908)*(('cost master'!$H:$H&gt;=B908)+ISBLANK('cost master'!$H:$H))),1),0)"),2.6)</f>
        <v>2.6</v>
      </c>
      <c r="I908" s="3">
        <f t="shared" si="4"/>
        <v>0</v>
      </c>
      <c r="J908" s="27">
        <f t="shared" si="5"/>
        <v>45824</v>
      </c>
      <c r="K908" s="27">
        <f t="shared" si="6"/>
        <v>45853</v>
      </c>
    </row>
    <row r="909" hidden="1">
      <c r="A909" s="3" t="str">
        <f t="shared" si="3"/>
        <v>SL-20250707-Vglobal-CS-CDS-001-3</v>
      </c>
      <c r="B909" s="2">
        <f t="array" ref="B909">INDEX(helper!$A$3:$A3996,ROUNDUP((ROW()-1)/COUNTA(helper!$D$3:$D3996),0))</f>
        <v>45845</v>
      </c>
      <c r="C909" s="5" t="str">
        <f t="array" ref="C909">IF(B909="","",INDEX(helper!$D$3:$D3996,MOD(ROW()-2,COUNTA(helper!$D$3:$D3996))+1))</f>
        <v>Vglobal</v>
      </c>
      <c r="D909" s="3" t="str">
        <f t="array" ref="D909">IF(B909="","",INDEX(helper!$E$3:$E3996,MOD(ROW()-2,COUNTA(helper!$D$3:$D3996))+1))</f>
        <v>CS-CDS-001</v>
      </c>
      <c r="E909" s="3">
        <f t="array" ref="E909">IF(B909="","",INDEX(helper!$F$3:$F3996,MOD(ROW()-2,COUNTA(helper!$D$3:$D3996))+1))</f>
        <v>3</v>
      </c>
      <c r="F909" s="3">
        <f>IF(B909="","",SUMIFS('inventory ledger'!$H:$H,'inventory ledger'!$C:$C,C909,'inventory ledger'!$D:$D,D909,'inventory ledger'!$E:$E,E909,'inventory ledger'!$A:$A,"&lt;="&amp;B909+TIME(23,59,59))-SUMIFS('inventory ledger'!$I:$I,'inventory ledger'!$C:$C,C909,'inventory ledger'!$D:$D,D909,'inventory ledger'!$E:$E,E909,'inventory ledger'!$A:$A,"&lt;="&amp;B909+TIME(23,59,59)))</f>
        <v>1</v>
      </c>
      <c r="G909" s="3">
        <f>IFERROR(__xludf.DUMMYFUNCTION("IF(F909&lt;=0,0,IFERROR(ROUNDUP(F909/INDEX(FILTER('warehouse config'!$D:$D,('warehouse config'!$B:$B=C909)*('warehouse config'!$C:$C=D909)*('warehouse config'!$G:$G&lt;=B909)*(('warehouse config'!$H:$H&gt;=B909)+ISBLANK('warehouse config'!$H:$H))),1)),0))"),1.0)</f>
        <v>1</v>
      </c>
      <c r="H909" s="3">
        <f>IFERROR(__xludf.DUMMYFUNCTION("IFERROR(INDEX(FILTER('cost master'!$E:$E,('cost master'!$B:$B=C909)*('cost master'!$D:$D=""Storage cost per pallet / week"")*('cost master'!$G:$G&lt;=B909)*(('cost master'!$H:$H&gt;=B909)+ISBLANK('cost master'!$H:$H))),1),0)"),2.6)</f>
        <v>2.6</v>
      </c>
      <c r="I909" s="3">
        <f t="shared" si="4"/>
        <v>2.6</v>
      </c>
      <c r="J909" s="27">
        <f t="shared" si="5"/>
        <v>45824</v>
      </c>
      <c r="K909" s="27">
        <f t="shared" si="6"/>
        <v>45853</v>
      </c>
    </row>
    <row r="910" hidden="1">
      <c r="A910" s="3" t="str">
        <f t="shared" si="3"/>
        <v>SL-20250707-Vglobal-CS-CDS-002-3</v>
      </c>
      <c r="B910" s="2">
        <f t="array" ref="B910">INDEX(helper!$A$3:$A3996,ROUNDUP((ROW()-1)/COUNTA(helper!$D$3:$D3996),0))</f>
        <v>45845</v>
      </c>
      <c r="C910" s="5" t="str">
        <f t="array" ref="C910">IF(B910="","",INDEX(helper!$D$3:$D3996,MOD(ROW()-2,COUNTA(helper!$D$3:$D3996))+1))</f>
        <v>Vglobal</v>
      </c>
      <c r="D910" s="3" t="str">
        <f t="array" ref="D910">IF(B910="","",INDEX(helper!$E$3:$E3996,MOD(ROW()-2,COUNTA(helper!$D$3:$D3996))+1))</f>
        <v>CS-CDS-002</v>
      </c>
      <c r="E910" s="3">
        <f t="array" ref="E910">IF(B910="","",INDEX(helper!$F$3:$F3996,MOD(ROW()-2,COUNTA(helper!$D$3:$D3996))+1))</f>
        <v>3</v>
      </c>
      <c r="F910" s="3">
        <f>IF(B910="","",SUMIFS('inventory ledger'!$H:$H,'inventory ledger'!$C:$C,C910,'inventory ledger'!$D:$D,D910,'inventory ledger'!$E:$E,E910,'inventory ledger'!$A:$A,"&lt;="&amp;B910+TIME(23,59,59))-SUMIFS('inventory ledger'!$I:$I,'inventory ledger'!$C:$C,C910,'inventory ledger'!$D:$D,D910,'inventory ledger'!$E:$E,E910,'inventory ledger'!$A:$A,"&lt;="&amp;B910+TIME(23,59,59)))</f>
        <v>0</v>
      </c>
      <c r="G910" s="3">
        <f>IFERROR(__xludf.DUMMYFUNCTION("IF(F910&lt;=0,0,IFERROR(ROUNDUP(F910/INDEX(FILTER('warehouse config'!$D:$D,('warehouse config'!$B:$B=C910)*('warehouse config'!$C:$C=D910)*('warehouse config'!$G:$G&lt;=B910)*(('warehouse config'!$H:$H&gt;=B910)+ISBLANK('warehouse config'!$H:$H))),1)),0))"),0.0)</f>
        <v>0</v>
      </c>
      <c r="H910" s="3">
        <f>IFERROR(__xludf.DUMMYFUNCTION("IFERROR(INDEX(FILTER('cost master'!$E:$E,('cost master'!$B:$B=C910)*('cost master'!$D:$D=""Storage cost per pallet / week"")*('cost master'!$G:$G&lt;=B910)*(('cost master'!$H:$H&gt;=B910)+ISBLANK('cost master'!$H:$H))),1),0)"),2.6)</f>
        <v>2.6</v>
      </c>
      <c r="I910" s="3">
        <f t="shared" si="4"/>
        <v>0</v>
      </c>
      <c r="J910" s="27">
        <f t="shared" si="5"/>
        <v>45824</v>
      </c>
      <c r="K910" s="27">
        <f t="shared" si="6"/>
        <v>45853</v>
      </c>
    </row>
    <row r="911" hidden="1">
      <c r="A911" s="3" t="str">
        <f t="shared" si="3"/>
        <v>SL-20250707-4as-CS-CDS-001-4</v>
      </c>
      <c r="B911" s="2">
        <f t="array" ref="B911">INDEX(helper!$A$3:$A3996,ROUNDUP((ROW()-1)/COUNTA(helper!$D$3:$D3996),0))</f>
        <v>45845</v>
      </c>
      <c r="C911" s="5" t="str">
        <f t="array" ref="C911">IF(B911="","",INDEX(helper!$D$3:$D3996,MOD(ROW()-2,COUNTA(helper!$D$3:$D3996))+1))</f>
        <v>4as</v>
      </c>
      <c r="D911" s="3" t="str">
        <f t="array" ref="D911">IF(B911="","",INDEX(helper!$E$3:$E3996,MOD(ROW()-2,COUNTA(helper!$D$3:$D3996))+1))</f>
        <v>CS-CDS-001</v>
      </c>
      <c r="E911" s="3">
        <f t="array" ref="E911">IF(B911="","",INDEX(helper!$F$3:$F3996,MOD(ROW()-2,COUNTA(helper!$D$3:$D3996))+1))</f>
        <v>4</v>
      </c>
      <c r="F911" s="3">
        <f>IF(B911="","",SUMIFS('inventory ledger'!$H:$H,'inventory ledger'!$C:$C,C911,'inventory ledger'!$D:$D,D911,'inventory ledger'!$E:$E,E911,'inventory ledger'!$A:$A,"&lt;="&amp;B911+TIME(23,59,59))-SUMIFS('inventory ledger'!$I:$I,'inventory ledger'!$C:$C,C911,'inventory ledger'!$D:$D,D911,'inventory ledger'!$E:$E,E911,'inventory ledger'!$A:$A,"&lt;="&amp;B911+TIME(23,59,59)))</f>
        <v>0</v>
      </c>
      <c r="G911" s="3">
        <f>IFERROR(__xludf.DUMMYFUNCTION("IF(F911&lt;=0,0,IFERROR(ROUNDUP(F911/INDEX(FILTER('warehouse config'!$D:$D,('warehouse config'!$B:$B=C911)*('warehouse config'!$C:$C=D911)*('warehouse config'!$G:$G&lt;=B911)*(('warehouse config'!$H:$H&gt;=B911)+ISBLANK('warehouse config'!$H:$H))),1)),0))"),0.0)</f>
        <v>0</v>
      </c>
      <c r="H911" s="3">
        <f>IFERROR(__xludf.DUMMYFUNCTION("IFERROR(INDEX(FILTER('cost master'!$E:$E,('cost master'!$B:$B=C911)*('cost master'!$D:$D=""Storage cost per pallet / week"")*('cost master'!$G:$G&lt;=B911)*(('cost master'!$H:$H&gt;=B911)+ISBLANK('cost master'!$H:$H))),1),0)"),9.0)</f>
        <v>9</v>
      </c>
      <c r="I911" s="3">
        <f t="shared" si="4"/>
        <v>0</v>
      </c>
      <c r="J911" s="27">
        <f t="shared" si="5"/>
        <v>45824</v>
      </c>
      <c r="K911" s="27">
        <f t="shared" si="6"/>
        <v>45853</v>
      </c>
    </row>
    <row r="912" hidden="1">
      <c r="A912" s="3" t="str">
        <f t="shared" si="3"/>
        <v>SL-20250707-4as-CS-CDS-002-4</v>
      </c>
      <c r="B912" s="2">
        <f t="array" ref="B912">INDEX(helper!$A$3:$A3996,ROUNDUP((ROW()-1)/COUNTA(helper!$D$3:$D3996),0))</f>
        <v>45845</v>
      </c>
      <c r="C912" s="5" t="str">
        <f t="array" ref="C912">IF(B912="","",INDEX(helper!$D$3:$D3996,MOD(ROW()-2,COUNTA(helper!$D$3:$D3996))+1))</f>
        <v>4as</v>
      </c>
      <c r="D912" s="3" t="str">
        <f t="array" ref="D912">IF(B912="","",INDEX(helper!$E$3:$E3996,MOD(ROW()-2,COUNTA(helper!$D$3:$D3996))+1))</f>
        <v>CS-CDS-002</v>
      </c>
      <c r="E912" s="3">
        <f t="array" ref="E912">IF(B912="","",INDEX(helper!$F$3:$F3996,MOD(ROW()-2,COUNTA(helper!$D$3:$D3996))+1))</f>
        <v>4</v>
      </c>
      <c r="F912" s="3">
        <f>IF(B912="","",SUMIFS('inventory ledger'!$H:$H,'inventory ledger'!$C:$C,C912,'inventory ledger'!$D:$D,D912,'inventory ledger'!$E:$E,E912,'inventory ledger'!$A:$A,"&lt;="&amp;B912+TIME(23,59,59))-SUMIFS('inventory ledger'!$I:$I,'inventory ledger'!$C:$C,C912,'inventory ledger'!$D:$D,D912,'inventory ledger'!$E:$E,E912,'inventory ledger'!$A:$A,"&lt;="&amp;B912+TIME(23,59,59)))</f>
        <v>0</v>
      </c>
      <c r="G912" s="3">
        <f>IFERROR(__xludf.DUMMYFUNCTION("IF(F912&lt;=0,0,IFERROR(ROUNDUP(F912/INDEX(FILTER('warehouse config'!$D:$D,('warehouse config'!$B:$B=C912)*('warehouse config'!$C:$C=D912)*('warehouse config'!$G:$G&lt;=B912)*(('warehouse config'!$H:$H&gt;=B912)+ISBLANK('warehouse config'!$H:$H))),1)),0))"),0.0)</f>
        <v>0</v>
      </c>
      <c r="H912" s="3">
        <f>IFERROR(__xludf.DUMMYFUNCTION("IFERROR(INDEX(FILTER('cost master'!$E:$E,('cost master'!$B:$B=C912)*('cost master'!$D:$D=""Storage cost per pallet / week"")*('cost master'!$G:$G&lt;=B912)*(('cost master'!$H:$H&gt;=B912)+ISBLANK('cost master'!$H:$H))),1),0)"),9.0)</f>
        <v>9</v>
      </c>
      <c r="I912" s="3">
        <f t="shared" si="4"/>
        <v>0</v>
      </c>
      <c r="J912" s="27">
        <f t="shared" si="5"/>
        <v>45824</v>
      </c>
      <c r="K912" s="27">
        <f t="shared" si="6"/>
        <v>45853</v>
      </c>
    </row>
    <row r="913" hidden="1">
      <c r="A913" s="3" t="str">
        <f t="shared" si="3"/>
        <v>SL-20250707-Vglobal-CS 007-13</v>
      </c>
      <c r="B913" s="2">
        <f t="array" ref="B913">INDEX(helper!$A$3:$A3996,ROUNDUP((ROW()-1)/COUNTA(helper!$D$3:$D3996),0))</f>
        <v>45845</v>
      </c>
      <c r="C913" s="5" t="str">
        <f t="array" ref="C913">IF(B913="","",INDEX(helper!$D$3:$D3996,MOD(ROW()-2,COUNTA(helper!$D$3:$D3996))+1))</f>
        <v>Vglobal</v>
      </c>
      <c r="D913" s="3" t="str">
        <f t="array" ref="D913">IF(B913="","",INDEX(helper!$E$3:$E3996,MOD(ROW()-2,COUNTA(helper!$D$3:$D3996))+1))</f>
        <v>CS 007</v>
      </c>
      <c r="E913" s="3">
        <f t="array" ref="E913">IF(B913="","",INDEX(helper!$F$3:$F3996,MOD(ROW()-2,COUNTA(helper!$D$3:$D3996))+1))</f>
        <v>13</v>
      </c>
      <c r="F913" s="3">
        <f>IF(B913="","",SUMIFS('inventory ledger'!$H:$H,'inventory ledger'!$C:$C,C913,'inventory ledger'!$D:$D,D913,'inventory ledger'!$E:$E,E913,'inventory ledger'!$A:$A,"&lt;="&amp;B913+TIME(23,59,59))-SUMIFS('inventory ledger'!$I:$I,'inventory ledger'!$C:$C,C913,'inventory ledger'!$D:$D,D913,'inventory ledger'!$E:$E,E913,'inventory ledger'!$A:$A,"&lt;="&amp;B913+TIME(23,59,59)))</f>
        <v>45</v>
      </c>
      <c r="G913" s="3">
        <f>IFERROR(__xludf.DUMMYFUNCTION("IF(F913&lt;=0,0,IFERROR(ROUNDUP(F913/INDEX(FILTER('warehouse config'!$D:$D,('warehouse config'!$B:$B=C913)*('warehouse config'!$C:$C=D913)*('warehouse config'!$G:$G&lt;=B913)*(('warehouse config'!$H:$H&gt;=B913)+ISBLANK('warehouse config'!$H:$H))),1)),0))"),3.0)</f>
        <v>3</v>
      </c>
      <c r="H913" s="3">
        <f>IFERROR(__xludf.DUMMYFUNCTION("IFERROR(INDEX(FILTER('cost master'!$E:$E,('cost master'!$B:$B=C913)*('cost master'!$D:$D=""Storage cost per pallet / week"")*('cost master'!$G:$G&lt;=B913)*(('cost master'!$H:$H&gt;=B913)+ISBLANK('cost master'!$H:$H))),1),0)"),2.6)</f>
        <v>2.6</v>
      </c>
      <c r="I913" s="3">
        <f t="shared" si="4"/>
        <v>7.8</v>
      </c>
      <c r="J913" s="27">
        <f t="shared" si="5"/>
        <v>45824</v>
      </c>
      <c r="K913" s="27">
        <f t="shared" si="6"/>
        <v>45853</v>
      </c>
    </row>
    <row r="914" hidden="1">
      <c r="A914" s="3" t="str">
        <f t="shared" si="3"/>
        <v>SL-20250707-Vglobal-CS 011-13</v>
      </c>
      <c r="B914" s="2">
        <f t="array" ref="B914">INDEX(helper!$A$3:$A3996,ROUNDUP((ROW()-1)/COUNTA(helper!$D$3:$D3996),0))</f>
        <v>45845</v>
      </c>
      <c r="C914" s="5" t="str">
        <f t="array" ref="C914">IF(B914="","",INDEX(helper!$D$3:$D3996,MOD(ROW()-2,COUNTA(helper!$D$3:$D3996))+1))</f>
        <v>Vglobal</v>
      </c>
      <c r="D914" s="3" t="str">
        <f t="array" ref="D914">IF(B914="","",INDEX(helper!$E$3:$E3996,MOD(ROW()-2,COUNTA(helper!$D$3:$D3996))+1))</f>
        <v>CS 011</v>
      </c>
      <c r="E914" s="3">
        <f t="array" ref="E914">IF(B914="","",INDEX(helper!$F$3:$F3996,MOD(ROW()-2,COUNTA(helper!$D$3:$D3996))+1))</f>
        <v>13</v>
      </c>
      <c r="F914" s="3">
        <f>IF(B914="","",SUMIFS('inventory ledger'!$H:$H,'inventory ledger'!$C:$C,C914,'inventory ledger'!$D:$D,D914,'inventory ledger'!$E:$E,E914,'inventory ledger'!$A:$A,"&lt;="&amp;B914+TIME(23,59,59))-SUMIFS('inventory ledger'!$I:$I,'inventory ledger'!$C:$C,C914,'inventory ledger'!$D:$D,D914,'inventory ledger'!$E:$E,E914,'inventory ledger'!$A:$A,"&lt;="&amp;B914+TIME(23,59,59)))</f>
        <v>0</v>
      </c>
      <c r="G914" s="3">
        <f>IFERROR(__xludf.DUMMYFUNCTION("IF(F914&lt;=0,0,IFERROR(ROUNDUP(F914/INDEX(FILTER('warehouse config'!$D:$D,('warehouse config'!$B:$B=C914)*('warehouse config'!$C:$C=D914)*('warehouse config'!$G:$G&lt;=B914)*(('warehouse config'!$H:$H&gt;=B914)+ISBLANK('warehouse config'!$H:$H))),1)),0))"),0.0)</f>
        <v>0</v>
      </c>
      <c r="H914" s="3">
        <f>IFERROR(__xludf.DUMMYFUNCTION("IFERROR(INDEX(FILTER('cost master'!$E:$E,('cost master'!$B:$B=C914)*('cost master'!$D:$D=""Storage cost per pallet / week"")*('cost master'!$G:$G&lt;=B914)*(('cost master'!$H:$H&gt;=B914)+ISBLANK('cost master'!$H:$H))),1),0)"),2.6)</f>
        <v>2.6</v>
      </c>
      <c r="I914" s="3">
        <f t="shared" si="4"/>
        <v>0</v>
      </c>
      <c r="J914" s="27">
        <f t="shared" si="5"/>
        <v>45824</v>
      </c>
      <c r="K914" s="27">
        <f t="shared" si="6"/>
        <v>45853</v>
      </c>
    </row>
    <row r="915" hidden="1">
      <c r="A915" s="3" t="str">
        <f t="shared" si="3"/>
        <v>SL-20250707-Vglobal-CS 008-13</v>
      </c>
      <c r="B915" s="2">
        <f t="array" ref="B915">INDEX(helper!$A$3:$A3996,ROUNDUP((ROW()-1)/COUNTA(helper!$D$3:$D3996),0))</f>
        <v>45845</v>
      </c>
      <c r="C915" s="5" t="str">
        <f t="array" ref="C915">IF(B915="","",INDEX(helper!$D$3:$D3996,MOD(ROW()-2,COUNTA(helper!$D$3:$D3996))+1))</f>
        <v>Vglobal</v>
      </c>
      <c r="D915" s="3" t="str">
        <f t="array" ref="D915">IF(B915="","",INDEX(helper!$E$3:$E3996,MOD(ROW()-2,COUNTA(helper!$D$3:$D3996))+1))</f>
        <v>CS 008</v>
      </c>
      <c r="E915" s="3">
        <f t="array" ref="E915">IF(B915="","",INDEX(helper!$F$3:$F3996,MOD(ROW()-2,COUNTA(helper!$D$3:$D3996))+1))</f>
        <v>13</v>
      </c>
      <c r="F915" s="3">
        <f>IF(B915="","",SUMIFS('inventory ledger'!$H:$H,'inventory ledger'!$C:$C,C915,'inventory ledger'!$D:$D,D915,'inventory ledger'!$E:$E,E915,'inventory ledger'!$A:$A,"&lt;="&amp;B915+TIME(23,59,59))-SUMIFS('inventory ledger'!$I:$I,'inventory ledger'!$C:$C,C915,'inventory ledger'!$D:$D,D915,'inventory ledger'!$E:$E,E915,'inventory ledger'!$A:$A,"&lt;="&amp;B915+TIME(23,59,59)))</f>
        <v>20</v>
      </c>
      <c r="G915" s="3">
        <f>IFERROR(__xludf.DUMMYFUNCTION("IF(F915&lt;=0,0,IFERROR(ROUNDUP(F915/INDEX(FILTER('warehouse config'!$D:$D,('warehouse config'!$B:$B=C915)*('warehouse config'!$C:$C=D915)*('warehouse config'!$G:$G&lt;=B915)*(('warehouse config'!$H:$H&gt;=B915)+ISBLANK('warehouse config'!$H:$H))),1)),0))"),1.0)</f>
        <v>1</v>
      </c>
      <c r="H915" s="3">
        <f>IFERROR(__xludf.DUMMYFUNCTION("IFERROR(INDEX(FILTER('cost master'!$E:$E,('cost master'!$B:$B=C915)*('cost master'!$D:$D=""Storage cost per pallet / week"")*('cost master'!$G:$G&lt;=B915)*(('cost master'!$H:$H&gt;=B915)+ISBLANK('cost master'!$H:$H))),1),0)"),2.6)</f>
        <v>2.6</v>
      </c>
      <c r="I915" s="3">
        <f t="shared" si="4"/>
        <v>2.6</v>
      </c>
      <c r="J915" s="27">
        <f t="shared" si="5"/>
        <v>45824</v>
      </c>
      <c r="K915" s="27">
        <f t="shared" si="6"/>
        <v>45853</v>
      </c>
    </row>
    <row r="916" hidden="1">
      <c r="A916" s="3" t="str">
        <f t="shared" si="3"/>
        <v>SL-20250707-Vglobal-CS 010-13</v>
      </c>
      <c r="B916" s="2">
        <f t="array" ref="B916">INDEX(helper!$A$3:$A3996,ROUNDUP((ROW()-1)/COUNTA(helper!$D$3:$D3996),0))</f>
        <v>45845</v>
      </c>
      <c r="C916" s="5" t="str">
        <f t="array" ref="C916">IF(B916="","",INDEX(helper!$D$3:$D3996,MOD(ROW()-2,COUNTA(helper!$D$3:$D3996))+1))</f>
        <v>Vglobal</v>
      </c>
      <c r="D916" s="3" t="str">
        <f t="array" ref="D916">IF(B916="","",INDEX(helper!$E$3:$E3996,MOD(ROW()-2,COUNTA(helper!$D$3:$D3996))+1))</f>
        <v>CS 010</v>
      </c>
      <c r="E916" s="3">
        <f t="array" ref="E916">IF(B916="","",INDEX(helper!$F$3:$F3996,MOD(ROW()-2,COUNTA(helper!$D$3:$D3996))+1))</f>
        <v>13</v>
      </c>
      <c r="F916" s="3">
        <f>IF(B916="","",SUMIFS('inventory ledger'!$H:$H,'inventory ledger'!$C:$C,C916,'inventory ledger'!$D:$D,D916,'inventory ledger'!$E:$E,E916,'inventory ledger'!$A:$A,"&lt;="&amp;B916+TIME(23,59,59))-SUMIFS('inventory ledger'!$I:$I,'inventory ledger'!$C:$C,C916,'inventory ledger'!$D:$D,D916,'inventory ledger'!$E:$E,E916,'inventory ledger'!$A:$A,"&lt;="&amp;B916+TIME(23,59,59)))</f>
        <v>80</v>
      </c>
      <c r="G916" s="3">
        <f>IFERROR(__xludf.DUMMYFUNCTION("IF(F916&lt;=0,0,IFERROR(ROUNDUP(F916/INDEX(FILTER('warehouse config'!$D:$D,('warehouse config'!$B:$B=C916)*('warehouse config'!$C:$C=D916)*('warehouse config'!$G:$G&lt;=B916)*(('warehouse config'!$H:$H&gt;=B916)+ISBLANK('warehouse config'!$H:$H))),1)),0))"),4.0)</f>
        <v>4</v>
      </c>
      <c r="H916" s="3">
        <f>IFERROR(__xludf.DUMMYFUNCTION("IFERROR(INDEX(FILTER('cost master'!$E:$E,('cost master'!$B:$B=C916)*('cost master'!$D:$D=""Storage cost per pallet / week"")*('cost master'!$G:$G&lt;=B916)*(('cost master'!$H:$H&gt;=B916)+ISBLANK('cost master'!$H:$H))),1),0)"),2.6)</f>
        <v>2.6</v>
      </c>
      <c r="I916" s="3">
        <f t="shared" si="4"/>
        <v>10.4</v>
      </c>
      <c r="J916" s="27">
        <f t="shared" si="5"/>
        <v>45824</v>
      </c>
      <c r="K916" s="27">
        <f t="shared" si="6"/>
        <v>45853</v>
      </c>
    </row>
    <row r="917" hidden="1">
      <c r="A917" s="3" t="str">
        <f t="shared" si="3"/>
        <v>SL-20250707-Vglobal-CS 009-13</v>
      </c>
      <c r="B917" s="2">
        <f t="array" ref="B917">INDEX(helper!$A$3:$A3996,ROUNDUP((ROW()-1)/COUNTA(helper!$D$3:$D3996),0))</f>
        <v>45845</v>
      </c>
      <c r="C917" s="5" t="str">
        <f t="array" ref="C917">IF(B917="","",INDEX(helper!$D$3:$D3996,MOD(ROW()-2,COUNTA(helper!$D$3:$D3996))+1))</f>
        <v>Vglobal</v>
      </c>
      <c r="D917" s="3" t="str">
        <f t="array" ref="D917">IF(B917="","",INDEX(helper!$E$3:$E3996,MOD(ROW()-2,COUNTA(helper!$D$3:$D3996))+1))</f>
        <v>CS 009</v>
      </c>
      <c r="E917" s="3">
        <f t="array" ref="E917">IF(B917="","",INDEX(helper!$F$3:$F3996,MOD(ROW()-2,COUNTA(helper!$D$3:$D3996))+1))</f>
        <v>13</v>
      </c>
      <c r="F917" s="3">
        <f>IF(B917="","",SUMIFS('inventory ledger'!$H:$H,'inventory ledger'!$C:$C,C917,'inventory ledger'!$D:$D,D917,'inventory ledger'!$E:$E,E917,'inventory ledger'!$A:$A,"&lt;="&amp;B917+TIME(23,59,59))-SUMIFS('inventory ledger'!$I:$I,'inventory ledger'!$C:$C,C917,'inventory ledger'!$D:$D,D917,'inventory ledger'!$E:$E,E917,'inventory ledger'!$A:$A,"&lt;="&amp;B917+TIME(23,59,59)))</f>
        <v>0</v>
      </c>
      <c r="G917" s="3">
        <f>IFERROR(__xludf.DUMMYFUNCTION("IF(F917&lt;=0,0,IFERROR(ROUNDUP(F917/INDEX(FILTER('warehouse config'!$D:$D,('warehouse config'!$B:$B=C917)*('warehouse config'!$C:$C=D917)*('warehouse config'!$G:$G&lt;=B917)*(('warehouse config'!$H:$H&gt;=B917)+ISBLANK('warehouse config'!$H:$H))),1)),0))"),0.0)</f>
        <v>0</v>
      </c>
      <c r="H917" s="3">
        <f>IFERROR(__xludf.DUMMYFUNCTION("IFERROR(INDEX(FILTER('cost master'!$E:$E,('cost master'!$B:$B=C917)*('cost master'!$D:$D=""Storage cost per pallet / week"")*('cost master'!$G:$G&lt;=B917)*(('cost master'!$H:$H&gt;=B917)+ISBLANK('cost master'!$H:$H))),1),0)"),2.6)</f>
        <v>2.6</v>
      </c>
      <c r="I917" s="3">
        <f t="shared" si="4"/>
        <v>0</v>
      </c>
      <c r="J917" s="27">
        <f t="shared" si="5"/>
        <v>45824</v>
      </c>
      <c r="K917" s="27">
        <f t="shared" si="6"/>
        <v>45853</v>
      </c>
    </row>
    <row r="918" hidden="1">
      <c r="A918" s="3" t="str">
        <f t="shared" si="3"/>
        <v>SL-20250707-Vglobal-CS 012-13</v>
      </c>
      <c r="B918" s="2">
        <f t="array" ref="B918">INDEX(helper!$A$3:$A3996,ROUNDUP((ROW()-1)/COUNTA(helper!$D$3:$D3996),0))</f>
        <v>45845</v>
      </c>
      <c r="C918" s="5" t="str">
        <f t="array" ref="C918">IF(B918="","",INDEX(helper!$D$3:$D3996,MOD(ROW()-2,COUNTA(helper!$D$3:$D3996))+1))</f>
        <v>Vglobal</v>
      </c>
      <c r="D918" s="3" t="str">
        <f t="array" ref="D918">IF(B918="","",INDEX(helper!$E$3:$E3996,MOD(ROW()-2,COUNTA(helper!$D$3:$D3996))+1))</f>
        <v>CS 012</v>
      </c>
      <c r="E918" s="3">
        <f t="array" ref="E918">IF(B918="","",INDEX(helper!$F$3:$F3996,MOD(ROW()-2,COUNTA(helper!$D$3:$D3996))+1))</f>
        <v>13</v>
      </c>
      <c r="F918" s="3">
        <f>IF(B918="","",SUMIFS('inventory ledger'!$H:$H,'inventory ledger'!$C:$C,C918,'inventory ledger'!$D:$D,D918,'inventory ledger'!$E:$E,E918,'inventory ledger'!$A:$A,"&lt;="&amp;B918+TIME(23,59,59))-SUMIFS('inventory ledger'!$I:$I,'inventory ledger'!$C:$C,C918,'inventory ledger'!$D:$D,D918,'inventory ledger'!$E:$E,E918,'inventory ledger'!$A:$A,"&lt;="&amp;B918+TIME(23,59,59)))</f>
        <v>0</v>
      </c>
      <c r="G918" s="3">
        <f>IFERROR(__xludf.DUMMYFUNCTION("IF(F918&lt;=0,0,IFERROR(ROUNDUP(F918/INDEX(FILTER('warehouse config'!$D:$D,('warehouse config'!$B:$B=C918)*('warehouse config'!$C:$C=D918)*('warehouse config'!$G:$G&lt;=B918)*(('warehouse config'!$H:$H&gt;=B918)+ISBLANK('warehouse config'!$H:$H))),1)),0))"),0.0)</f>
        <v>0</v>
      </c>
      <c r="H918" s="3">
        <f>IFERROR(__xludf.DUMMYFUNCTION("IFERROR(INDEX(FILTER('cost master'!$E:$E,('cost master'!$B:$B=C918)*('cost master'!$D:$D=""Storage cost per pallet / week"")*('cost master'!$G:$G&lt;=B918)*(('cost master'!$H:$H&gt;=B918)+ISBLANK('cost master'!$H:$H))),1),0)"),2.6)</f>
        <v>2.6</v>
      </c>
      <c r="I918" s="3">
        <f t="shared" si="4"/>
        <v>0</v>
      </c>
      <c r="J918" s="27">
        <f t="shared" si="5"/>
        <v>45824</v>
      </c>
      <c r="K918" s="27">
        <f t="shared" si="6"/>
        <v>45853</v>
      </c>
    </row>
    <row r="919">
      <c r="A919" s="3" t="str">
        <f t="shared" si="3"/>
        <v>SL-20250707-FMC-CS 008-11</v>
      </c>
      <c r="B919" s="2">
        <f t="array" ref="B919">INDEX(helper!$A$3:$A3996,ROUNDUP((ROW()-1)/COUNTA(helper!$D$3:$D3996),0))</f>
        <v>45845</v>
      </c>
      <c r="C919" s="5" t="str">
        <f t="array" ref="C919">IF(B919="","",INDEX(helper!$D$3:$D3996,MOD(ROW()-2,COUNTA(helper!$D$3:$D3996))+1))</f>
        <v>FMC</v>
      </c>
      <c r="D919" s="3" t="str">
        <f t="array" ref="D919">IF(B919="","",INDEX(helper!$E$3:$E3996,MOD(ROW()-2,COUNTA(helper!$D$3:$D3996))+1))</f>
        <v>CS 008</v>
      </c>
      <c r="E919" s="3">
        <f t="array" ref="E919">IF(B919="","",INDEX(helper!$F$3:$F3996,MOD(ROW()-2,COUNTA(helper!$D$3:$D3996))+1))</f>
        <v>11</v>
      </c>
      <c r="F919" s="3">
        <f>IF(B919="","",SUMIFS('inventory ledger'!$H:$H,'inventory ledger'!$C:$C,C919,'inventory ledger'!$D:$D,D919,'inventory ledger'!$E:$E,E919,'inventory ledger'!$A:$A,"&lt;="&amp;B919+TIME(23,59,59))-SUMIFS('inventory ledger'!$I:$I,'inventory ledger'!$C:$C,C919,'inventory ledger'!$D:$D,D919,'inventory ledger'!$E:$E,E919,'inventory ledger'!$A:$A,"&lt;="&amp;B919+TIME(23,59,59)))</f>
        <v>-2</v>
      </c>
      <c r="G919" s="3">
        <f>IFERROR(__xludf.DUMMYFUNCTION("IF(F919&lt;=0,0,IFERROR(ROUNDUP(F919/INDEX(FILTER('warehouse config'!$D:$D,('warehouse config'!$B:$B=C919)*('warehouse config'!$C:$C=D919)*('warehouse config'!$G:$G&lt;=B919)*(('warehouse config'!$H:$H&gt;=B919)+ISBLANK('warehouse config'!$H:$H))),1)),0))"),0.0)</f>
        <v>0</v>
      </c>
      <c r="H919" s="3">
        <f>IFERROR(__xludf.DUMMYFUNCTION("IFERROR(INDEX(FILTER('cost master'!$E:$E,('cost master'!$B:$B=C919)*('cost master'!$D:$D=""Storage cost per pallet / week"")*('cost master'!$G:$G&lt;=B919)*(('cost master'!$H:$H&gt;=B919)+ISBLANK('cost master'!$H:$H))),1),0)"),3.9)</f>
        <v>3.9</v>
      </c>
      <c r="I919" s="3">
        <f t="shared" si="4"/>
        <v>0</v>
      </c>
      <c r="J919" s="27">
        <f t="shared" si="5"/>
        <v>45824</v>
      </c>
      <c r="K919" s="27">
        <f t="shared" si="6"/>
        <v>45853</v>
      </c>
    </row>
    <row r="920" hidden="1">
      <c r="A920" s="3" t="str">
        <f t="shared" si="3"/>
        <v>SL-20250714-FMC-CS 007-8</v>
      </c>
      <c r="B920" s="2">
        <f t="array" ref="B920">INDEX(helper!$A$3:$A3996,ROUNDUP((ROW()-1)/COUNTA(helper!$D$3:$D3996),0))</f>
        <v>45852</v>
      </c>
      <c r="C920" s="5" t="str">
        <f t="array" ref="C920">IF(B920="","",INDEX(helper!$D$3:$D3996,MOD(ROW()-2,COUNTA(helper!$D$3:$D3996))+1))</f>
        <v>FMC</v>
      </c>
      <c r="D920" s="3" t="str">
        <f t="array" ref="D920">IF(B920="","",INDEX(helper!$E$3:$E3996,MOD(ROW()-2,COUNTA(helper!$D$3:$D3996))+1))</f>
        <v>CS 007</v>
      </c>
      <c r="E920" s="3">
        <f t="array" ref="E920">IF(B920="","",INDEX(helper!$F$3:$F3996,MOD(ROW()-2,COUNTA(helper!$D$3:$D3996))+1))</f>
        <v>8</v>
      </c>
      <c r="F920" s="3">
        <f>IF(B920="","",SUMIFS('inventory ledger'!$H:$H,'inventory ledger'!$C:$C,C920,'inventory ledger'!$D:$D,D920,'inventory ledger'!$E:$E,E920,'inventory ledger'!$A:$A,"&lt;="&amp;B920+TIME(23,59,59))-SUMIFS('inventory ledger'!$I:$I,'inventory ledger'!$C:$C,C920,'inventory ledger'!$D:$D,D920,'inventory ledger'!$E:$E,E920,'inventory ledger'!$A:$A,"&lt;="&amp;B920+TIME(23,59,59)))</f>
        <v>0</v>
      </c>
      <c r="G920" s="3">
        <f>IFERROR(__xludf.DUMMYFUNCTION("IF(F920&lt;=0,0,IFERROR(ROUNDUP(F920/INDEX(FILTER('warehouse config'!$D:$D,('warehouse config'!$B:$B=C920)*('warehouse config'!$C:$C=D920)*('warehouse config'!$G:$G&lt;=B920)*(('warehouse config'!$H:$H&gt;=B920)+ISBLANK('warehouse config'!$H:$H))),1)),0))"),0.0)</f>
        <v>0</v>
      </c>
      <c r="H920" s="3">
        <f>IFERROR(__xludf.DUMMYFUNCTION("IFERROR(INDEX(FILTER('cost master'!$E:$E,('cost master'!$B:$B=C920)*('cost master'!$D:$D=""Storage cost per pallet / week"")*('cost master'!$G:$G&lt;=B920)*(('cost master'!$H:$H&gt;=B920)+ISBLANK('cost master'!$H:$H))),1),0)"),3.9)</f>
        <v>3.9</v>
      </c>
      <c r="I920" s="3">
        <f t="shared" si="4"/>
        <v>0</v>
      </c>
      <c r="J920" s="27">
        <f t="shared" si="5"/>
        <v>45824</v>
      </c>
      <c r="K920" s="27">
        <f t="shared" si="6"/>
        <v>45853</v>
      </c>
    </row>
    <row r="921" hidden="1">
      <c r="A921" s="3" t="str">
        <f t="shared" si="3"/>
        <v>SL-20250714-FMC-CS 008-8</v>
      </c>
      <c r="B921" s="2">
        <f t="array" ref="B921">INDEX(helper!$A$3:$A3996,ROUNDUP((ROW()-1)/COUNTA(helper!$D$3:$D3996),0))</f>
        <v>45852</v>
      </c>
      <c r="C921" s="5" t="str">
        <f t="array" ref="C921">IF(B921="","",INDEX(helper!$D$3:$D3996,MOD(ROW()-2,COUNTA(helper!$D$3:$D3996))+1))</f>
        <v>FMC</v>
      </c>
      <c r="D921" s="3" t="str">
        <f t="array" ref="D921">IF(B921="","",INDEX(helper!$E$3:$E3996,MOD(ROW()-2,COUNTA(helper!$D$3:$D3996))+1))</f>
        <v>CS 008</v>
      </c>
      <c r="E921" s="3">
        <f t="array" ref="E921">IF(B921="","",INDEX(helper!$F$3:$F3996,MOD(ROW()-2,COUNTA(helper!$D$3:$D3996))+1))</f>
        <v>8</v>
      </c>
      <c r="F921" s="3">
        <f>IF(B921="","",SUMIFS('inventory ledger'!$H:$H,'inventory ledger'!$C:$C,C921,'inventory ledger'!$D:$D,D921,'inventory ledger'!$E:$E,E921,'inventory ledger'!$A:$A,"&lt;="&amp;B921+TIME(23,59,59))-SUMIFS('inventory ledger'!$I:$I,'inventory ledger'!$C:$C,C921,'inventory ledger'!$D:$D,D921,'inventory ledger'!$E:$E,E921,'inventory ledger'!$A:$A,"&lt;="&amp;B921+TIME(23,59,59)))</f>
        <v>0</v>
      </c>
      <c r="G921" s="3">
        <f>IFERROR(__xludf.DUMMYFUNCTION("IF(F921&lt;=0,0,IFERROR(ROUNDUP(F921/INDEX(FILTER('warehouse config'!$D:$D,('warehouse config'!$B:$B=C921)*('warehouse config'!$C:$C=D921)*('warehouse config'!$G:$G&lt;=B921)*(('warehouse config'!$H:$H&gt;=B921)+ISBLANK('warehouse config'!$H:$H))),1)),0))"),0.0)</f>
        <v>0</v>
      </c>
      <c r="H921" s="3">
        <f>IFERROR(__xludf.DUMMYFUNCTION("IFERROR(INDEX(FILTER('cost master'!$E:$E,('cost master'!$B:$B=C921)*('cost master'!$D:$D=""Storage cost per pallet / week"")*('cost master'!$G:$G&lt;=B921)*(('cost master'!$H:$H&gt;=B921)+ISBLANK('cost master'!$H:$H))),1),0)"),3.9)</f>
        <v>3.9</v>
      </c>
      <c r="I921" s="3">
        <f t="shared" si="4"/>
        <v>0</v>
      </c>
      <c r="J921" s="27">
        <f t="shared" si="5"/>
        <v>45824</v>
      </c>
      <c r="K921" s="27">
        <f t="shared" si="6"/>
        <v>45853</v>
      </c>
    </row>
    <row r="922" hidden="1">
      <c r="A922" s="3" t="str">
        <f t="shared" si="3"/>
        <v>SL-20250714-FMC-CS 009-8</v>
      </c>
      <c r="B922" s="2">
        <f t="array" ref="B922">INDEX(helper!$A$3:$A3996,ROUNDUP((ROW()-1)/COUNTA(helper!$D$3:$D3996),0))</f>
        <v>45852</v>
      </c>
      <c r="C922" s="5" t="str">
        <f t="array" ref="C922">IF(B922="","",INDEX(helper!$D$3:$D3996,MOD(ROW()-2,COUNTA(helper!$D$3:$D3996))+1))</f>
        <v>FMC</v>
      </c>
      <c r="D922" s="3" t="str">
        <f t="array" ref="D922">IF(B922="","",INDEX(helper!$E$3:$E3996,MOD(ROW()-2,COUNTA(helper!$D$3:$D3996))+1))</f>
        <v>CS 009</v>
      </c>
      <c r="E922" s="3">
        <f t="array" ref="E922">IF(B922="","",INDEX(helper!$F$3:$F3996,MOD(ROW()-2,COUNTA(helper!$D$3:$D3996))+1))</f>
        <v>8</v>
      </c>
      <c r="F922" s="3">
        <f>IF(B922="","",SUMIFS('inventory ledger'!$H:$H,'inventory ledger'!$C:$C,C922,'inventory ledger'!$D:$D,D922,'inventory ledger'!$E:$E,E922,'inventory ledger'!$A:$A,"&lt;="&amp;B922+TIME(23,59,59))-SUMIFS('inventory ledger'!$I:$I,'inventory ledger'!$C:$C,C922,'inventory ledger'!$D:$D,D922,'inventory ledger'!$E:$E,E922,'inventory ledger'!$A:$A,"&lt;="&amp;B922+TIME(23,59,59)))</f>
        <v>0</v>
      </c>
      <c r="G922" s="3">
        <f>IFERROR(__xludf.DUMMYFUNCTION("IF(F922&lt;=0,0,IFERROR(ROUNDUP(F922/INDEX(FILTER('warehouse config'!$D:$D,('warehouse config'!$B:$B=C922)*('warehouse config'!$C:$C=D922)*('warehouse config'!$G:$G&lt;=B922)*(('warehouse config'!$H:$H&gt;=B922)+ISBLANK('warehouse config'!$H:$H))),1)),0))"),0.0)</f>
        <v>0</v>
      </c>
      <c r="H922" s="3">
        <f>IFERROR(__xludf.DUMMYFUNCTION("IFERROR(INDEX(FILTER('cost master'!$E:$E,('cost master'!$B:$B=C922)*('cost master'!$D:$D=""Storage cost per pallet / week"")*('cost master'!$G:$G&lt;=B922)*(('cost master'!$H:$H&gt;=B922)+ISBLANK('cost master'!$H:$H))),1),0)"),3.9)</f>
        <v>3.9</v>
      </c>
      <c r="I922" s="3">
        <f t="shared" si="4"/>
        <v>0</v>
      </c>
      <c r="J922" s="27">
        <f t="shared" si="5"/>
        <v>45824</v>
      </c>
      <c r="K922" s="27">
        <f t="shared" si="6"/>
        <v>45853</v>
      </c>
    </row>
    <row r="923" hidden="1">
      <c r="A923" s="3" t="str">
        <f t="shared" si="3"/>
        <v>SL-20250714-FMC-CS 010-8</v>
      </c>
      <c r="B923" s="2">
        <f t="array" ref="B923">INDEX(helper!$A$3:$A3996,ROUNDUP((ROW()-1)/COUNTA(helper!$D$3:$D3996),0))</f>
        <v>45852</v>
      </c>
      <c r="C923" s="5" t="str">
        <f t="array" ref="C923">IF(B923="","",INDEX(helper!$D$3:$D3996,MOD(ROW()-2,COUNTA(helper!$D$3:$D3996))+1))</f>
        <v>FMC</v>
      </c>
      <c r="D923" s="3" t="str">
        <f t="array" ref="D923">IF(B923="","",INDEX(helper!$E$3:$E3996,MOD(ROW()-2,COUNTA(helper!$D$3:$D3996))+1))</f>
        <v>CS 010</v>
      </c>
      <c r="E923" s="3">
        <f t="array" ref="E923">IF(B923="","",INDEX(helper!$F$3:$F3996,MOD(ROW()-2,COUNTA(helper!$D$3:$D3996))+1))</f>
        <v>8</v>
      </c>
      <c r="F923" s="3">
        <f>IF(B923="","",SUMIFS('inventory ledger'!$H:$H,'inventory ledger'!$C:$C,C923,'inventory ledger'!$D:$D,D923,'inventory ledger'!$E:$E,E923,'inventory ledger'!$A:$A,"&lt;="&amp;B923+TIME(23,59,59))-SUMIFS('inventory ledger'!$I:$I,'inventory ledger'!$C:$C,C923,'inventory ledger'!$D:$D,D923,'inventory ledger'!$E:$E,E923,'inventory ledger'!$A:$A,"&lt;="&amp;B923+TIME(23,59,59)))</f>
        <v>0</v>
      </c>
      <c r="G923" s="3">
        <f>IFERROR(__xludf.DUMMYFUNCTION("IF(F923&lt;=0,0,IFERROR(ROUNDUP(F923/INDEX(FILTER('warehouse config'!$D:$D,('warehouse config'!$B:$B=C923)*('warehouse config'!$C:$C=D923)*('warehouse config'!$G:$G&lt;=B923)*(('warehouse config'!$H:$H&gt;=B923)+ISBLANK('warehouse config'!$H:$H))),1)),0))"),0.0)</f>
        <v>0</v>
      </c>
      <c r="H923" s="3">
        <f>IFERROR(__xludf.DUMMYFUNCTION("IFERROR(INDEX(FILTER('cost master'!$E:$E,('cost master'!$B:$B=C923)*('cost master'!$D:$D=""Storage cost per pallet / week"")*('cost master'!$G:$G&lt;=B923)*(('cost master'!$H:$H&gt;=B923)+ISBLANK('cost master'!$H:$H))),1),0)"),3.9)</f>
        <v>3.9</v>
      </c>
      <c r="I923" s="3">
        <f t="shared" si="4"/>
        <v>0</v>
      </c>
      <c r="J923" s="27">
        <f t="shared" si="5"/>
        <v>45824</v>
      </c>
      <c r="K923" s="27">
        <f t="shared" si="6"/>
        <v>45853</v>
      </c>
    </row>
    <row r="924" hidden="1">
      <c r="A924" s="3" t="str">
        <f t="shared" si="3"/>
        <v>SL-20250714-FMC-CS 007-9</v>
      </c>
      <c r="B924" s="2">
        <f t="array" ref="B924">INDEX(helper!$A$3:$A3996,ROUNDUP((ROW()-1)/COUNTA(helper!$D$3:$D3996),0))</f>
        <v>45852</v>
      </c>
      <c r="C924" s="5" t="str">
        <f t="array" ref="C924">IF(B924="","",INDEX(helper!$D$3:$D3996,MOD(ROW()-2,COUNTA(helper!$D$3:$D3996))+1))</f>
        <v>FMC</v>
      </c>
      <c r="D924" s="3" t="str">
        <f t="array" ref="D924">IF(B924="","",INDEX(helper!$E$3:$E3996,MOD(ROW()-2,COUNTA(helper!$D$3:$D3996))+1))</f>
        <v>CS 007</v>
      </c>
      <c r="E924" s="3">
        <f t="array" ref="E924">IF(B924="","",INDEX(helper!$F$3:$F3996,MOD(ROW()-2,COUNTA(helper!$D$3:$D3996))+1))</f>
        <v>9</v>
      </c>
      <c r="F924" s="3">
        <f>IF(B924="","",SUMIFS('inventory ledger'!$H:$H,'inventory ledger'!$C:$C,C924,'inventory ledger'!$D:$D,D924,'inventory ledger'!$E:$E,E924,'inventory ledger'!$A:$A,"&lt;="&amp;B924+TIME(23,59,59))-SUMIFS('inventory ledger'!$I:$I,'inventory ledger'!$C:$C,C924,'inventory ledger'!$D:$D,D924,'inventory ledger'!$E:$E,E924,'inventory ledger'!$A:$A,"&lt;="&amp;B924+TIME(23,59,59)))</f>
        <v>0</v>
      </c>
      <c r="G924" s="3">
        <f>IFERROR(__xludf.DUMMYFUNCTION("IF(F924&lt;=0,0,IFERROR(ROUNDUP(F924/INDEX(FILTER('warehouse config'!$D:$D,('warehouse config'!$B:$B=C924)*('warehouse config'!$C:$C=D924)*('warehouse config'!$G:$G&lt;=B924)*(('warehouse config'!$H:$H&gt;=B924)+ISBLANK('warehouse config'!$H:$H))),1)),0))"),0.0)</f>
        <v>0</v>
      </c>
      <c r="H924" s="3">
        <f>IFERROR(__xludf.DUMMYFUNCTION("IFERROR(INDEX(FILTER('cost master'!$E:$E,('cost master'!$B:$B=C924)*('cost master'!$D:$D=""Storage cost per pallet / week"")*('cost master'!$G:$G&lt;=B924)*(('cost master'!$H:$H&gt;=B924)+ISBLANK('cost master'!$H:$H))),1),0)"),3.9)</f>
        <v>3.9</v>
      </c>
      <c r="I924" s="3">
        <f t="shared" si="4"/>
        <v>0</v>
      </c>
      <c r="J924" s="27">
        <f t="shared" si="5"/>
        <v>45824</v>
      </c>
      <c r="K924" s="27">
        <f t="shared" si="6"/>
        <v>45853</v>
      </c>
    </row>
    <row r="925" hidden="1">
      <c r="A925" s="3" t="str">
        <f t="shared" si="3"/>
        <v>SL-20250714-FMC-CS 008-9</v>
      </c>
      <c r="B925" s="2">
        <f t="array" ref="B925">INDEX(helper!$A$3:$A3996,ROUNDUP((ROW()-1)/COUNTA(helper!$D$3:$D3996),0))</f>
        <v>45852</v>
      </c>
      <c r="C925" s="5" t="str">
        <f t="array" ref="C925">IF(B925="","",INDEX(helper!$D$3:$D3996,MOD(ROW()-2,COUNTA(helper!$D$3:$D3996))+1))</f>
        <v>FMC</v>
      </c>
      <c r="D925" s="3" t="str">
        <f t="array" ref="D925">IF(B925="","",INDEX(helper!$E$3:$E3996,MOD(ROW()-2,COUNTA(helper!$D$3:$D3996))+1))</f>
        <v>CS 008</v>
      </c>
      <c r="E925" s="3">
        <f t="array" ref="E925">IF(B925="","",INDEX(helper!$F$3:$F3996,MOD(ROW()-2,COUNTA(helper!$D$3:$D3996))+1))</f>
        <v>9</v>
      </c>
      <c r="F925" s="3">
        <f>IF(B925="","",SUMIFS('inventory ledger'!$H:$H,'inventory ledger'!$C:$C,C925,'inventory ledger'!$D:$D,D925,'inventory ledger'!$E:$E,E925,'inventory ledger'!$A:$A,"&lt;="&amp;B925+TIME(23,59,59))-SUMIFS('inventory ledger'!$I:$I,'inventory ledger'!$C:$C,C925,'inventory ledger'!$D:$D,D925,'inventory ledger'!$E:$E,E925,'inventory ledger'!$A:$A,"&lt;="&amp;B925+TIME(23,59,59)))</f>
        <v>2</v>
      </c>
      <c r="G925" s="3">
        <f>IFERROR(__xludf.DUMMYFUNCTION("IF(F925&lt;=0,0,IFERROR(ROUNDUP(F925/INDEX(FILTER('warehouse config'!$D:$D,('warehouse config'!$B:$B=C925)*('warehouse config'!$C:$C=D925)*('warehouse config'!$G:$G&lt;=B925)*(('warehouse config'!$H:$H&gt;=B925)+ISBLANK('warehouse config'!$H:$H))),1)),0))"),1.0)</f>
        <v>1</v>
      </c>
      <c r="H925" s="3">
        <f>IFERROR(__xludf.DUMMYFUNCTION("IFERROR(INDEX(FILTER('cost master'!$E:$E,('cost master'!$B:$B=C925)*('cost master'!$D:$D=""Storage cost per pallet / week"")*('cost master'!$G:$G&lt;=B925)*(('cost master'!$H:$H&gt;=B925)+ISBLANK('cost master'!$H:$H))),1),0)"),3.9)</f>
        <v>3.9</v>
      </c>
      <c r="I925" s="3">
        <f t="shared" si="4"/>
        <v>3.9</v>
      </c>
      <c r="J925" s="27">
        <f t="shared" si="5"/>
        <v>45824</v>
      </c>
      <c r="K925" s="27">
        <f t="shared" si="6"/>
        <v>45853</v>
      </c>
    </row>
    <row r="926" hidden="1">
      <c r="A926" s="3" t="str">
        <f t="shared" si="3"/>
        <v>SL-20250714-FMC-CS 009-9</v>
      </c>
      <c r="B926" s="2">
        <f t="array" ref="B926">INDEX(helper!$A$3:$A3996,ROUNDUP((ROW()-1)/COUNTA(helper!$D$3:$D3996),0))</f>
        <v>45852</v>
      </c>
      <c r="C926" s="5" t="str">
        <f t="array" ref="C926">IF(B926="","",INDEX(helper!$D$3:$D3996,MOD(ROW()-2,COUNTA(helper!$D$3:$D3996))+1))</f>
        <v>FMC</v>
      </c>
      <c r="D926" s="3" t="str">
        <f t="array" ref="D926">IF(B926="","",INDEX(helper!$E$3:$E3996,MOD(ROW()-2,COUNTA(helper!$D$3:$D3996))+1))</f>
        <v>CS 009</v>
      </c>
      <c r="E926" s="3">
        <f t="array" ref="E926">IF(B926="","",INDEX(helper!$F$3:$F3996,MOD(ROW()-2,COUNTA(helper!$D$3:$D3996))+1))</f>
        <v>9</v>
      </c>
      <c r="F926" s="3">
        <f>IF(B926="","",SUMIFS('inventory ledger'!$H:$H,'inventory ledger'!$C:$C,C926,'inventory ledger'!$D:$D,D926,'inventory ledger'!$E:$E,E926,'inventory ledger'!$A:$A,"&lt;="&amp;B926+TIME(23,59,59))-SUMIFS('inventory ledger'!$I:$I,'inventory ledger'!$C:$C,C926,'inventory ledger'!$D:$D,D926,'inventory ledger'!$E:$E,E926,'inventory ledger'!$A:$A,"&lt;="&amp;B926+TIME(23,59,59)))</f>
        <v>0</v>
      </c>
      <c r="G926" s="3">
        <f>IFERROR(__xludf.DUMMYFUNCTION("IF(F926&lt;=0,0,IFERROR(ROUNDUP(F926/INDEX(FILTER('warehouse config'!$D:$D,('warehouse config'!$B:$B=C926)*('warehouse config'!$C:$C=D926)*('warehouse config'!$G:$G&lt;=B926)*(('warehouse config'!$H:$H&gt;=B926)+ISBLANK('warehouse config'!$H:$H))),1)),0))"),0.0)</f>
        <v>0</v>
      </c>
      <c r="H926" s="3">
        <f>IFERROR(__xludf.DUMMYFUNCTION("IFERROR(INDEX(FILTER('cost master'!$E:$E,('cost master'!$B:$B=C926)*('cost master'!$D:$D=""Storage cost per pallet / week"")*('cost master'!$G:$G&lt;=B926)*(('cost master'!$H:$H&gt;=B926)+ISBLANK('cost master'!$H:$H))),1),0)"),3.9)</f>
        <v>3.9</v>
      </c>
      <c r="I926" s="3">
        <f t="shared" si="4"/>
        <v>0</v>
      </c>
      <c r="J926" s="27">
        <f t="shared" si="5"/>
        <v>45824</v>
      </c>
      <c r="K926" s="27">
        <f t="shared" si="6"/>
        <v>45853</v>
      </c>
    </row>
    <row r="927" hidden="1">
      <c r="A927" s="3" t="str">
        <f t="shared" si="3"/>
        <v>SL-20250714-FMC-CS 010-9</v>
      </c>
      <c r="B927" s="2">
        <f t="array" ref="B927">INDEX(helper!$A$3:$A3996,ROUNDUP((ROW()-1)/COUNTA(helper!$D$3:$D3996),0))</f>
        <v>45852</v>
      </c>
      <c r="C927" s="5" t="str">
        <f t="array" ref="C927">IF(B927="","",INDEX(helper!$D$3:$D3996,MOD(ROW()-2,COUNTA(helper!$D$3:$D3996))+1))</f>
        <v>FMC</v>
      </c>
      <c r="D927" s="3" t="str">
        <f t="array" ref="D927">IF(B927="","",INDEX(helper!$E$3:$E3996,MOD(ROW()-2,COUNTA(helper!$D$3:$D3996))+1))</f>
        <v>CS 010</v>
      </c>
      <c r="E927" s="3">
        <f t="array" ref="E927">IF(B927="","",INDEX(helper!$F$3:$F3996,MOD(ROW()-2,COUNTA(helper!$D$3:$D3996))+1))</f>
        <v>9</v>
      </c>
      <c r="F927" s="3">
        <f>IF(B927="","",SUMIFS('inventory ledger'!$H:$H,'inventory ledger'!$C:$C,C927,'inventory ledger'!$D:$D,D927,'inventory ledger'!$E:$E,E927,'inventory ledger'!$A:$A,"&lt;="&amp;B927+TIME(23,59,59))-SUMIFS('inventory ledger'!$I:$I,'inventory ledger'!$C:$C,C927,'inventory ledger'!$D:$D,D927,'inventory ledger'!$E:$E,E927,'inventory ledger'!$A:$A,"&lt;="&amp;B927+TIME(23,59,59)))</f>
        <v>0</v>
      </c>
      <c r="G927" s="3">
        <f>IFERROR(__xludf.DUMMYFUNCTION("IF(F927&lt;=0,0,IFERROR(ROUNDUP(F927/INDEX(FILTER('warehouse config'!$D:$D,('warehouse config'!$B:$B=C927)*('warehouse config'!$C:$C=D927)*('warehouse config'!$G:$G&lt;=B927)*(('warehouse config'!$H:$H&gt;=B927)+ISBLANK('warehouse config'!$H:$H))),1)),0))"),0.0)</f>
        <v>0</v>
      </c>
      <c r="H927" s="3">
        <f>IFERROR(__xludf.DUMMYFUNCTION("IFERROR(INDEX(FILTER('cost master'!$E:$E,('cost master'!$B:$B=C927)*('cost master'!$D:$D=""Storage cost per pallet / week"")*('cost master'!$G:$G&lt;=B927)*(('cost master'!$H:$H&gt;=B927)+ISBLANK('cost master'!$H:$H))),1),0)"),3.9)</f>
        <v>3.9</v>
      </c>
      <c r="I927" s="3">
        <f t="shared" si="4"/>
        <v>0</v>
      </c>
      <c r="J927" s="27">
        <f t="shared" si="5"/>
        <v>45824</v>
      </c>
      <c r="K927" s="27">
        <f t="shared" si="6"/>
        <v>45853</v>
      </c>
    </row>
    <row r="928" hidden="1">
      <c r="A928" s="3" t="str">
        <f t="shared" si="3"/>
        <v>SL-20250714-FMC-CS-CDS-001-9</v>
      </c>
      <c r="B928" s="2">
        <f t="array" ref="B928">INDEX(helper!$A$3:$A3996,ROUNDUP((ROW()-1)/COUNTA(helper!$D$3:$D3996),0))</f>
        <v>45852</v>
      </c>
      <c r="C928" s="5" t="str">
        <f t="array" ref="C928">IF(B928="","",INDEX(helper!$D$3:$D3996,MOD(ROW()-2,COUNTA(helper!$D$3:$D3996))+1))</f>
        <v>FMC</v>
      </c>
      <c r="D928" s="3" t="str">
        <f t="array" ref="D928">IF(B928="","",INDEX(helper!$E$3:$E3996,MOD(ROW()-2,COUNTA(helper!$D$3:$D3996))+1))</f>
        <v>CS-CDS-001</v>
      </c>
      <c r="E928" s="3">
        <f t="array" ref="E928">IF(B928="","",INDEX(helper!$F$3:$F3996,MOD(ROW()-2,COUNTA(helper!$D$3:$D3996))+1))</f>
        <v>9</v>
      </c>
      <c r="F928" s="3">
        <f>IF(B928="","",SUMIFS('inventory ledger'!$H:$H,'inventory ledger'!$C:$C,C928,'inventory ledger'!$D:$D,D928,'inventory ledger'!$E:$E,E928,'inventory ledger'!$A:$A,"&lt;="&amp;B928+TIME(23,59,59))-SUMIFS('inventory ledger'!$I:$I,'inventory ledger'!$C:$C,C928,'inventory ledger'!$D:$D,D928,'inventory ledger'!$E:$E,E928,'inventory ledger'!$A:$A,"&lt;="&amp;B928+TIME(23,59,59)))</f>
        <v>0</v>
      </c>
      <c r="G928" s="3">
        <f>IFERROR(__xludf.DUMMYFUNCTION("IF(F928&lt;=0,0,IFERROR(ROUNDUP(F928/INDEX(FILTER('warehouse config'!$D:$D,('warehouse config'!$B:$B=C928)*('warehouse config'!$C:$C=D928)*('warehouse config'!$G:$G&lt;=B928)*(('warehouse config'!$H:$H&gt;=B928)+ISBLANK('warehouse config'!$H:$H))),1)),0))"),0.0)</f>
        <v>0</v>
      </c>
      <c r="H928" s="3">
        <f>IFERROR(__xludf.DUMMYFUNCTION("IFERROR(INDEX(FILTER('cost master'!$E:$E,('cost master'!$B:$B=C928)*('cost master'!$D:$D=""Storage cost per pallet / week"")*('cost master'!$G:$G&lt;=B928)*(('cost master'!$H:$H&gt;=B928)+ISBLANK('cost master'!$H:$H))),1),0)"),3.9)</f>
        <v>3.9</v>
      </c>
      <c r="I928" s="3">
        <f t="shared" si="4"/>
        <v>0</v>
      </c>
      <c r="J928" s="27">
        <f t="shared" si="5"/>
        <v>45824</v>
      </c>
      <c r="K928" s="27">
        <f t="shared" si="6"/>
        <v>45853</v>
      </c>
    </row>
    <row r="929" hidden="1">
      <c r="A929" s="3" t="str">
        <f t="shared" si="3"/>
        <v>SL-20250714-FMC-CS-CDS-002-9</v>
      </c>
      <c r="B929" s="2">
        <f t="array" ref="B929">INDEX(helper!$A$3:$A3996,ROUNDUP((ROW()-1)/COUNTA(helper!$D$3:$D3996),0))</f>
        <v>45852</v>
      </c>
      <c r="C929" s="5" t="str">
        <f t="array" ref="C929">IF(B929="","",INDEX(helper!$D$3:$D3996,MOD(ROW()-2,COUNTA(helper!$D$3:$D3996))+1))</f>
        <v>FMC</v>
      </c>
      <c r="D929" s="3" t="str">
        <f t="array" ref="D929">IF(B929="","",INDEX(helper!$E$3:$E3996,MOD(ROW()-2,COUNTA(helper!$D$3:$D3996))+1))</f>
        <v>CS-CDS-002</v>
      </c>
      <c r="E929" s="3">
        <f t="array" ref="E929">IF(B929="","",INDEX(helper!$F$3:$F3996,MOD(ROW()-2,COUNTA(helper!$D$3:$D3996))+1))</f>
        <v>9</v>
      </c>
      <c r="F929" s="3">
        <f>IF(B929="","",SUMIFS('inventory ledger'!$H:$H,'inventory ledger'!$C:$C,C929,'inventory ledger'!$D:$D,D929,'inventory ledger'!$E:$E,E929,'inventory ledger'!$A:$A,"&lt;="&amp;B929+TIME(23,59,59))-SUMIFS('inventory ledger'!$I:$I,'inventory ledger'!$C:$C,C929,'inventory ledger'!$D:$D,D929,'inventory ledger'!$E:$E,E929,'inventory ledger'!$A:$A,"&lt;="&amp;B929+TIME(23,59,59)))</f>
        <v>0</v>
      </c>
      <c r="G929" s="3">
        <f>IFERROR(__xludf.DUMMYFUNCTION("IF(F929&lt;=0,0,IFERROR(ROUNDUP(F929/INDEX(FILTER('warehouse config'!$D:$D,('warehouse config'!$B:$B=C929)*('warehouse config'!$C:$C=D929)*('warehouse config'!$G:$G&lt;=B929)*(('warehouse config'!$H:$H&gt;=B929)+ISBLANK('warehouse config'!$H:$H))),1)),0))"),0.0)</f>
        <v>0</v>
      </c>
      <c r="H929" s="3">
        <f>IFERROR(__xludf.DUMMYFUNCTION("IFERROR(INDEX(FILTER('cost master'!$E:$E,('cost master'!$B:$B=C929)*('cost master'!$D:$D=""Storage cost per pallet / week"")*('cost master'!$G:$G&lt;=B929)*(('cost master'!$H:$H&gt;=B929)+ISBLANK('cost master'!$H:$H))),1),0)"),3.9)</f>
        <v>3.9</v>
      </c>
      <c r="I929" s="3">
        <f t="shared" si="4"/>
        <v>0</v>
      </c>
      <c r="J929" s="27">
        <f t="shared" si="5"/>
        <v>45824</v>
      </c>
      <c r="K929" s="27">
        <f t="shared" si="6"/>
        <v>45853</v>
      </c>
    </row>
    <row r="930" hidden="1">
      <c r="A930" s="3" t="str">
        <f t="shared" si="3"/>
        <v>SL-20250714-FMC-CS 007-10</v>
      </c>
      <c r="B930" s="2">
        <f t="array" ref="B930">INDEX(helper!$A$3:$A3996,ROUNDUP((ROW()-1)/COUNTA(helper!$D$3:$D3996),0))</f>
        <v>45852</v>
      </c>
      <c r="C930" s="5" t="str">
        <f t="array" ref="C930">IF(B930="","",INDEX(helper!$D$3:$D3996,MOD(ROW()-2,COUNTA(helper!$D$3:$D3996))+1))</f>
        <v>FMC</v>
      </c>
      <c r="D930" s="3" t="str">
        <f t="array" ref="D930">IF(B930="","",INDEX(helper!$E$3:$E3996,MOD(ROW()-2,COUNTA(helper!$D$3:$D3996))+1))</f>
        <v>CS 007</v>
      </c>
      <c r="E930" s="3">
        <f t="array" ref="E930">IF(B930="","",INDEX(helper!$F$3:$F3996,MOD(ROW()-2,COUNTA(helper!$D$3:$D3996))+1))</f>
        <v>10</v>
      </c>
      <c r="F930" s="3">
        <f>IF(B930="","",SUMIFS('inventory ledger'!$H:$H,'inventory ledger'!$C:$C,C930,'inventory ledger'!$D:$D,D930,'inventory ledger'!$E:$E,E930,'inventory ledger'!$A:$A,"&lt;="&amp;B930+TIME(23,59,59))-SUMIFS('inventory ledger'!$I:$I,'inventory ledger'!$C:$C,C930,'inventory ledger'!$D:$D,D930,'inventory ledger'!$E:$E,E930,'inventory ledger'!$A:$A,"&lt;="&amp;B930+TIME(23,59,59)))</f>
        <v>0</v>
      </c>
      <c r="G930" s="3">
        <f>IFERROR(__xludf.DUMMYFUNCTION("IF(F930&lt;=0,0,IFERROR(ROUNDUP(F930/INDEX(FILTER('warehouse config'!$D:$D,('warehouse config'!$B:$B=C930)*('warehouse config'!$C:$C=D930)*('warehouse config'!$G:$G&lt;=B930)*(('warehouse config'!$H:$H&gt;=B930)+ISBLANK('warehouse config'!$H:$H))),1)),0))"),0.0)</f>
        <v>0</v>
      </c>
      <c r="H930" s="3">
        <f>IFERROR(__xludf.DUMMYFUNCTION("IFERROR(INDEX(FILTER('cost master'!$E:$E,('cost master'!$B:$B=C930)*('cost master'!$D:$D=""Storage cost per pallet / week"")*('cost master'!$G:$G&lt;=B930)*(('cost master'!$H:$H&gt;=B930)+ISBLANK('cost master'!$H:$H))),1),0)"),3.9)</f>
        <v>3.9</v>
      </c>
      <c r="I930" s="3">
        <f t="shared" si="4"/>
        <v>0</v>
      </c>
      <c r="J930" s="27">
        <f t="shared" si="5"/>
        <v>45824</v>
      </c>
      <c r="K930" s="27">
        <f t="shared" si="6"/>
        <v>45853</v>
      </c>
    </row>
    <row r="931" hidden="1">
      <c r="A931" s="3" t="str">
        <f t="shared" si="3"/>
        <v>SL-20250714-FMC-CS 009-10</v>
      </c>
      <c r="B931" s="2">
        <f t="array" ref="B931">INDEX(helper!$A$3:$A3996,ROUNDUP((ROW()-1)/COUNTA(helper!$D$3:$D3996),0))</f>
        <v>45852</v>
      </c>
      <c r="C931" s="5" t="str">
        <f t="array" ref="C931">IF(B931="","",INDEX(helper!$D$3:$D3996,MOD(ROW()-2,COUNTA(helper!$D$3:$D3996))+1))</f>
        <v>FMC</v>
      </c>
      <c r="D931" s="3" t="str">
        <f t="array" ref="D931">IF(B931="","",INDEX(helper!$E$3:$E3996,MOD(ROW()-2,COUNTA(helper!$D$3:$D3996))+1))</f>
        <v>CS 009</v>
      </c>
      <c r="E931" s="3">
        <f t="array" ref="E931">IF(B931="","",INDEX(helper!$F$3:$F3996,MOD(ROW()-2,COUNTA(helper!$D$3:$D3996))+1))</f>
        <v>10</v>
      </c>
      <c r="F931" s="3">
        <f>IF(B931="","",SUMIFS('inventory ledger'!$H:$H,'inventory ledger'!$C:$C,C931,'inventory ledger'!$D:$D,D931,'inventory ledger'!$E:$E,E931,'inventory ledger'!$A:$A,"&lt;="&amp;B931+TIME(23,59,59))-SUMIFS('inventory ledger'!$I:$I,'inventory ledger'!$C:$C,C931,'inventory ledger'!$D:$D,D931,'inventory ledger'!$E:$E,E931,'inventory ledger'!$A:$A,"&lt;="&amp;B931+TIME(23,59,59)))</f>
        <v>0</v>
      </c>
      <c r="G931" s="3">
        <f>IFERROR(__xludf.DUMMYFUNCTION("IF(F931&lt;=0,0,IFERROR(ROUNDUP(F931/INDEX(FILTER('warehouse config'!$D:$D,('warehouse config'!$B:$B=C931)*('warehouse config'!$C:$C=D931)*('warehouse config'!$G:$G&lt;=B931)*(('warehouse config'!$H:$H&gt;=B931)+ISBLANK('warehouse config'!$H:$H))),1)),0))"),0.0)</f>
        <v>0</v>
      </c>
      <c r="H931" s="3">
        <f>IFERROR(__xludf.DUMMYFUNCTION("IFERROR(INDEX(FILTER('cost master'!$E:$E,('cost master'!$B:$B=C931)*('cost master'!$D:$D=""Storage cost per pallet / week"")*('cost master'!$G:$G&lt;=B931)*(('cost master'!$H:$H&gt;=B931)+ISBLANK('cost master'!$H:$H))),1),0)"),3.9)</f>
        <v>3.9</v>
      </c>
      <c r="I931" s="3">
        <f t="shared" si="4"/>
        <v>0</v>
      </c>
      <c r="J931" s="27">
        <f t="shared" si="5"/>
        <v>45824</v>
      </c>
      <c r="K931" s="27">
        <f t="shared" si="6"/>
        <v>45853</v>
      </c>
    </row>
    <row r="932" hidden="1">
      <c r="A932" s="3" t="str">
        <f t="shared" si="3"/>
        <v>SL-20250714-FMC-CS 010-10</v>
      </c>
      <c r="B932" s="2">
        <f t="array" ref="B932">INDEX(helper!$A$3:$A3996,ROUNDUP((ROW()-1)/COUNTA(helper!$D$3:$D3996),0))</f>
        <v>45852</v>
      </c>
      <c r="C932" s="5" t="str">
        <f t="array" ref="C932">IF(B932="","",INDEX(helper!$D$3:$D3996,MOD(ROW()-2,COUNTA(helper!$D$3:$D3996))+1))</f>
        <v>FMC</v>
      </c>
      <c r="D932" s="3" t="str">
        <f t="array" ref="D932">IF(B932="","",INDEX(helper!$E$3:$E3996,MOD(ROW()-2,COUNTA(helper!$D$3:$D3996))+1))</f>
        <v>CS 010</v>
      </c>
      <c r="E932" s="3">
        <f t="array" ref="E932">IF(B932="","",INDEX(helper!$F$3:$F3996,MOD(ROW()-2,COUNTA(helper!$D$3:$D3996))+1))</f>
        <v>10</v>
      </c>
      <c r="F932" s="3">
        <f>IF(B932="","",SUMIFS('inventory ledger'!$H:$H,'inventory ledger'!$C:$C,C932,'inventory ledger'!$D:$D,D932,'inventory ledger'!$E:$E,E932,'inventory ledger'!$A:$A,"&lt;="&amp;B932+TIME(23,59,59))-SUMIFS('inventory ledger'!$I:$I,'inventory ledger'!$C:$C,C932,'inventory ledger'!$D:$D,D932,'inventory ledger'!$E:$E,E932,'inventory ledger'!$A:$A,"&lt;="&amp;B932+TIME(23,59,59)))</f>
        <v>13</v>
      </c>
      <c r="G932" s="3">
        <f>IFERROR(__xludf.DUMMYFUNCTION("IF(F932&lt;=0,0,IFERROR(ROUNDUP(F932/INDEX(FILTER('warehouse config'!$D:$D,('warehouse config'!$B:$B=C932)*('warehouse config'!$C:$C=D932)*('warehouse config'!$G:$G&lt;=B932)*(('warehouse config'!$H:$H&gt;=B932)+ISBLANK('warehouse config'!$H:$H))),1)),0))"),1.0)</f>
        <v>1</v>
      </c>
      <c r="H932" s="3">
        <f>IFERROR(__xludf.DUMMYFUNCTION("IFERROR(INDEX(FILTER('cost master'!$E:$E,('cost master'!$B:$B=C932)*('cost master'!$D:$D=""Storage cost per pallet / week"")*('cost master'!$G:$G&lt;=B932)*(('cost master'!$H:$H&gt;=B932)+ISBLANK('cost master'!$H:$H))),1),0)"),3.9)</f>
        <v>3.9</v>
      </c>
      <c r="I932" s="3">
        <f t="shared" si="4"/>
        <v>3.9</v>
      </c>
      <c r="J932" s="27">
        <f t="shared" si="5"/>
        <v>45824</v>
      </c>
      <c r="K932" s="27">
        <f t="shared" si="6"/>
        <v>45853</v>
      </c>
    </row>
    <row r="933" hidden="1">
      <c r="A933" s="3" t="str">
        <f t="shared" si="3"/>
        <v>SL-20250714-FMC-CS-CDS-001-10</v>
      </c>
      <c r="B933" s="2">
        <f t="array" ref="B933">INDEX(helper!$A$3:$A3996,ROUNDUP((ROW()-1)/COUNTA(helper!$D$3:$D3996),0))</f>
        <v>45852</v>
      </c>
      <c r="C933" s="5" t="str">
        <f t="array" ref="C933">IF(B933="","",INDEX(helper!$D$3:$D3996,MOD(ROW()-2,COUNTA(helper!$D$3:$D3996))+1))</f>
        <v>FMC</v>
      </c>
      <c r="D933" s="3" t="str">
        <f t="array" ref="D933">IF(B933="","",INDEX(helper!$E$3:$E3996,MOD(ROW()-2,COUNTA(helper!$D$3:$D3996))+1))</f>
        <v>CS-CDS-001</v>
      </c>
      <c r="E933" s="3">
        <f t="array" ref="E933">IF(B933="","",INDEX(helper!$F$3:$F3996,MOD(ROW()-2,COUNTA(helper!$D$3:$D3996))+1))</f>
        <v>10</v>
      </c>
      <c r="F933" s="3">
        <f>IF(B933="","",SUMIFS('inventory ledger'!$H:$H,'inventory ledger'!$C:$C,C933,'inventory ledger'!$D:$D,D933,'inventory ledger'!$E:$E,E933,'inventory ledger'!$A:$A,"&lt;="&amp;B933+TIME(23,59,59))-SUMIFS('inventory ledger'!$I:$I,'inventory ledger'!$C:$C,C933,'inventory ledger'!$D:$D,D933,'inventory ledger'!$E:$E,E933,'inventory ledger'!$A:$A,"&lt;="&amp;B933+TIME(23,59,59)))</f>
        <v>0</v>
      </c>
      <c r="G933" s="3">
        <f>IFERROR(__xludf.DUMMYFUNCTION("IF(F933&lt;=0,0,IFERROR(ROUNDUP(F933/INDEX(FILTER('warehouse config'!$D:$D,('warehouse config'!$B:$B=C933)*('warehouse config'!$C:$C=D933)*('warehouse config'!$G:$G&lt;=B933)*(('warehouse config'!$H:$H&gt;=B933)+ISBLANK('warehouse config'!$H:$H))),1)),0))"),0.0)</f>
        <v>0</v>
      </c>
      <c r="H933" s="3">
        <f>IFERROR(__xludf.DUMMYFUNCTION("IFERROR(INDEX(FILTER('cost master'!$E:$E,('cost master'!$B:$B=C933)*('cost master'!$D:$D=""Storage cost per pallet / week"")*('cost master'!$G:$G&lt;=B933)*(('cost master'!$H:$H&gt;=B933)+ISBLANK('cost master'!$H:$H))),1),0)"),3.9)</f>
        <v>3.9</v>
      </c>
      <c r="I933" s="3">
        <f t="shared" si="4"/>
        <v>0</v>
      </c>
      <c r="J933" s="27">
        <f t="shared" si="5"/>
        <v>45824</v>
      </c>
      <c r="K933" s="27">
        <f t="shared" si="6"/>
        <v>45853</v>
      </c>
    </row>
    <row r="934">
      <c r="A934" s="3" t="str">
        <f t="shared" si="3"/>
        <v>SL-20250714-FMC-CS 007-11</v>
      </c>
      <c r="B934" s="2">
        <f t="array" ref="B934">INDEX(helper!$A$3:$A3996,ROUNDUP((ROW()-1)/COUNTA(helper!$D$3:$D3996),0))</f>
        <v>45852</v>
      </c>
      <c r="C934" s="5" t="str">
        <f t="array" ref="C934">IF(B934="","",INDEX(helper!$D$3:$D3996,MOD(ROW()-2,COUNTA(helper!$D$3:$D3996))+1))</f>
        <v>FMC</v>
      </c>
      <c r="D934" s="3" t="str">
        <f t="array" ref="D934">IF(B934="","",INDEX(helper!$E$3:$E3996,MOD(ROW()-2,COUNTA(helper!$D$3:$D3996))+1))</f>
        <v>CS 007</v>
      </c>
      <c r="E934" s="3">
        <f t="array" ref="E934">IF(B934="","",INDEX(helper!$F$3:$F3996,MOD(ROW()-2,COUNTA(helper!$D$3:$D3996))+1))</f>
        <v>11</v>
      </c>
      <c r="F934" s="3">
        <f>IF(B934="","",SUMIFS('inventory ledger'!$H:$H,'inventory ledger'!$C:$C,C934,'inventory ledger'!$D:$D,D934,'inventory ledger'!$E:$E,E934,'inventory ledger'!$A:$A,"&lt;="&amp;B934+TIME(23,59,59))-SUMIFS('inventory ledger'!$I:$I,'inventory ledger'!$C:$C,C934,'inventory ledger'!$D:$D,D934,'inventory ledger'!$E:$E,E934,'inventory ledger'!$A:$A,"&lt;="&amp;B934+TIME(23,59,59)))</f>
        <v>-1</v>
      </c>
      <c r="G934" s="3">
        <f>IFERROR(__xludf.DUMMYFUNCTION("IF(F934&lt;=0,0,IFERROR(ROUNDUP(F934/INDEX(FILTER('warehouse config'!$D:$D,('warehouse config'!$B:$B=C934)*('warehouse config'!$C:$C=D934)*('warehouse config'!$G:$G&lt;=B934)*(('warehouse config'!$H:$H&gt;=B934)+ISBLANK('warehouse config'!$H:$H))),1)),0))"),0.0)</f>
        <v>0</v>
      </c>
      <c r="H934" s="3">
        <f>IFERROR(__xludf.DUMMYFUNCTION("IFERROR(INDEX(FILTER('cost master'!$E:$E,('cost master'!$B:$B=C934)*('cost master'!$D:$D=""Storage cost per pallet / week"")*('cost master'!$G:$G&lt;=B934)*(('cost master'!$H:$H&gt;=B934)+ISBLANK('cost master'!$H:$H))),1),0)"),3.9)</f>
        <v>3.9</v>
      </c>
      <c r="I934" s="3">
        <f t="shared" si="4"/>
        <v>0</v>
      </c>
      <c r="J934" s="27">
        <f t="shared" si="5"/>
        <v>45824</v>
      </c>
      <c r="K934" s="27">
        <f t="shared" si="6"/>
        <v>45853</v>
      </c>
    </row>
    <row r="935" hidden="1">
      <c r="A935" s="3" t="str">
        <f t="shared" si="3"/>
        <v>SL-20250714-FMC-CS 009-11</v>
      </c>
      <c r="B935" s="2">
        <f t="array" ref="B935">INDEX(helper!$A$3:$A3996,ROUNDUP((ROW()-1)/COUNTA(helper!$D$3:$D3996),0))</f>
        <v>45852</v>
      </c>
      <c r="C935" s="5" t="str">
        <f t="array" ref="C935">IF(B935="","",INDEX(helper!$D$3:$D3996,MOD(ROW()-2,COUNTA(helper!$D$3:$D3996))+1))</f>
        <v>FMC</v>
      </c>
      <c r="D935" s="3" t="str">
        <f t="array" ref="D935">IF(B935="","",INDEX(helper!$E$3:$E3996,MOD(ROW()-2,COUNTA(helper!$D$3:$D3996))+1))</f>
        <v>CS 009</v>
      </c>
      <c r="E935" s="3">
        <f t="array" ref="E935">IF(B935="","",INDEX(helper!$F$3:$F3996,MOD(ROW()-2,COUNTA(helper!$D$3:$D3996))+1))</f>
        <v>11</v>
      </c>
      <c r="F935" s="3">
        <f>IF(B935="","",SUMIFS('inventory ledger'!$H:$H,'inventory ledger'!$C:$C,C935,'inventory ledger'!$D:$D,D935,'inventory ledger'!$E:$E,E935,'inventory ledger'!$A:$A,"&lt;="&amp;B935+TIME(23,59,59))-SUMIFS('inventory ledger'!$I:$I,'inventory ledger'!$C:$C,C935,'inventory ledger'!$D:$D,D935,'inventory ledger'!$E:$E,E935,'inventory ledger'!$A:$A,"&lt;="&amp;B935+TIME(23,59,59)))</f>
        <v>0</v>
      </c>
      <c r="G935" s="3">
        <f>IFERROR(__xludf.DUMMYFUNCTION("IF(F935&lt;=0,0,IFERROR(ROUNDUP(F935/INDEX(FILTER('warehouse config'!$D:$D,('warehouse config'!$B:$B=C935)*('warehouse config'!$C:$C=D935)*('warehouse config'!$G:$G&lt;=B935)*(('warehouse config'!$H:$H&gt;=B935)+ISBLANK('warehouse config'!$H:$H))),1)),0))"),0.0)</f>
        <v>0</v>
      </c>
      <c r="H935" s="3">
        <f>IFERROR(__xludf.DUMMYFUNCTION("IFERROR(INDEX(FILTER('cost master'!$E:$E,('cost master'!$B:$B=C935)*('cost master'!$D:$D=""Storage cost per pallet / week"")*('cost master'!$G:$G&lt;=B935)*(('cost master'!$H:$H&gt;=B935)+ISBLANK('cost master'!$H:$H))),1),0)"),3.9)</f>
        <v>3.9</v>
      </c>
      <c r="I935" s="3">
        <f t="shared" si="4"/>
        <v>0</v>
      </c>
      <c r="J935" s="27">
        <f t="shared" si="5"/>
        <v>45824</v>
      </c>
      <c r="K935" s="27">
        <f t="shared" si="6"/>
        <v>45853</v>
      </c>
    </row>
    <row r="936" hidden="1">
      <c r="A936" s="3" t="str">
        <f t="shared" si="3"/>
        <v>SL-20250714-FMC-CS 010-11</v>
      </c>
      <c r="B936" s="2">
        <f t="array" ref="B936">INDEX(helper!$A$3:$A3996,ROUNDUP((ROW()-1)/COUNTA(helper!$D$3:$D3996),0))</f>
        <v>45852</v>
      </c>
      <c r="C936" s="5" t="str">
        <f t="array" ref="C936">IF(B936="","",INDEX(helper!$D$3:$D3996,MOD(ROW()-2,COUNTA(helper!$D$3:$D3996))+1))</f>
        <v>FMC</v>
      </c>
      <c r="D936" s="3" t="str">
        <f t="array" ref="D936">IF(B936="","",INDEX(helper!$E$3:$E3996,MOD(ROW()-2,COUNTA(helper!$D$3:$D3996))+1))</f>
        <v>CS 010</v>
      </c>
      <c r="E936" s="3">
        <f t="array" ref="E936">IF(B936="","",INDEX(helper!$F$3:$F3996,MOD(ROW()-2,COUNTA(helper!$D$3:$D3996))+1))</f>
        <v>11</v>
      </c>
      <c r="F936" s="3">
        <f>IF(B936="","",SUMIFS('inventory ledger'!$H:$H,'inventory ledger'!$C:$C,C936,'inventory ledger'!$D:$D,D936,'inventory ledger'!$E:$E,E936,'inventory ledger'!$A:$A,"&lt;="&amp;B936+TIME(23,59,59))-SUMIFS('inventory ledger'!$I:$I,'inventory ledger'!$C:$C,C936,'inventory ledger'!$D:$D,D936,'inventory ledger'!$E:$E,E936,'inventory ledger'!$A:$A,"&lt;="&amp;B936+TIME(23,59,59)))</f>
        <v>6</v>
      </c>
      <c r="G936" s="3">
        <f>IFERROR(__xludf.DUMMYFUNCTION("IF(F936&lt;=0,0,IFERROR(ROUNDUP(F936/INDEX(FILTER('warehouse config'!$D:$D,('warehouse config'!$B:$B=C936)*('warehouse config'!$C:$C=D936)*('warehouse config'!$G:$G&lt;=B936)*(('warehouse config'!$H:$H&gt;=B936)+ISBLANK('warehouse config'!$H:$H))),1)),0))"),1.0)</f>
        <v>1</v>
      </c>
      <c r="H936" s="3">
        <f>IFERROR(__xludf.DUMMYFUNCTION("IFERROR(INDEX(FILTER('cost master'!$E:$E,('cost master'!$B:$B=C936)*('cost master'!$D:$D=""Storage cost per pallet / week"")*('cost master'!$G:$G&lt;=B936)*(('cost master'!$H:$H&gt;=B936)+ISBLANK('cost master'!$H:$H))),1),0)"),3.9)</f>
        <v>3.9</v>
      </c>
      <c r="I936" s="3">
        <f t="shared" si="4"/>
        <v>3.9</v>
      </c>
      <c r="J936" s="27">
        <f t="shared" si="5"/>
        <v>45824</v>
      </c>
      <c r="K936" s="27">
        <f t="shared" si="6"/>
        <v>45853</v>
      </c>
    </row>
    <row r="937" hidden="1">
      <c r="A937" s="3" t="str">
        <f t="shared" si="3"/>
        <v>SL-20250714-Vglobal-CS 007-12</v>
      </c>
      <c r="B937" s="2">
        <f t="array" ref="B937">INDEX(helper!$A$3:$A3996,ROUNDUP((ROW()-1)/COUNTA(helper!$D$3:$D3996),0))</f>
        <v>45852</v>
      </c>
      <c r="C937" s="5" t="str">
        <f t="array" ref="C937">IF(B937="","",INDEX(helper!$D$3:$D3996,MOD(ROW()-2,COUNTA(helper!$D$3:$D3996))+1))</f>
        <v>Vglobal</v>
      </c>
      <c r="D937" s="3" t="str">
        <f t="array" ref="D937">IF(B937="","",INDEX(helper!$E$3:$E3996,MOD(ROW()-2,COUNTA(helper!$D$3:$D3996))+1))</f>
        <v>CS 007</v>
      </c>
      <c r="E937" s="3">
        <f t="array" ref="E937">IF(B937="","",INDEX(helper!$F$3:$F3996,MOD(ROW()-2,COUNTA(helper!$D$3:$D3996))+1))</f>
        <v>12</v>
      </c>
      <c r="F937" s="3">
        <f>IF(B937="","",SUMIFS('inventory ledger'!$H:$H,'inventory ledger'!$C:$C,C937,'inventory ledger'!$D:$D,D937,'inventory ledger'!$E:$E,E937,'inventory ledger'!$A:$A,"&lt;="&amp;B937+TIME(23,59,59))-SUMIFS('inventory ledger'!$I:$I,'inventory ledger'!$C:$C,C937,'inventory ledger'!$D:$D,D937,'inventory ledger'!$E:$E,E937,'inventory ledger'!$A:$A,"&lt;="&amp;B937+TIME(23,59,59)))</f>
        <v>0</v>
      </c>
      <c r="G937" s="3">
        <f>IFERROR(__xludf.DUMMYFUNCTION("IF(F937&lt;=0,0,IFERROR(ROUNDUP(F937/INDEX(FILTER('warehouse config'!$D:$D,('warehouse config'!$B:$B=C937)*('warehouse config'!$C:$C=D937)*('warehouse config'!$G:$G&lt;=B937)*(('warehouse config'!$H:$H&gt;=B937)+ISBLANK('warehouse config'!$H:$H))),1)),0))"),0.0)</f>
        <v>0</v>
      </c>
      <c r="H937" s="3">
        <f>IFERROR(__xludf.DUMMYFUNCTION("IFERROR(INDEX(FILTER('cost master'!$E:$E,('cost master'!$B:$B=C937)*('cost master'!$D:$D=""Storage cost per pallet / week"")*('cost master'!$G:$G&lt;=B937)*(('cost master'!$H:$H&gt;=B937)+ISBLANK('cost master'!$H:$H))),1),0)"),2.6)</f>
        <v>2.6</v>
      </c>
      <c r="I937" s="3">
        <f t="shared" si="4"/>
        <v>0</v>
      </c>
      <c r="J937" s="27">
        <f t="shared" si="5"/>
        <v>45824</v>
      </c>
      <c r="K937" s="27">
        <f t="shared" si="6"/>
        <v>45853</v>
      </c>
    </row>
    <row r="938" hidden="1">
      <c r="A938" s="3" t="str">
        <f t="shared" si="3"/>
        <v>SL-20250714-Vglobal-CS 011-12</v>
      </c>
      <c r="B938" s="2">
        <f t="array" ref="B938">INDEX(helper!$A$3:$A3996,ROUNDUP((ROW()-1)/COUNTA(helper!$D$3:$D3996),0))</f>
        <v>45852</v>
      </c>
      <c r="C938" s="5" t="str">
        <f t="array" ref="C938">IF(B938="","",INDEX(helper!$D$3:$D3996,MOD(ROW()-2,COUNTA(helper!$D$3:$D3996))+1))</f>
        <v>Vglobal</v>
      </c>
      <c r="D938" s="3" t="str">
        <f t="array" ref="D938">IF(B938="","",INDEX(helper!$E$3:$E3996,MOD(ROW()-2,COUNTA(helper!$D$3:$D3996))+1))</f>
        <v>CS 011</v>
      </c>
      <c r="E938" s="3">
        <f t="array" ref="E938">IF(B938="","",INDEX(helper!$F$3:$F3996,MOD(ROW()-2,COUNTA(helper!$D$3:$D3996))+1))</f>
        <v>12</v>
      </c>
      <c r="F938" s="3">
        <f>IF(B938="","",SUMIFS('inventory ledger'!$H:$H,'inventory ledger'!$C:$C,C938,'inventory ledger'!$D:$D,D938,'inventory ledger'!$E:$E,E938,'inventory ledger'!$A:$A,"&lt;="&amp;B938+TIME(23,59,59))-SUMIFS('inventory ledger'!$I:$I,'inventory ledger'!$C:$C,C938,'inventory ledger'!$D:$D,D938,'inventory ledger'!$E:$E,E938,'inventory ledger'!$A:$A,"&lt;="&amp;B938+TIME(23,59,59)))</f>
        <v>0</v>
      </c>
      <c r="G938" s="3">
        <f>IFERROR(__xludf.DUMMYFUNCTION("IF(F938&lt;=0,0,IFERROR(ROUNDUP(F938/INDEX(FILTER('warehouse config'!$D:$D,('warehouse config'!$B:$B=C938)*('warehouse config'!$C:$C=D938)*('warehouse config'!$G:$G&lt;=B938)*(('warehouse config'!$H:$H&gt;=B938)+ISBLANK('warehouse config'!$H:$H))),1)),0))"),0.0)</f>
        <v>0</v>
      </c>
      <c r="H938" s="3">
        <f>IFERROR(__xludf.DUMMYFUNCTION("IFERROR(INDEX(FILTER('cost master'!$E:$E,('cost master'!$B:$B=C938)*('cost master'!$D:$D=""Storage cost per pallet / week"")*('cost master'!$G:$G&lt;=B938)*(('cost master'!$H:$H&gt;=B938)+ISBLANK('cost master'!$H:$H))),1),0)"),2.6)</f>
        <v>2.6</v>
      </c>
      <c r="I938" s="3">
        <f t="shared" si="4"/>
        <v>0</v>
      </c>
      <c r="J938" s="27">
        <f t="shared" si="5"/>
        <v>45824</v>
      </c>
      <c r="K938" s="27">
        <f t="shared" si="6"/>
        <v>45853</v>
      </c>
    </row>
    <row r="939" hidden="1">
      <c r="A939" s="3" t="str">
        <f t="shared" si="3"/>
        <v>SL-20250714-Vglobal-CS 008-12</v>
      </c>
      <c r="B939" s="2">
        <f t="array" ref="B939">INDEX(helper!$A$3:$A3996,ROUNDUP((ROW()-1)/COUNTA(helper!$D$3:$D3996),0))</f>
        <v>45852</v>
      </c>
      <c r="C939" s="5" t="str">
        <f t="array" ref="C939">IF(B939="","",INDEX(helper!$D$3:$D3996,MOD(ROW()-2,COUNTA(helper!$D$3:$D3996))+1))</f>
        <v>Vglobal</v>
      </c>
      <c r="D939" s="3" t="str">
        <f t="array" ref="D939">IF(B939="","",INDEX(helper!$E$3:$E3996,MOD(ROW()-2,COUNTA(helper!$D$3:$D3996))+1))</f>
        <v>CS 008</v>
      </c>
      <c r="E939" s="3">
        <f t="array" ref="E939">IF(B939="","",INDEX(helper!$F$3:$F3996,MOD(ROW()-2,COUNTA(helper!$D$3:$D3996))+1))</f>
        <v>12</v>
      </c>
      <c r="F939" s="3">
        <f>IF(B939="","",SUMIFS('inventory ledger'!$H:$H,'inventory ledger'!$C:$C,C939,'inventory ledger'!$D:$D,D939,'inventory ledger'!$E:$E,E939,'inventory ledger'!$A:$A,"&lt;="&amp;B939+TIME(23,59,59))-SUMIFS('inventory ledger'!$I:$I,'inventory ledger'!$C:$C,C939,'inventory ledger'!$D:$D,D939,'inventory ledger'!$E:$E,E939,'inventory ledger'!$A:$A,"&lt;="&amp;B939+TIME(23,59,59)))</f>
        <v>0</v>
      </c>
      <c r="G939" s="3">
        <f>IFERROR(__xludf.DUMMYFUNCTION("IF(F939&lt;=0,0,IFERROR(ROUNDUP(F939/INDEX(FILTER('warehouse config'!$D:$D,('warehouse config'!$B:$B=C939)*('warehouse config'!$C:$C=D939)*('warehouse config'!$G:$G&lt;=B939)*(('warehouse config'!$H:$H&gt;=B939)+ISBLANK('warehouse config'!$H:$H))),1)),0))"),0.0)</f>
        <v>0</v>
      </c>
      <c r="H939" s="3">
        <f>IFERROR(__xludf.DUMMYFUNCTION("IFERROR(INDEX(FILTER('cost master'!$E:$E,('cost master'!$B:$B=C939)*('cost master'!$D:$D=""Storage cost per pallet / week"")*('cost master'!$G:$G&lt;=B939)*(('cost master'!$H:$H&gt;=B939)+ISBLANK('cost master'!$H:$H))),1),0)"),2.6)</f>
        <v>2.6</v>
      </c>
      <c r="I939" s="3">
        <f t="shared" si="4"/>
        <v>0</v>
      </c>
      <c r="J939" s="27">
        <f t="shared" si="5"/>
        <v>45824</v>
      </c>
      <c r="K939" s="27">
        <f t="shared" si="6"/>
        <v>45853</v>
      </c>
    </row>
    <row r="940" hidden="1">
      <c r="A940" s="3" t="str">
        <f t="shared" si="3"/>
        <v>SL-20250714-Vglobal-CS 010-12</v>
      </c>
      <c r="B940" s="2">
        <f t="array" ref="B940">INDEX(helper!$A$3:$A3996,ROUNDUP((ROW()-1)/COUNTA(helper!$D$3:$D3996),0))</f>
        <v>45852</v>
      </c>
      <c r="C940" s="5" t="str">
        <f t="array" ref="C940">IF(B940="","",INDEX(helper!$D$3:$D3996,MOD(ROW()-2,COUNTA(helper!$D$3:$D3996))+1))</f>
        <v>Vglobal</v>
      </c>
      <c r="D940" s="3" t="str">
        <f t="array" ref="D940">IF(B940="","",INDEX(helper!$E$3:$E3996,MOD(ROW()-2,COUNTA(helper!$D$3:$D3996))+1))</f>
        <v>CS 010</v>
      </c>
      <c r="E940" s="3">
        <f t="array" ref="E940">IF(B940="","",INDEX(helper!$F$3:$F3996,MOD(ROW()-2,COUNTA(helper!$D$3:$D3996))+1))</f>
        <v>12</v>
      </c>
      <c r="F940" s="3">
        <f>IF(B940="","",SUMIFS('inventory ledger'!$H:$H,'inventory ledger'!$C:$C,C940,'inventory ledger'!$D:$D,D940,'inventory ledger'!$E:$E,E940,'inventory ledger'!$A:$A,"&lt;="&amp;B940+TIME(23,59,59))-SUMIFS('inventory ledger'!$I:$I,'inventory ledger'!$C:$C,C940,'inventory ledger'!$D:$D,D940,'inventory ledger'!$E:$E,E940,'inventory ledger'!$A:$A,"&lt;="&amp;B940+TIME(23,59,59)))</f>
        <v>70</v>
      </c>
      <c r="G940" s="3">
        <f>IFERROR(__xludf.DUMMYFUNCTION("IF(F940&lt;=0,0,IFERROR(ROUNDUP(F940/INDEX(FILTER('warehouse config'!$D:$D,('warehouse config'!$B:$B=C940)*('warehouse config'!$C:$C=D940)*('warehouse config'!$G:$G&lt;=B940)*(('warehouse config'!$H:$H&gt;=B940)+ISBLANK('warehouse config'!$H:$H))),1)),0))"),3.0)</f>
        <v>3</v>
      </c>
      <c r="H940" s="3">
        <f>IFERROR(__xludf.DUMMYFUNCTION("IFERROR(INDEX(FILTER('cost master'!$E:$E,('cost master'!$B:$B=C940)*('cost master'!$D:$D=""Storage cost per pallet / week"")*('cost master'!$G:$G&lt;=B940)*(('cost master'!$H:$H&gt;=B940)+ISBLANK('cost master'!$H:$H))),1),0)"),2.6)</f>
        <v>2.6</v>
      </c>
      <c r="I940" s="3">
        <f t="shared" si="4"/>
        <v>7.8</v>
      </c>
      <c r="J940" s="27">
        <f t="shared" si="5"/>
        <v>45824</v>
      </c>
      <c r="K940" s="27">
        <f t="shared" si="6"/>
        <v>45853</v>
      </c>
    </row>
    <row r="941" hidden="1">
      <c r="A941" s="3" t="str">
        <f t="shared" si="3"/>
        <v>SL-20250714-Vglobal-CS 009-12</v>
      </c>
      <c r="B941" s="2">
        <f t="array" ref="B941">INDEX(helper!$A$3:$A3996,ROUNDUP((ROW()-1)/COUNTA(helper!$D$3:$D3996),0))</f>
        <v>45852</v>
      </c>
      <c r="C941" s="5" t="str">
        <f t="array" ref="C941">IF(B941="","",INDEX(helper!$D$3:$D3996,MOD(ROW()-2,COUNTA(helper!$D$3:$D3996))+1))</f>
        <v>Vglobal</v>
      </c>
      <c r="D941" s="3" t="str">
        <f t="array" ref="D941">IF(B941="","",INDEX(helper!$E$3:$E3996,MOD(ROW()-2,COUNTA(helper!$D$3:$D3996))+1))</f>
        <v>CS 009</v>
      </c>
      <c r="E941" s="3">
        <f t="array" ref="E941">IF(B941="","",INDEX(helper!$F$3:$F3996,MOD(ROW()-2,COUNTA(helper!$D$3:$D3996))+1))</f>
        <v>12</v>
      </c>
      <c r="F941" s="3">
        <f>IF(B941="","",SUMIFS('inventory ledger'!$H:$H,'inventory ledger'!$C:$C,C941,'inventory ledger'!$D:$D,D941,'inventory ledger'!$E:$E,E941,'inventory ledger'!$A:$A,"&lt;="&amp;B941+TIME(23,59,59))-SUMIFS('inventory ledger'!$I:$I,'inventory ledger'!$C:$C,C941,'inventory ledger'!$D:$D,D941,'inventory ledger'!$E:$E,E941,'inventory ledger'!$A:$A,"&lt;="&amp;B941+TIME(23,59,59)))</f>
        <v>0</v>
      </c>
      <c r="G941" s="3">
        <f>IFERROR(__xludf.DUMMYFUNCTION("IF(F941&lt;=0,0,IFERROR(ROUNDUP(F941/INDEX(FILTER('warehouse config'!$D:$D,('warehouse config'!$B:$B=C941)*('warehouse config'!$C:$C=D941)*('warehouse config'!$G:$G&lt;=B941)*(('warehouse config'!$H:$H&gt;=B941)+ISBLANK('warehouse config'!$H:$H))),1)),0))"),0.0)</f>
        <v>0</v>
      </c>
      <c r="H941" s="3">
        <f>IFERROR(__xludf.DUMMYFUNCTION("IFERROR(INDEX(FILTER('cost master'!$E:$E,('cost master'!$B:$B=C941)*('cost master'!$D:$D=""Storage cost per pallet / week"")*('cost master'!$G:$G&lt;=B941)*(('cost master'!$H:$H&gt;=B941)+ISBLANK('cost master'!$H:$H))),1),0)"),2.6)</f>
        <v>2.6</v>
      </c>
      <c r="I941" s="3">
        <f t="shared" si="4"/>
        <v>0</v>
      </c>
      <c r="J941" s="27">
        <f t="shared" si="5"/>
        <v>45824</v>
      </c>
      <c r="K941" s="27">
        <f t="shared" si="6"/>
        <v>45853</v>
      </c>
    </row>
    <row r="942" hidden="1">
      <c r="A942" s="3" t="str">
        <f t="shared" si="3"/>
        <v>SL-20250714-Vglobal-CS 012-12</v>
      </c>
      <c r="B942" s="2">
        <f t="array" ref="B942">INDEX(helper!$A$3:$A3996,ROUNDUP((ROW()-1)/COUNTA(helper!$D$3:$D3996),0))</f>
        <v>45852</v>
      </c>
      <c r="C942" s="5" t="str">
        <f t="array" ref="C942">IF(B942="","",INDEX(helper!$D$3:$D3996,MOD(ROW()-2,COUNTA(helper!$D$3:$D3996))+1))</f>
        <v>Vglobal</v>
      </c>
      <c r="D942" s="3" t="str">
        <f t="array" ref="D942">IF(B942="","",INDEX(helper!$E$3:$E3996,MOD(ROW()-2,COUNTA(helper!$D$3:$D3996))+1))</f>
        <v>CS 012</v>
      </c>
      <c r="E942" s="3">
        <f t="array" ref="E942">IF(B942="","",INDEX(helper!$F$3:$F3996,MOD(ROW()-2,COUNTA(helper!$D$3:$D3996))+1))</f>
        <v>12</v>
      </c>
      <c r="F942" s="3">
        <f>IF(B942="","",SUMIFS('inventory ledger'!$H:$H,'inventory ledger'!$C:$C,C942,'inventory ledger'!$D:$D,D942,'inventory ledger'!$E:$E,E942,'inventory ledger'!$A:$A,"&lt;="&amp;B942+TIME(23,59,59))-SUMIFS('inventory ledger'!$I:$I,'inventory ledger'!$C:$C,C942,'inventory ledger'!$D:$D,D942,'inventory ledger'!$E:$E,E942,'inventory ledger'!$A:$A,"&lt;="&amp;B942+TIME(23,59,59)))</f>
        <v>0</v>
      </c>
      <c r="G942" s="3">
        <f>IFERROR(__xludf.DUMMYFUNCTION("IF(F942&lt;=0,0,IFERROR(ROUNDUP(F942/INDEX(FILTER('warehouse config'!$D:$D,('warehouse config'!$B:$B=C942)*('warehouse config'!$C:$C=D942)*('warehouse config'!$G:$G&lt;=B942)*(('warehouse config'!$H:$H&gt;=B942)+ISBLANK('warehouse config'!$H:$H))),1)),0))"),0.0)</f>
        <v>0</v>
      </c>
      <c r="H942" s="3">
        <f>IFERROR(__xludf.DUMMYFUNCTION("IFERROR(INDEX(FILTER('cost master'!$E:$E,('cost master'!$B:$B=C942)*('cost master'!$D:$D=""Storage cost per pallet / week"")*('cost master'!$G:$G&lt;=B942)*(('cost master'!$H:$H&gt;=B942)+ISBLANK('cost master'!$H:$H))),1),0)"),2.6)</f>
        <v>2.6</v>
      </c>
      <c r="I942" s="3">
        <f t="shared" si="4"/>
        <v>0</v>
      </c>
      <c r="J942" s="27">
        <f t="shared" si="5"/>
        <v>45824</v>
      </c>
      <c r="K942" s="27">
        <f t="shared" si="6"/>
        <v>45853</v>
      </c>
    </row>
    <row r="943" hidden="1">
      <c r="A943" s="3" t="str">
        <f t="shared" si="3"/>
        <v>SL-20250714-Vglobal-CS-CDS-001-3</v>
      </c>
      <c r="B943" s="2">
        <f t="array" ref="B943">INDEX(helper!$A$3:$A3996,ROUNDUP((ROW()-1)/COUNTA(helper!$D$3:$D3996),0))</f>
        <v>45852</v>
      </c>
      <c r="C943" s="5" t="str">
        <f t="array" ref="C943">IF(B943="","",INDEX(helper!$D$3:$D3996,MOD(ROW()-2,COUNTA(helper!$D$3:$D3996))+1))</f>
        <v>Vglobal</v>
      </c>
      <c r="D943" s="3" t="str">
        <f t="array" ref="D943">IF(B943="","",INDEX(helper!$E$3:$E3996,MOD(ROW()-2,COUNTA(helper!$D$3:$D3996))+1))</f>
        <v>CS-CDS-001</v>
      </c>
      <c r="E943" s="3">
        <f t="array" ref="E943">IF(B943="","",INDEX(helper!$F$3:$F3996,MOD(ROW()-2,COUNTA(helper!$D$3:$D3996))+1))</f>
        <v>3</v>
      </c>
      <c r="F943" s="3">
        <f>IF(B943="","",SUMIFS('inventory ledger'!$H:$H,'inventory ledger'!$C:$C,C943,'inventory ledger'!$D:$D,D943,'inventory ledger'!$E:$E,E943,'inventory ledger'!$A:$A,"&lt;="&amp;B943+TIME(23,59,59))-SUMIFS('inventory ledger'!$I:$I,'inventory ledger'!$C:$C,C943,'inventory ledger'!$D:$D,D943,'inventory ledger'!$E:$E,E943,'inventory ledger'!$A:$A,"&lt;="&amp;B943+TIME(23,59,59)))</f>
        <v>1</v>
      </c>
      <c r="G943" s="3">
        <f>IFERROR(__xludf.DUMMYFUNCTION("IF(F943&lt;=0,0,IFERROR(ROUNDUP(F943/INDEX(FILTER('warehouse config'!$D:$D,('warehouse config'!$B:$B=C943)*('warehouse config'!$C:$C=D943)*('warehouse config'!$G:$G&lt;=B943)*(('warehouse config'!$H:$H&gt;=B943)+ISBLANK('warehouse config'!$H:$H))),1)),0))"),1.0)</f>
        <v>1</v>
      </c>
      <c r="H943" s="3">
        <f>IFERROR(__xludf.DUMMYFUNCTION("IFERROR(INDEX(FILTER('cost master'!$E:$E,('cost master'!$B:$B=C943)*('cost master'!$D:$D=""Storage cost per pallet / week"")*('cost master'!$G:$G&lt;=B943)*(('cost master'!$H:$H&gt;=B943)+ISBLANK('cost master'!$H:$H))),1),0)"),2.6)</f>
        <v>2.6</v>
      </c>
      <c r="I943" s="3">
        <f t="shared" si="4"/>
        <v>2.6</v>
      </c>
      <c r="J943" s="27">
        <f t="shared" si="5"/>
        <v>45824</v>
      </c>
      <c r="K943" s="27">
        <f t="shared" si="6"/>
        <v>45853</v>
      </c>
    </row>
    <row r="944" hidden="1">
      <c r="A944" s="3" t="str">
        <f t="shared" si="3"/>
        <v>SL-20250714-Vglobal-CS-CDS-002-3</v>
      </c>
      <c r="B944" s="2">
        <f t="array" ref="B944">INDEX(helper!$A$3:$A3996,ROUNDUP((ROW()-1)/COUNTA(helper!$D$3:$D3996),0))</f>
        <v>45852</v>
      </c>
      <c r="C944" s="5" t="str">
        <f t="array" ref="C944">IF(B944="","",INDEX(helper!$D$3:$D3996,MOD(ROW()-2,COUNTA(helper!$D$3:$D3996))+1))</f>
        <v>Vglobal</v>
      </c>
      <c r="D944" s="3" t="str">
        <f t="array" ref="D944">IF(B944="","",INDEX(helper!$E$3:$E3996,MOD(ROW()-2,COUNTA(helper!$D$3:$D3996))+1))</f>
        <v>CS-CDS-002</v>
      </c>
      <c r="E944" s="3">
        <f t="array" ref="E944">IF(B944="","",INDEX(helper!$F$3:$F3996,MOD(ROW()-2,COUNTA(helper!$D$3:$D3996))+1))</f>
        <v>3</v>
      </c>
      <c r="F944" s="3">
        <f>IF(B944="","",SUMIFS('inventory ledger'!$H:$H,'inventory ledger'!$C:$C,C944,'inventory ledger'!$D:$D,D944,'inventory ledger'!$E:$E,E944,'inventory ledger'!$A:$A,"&lt;="&amp;B944+TIME(23,59,59))-SUMIFS('inventory ledger'!$I:$I,'inventory ledger'!$C:$C,C944,'inventory ledger'!$D:$D,D944,'inventory ledger'!$E:$E,E944,'inventory ledger'!$A:$A,"&lt;="&amp;B944+TIME(23,59,59)))</f>
        <v>0</v>
      </c>
      <c r="G944" s="3">
        <f>IFERROR(__xludf.DUMMYFUNCTION("IF(F944&lt;=0,0,IFERROR(ROUNDUP(F944/INDEX(FILTER('warehouse config'!$D:$D,('warehouse config'!$B:$B=C944)*('warehouse config'!$C:$C=D944)*('warehouse config'!$G:$G&lt;=B944)*(('warehouse config'!$H:$H&gt;=B944)+ISBLANK('warehouse config'!$H:$H))),1)),0))"),0.0)</f>
        <v>0</v>
      </c>
      <c r="H944" s="3">
        <f>IFERROR(__xludf.DUMMYFUNCTION("IFERROR(INDEX(FILTER('cost master'!$E:$E,('cost master'!$B:$B=C944)*('cost master'!$D:$D=""Storage cost per pallet / week"")*('cost master'!$G:$G&lt;=B944)*(('cost master'!$H:$H&gt;=B944)+ISBLANK('cost master'!$H:$H))),1),0)"),2.6)</f>
        <v>2.6</v>
      </c>
      <c r="I944" s="3">
        <f t="shared" si="4"/>
        <v>0</v>
      </c>
      <c r="J944" s="27">
        <f t="shared" si="5"/>
        <v>45824</v>
      </c>
      <c r="K944" s="27">
        <f t="shared" si="6"/>
        <v>45853</v>
      </c>
    </row>
    <row r="945" hidden="1">
      <c r="A945" s="3" t="str">
        <f t="shared" si="3"/>
        <v>SL-20250714-4as-CS-CDS-001-4</v>
      </c>
      <c r="B945" s="2">
        <f t="array" ref="B945">INDEX(helper!$A$3:$A3996,ROUNDUP((ROW()-1)/COUNTA(helper!$D$3:$D3996),0))</f>
        <v>45852</v>
      </c>
      <c r="C945" s="5" t="str">
        <f t="array" ref="C945">IF(B945="","",INDEX(helper!$D$3:$D3996,MOD(ROW()-2,COUNTA(helper!$D$3:$D3996))+1))</f>
        <v>4as</v>
      </c>
      <c r="D945" s="3" t="str">
        <f t="array" ref="D945">IF(B945="","",INDEX(helper!$E$3:$E3996,MOD(ROW()-2,COUNTA(helper!$D$3:$D3996))+1))</f>
        <v>CS-CDS-001</v>
      </c>
      <c r="E945" s="3">
        <f t="array" ref="E945">IF(B945="","",INDEX(helper!$F$3:$F3996,MOD(ROW()-2,COUNTA(helper!$D$3:$D3996))+1))</f>
        <v>4</v>
      </c>
      <c r="F945" s="3">
        <f>IF(B945="","",SUMIFS('inventory ledger'!$H:$H,'inventory ledger'!$C:$C,C945,'inventory ledger'!$D:$D,D945,'inventory ledger'!$E:$E,E945,'inventory ledger'!$A:$A,"&lt;="&amp;B945+TIME(23,59,59))-SUMIFS('inventory ledger'!$I:$I,'inventory ledger'!$C:$C,C945,'inventory ledger'!$D:$D,D945,'inventory ledger'!$E:$E,E945,'inventory ledger'!$A:$A,"&lt;="&amp;B945+TIME(23,59,59)))</f>
        <v>0</v>
      </c>
      <c r="G945" s="3">
        <f>IFERROR(__xludf.DUMMYFUNCTION("IF(F945&lt;=0,0,IFERROR(ROUNDUP(F945/INDEX(FILTER('warehouse config'!$D:$D,('warehouse config'!$B:$B=C945)*('warehouse config'!$C:$C=D945)*('warehouse config'!$G:$G&lt;=B945)*(('warehouse config'!$H:$H&gt;=B945)+ISBLANK('warehouse config'!$H:$H))),1)),0))"),0.0)</f>
        <v>0</v>
      </c>
      <c r="H945" s="3">
        <f>IFERROR(__xludf.DUMMYFUNCTION("IFERROR(INDEX(FILTER('cost master'!$E:$E,('cost master'!$B:$B=C945)*('cost master'!$D:$D=""Storage cost per pallet / week"")*('cost master'!$G:$G&lt;=B945)*(('cost master'!$H:$H&gt;=B945)+ISBLANK('cost master'!$H:$H))),1),0)"),9.0)</f>
        <v>9</v>
      </c>
      <c r="I945" s="3">
        <f t="shared" si="4"/>
        <v>0</v>
      </c>
      <c r="J945" s="27">
        <f t="shared" si="5"/>
        <v>45824</v>
      </c>
      <c r="K945" s="27">
        <f t="shared" si="6"/>
        <v>45853</v>
      </c>
    </row>
    <row r="946" hidden="1">
      <c r="A946" s="3" t="str">
        <f t="shared" si="3"/>
        <v>SL-20250714-4as-CS-CDS-002-4</v>
      </c>
      <c r="B946" s="2">
        <f t="array" ref="B946">INDEX(helper!$A$3:$A3996,ROUNDUP((ROW()-1)/COUNTA(helper!$D$3:$D3996),0))</f>
        <v>45852</v>
      </c>
      <c r="C946" s="5" t="str">
        <f t="array" ref="C946">IF(B946="","",INDEX(helper!$D$3:$D3996,MOD(ROW()-2,COUNTA(helper!$D$3:$D3996))+1))</f>
        <v>4as</v>
      </c>
      <c r="D946" s="3" t="str">
        <f t="array" ref="D946">IF(B946="","",INDEX(helper!$E$3:$E3996,MOD(ROW()-2,COUNTA(helper!$D$3:$D3996))+1))</f>
        <v>CS-CDS-002</v>
      </c>
      <c r="E946" s="3">
        <f t="array" ref="E946">IF(B946="","",INDEX(helper!$F$3:$F3996,MOD(ROW()-2,COUNTA(helper!$D$3:$D3996))+1))</f>
        <v>4</v>
      </c>
      <c r="F946" s="3">
        <f>IF(B946="","",SUMIFS('inventory ledger'!$H:$H,'inventory ledger'!$C:$C,C946,'inventory ledger'!$D:$D,D946,'inventory ledger'!$E:$E,E946,'inventory ledger'!$A:$A,"&lt;="&amp;B946+TIME(23,59,59))-SUMIFS('inventory ledger'!$I:$I,'inventory ledger'!$C:$C,C946,'inventory ledger'!$D:$D,D946,'inventory ledger'!$E:$E,E946,'inventory ledger'!$A:$A,"&lt;="&amp;B946+TIME(23,59,59)))</f>
        <v>0</v>
      </c>
      <c r="G946" s="3">
        <f>IFERROR(__xludf.DUMMYFUNCTION("IF(F946&lt;=0,0,IFERROR(ROUNDUP(F946/INDEX(FILTER('warehouse config'!$D:$D,('warehouse config'!$B:$B=C946)*('warehouse config'!$C:$C=D946)*('warehouse config'!$G:$G&lt;=B946)*(('warehouse config'!$H:$H&gt;=B946)+ISBLANK('warehouse config'!$H:$H))),1)),0))"),0.0)</f>
        <v>0</v>
      </c>
      <c r="H946" s="3">
        <f>IFERROR(__xludf.DUMMYFUNCTION("IFERROR(INDEX(FILTER('cost master'!$E:$E,('cost master'!$B:$B=C946)*('cost master'!$D:$D=""Storage cost per pallet / week"")*('cost master'!$G:$G&lt;=B946)*(('cost master'!$H:$H&gt;=B946)+ISBLANK('cost master'!$H:$H))),1),0)"),9.0)</f>
        <v>9</v>
      </c>
      <c r="I946" s="3">
        <f t="shared" si="4"/>
        <v>0</v>
      </c>
      <c r="J946" s="27">
        <f t="shared" si="5"/>
        <v>45824</v>
      </c>
      <c r="K946" s="27">
        <f t="shared" si="6"/>
        <v>45853</v>
      </c>
    </row>
    <row r="947" hidden="1">
      <c r="A947" s="3" t="str">
        <f t="shared" si="3"/>
        <v>SL-20250714-Vglobal-CS 007-13</v>
      </c>
      <c r="B947" s="2">
        <f t="array" ref="B947">INDEX(helper!$A$3:$A3996,ROUNDUP((ROW()-1)/COUNTA(helper!$D$3:$D3996),0))</f>
        <v>45852</v>
      </c>
      <c r="C947" s="5" t="str">
        <f t="array" ref="C947">IF(B947="","",INDEX(helper!$D$3:$D3996,MOD(ROW()-2,COUNTA(helper!$D$3:$D3996))+1))</f>
        <v>Vglobal</v>
      </c>
      <c r="D947" s="3" t="str">
        <f t="array" ref="D947">IF(B947="","",INDEX(helper!$E$3:$E3996,MOD(ROW()-2,COUNTA(helper!$D$3:$D3996))+1))</f>
        <v>CS 007</v>
      </c>
      <c r="E947" s="3">
        <f t="array" ref="E947">IF(B947="","",INDEX(helper!$F$3:$F3996,MOD(ROW()-2,COUNTA(helper!$D$3:$D3996))+1))</f>
        <v>13</v>
      </c>
      <c r="F947" s="3">
        <f>IF(B947="","",SUMIFS('inventory ledger'!$H:$H,'inventory ledger'!$C:$C,C947,'inventory ledger'!$D:$D,D947,'inventory ledger'!$E:$E,E947,'inventory ledger'!$A:$A,"&lt;="&amp;B947+TIME(23,59,59))-SUMIFS('inventory ledger'!$I:$I,'inventory ledger'!$C:$C,C947,'inventory ledger'!$D:$D,D947,'inventory ledger'!$E:$E,E947,'inventory ledger'!$A:$A,"&lt;="&amp;B947+TIME(23,59,59)))</f>
        <v>45</v>
      </c>
      <c r="G947" s="3">
        <f>IFERROR(__xludf.DUMMYFUNCTION("IF(F947&lt;=0,0,IFERROR(ROUNDUP(F947/INDEX(FILTER('warehouse config'!$D:$D,('warehouse config'!$B:$B=C947)*('warehouse config'!$C:$C=D947)*('warehouse config'!$G:$G&lt;=B947)*(('warehouse config'!$H:$H&gt;=B947)+ISBLANK('warehouse config'!$H:$H))),1)),0))"),3.0)</f>
        <v>3</v>
      </c>
      <c r="H947" s="3">
        <f>IFERROR(__xludf.DUMMYFUNCTION("IFERROR(INDEX(FILTER('cost master'!$E:$E,('cost master'!$B:$B=C947)*('cost master'!$D:$D=""Storage cost per pallet / week"")*('cost master'!$G:$G&lt;=B947)*(('cost master'!$H:$H&gt;=B947)+ISBLANK('cost master'!$H:$H))),1),0)"),2.6)</f>
        <v>2.6</v>
      </c>
      <c r="I947" s="3">
        <f t="shared" si="4"/>
        <v>7.8</v>
      </c>
      <c r="J947" s="27">
        <f t="shared" si="5"/>
        <v>45824</v>
      </c>
      <c r="K947" s="27">
        <f t="shared" si="6"/>
        <v>45853</v>
      </c>
    </row>
    <row r="948" hidden="1">
      <c r="A948" s="3" t="str">
        <f t="shared" si="3"/>
        <v>SL-20250714-Vglobal-CS 011-13</v>
      </c>
      <c r="B948" s="2">
        <f t="array" ref="B948">INDEX(helper!$A$3:$A3996,ROUNDUP((ROW()-1)/COUNTA(helper!$D$3:$D3996),0))</f>
        <v>45852</v>
      </c>
      <c r="C948" s="5" t="str">
        <f t="array" ref="C948">IF(B948="","",INDEX(helper!$D$3:$D3996,MOD(ROW()-2,COUNTA(helper!$D$3:$D3996))+1))</f>
        <v>Vglobal</v>
      </c>
      <c r="D948" s="3" t="str">
        <f t="array" ref="D948">IF(B948="","",INDEX(helper!$E$3:$E3996,MOD(ROW()-2,COUNTA(helper!$D$3:$D3996))+1))</f>
        <v>CS 011</v>
      </c>
      <c r="E948" s="3">
        <f t="array" ref="E948">IF(B948="","",INDEX(helper!$F$3:$F3996,MOD(ROW()-2,COUNTA(helper!$D$3:$D3996))+1))</f>
        <v>13</v>
      </c>
      <c r="F948" s="3">
        <f>IF(B948="","",SUMIFS('inventory ledger'!$H:$H,'inventory ledger'!$C:$C,C948,'inventory ledger'!$D:$D,D948,'inventory ledger'!$E:$E,E948,'inventory ledger'!$A:$A,"&lt;="&amp;B948+TIME(23,59,59))-SUMIFS('inventory ledger'!$I:$I,'inventory ledger'!$C:$C,C948,'inventory ledger'!$D:$D,D948,'inventory ledger'!$E:$E,E948,'inventory ledger'!$A:$A,"&lt;="&amp;B948+TIME(23,59,59)))</f>
        <v>0</v>
      </c>
      <c r="G948" s="3">
        <f>IFERROR(__xludf.DUMMYFUNCTION("IF(F948&lt;=0,0,IFERROR(ROUNDUP(F948/INDEX(FILTER('warehouse config'!$D:$D,('warehouse config'!$B:$B=C948)*('warehouse config'!$C:$C=D948)*('warehouse config'!$G:$G&lt;=B948)*(('warehouse config'!$H:$H&gt;=B948)+ISBLANK('warehouse config'!$H:$H))),1)),0))"),0.0)</f>
        <v>0</v>
      </c>
      <c r="H948" s="3">
        <f>IFERROR(__xludf.DUMMYFUNCTION("IFERROR(INDEX(FILTER('cost master'!$E:$E,('cost master'!$B:$B=C948)*('cost master'!$D:$D=""Storage cost per pallet / week"")*('cost master'!$G:$G&lt;=B948)*(('cost master'!$H:$H&gt;=B948)+ISBLANK('cost master'!$H:$H))),1),0)"),2.6)</f>
        <v>2.6</v>
      </c>
      <c r="I948" s="3">
        <f t="shared" si="4"/>
        <v>0</v>
      </c>
      <c r="J948" s="27">
        <f t="shared" si="5"/>
        <v>45824</v>
      </c>
      <c r="K948" s="27">
        <f t="shared" si="6"/>
        <v>45853</v>
      </c>
    </row>
    <row r="949" hidden="1">
      <c r="A949" s="3" t="str">
        <f t="shared" si="3"/>
        <v>SL-20250714-Vglobal-CS 008-13</v>
      </c>
      <c r="B949" s="2">
        <f t="array" ref="B949">INDEX(helper!$A$3:$A3996,ROUNDUP((ROW()-1)/COUNTA(helper!$D$3:$D3996),0))</f>
        <v>45852</v>
      </c>
      <c r="C949" s="5" t="str">
        <f t="array" ref="C949">IF(B949="","",INDEX(helper!$D$3:$D3996,MOD(ROW()-2,COUNTA(helper!$D$3:$D3996))+1))</f>
        <v>Vglobal</v>
      </c>
      <c r="D949" s="3" t="str">
        <f t="array" ref="D949">IF(B949="","",INDEX(helper!$E$3:$E3996,MOD(ROW()-2,COUNTA(helper!$D$3:$D3996))+1))</f>
        <v>CS 008</v>
      </c>
      <c r="E949" s="3">
        <f t="array" ref="E949">IF(B949="","",INDEX(helper!$F$3:$F3996,MOD(ROW()-2,COUNTA(helper!$D$3:$D3996))+1))</f>
        <v>13</v>
      </c>
      <c r="F949" s="3">
        <f>IF(B949="","",SUMIFS('inventory ledger'!$H:$H,'inventory ledger'!$C:$C,C949,'inventory ledger'!$D:$D,D949,'inventory ledger'!$E:$E,E949,'inventory ledger'!$A:$A,"&lt;="&amp;B949+TIME(23,59,59))-SUMIFS('inventory ledger'!$I:$I,'inventory ledger'!$C:$C,C949,'inventory ledger'!$D:$D,D949,'inventory ledger'!$E:$E,E949,'inventory ledger'!$A:$A,"&lt;="&amp;B949+TIME(23,59,59)))</f>
        <v>20</v>
      </c>
      <c r="G949" s="3">
        <f>IFERROR(__xludf.DUMMYFUNCTION("IF(F949&lt;=0,0,IFERROR(ROUNDUP(F949/INDEX(FILTER('warehouse config'!$D:$D,('warehouse config'!$B:$B=C949)*('warehouse config'!$C:$C=D949)*('warehouse config'!$G:$G&lt;=B949)*(('warehouse config'!$H:$H&gt;=B949)+ISBLANK('warehouse config'!$H:$H))),1)),0))"),1.0)</f>
        <v>1</v>
      </c>
      <c r="H949" s="3">
        <f>IFERROR(__xludf.DUMMYFUNCTION("IFERROR(INDEX(FILTER('cost master'!$E:$E,('cost master'!$B:$B=C949)*('cost master'!$D:$D=""Storage cost per pallet / week"")*('cost master'!$G:$G&lt;=B949)*(('cost master'!$H:$H&gt;=B949)+ISBLANK('cost master'!$H:$H))),1),0)"),2.6)</f>
        <v>2.6</v>
      </c>
      <c r="I949" s="3">
        <f t="shared" si="4"/>
        <v>2.6</v>
      </c>
      <c r="J949" s="27">
        <f t="shared" si="5"/>
        <v>45824</v>
      </c>
      <c r="K949" s="27">
        <f t="shared" si="6"/>
        <v>45853</v>
      </c>
    </row>
    <row r="950" hidden="1">
      <c r="A950" s="3" t="str">
        <f t="shared" si="3"/>
        <v>SL-20250714-Vglobal-CS 010-13</v>
      </c>
      <c r="B950" s="2">
        <f t="array" ref="B950">INDEX(helper!$A$3:$A3996,ROUNDUP((ROW()-1)/COUNTA(helper!$D$3:$D3996),0))</f>
        <v>45852</v>
      </c>
      <c r="C950" s="5" t="str">
        <f t="array" ref="C950">IF(B950="","",INDEX(helper!$D$3:$D3996,MOD(ROW()-2,COUNTA(helper!$D$3:$D3996))+1))</f>
        <v>Vglobal</v>
      </c>
      <c r="D950" s="3" t="str">
        <f t="array" ref="D950">IF(B950="","",INDEX(helper!$E$3:$E3996,MOD(ROW()-2,COUNTA(helper!$D$3:$D3996))+1))</f>
        <v>CS 010</v>
      </c>
      <c r="E950" s="3">
        <f t="array" ref="E950">IF(B950="","",INDEX(helper!$F$3:$F3996,MOD(ROW()-2,COUNTA(helper!$D$3:$D3996))+1))</f>
        <v>13</v>
      </c>
      <c r="F950" s="3">
        <f>IF(B950="","",SUMIFS('inventory ledger'!$H:$H,'inventory ledger'!$C:$C,C950,'inventory ledger'!$D:$D,D950,'inventory ledger'!$E:$E,E950,'inventory ledger'!$A:$A,"&lt;="&amp;B950+TIME(23,59,59))-SUMIFS('inventory ledger'!$I:$I,'inventory ledger'!$C:$C,C950,'inventory ledger'!$D:$D,D950,'inventory ledger'!$E:$E,E950,'inventory ledger'!$A:$A,"&lt;="&amp;B950+TIME(23,59,59)))</f>
        <v>80</v>
      </c>
      <c r="G950" s="3">
        <f>IFERROR(__xludf.DUMMYFUNCTION("IF(F950&lt;=0,0,IFERROR(ROUNDUP(F950/INDEX(FILTER('warehouse config'!$D:$D,('warehouse config'!$B:$B=C950)*('warehouse config'!$C:$C=D950)*('warehouse config'!$G:$G&lt;=B950)*(('warehouse config'!$H:$H&gt;=B950)+ISBLANK('warehouse config'!$H:$H))),1)),0))"),4.0)</f>
        <v>4</v>
      </c>
      <c r="H950" s="3">
        <f>IFERROR(__xludf.DUMMYFUNCTION("IFERROR(INDEX(FILTER('cost master'!$E:$E,('cost master'!$B:$B=C950)*('cost master'!$D:$D=""Storage cost per pallet / week"")*('cost master'!$G:$G&lt;=B950)*(('cost master'!$H:$H&gt;=B950)+ISBLANK('cost master'!$H:$H))),1),0)"),2.6)</f>
        <v>2.6</v>
      </c>
      <c r="I950" s="3">
        <f t="shared" si="4"/>
        <v>10.4</v>
      </c>
      <c r="J950" s="27">
        <f t="shared" si="5"/>
        <v>45824</v>
      </c>
      <c r="K950" s="27">
        <f t="shared" si="6"/>
        <v>45853</v>
      </c>
    </row>
    <row r="951" hidden="1">
      <c r="A951" s="3" t="str">
        <f t="shared" si="3"/>
        <v>SL-20250714-Vglobal-CS 009-13</v>
      </c>
      <c r="B951" s="2">
        <f t="array" ref="B951">INDEX(helper!$A$3:$A3996,ROUNDUP((ROW()-1)/COUNTA(helper!$D$3:$D3996),0))</f>
        <v>45852</v>
      </c>
      <c r="C951" s="5" t="str">
        <f t="array" ref="C951">IF(B951="","",INDEX(helper!$D$3:$D3996,MOD(ROW()-2,COUNTA(helper!$D$3:$D3996))+1))</f>
        <v>Vglobal</v>
      </c>
      <c r="D951" s="3" t="str">
        <f t="array" ref="D951">IF(B951="","",INDEX(helper!$E$3:$E3996,MOD(ROW()-2,COUNTA(helper!$D$3:$D3996))+1))</f>
        <v>CS 009</v>
      </c>
      <c r="E951" s="3">
        <f t="array" ref="E951">IF(B951="","",INDEX(helper!$F$3:$F3996,MOD(ROW()-2,COUNTA(helper!$D$3:$D3996))+1))</f>
        <v>13</v>
      </c>
      <c r="F951" s="3">
        <f>IF(B951="","",SUMIFS('inventory ledger'!$H:$H,'inventory ledger'!$C:$C,C951,'inventory ledger'!$D:$D,D951,'inventory ledger'!$E:$E,E951,'inventory ledger'!$A:$A,"&lt;="&amp;B951+TIME(23,59,59))-SUMIFS('inventory ledger'!$I:$I,'inventory ledger'!$C:$C,C951,'inventory ledger'!$D:$D,D951,'inventory ledger'!$E:$E,E951,'inventory ledger'!$A:$A,"&lt;="&amp;B951+TIME(23,59,59)))</f>
        <v>0</v>
      </c>
      <c r="G951" s="3">
        <f>IFERROR(__xludf.DUMMYFUNCTION("IF(F951&lt;=0,0,IFERROR(ROUNDUP(F951/INDEX(FILTER('warehouse config'!$D:$D,('warehouse config'!$B:$B=C951)*('warehouse config'!$C:$C=D951)*('warehouse config'!$G:$G&lt;=B951)*(('warehouse config'!$H:$H&gt;=B951)+ISBLANK('warehouse config'!$H:$H))),1)),0))"),0.0)</f>
        <v>0</v>
      </c>
      <c r="H951" s="3">
        <f>IFERROR(__xludf.DUMMYFUNCTION("IFERROR(INDEX(FILTER('cost master'!$E:$E,('cost master'!$B:$B=C951)*('cost master'!$D:$D=""Storage cost per pallet / week"")*('cost master'!$G:$G&lt;=B951)*(('cost master'!$H:$H&gt;=B951)+ISBLANK('cost master'!$H:$H))),1),0)"),2.6)</f>
        <v>2.6</v>
      </c>
      <c r="I951" s="3">
        <f t="shared" si="4"/>
        <v>0</v>
      </c>
      <c r="J951" s="27">
        <f t="shared" si="5"/>
        <v>45824</v>
      </c>
      <c r="K951" s="27">
        <f t="shared" si="6"/>
        <v>45853</v>
      </c>
    </row>
    <row r="952" hidden="1">
      <c r="A952" s="3" t="str">
        <f t="shared" si="3"/>
        <v>SL-20250714-Vglobal-CS 012-13</v>
      </c>
      <c r="B952" s="2">
        <f t="array" ref="B952">INDEX(helper!$A$3:$A3996,ROUNDUP((ROW()-1)/COUNTA(helper!$D$3:$D3996),0))</f>
        <v>45852</v>
      </c>
      <c r="C952" s="5" t="str">
        <f t="array" ref="C952">IF(B952="","",INDEX(helper!$D$3:$D3996,MOD(ROW()-2,COUNTA(helper!$D$3:$D3996))+1))</f>
        <v>Vglobal</v>
      </c>
      <c r="D952" s="3" t="str">
        <f t="array" ref="D952">IF(B952="","",INDEX(helper!$E$3:$E3996,MOD(ROW()-2,COUNTA(helper!$D$3:$D3996))+1))</f>
        <v>CS 012</v>
      </c>
      <c r="E952" s="3">
        <f t="array" ref="E952">IF(B952="","",INDEX(helper!$F$3:$F3996,MOD(ROW()-2,COUNTA(helper!$D$3:$D3996))+1))</f>
        <v>13</v>
      </c>
      <c r="F952" s="3">
        <f>IF(B952="","",SUMIFS('inventory ledger'!$H:$H,'inventory ledger'!$C:$C,C952,'inventory ledger'!$D:$D,D952,'inventory ledger'!$E:$E,E952,'inventory ledger'!$A:$A,"&lt;="&amp;B952+TIME(23,59,59))-SUMIFS('inventory ledger'!$I:$I,'inventory ledger'!$C:$C,C952,'inventory ledger'!$D:$D,D952,'inventory ledger'!$E:$E,E952,'inventory ledger'!$A:$A,"&lt;="&amp;B952+TIME(23,59,59)))</f>
        <v>0</v>
      </c>
      <c r="G952" s="3">
        <f>IFERROR(__xludf.DUMMYFUNCTION("IF(F952&lt;=0,0,IFERROR(ROUNDUP(F952/INDEX(FILTER('warehouse config'!$D:$D,('warehouse config'!$B:$B=C952)*('warehouse config'!$C:$C=D952)*('warehouse config'!$G:$G&lt;=B952)*(('warehouse config'!$H:$H&gt;=B952)+ISBLANK('warehouse config'!$H:$H))),1)),0))"),0.0)</f>
        <v>0</v>
      </c>
      <c r="H952" s="3">
        <f>IFERROR(__xludf.DUMMYFUNCTION("IFERROR(INDEX(FILTER('cost master'!$E:$E,('cost master'!$B:$B=C952)*('cost master'!$D:$D=""Storage cost per pallet / week"")*('cost master'!$G:$G&lt;=B952)*(('cost master'!$H:$H&gt;=B952)+ISBLANK('cost master'!$H:$H))),1),0)"),2.6)</f>
        <v>2.6</v>
      </c>
      <c r="I952" s="3">
        <f t="shared" si="4"/>
        <v>0</v>
      </c>
      <c r="J952" s="27">
        <f t="shared" si="5"/>
        <v>45824</v>
      </c>
      <c r="K952" s="27">
        <f t="shared" si="6"/>
        <v>45853</v>
      </c>
    </row>
    <row r="953">
      <c r="A953" s="3" t="str">
        <f t="shared" si="3"/>
        <v>SL-20250714-FMC-CS 008-11</v>
      </c>
      <c r="B953" s="2">
        <f t="array" ref="B953">INDEX(helper!$A$3:$A3996,ROUNDUP((ROW()-1)/COUNTA(helper!$D$3:$D3996),0))</f>
        <v>45852</v>
      </c>
      <c r="C953" s="5" t="str">
        <f t="array" ref="C953">IF(B953="","",INDEX(helper!$D$3:$D3996,MOD(ROW()-2,COUNTA(helper!$D$3:$D3996))+1))</f>
        <v>FMC</v>
      </c>
      <c r="D953" s="3" t="str">
        <f t="array" ref="D953">IF(B953="","",INDEX(helper!$E$3:$E3996,MOD(ROW()-2,COUNTA(helper!$D$3:$D3996))+1))</f>
        <v>CS 008</v>
      </c>
      <c r="E953" s="3">
        <f t="array" ref="E953">IF(B953="","",INDEX(helper!$F$3:$F3996,MOD(ROW()-2,COUNTA(helper!$D$3:$D3996))+1))</f>
        <v>11</v>
      </c>
      <c r="F953" s="3">
        <f>IF(B953="","",SUMIFS('inventory ledger'!$H:$H,'inventory ledger'!$C:$C,C953,'inventory ledger'!$D:$D,D953,'inventory ledger'!$E:$E,E953,'inventory ledger'!$A:$A,"&lt;="&amp;B953+TIME(23,59,59))-SUMIFS('inventory ledger'!$I:$I,'inventory ledger'!$C:$C,C953,'inventory ledger'!$D:$D,D953,'inventory ledger'!$E:$E,E953,'inventory ledger'!$A:$A,"&lt;="&amp;B953+TIME(23,59,59)))</f>
        <v>-2</v>
      </c>
      <c r="G953" s="3">
        <f>IFERROR(__xludf.DUMMYFUNCTION("IF(F953&lt;=0,0,IFERROR(ROUNDUP(F953/INDEX(FILTER('warehouse config'!$D:$D,('warehouse config'!$B:$B=C953)*('warehouse config'!$C:$C=D953)*('warehouse config'!$G:$G&lt;=B953)*(('warehouse config'!$H:$H&gt;=B953)+ISBLANK('warehouse config'!$H:$H))),1)),0))"),0.0)</f>
        <v>0</v>
      </c>
      <c r="H953" s="3">
        <f>IFERROR(__xludf.DUMMYFUNCTION("IFERROR(INDEX(FILTER('cost master'!$E:$E,('cost master'!$B:$B=C953)*('cost master'!$D:$D=""Storage cost per pallet / week"")*('cost master'!$G:$G&lt;=B953)*(('cost master'!$H:$H&gt;=B953)+ISBLANK('cost master'!$H:$H))),1),0)"),3.9)</f>
        <v>3.9</v>
      </c>
      <c r="I953" s="3">
        <f t="shared" si="4"/>
        <v>0</v>
      </c>
      <c r="J953" s="27">
        <f t="shared" si="5"/>
        <v>45824</v>
      </c>
      <c r="K953" s="27">
        <f t="shared" si="6"/>
        <v>45853</v>
      </c>
    </row>
    <row r="954" hidden="1">
      <c r="A954" s="3" t="str">
        <f t="shared" si="3"/>
        <v>SL-20250721-FMC-CS 007-8</v>
      </c>
      <c r="B954" s="2">
        <f t="array" ref="B954">INDEX(helper!$A$3:$A3996,ROUNDUP((ROW()-1)/COUNTA(helper!$D$3:$D3996),0))</f>
        <v>45859</v>
      </c>
      <c r="C954" s="5" t="str">
        <f t="array" ref="C954">IF(B954="","",INDEX(helper!$D$3:$D3996,MOD(ROW()-2,COUNTA(helper!$D$3:$D3996))+1))</f>
        <v>FMC</v>
      </c>
      <c r="D954" s="3" t="str">
        <f t="array" ref="D954">IF(B954="","",INDEX(helper!$E$3:$E3996,MOD(ROW()-2,COUNTA(helper!$D$3:$D3996))+1))</f>
        <v>CS 007</v>
      </c>
      <c r="E954" s="3">
        <f t="array" ref="E954">IF(B954="","",INDEX(helper!$F$3:$F3996,MOD(ROW()-2,COUNTA(helper!$D$3:$D3996))+1))</f>
        <v>8</v>
      </c>
      <c r="F954" s="3">
        <f>IF(B954="","",SUMIFS('inventory ledger'!$H:$H,'inventory ledger'!$C:$C,C954,'inventory ledger'!$D:$D,D954,'inventory ledger'!$E:$E,E954,'inventory ledger'!$A:$A,"&lt;="&amp;B954+TIME(23,59,59))-SUMIFS('inventory ledger'!$I:$I,'inventory ledger'!$C:$C,C954,'inventory ledger'!$D:$D,D954,'inventory ledger'!$E:$E,E954,'inventory ledger'!$A:$A,"&lt;="&amp;B954+TIME(23,59,59)))</f>
        <v>0</v>
      </c>
      <c r="G954" s="3">
        <f>IFERROR(__xludf.DUMMYFUNCTION("IF(F954&lt;=0,0,IFERROR(ROUNDUP(F954/INDEX(FILTER('warehouse config'!$D:$D,('warehouse config'!$B:$B=C954)*('warehouse config'!$C:$C=D954)*('warehouse config'!$G:$G&lt;=B954)*(('warehouse config'!$H:$H&gt;=B954)+ISBLANK('warehouse config'!$H:$H))),1)),0))"),0.0)</f>
        <v>0</v>
      </c>
      <c r="H954" s="3">
        <f>IFERROR(__xludf.DUMMYFUNCTION("IFERROR(INDEX(FILTER('cost master'!$E:$E,('cost master'!$B:$B=C954)*('cost master'!$D:$D=""Storage cost per pallet / week"")*('cost master'!$G:$G&lt;=B954)*(('cost master'!$H:$H&gt;=B954)+ISBLANK('cost master'!$H:$H))),1),0)"),3.9)</f>
        <v>3.9</v>
      </c>
      <c r="I954" s="3">
        <f t="shared" si="4"/>
        <v>0</v>
      </c>
      <c r="J954" s="27">
        <f t="shared" si="5"/>
        <v>45854</v>
      </c>
      <c r="K954" s="27">
        <f t="shared" si="6"/>
        <v>45884</v>
      </c>
    </row>
    <row r="955" hidden="1">
      <c r="A955" s="3" t="str">
        <f t="shared" si="3"/>
        <v>SL-20250721-FMC-CS 008-8</v>
      </c>
      <c r="B955" s="2">
        <f t="array" ref="B955">INDEX(helper!$A$3:$A3996,ROUNDUP((ROW()-1)/COUNTA(helper!$D$3:$D3996),0))</f>
        <v>45859</v>
      </c>
      <c r="C955" s="5" t="str">
        <f t="array" ref="C955">IF(B955="","",INDEX(helper!$D$3:$D3996,MOD(ROW()-2,COUNTA(helper!$D$3:$D3996))+1))</f>
        <v>FMC</v>
      </c>
      <c r="D955" s="3" t="str">
        <f t="array" ref="D955">IF(B955="","",INDEX(helper!$E$3:$E3996,MOD(ROW()-2,COUNTA(helper!$D$3:$D3996))+1))</f>
        <v>CS 008</v>
      </c>
      <c r="E955" s="3">
        <f t="array" ref="E955">IF(B955="","",INDEX(helper!$F$3:$F3996,MOD(ROW()-2,COUNTA(helper!$D$3:$D3996))+1))</f>
        <v>8</v>
      </c>
      <c r="F955" s="3">
        <f>IF(B955="","",SUMIFS('inventory ledger'!$H:$H,'inventory ledger'!$C:$C,C955,'inventory ledger'!$D:$D,D955,'inventory ledger'!$E:$E,E955,'inventory ledger'!$A:$A,"&lt;="&amp;B955+TIME(23,59,59))-SUMIFS('inventory ledger'!$I:$I,'inventory ledger'!$C:$C,C955,'inventory ledger'!$D:$D,D955,'inventory ledger'!$E:$E,E955,'inventory ledger'!$A:$A,"&lt;="&amp;B955+TIME(23,59,59)))</f>
        <v>0</v>
      </c>
      <c r="G955" s="3">
        <f>IFERROR(__xludf.DUMMYFUNCTION("IF(F955&lt;=0,0,IFERROR(ROUNDUP(F955/INDEX(FILTER('warehouse config'!$D:$D,('warehouse config'!$B:$B=C955)*('warehouse config'!$C:$C=D955)*('warehouse config'!$G:$G&lt;=B955)*(('warehouse config'!$H:$H&gt;=B955)+ISBLANK('warehouse config'!$H:$H))),1)),0))"),0.0)</f>
        <v>0</v>
      </c>
      <c r="H955" s="3">
        <f>IFERROR(__xludf.DUMMYFUNCTION("IFERROR(INDEX(FILTER('cost master'!$E:$E,('cost master'!$B:$B=C955)*('cost master'!$D:$D=""Storage cost per pallet / week"")*('cost master'!$G:$G&lt;=B955)*(('cost master'!$H:$H&gt;=B955)+ISBLANK('cost master'!$H:$H))),1),0)"),3.9)</f>
        <v>3.9</v>
      </c>
      <c r="I955" s="3">
        <f t="shared" si="4"/>
        <v>0</v>
      </c>
      <c r="J955" s="27">
        <f t="shared" si="5"/>
        <v>45854</v>
      </c>
      <c r="K955" s="27">
        <f t="shared" si="6"/>
        <v>45884</v>
      </c>
    </row>
    <row r="956" hidden="1">
      <c r="A956" s="3" t="str">
        <f t="shared" si="3"/>
        <v>SL-20250721-FMC-CS 009-8</v>
      </c>
      <c r="B956" s="2">
        <f t="array" ref="B956">INDEX(helper!$A$3:$A3996,ROUNDUP((ROW()-1)/COUNTA(helper!$D$3:$D3996),0))</f>
        <v>45859</v>
      </c>
      <c r="C956" s="5" t="str">
        <f t="array" ref="C956">IF(B956="","",INDEX(helper!$D$3:$D3996,MOD(ROW()-2,COUNTA(helper!$D$3:$D3996))+1))</f>
        <v>FMC</v>
      </c>
      <c r="D956" s="3" t="str">
        <f t="array" ref="D956">IF(B956="","",INDEX(helper!$E$3:$E3996,MOD(ROW()-2,COUNTA(helper!$D$3:$D3996))+1))</f>
        <v>CS 009</v>
      </c>
      <c r="E956" s="3">
        <f t="array" ref="E956">IF(B956="","",INDEX(helper!$F$3:$F3996,MOD(ROW()-2,COUNTA(helper!$D$3:$D3996))+1))</f>
        <v>8</v>
      </c>
      <c r="F956" s="3">
        <f>IF(B956="","",SUMIFS('inventory ledger'!$H:$H,'inventory ledger'!$C:$C,C956,'inventory ledger'!$D:$D,D956,'inventory ledger'!$E:$E,E956,'inventory ledger'!$A:$A,"&lt;="&amp;B956+TIME(23,59,59))-SUMIFS('inventory ledger'!$I:$I,'inventory ledger'!$C:$C,C956,'inventory ledger'!$D:$D,D956,'inventory ledger'!$E:$E,E956,'inventory ledger'!$A:$A,"&lt;="&amp;B956+TIME(23,59,59)))</f>
        <v>0</v>
      </c>
      <c r="G956" s="3">
        <f>IFERROR(__xludf.DUMMYFUNCTION("IF(F956&lt;=0,0,IFERROR(ROUNDUP(F956/INDEX(FILTER('warehouse config'!$D:$D,('warehouse config'!$B:$B=C956)*('warehouse config'!$C:$C=D956)*('warehouse config'!$G:$G&lt;=B956)*(('warehouse config'!$H:$H&gt;=B956)+ISBLANK('warehouse config'!$H:$H))),1)),0))"),0.0)</f>
        <v>0</v>
      </c>
      <c r="H956" s="3">
        <f>IFERROR(__xludf.DUMMYFUNCTION("IFERROR(INDEX(FILTER('cost master'!$E:$E,('cost master'!$B:$B=C956)*('cost master'!$D:$D=""Storage cost per pallet / week"")*('cost master'!$G:$G&lt;=B956)*(('cost master'!$H:$H&gt;=B956)+ISBLANK('cost master'!$H:$H))),1),0)"),3.9)</f>
        <v>3.9</v>
      </c>
      <c r="I956" s="3">
        <f t="shared" si="4"/>
        <v>0</v>
      </c>
      <c r="J956" s="27">
        <f t="shared" si="5"/>
        <v>45854</v>
      </c>
      <c r="K956" s="27">
        <f t="shared" si="6"/>
        <v>45884</v>
      </c>
    </row>
    <row r="957" hidden="1">
      <c r="A957" s="3" t="str">
        <f t="shared" si="3"/>
        <v>SL-20250721-FMC-CS 010-8</v>
      </c>
      <c r="B957" s="2">
        <f t="array" ref="B957">INDEX(helper!$A$3:$A3996,ROUNDUP((ROW()-1)/COUNTA(helper!$D$3:$D3996),0))</f>
        <v>45859</v>
      </c>
      <c r="C957" s="5" t="str">
        <f t="array" ref="C957">IF(B957="","",INDEX(helper!$D$3:$D3996,MOD(ROW()-2,COUNTA(helper!$D$3:$D3996))+1))</f>
        <v>FMC</v>
      </c>
      <c r="D957" s="3" t="str">
        <f t="array" ref="D957">IF(B957="","",INDEX(helper!$E$3:$E3996,MOD(ROW()-2,COUNTA(helper!$D$3:$D3996))+1))</f>
        <v>CS 010</v>
      </c>
      <c r="E957" s="3">
        <f t="array" ref="E957">IF(B957="","",INDEX(helper!$F$3:$F3996,MOD(ROW()-2,COUNTA(helper!$D$3:$D3996))+1))</f>
        <v>8</v>
      </c>
      <c r="F957" s="3">
        <f>IF(B957="","",SUMIFS('inventory ledger'!$H:$H,'inventory ledger'!$C:$C,C957,'inventory ledger'!$D:$D,D957,'inventory ledger'!$E:$E,E957,'inventory ledger'!$A:$A,"&lt;="&amp;B957+TIME(23,59,59))-SUMIFS('inventory ledger'!$I:$I,'inventory ledger'!$C:$C,C957,'inventory ledger'!$D:$D,D957,'inventory ledger'!$E:$E,E957,'inventory ledger'!$A:$A,"&lt;="&amp;B957+TIME(23,59,59)))</f>
        <v>0</v>
      </c>
      <c r="G957" s="3">
        <f>IFERROR(__xludf.DUMMYFUNCTION("IF(F957&lt;=0,0,IFERROR(ROUNDUP(F957/INDEX(FILTER('warehouse config'!$D:$D,('warehouse config'!$B:$B=C957)*('warehouse config'!$C:$C=D957)*('warehouse config'!$G:$G&lt;=B957)*(('warehouse config'!$H:$H&gt;=B957)+ISBLANK('warehouse config'!$H:$H))),1)),0))"),0.0)</f>
        <v>0</v>
      </c>
      <c r="H957" s="3">
        <f>IFERROR(__xludf.DUMMYFUNCTION("IFERROR(INDEX(FILTER('cost master'!$E:$E,('cost master'!$B:$B=C957)*('cost master'!$D:$D=""Storage cost per pallet / week"")*('cost master'!$G:$G&lt;=B957)*(('cost master'!$H:$H&gt;=B957)+ISBLANK('cost master'!$H:$H))),1),0)"),3.9)</f>
        <v>3.9</v>
      </c>
      <c r="I957" s="3">
        <f t="shared" si="4"/>
        <v>0</v>
      </c>
      <c r="J957" s="27">
        <f t="shared" si="5"/>
        <v>45854</v>
      </c>
      <c r="K957" s="27">
        <f t="shared" si="6"/>
        <v>45884</v>
      </c>
    </row>
    <row r="958" hidden="1">
      <c r="A958" s="3" t="str">
        <f t="shared" si="3"/>
        <v>SL-20250721-FMC-CS 007-9</v>
      </c>
      <c r="B958" s="2">
        <f t="array" ref="B958">INDEX(helper!$A$3:$A3996,ROUNDUP((ROW()-1)/COUNTA(helper!$D$3:$D3996),0))</f>
        <v>45859</v>
      </c>
      <c r="C958" s="5" t="str">
        <f t="array" ref="C958">IF(B958="","",INDEX(helper!$D$3:$D3996,MOD(ROW()-2,COUNTA(helper!$D$3:$D3996))+1))</f>
        <v>FMC</v>
      </c>
      <c r="D958" s="3" t="str">
        <f t="array" ref="D958">IF(B958="","",INDEX(helper!$E$3:$E3996,MOD(ROW()-2,COUNTA(helper!$D$3:$D3996))+1))</f>
        <v>CS 007</v>
      </c>
      <c r="E958" s="3">
        <f t="array" ref="E958">IF(B958="","",INDEX(helper!$F$3:$F3996,MOD(ROW()-2,COUNTA(helper!$D$3:$D3996))+1))</f>
        <v>9</v>
      </c>
      <c r="F958" s="3">
        <f>IF(B958="","",SUMIFS('inventory ledger'!$H:$H,'inventory ledger'!$C:$C,C958,'inventory ledger'!$D:$D,D958,'inventory ledger'!$E:$E,E958,'inventory ledger'!$A:$A,"&lt;="&amp;B958+TIME(23,59,59))-SUMIFS('inventory ledger'!$I:$I,'inventory ledger'!$C:$C,C958,'inventory ledger'!$D:$D,D958,'inventory ledger'!$E:$E,E958,'inventory ledger'!$A:$A,"&lt;="&amp;B958+TIME(23,59,59)))</f>
        <v>0</v>
      </c>
      <c r="G958" s="3">
        <f>IFERROR(__xludf.DUMMYFUNCTION("IF(F958&lt;=0,0,IFERROR(ROUNDUP(F958/INDEX(FILTER('warehouse config'!$D:$D,('warehouse config'!$B:$B=C958)*('warehouse config'!$C:$C=D958)*('warehouse config'!$G:$G&lt;=B958)*(('warehouse config'!$H:$H&gt;=B958)+ISBLANK('warehouse config'!$H:$H))),1)),0))"),0.0)</f>
        <v>0</v>
      </c>
      <c r="H958" s="3">
        <f>IFERROR(__xludf.DUMMYFUNCTION("IFERROR(INDEX(FILTER('cost master'!$E:$E,('cost master'!$B:$B=C958)*('cost master'!$D:$D=""Storage cost per pallet / week"")*('cost master'!$G:$G&lt;=B958)*(('cost master'!$H:$H&gt;=B958)+ISBLANK('cost master'!$H:$H))),1),0)"),3.9)</f>
        <v>3.9</v>
      </c>
      <c r="I958" s="3">
        <f t="shared" si="4"/>
        <v>0</v>
      </c>
      <c r="J958" s="27">
        <f t="shared" si="5"/>
        <v>45854</v>
      </c>
      <c r="K958" s="27">
        <f t="shared" si="6"/>
        <v>45884</v>
      </c>
    </row>
    <row r="959" hidden="1">
      <c r="A959" s="3" t="str">
        <f t="shared" si="3"/>
        <v>SL-20250721-FMC-CS 008-9</v>
      </c>
      <c r="B959" s="2">
        <f t="array" ref="B959">INDEX(helper!$A$3:$A3996,ROUNDUP((ROW()-1)/COUNTA(helper!$D$3:$D3996),0))</f>
        <v>45859</v>
      </c>
      <c r="C959" s="5" t="str">
        <f t="array" ref="C959">IF(B959="","",INDEX(helper!$D$3:$D3996,MOD(ROW()-2,COUNTA(helper!$D$3:$D3996))+1))</f>
        <v>FMC</v>
      </c>
      <c r="D959" s="3" t="str">
        <f t="array" ref="D959">IF(B959="","",INDEX(helper!$E$3:$E3996,MOD(ROW()-2,COUNTA(helper!$D$3:$D3996))+1))</f>
        <v>CS 008</v>
      </c>
      <c r="E959" s="3">
        <f t="array" ref="E959">IF(B959="","",INDEX(helper!$F$3:$F3996,MOD(ROW()-2,COUNTA(helper!$D$3:$D3996))+1))</f>
        <v>9</v>
      </c>
      <c r="F959" s="3">
        <f>IF(B959="","",SUMIFS('inventory ledger'!$H:$H,'inventory ledger'!$C:$C,C959,'inventory ledger'!$D:$D,D959,'inventory ledger'!$E:$E,E959,'inventory ledger'!$A:$A,"&lt;="&amp;B959+TIME(23,59,59))-SUMIFS('inventory ledger'!$I:$I,'inventory ledger'!$C:$C,C959,'inventory ledger'!$D:$D,D959,'inventory ledger'!$E:$E,E959,'inventory ledger'!$A:$A,"&lt;="&amp;B959+TIME(23,59,59)))</f>
        <v>2</v>
      </c>
      <c r="G959" s="3">
        <f>IFERROR(__xludf.DUMMYFUNCTION("IF(F959&lt;=0,0,IFERROR(ROUNDUP(F959/INDEX(FILTER('warehouse config'!$D:$D,('warehouse config'!$B:$B=C959)*('warehouse config'!$C:$C=D959)*('warehouse config'!$G:$G&lt;=B959)*(('warehouse config'!$H:$H&gt;=B959)+ISBLANK('warehouse config'!$H:$H))),1)),0))"),1.0)</f>
        <v>1</v>
      </c>
      <c r="H959" s="3">
        <f>IFERROR(__xludf.DUMMYFUNCTION("IFERROR(INDEX(FILTER('cost master'!$E:$E,('cost master'!$B:$B=C959)*('cost master'!$D:$D=""Storage cost per pallet / week"")*('cost master'!$G:$G&lt;=B959)*(('cost master'!$H:$H&gt;=B959)+ISBLANK('cost master'!$H:$H))),1),0)"),3.9)</f>
        <v>3.9</v>
      </c>
      <c r="I959" s="3">
        <f t="shared" si="4"/>
        <v>3.9</v>
      </c>
      <c r="J959" s="27">
        <f t="shared" si="5"/>
        <v>45854</v>
      </c>
      <c r="K959" s="27">
        <f t="shared" si="6"/>
        <v>45884</v>
      </c>
    </row>
    <row r="960" hidden="1">
      <c r="A960" s="3" t="str">
        <f t="shared" si="3"/>
        <v>SL-20250721-FMC-CS 009-9</v>
      </c>
      <c r="B960" s="2">
        <f t="array" ref="B960">INDEX(helper!$A$3:$A3996,ROUNDUP((ROW()-1)/COUNTA(helper!$D$3:$D3996),0))</f>
        <v>45859</v>
      </c>
      <c r="C960" s="5" t="str">
        <f t="array" ref="C960">IF(B960="","",INDEX(helper!$D$3:$D3996,MOD(ROW()-2,COUNTA(helper!$D$3:$D3996))+1))</f>
        <v>FMC</v>
      </c>
      <c r="D960" s="3" t="str">
        <f t="array" ref="D960">IF(B960="","",INDEX(helper!$E$3:$E3996,MOD(ROW()-2,COUNTA(helper!$D$3:$D3996))+1))</f>
        <v>CS 009</v>
      </c>
      <c r="E960" s="3">
        <f t="array" ref="E960">IF(B960="","",INDEX(helper!$F$3:$F3996,MOD(ROW()-2,COUNTA(helper!$D$3:$D3996))+1))</f>
        <v>9</v>
      </c>
      <c r="F960" s="3">
        <f>IF(B960="","",SUMIFS('inventory ledger'!$H:$H,'inventory ledger'!$C:$C,C960,'inventory ledger'!$D:$D,D960,'inventory ledger'!$E:$E,E960,'inventory ledger'!$A:$A,"&lt;="&amp;B960+TIME(23,59,59))-SUMIFS('inventory ledger'!$I:$I,'inventory ledger'!$C:$C,C960,'inventory ledger'!$D:$D,D960,'inventory ledger'!$E:$E,E960,'inventory ledger'!$A:$A,"&lt;="&amp;B960+TIME(23,59,59)))</f>
        <v>0</v>
      </c>
      <c r="G960" s="3">
        <f>IFERROR(__xludf.DUMMYFUNCTION("IF(F960&lt;=0,0,IFERROR(ROUNDUP(F960/INDEX(FILTER('warehouse config'!$D:$D,('warehouse config'!$B:$B=C960)*('warehouse config'!$C:$C=D960)*('warehouse config'!$G:$G&lt;=B960)*(('warehouse config'!$H:$H&gt;=B960)+ISBLANK('warehouse config'!$H:$H))),1)),0))"),0.0)</f>
        <v>0</v>
      </c>
      <c r="H960" s="3">
        <f>IFERROR(__xludf.DUMMYFUNCTION("IFERROR(INDEX(FILTER('cost master'!$E:$E,('cost master'!$B:$B=C960)*('cost master'!$D:$D=""Storage cost per pallet / week"")*('cost master'!$G:$G&lt;=B960)*(('cost master'!$H:$H&gt;=B960)+ISBLANK('cost master'!$H:$H))),1),0)"),3.9)</f>
        <v>3.9</v>
      </c>
      <c r="I960" s="3">
        <f t="shared" si="4"/>
        <v>0</v>
      </c>
      <c r="J960" s="27">
        <f t="shared" si="5"/>
        <v>45854</v>
      </c>
      <c r="K960" s="27">
        <f t="shared" si="6"/>
        <v>45884</v>
      </c>
    </row>
    <row r="961" hidden="1">
      <c r="A961" s="3" t="str">
        <f t="shared" si="3"/>
        <v>SL-20250721-FMC-CS 010-9</v>
      </c>
      <c r="B961" s="2">
        <f t="array" ref="B961">INDEX(helper!$A$3:$A3996,ROUNDUP((ROW()-1)/COUNTA(helper!$D$3:$D3996),0))</f>
        <v>45859</v>
      </c>
      <c r="C961" s="5" t="str">
        <f t="array" ref="C961">IF(B961="","",INDEX(helper!$D$3:$D3996,MOD(ROW()-2,COUNTA(helper!$D$3:$D3996))+1))</f>
        <v>FMC</v>
      </c>
      <c r="D961" s="3" t="str">
        <f t="array" ref="D961">IF(B961="","",INDEX(helper!$E$3:$E3996,MOD(ROW()-2,COUNTA(helper!$D$3:$D3996))+1))</f>
        <v>CS 010</v>
      </c>
      <c r="E961" s="3">
        <f t="array" ref="E961">IF(B961="","",INDEX(helper!$F$3:$F3996,MOD(ROW()-2,COUNTA(helper!$D$3:$D3996))+1))</f>
        <v>9</v>
      </c>
      <c r="F961" s="3">
        <f>IF(B961="","",SUMIFS('inventory ledger'!$H:$H,'inventory ledger'!$C:$C,C961,'inventory ledger'!$D:$D,D961,'inventory ledger'!$E:$E,E961,'inventory ledger'!$A:$A,"&lt;="&amp;B961+TIME(23,59,59))-SUMIFS('inventory ledger'!$I:$I,'inventory ledger'!$C:$C,C961,'inventory ledger'!$D:$D,D961,'inventory ledger'!$E:$E,E961,'inventory ledger'!$A:$A,"&lt;="&amp;B961+TIME(23,59,59)))</f>
        <v>0</v>
      </c>
      <c r="G961" s="3">
        <f>IFERROR(__xludf.DUMMYFUNCTION("IF(F961&lt;=0,0,IFERROR(ROUNDUP(F961/INDEX(FILTER('warehouse config'!$D:$D,('warehouse config'!$B:$B=C961)*('warehouse config'!$C:$C=D961)*('warehouse config'!$G:$G&lt;=B961)*(('warehouse config'!$H:$H&gt;=B961)+ISBLANK('warehouse config'!$H:$H))),1)),0))"),0.0)</f>
        <v>0</v>
      </c>
      <c r="H961" s="3">
        <f>IFERROR(__xludf.DUMMYFUNCTION("IFERROR(INDEX(FILTER('cost master'!$E:$E,('cost master'!$B:$B=C961)*('cost master'!$D:$D=""Storage cost per pallet / week"")*('cost master'!$G:$G&lt;=B961)*(('cost master'!$H:$H&gt;=B961)+ISBLANK('cost master'!$H:$H))),1),0)"),3.9)</f>
        <v>3.9</v>
      </c>
      <c r="I961" s="3">
        <f t="shared" si="4"/>
        <v>0</v>
      </c>
      <c r="J961" s="27">
        <f t="shared" si="5"/>
        <v>45854</v>
      </c>
      <c r="K961" s="27">
        <f t="shared" si="6"/>
        <v>45884</v>
      </c>
    </row>
    <row r="962" hidden="1">
      <c r="A962" s="3" t="str">
        <f t="shared" si="3"/>
        <v>SL-20250721-FMC-CS-CDS-001-9</v>
      </c>
      <c r="B962" s="2">
        <f t="array" ref="B962">INDEX(helper!$A$3:$A3996,ROUNDUP((ROW()-1)/COUNTA(helper!$D$3:$D3996),0))</f>
        <v>45859</v>
      </c>
      <c r="C962" s="5" t="str">
        <f t="array" ref="C962">IF(B962="","",INDEX(helper!$D$3:$D3996,MOD(ROW()-2,COUNTA(helper!$D$3:$D3996))+1))</f>
        <v>FMC</v>
      </c>
      <c r="D962" s="3" t="str">
        <f t="array" ref="D962">IF(B962="","",INDEX(helper!$E$3:$E3996,MOD(ROW()-2,COUNTA(helper!$D$3:$D3996))+1))</f>
        <v>CS-CDS-001</v>
      </c>
      <c r="E962" s="3">
        <f t="array" ref="E962">IF(B962="","",INDEX(helper!$F$3:$F3996,MOD(ROW()-2,COUNTA(helper!$D$3:$D3996))+1))</f>
        <v>9</v>
      </c>
      <c r="F962" s="3">
        <f>IF(B962="","",SUMIFS('inventory ledger'!$H:$H,'inventory ledger'!$C:$C,C962,'inventory ledger'!$D:$D,D962,'inventory ledger'!$E:$E,E962,'inventory ledger'!$A:$A,"&lt;="&amp;B962+TIME(23,59,59))-SUMIFS('inventory ledger'!$I:$I,'inventory ledger'!$C:$C,C962,'inventory ledger'!$D:$D,D962,'inventory ledger'!$E:$E,E962,'inventory ledger'!$A:$A,"&lt;="&amp;B962+TIME(23,59,59)))</f>
        <v>0</v>
      </c>
      <c r="G962" s="3">
        <f>IFERROR(__xludf.DUMMYFUNCTION("IF(F962&lt;=0,0,IFERROR(ROUNDUP(F962/INDEX(FILTER('warehouse config'!$D:$D,('warehouse config'!$B:$B=C962)*('warehouse config'!$C:$C=D962)*('warehouse config'!$G:$G&lt;=B962)*(('warehouse config'!$H:$H&gt;=B962)+ISBLANK('warehouse config'!$H:$H))),1)),0))"),0.0)</f>
        <v>0</v>
      </c>
      <c r="H962" s="3">
        <f>IFERROR(__xludf.DUMMYFUNCTION("IFERROR(INDEX(FILTER('cost master'!$E:$E,('cost master'!$B:$B=C962)*('cost master'!$D:$D=""Storage cost per pallet / week"")*('cost master'!$G:$G&lt;=B962)*(('cost master'!$H:$H&gt;=B962)+ISBLANK('cost master'!$H:$H))),1),0)"),3.9)</f>
        <v>3.9</v>
      </c>
      <c r="I962" s="3">
        <f t="shared" si="4"/>
        <v>0</v>
      </c>
      <c r="J962" s="27">
        <f t="shared" si="5"/>
        <v>45854</v>
      </c>
      <c r="K962" s="27">
        <f t="shared" si="6"/>
        <v>45884</v>
      </c>
    </row>
    <row r="963" hidden="1">
      <c r="A963" s="3" t="str">
        <f t="shared" si="3"/>
        <v>SL-20250721-FMC-CS-CDS-002-9</v>
      </c>
      <c r="B963" s="2">
        <f t="array" ref="B963">INDEX(helper!$A$3:$A3996,ROUNDUP((ROW()-1)/COUNTA(helper!$D$3:$D3996),0))</f>
        <v>45859</v>
      </c>
      <c r="C963" s="5" t="str">
        <f t="array" ref="C963">IF(B963="","",INDEX(helper!$D$3:$D3996,MOD(ROW()-2,COUNTA(helper!$D$3:$D3996))+1))</f>
        <v>FMC</v>
      </c>
      <c r="D963" s="3" t="str">
        <f t="array" ref="D963">IF(B963="","",INDEX(helper!$E$3:$E3996,MOD(ROW()-2,COUNTA(helper!$D$3:$D3996))+1))</f>
        <v>CS-CDS-002</v>
      </c>
      <c r="E963" s="3">
        <f t="array" ref="E963">IF(B963="","",INDEX(helper!$F$3:$F3996,MOD(ROW()-2,COUNTA(helper!$D$3:$D3996))+1))</f>
        <v>9</v>
      </c>
      <c r="F963" s="3">
        <f>IF(B963="","",SUMIFS('inventory ledger'!$H:$H,'inventory ledger'!$C:$C,C963,'inventory ledger'!$D:$D,D963,'inventory ledger'!$E:$E,E963,'inventory ledger'!$A:$A,"&lt;="&amp;B963+TIME(23,59,59))-SUMIFS('inventory ledger'!$I:$I,'inventory ledger'!$C:$C,C963,'inventory ledger'!$D:$D,D963,'inventory ledger'!$E:$E,E963,'inventory ledger'!$A:$A,"&lt;="&amp;B963+TIME(23,59,59)))</f>
        <v>0</v>
      </c>
      <c r="G963" s="3">
        <f>IFERROR(__xludf.DUMMYFUNCTION("IF(F963&lt;=0,0,IFERROR(ROUNDUP(F963/INDEX(FILTER('warehouse config'!$D:$D,('warehouse config'!$B:$B=C963)*('warehouse config'!$C:$C=D963)*('warehouse config'!$G:$G&lt;=B963)*(('warehouse config'!$H:$H&gt;=B963)+ISBLANK('warehouse config'!$H:$H))),1)),0))"),0.0)</f>
        <v>0</v>
      </c>
      <c r="H963" s="3">
        <f>IFERROR(__xludf.DUMMYFUNCTION("IFERROR(INDEX(FILTER('cost master'!$E:$E,('cost master'!$B:$B=C963)*('cost master'!$D:$D=""Storage cost per pallet / week"")*('cost master'!$G:$G&lt;=B963)*(('cost master'!$H:$H&gt;=B963)+ISBLANK('cost master'!$H:$H))),1),0)"),3.9)</f>
        <v>3.9</v>
      </c>
      <c r="I963" s="3">
        <f t="shared" si="4"/>
        <v>0</v>
      </c>
      <c r="J963" s="27">
        <f t="shared" si="5"/>
        <v>45854</v>
      </c>
      <c r="K963" s="27">
        <f t="shared" si="6"/>
        <v>45884</v>
      </c>
    </row>
    <row r="964" hidden="1">
      <c r="A964" s="3" t="str">
        <f t="shared" si="3"/>
        <v>SL-20250721-FMC-CS 007-10</v>
      </c>
      <c r="B964" s="2">
        <f t="array" ref="B964">INDEX(helper!$A$3:$A3996,ROUNDUP((ROW()-1)/COUNTA(helper!$D$3:$D3996),0))</f>
        <v>45859</v>
      </c>
      <c r="C964" s="5" t="str">
        <f t="array" ref="C964">IF(B964="","",INDEX(helper!$D$3:$D3996,MOD(ROW()-2,COUNTA(helper!$D$3:$D3996))+1))</f>
        <v>FMC</v>
      </c>
      <c r="D964" s="3" t="str">
        <f t="array" ref="D964">IF(B964="","",INDEX(helper!$E$3:$E3996,MOD(ROW()-2,COUNTA(helper!$D$3:$D3996))+1))</f>
        <v>CS 007</v>
      </c>
      <c r="E964" s="3">
        <f t="array" ref="E964">IF(B964="","",INDEX(helper!$F$3:$F3996,MOD(ROW()-2,COUNTA(helper!$D$3:$D3996))+1))</f>
        <v>10</v>
      </c>
      <c r="F964" s="3">
        <f>IF(B964="","",SUMIFS('inventory ledger'!$H:$H,'inventory ledger'!$C:$C,C964,'inventory ledger'!$D:$D,D964,'inventory ledger'!$E:$E,E964,'inventory ledger'!$A:$A,"&lt;="&amp;B964+TIME(23,59,59))-SUMIFS('inventory ledger'!$I:$I,'inventory ledger'!$C:$C,C964,'inventory ledger'!$D:$D,D964,'inventory ledger'!$E:$E,E964,'inventory ledger'!$A:$A,"&lt;="&amp;B964+TIME(23,59,59)))</f>
        <v>0</v>
      </c>
      <c r="G964" s="3">
        <f>IFERROR(__xludf.DUMMYFUNCTION("IF(F964&lt;=0,0,IFERROR(ROUNDUP(F964/INDEX(FILTER('warehouse config'!$D:$D,('warehouse config'!$B:$B=C964)*('warehouse config'!$C:$C=D964)*('warehouse config'!$G:$G&lt;=B964)*(('warehouse config'!$H:$H&gt;=B964)+ISBLANK('warehouse config'!$H:$H))),1)),0))"),0.0)</f>
        <v>0</v>
      </c>
      <c r="H964" s="3">
        <f>IFERROR(__xludf.DUMMYFUNCTION("IFERROR(INDEX(FILTER('cost master'!$E:$E,('cost master'!$B:$B=C964)*('cost master'!$D:$D=""Storage cost per pallet / week"")*('cost master'!$G:$G&lt;=B964)*(('cost master'!$H:$H&gt;=B964)+ISBLANK('cost master'!$H:$H))),1),0)"),3.9)</f>
        <v>3.9</v>
      </c>
      <c r="I964" s="3">
        <f t="shared" si="4"/>
        <v>0</v>
      </c>
      <c r="J964" s="27">
        <f t="shared" si="5"/>
        <v>45854</v>
      </c>
      <c r="K964" s="27">
        <f t="shared" si="6"/>
        <v>45884</v>
      </c>
    </row>
    <row r="965" hidden="1">
      <c r="A965" s="3" t="str">
        <f t="shared" si="3"/>
        <v>SL-20250721-FMC-CS 009-10</v>
      </c>
      <c r="B965" s="2">
        <f t="array" ref="B965">INDEX(helper!$A$3:$A3996,ROUNDUP((ROW()-1)/COUNTA(helper!$D$3:$D3996),0))</f>
        <v>45859</v>
      </c>
      <c r="C965" s="5" t="str">
        <f t="array" ref="C965">IF(B965="","",INDEX(helper!$D$3:$D3996,MOD(ROW()-2,COUNTA(helper!$D$3:$D3996))+1))</f>
        <v>FMC</v>
      </c>
      <c r="D965" s="3" t="str">
        <f t="array" ref="D965">IF(B965="","",INDEX(helper!$E$3:$E3996,MOD(ROW()-2,COUNTA(helper!$D$3:$D3996))+1))</f>
        <v>CS 009</v>
      </c>
      <c r="E965" s="3">
        <f t="array" ref="E965">IF(B965="","",INDEX(helper!$F$3:$F3996,MOD(ROW()-2,COUNTA(helper!$D$3:$D3996))+1))</f>
        <v>10</v>
      </c>
      <c r="F965" s="3">
        <f>IF(B965="","",SUMIFS('inventory ledger'!$H:$H,'inventory ledger'!$C:$C,C965,'inventory ledger'!$D:$D,D965,'inventory ledger'!$E:$E,E965,'inventory ledger'!$A:$A,"&lt;="&amp;B965+TIME(23,59,59))-SUMIFS('inventory ledger'!$I:$I,'inventory ledger'!$C:$C,C965,'inventory ledger'!$D:$D,D965,'inventory ledger'!$E:$E,E965,'inventory ledger'!$A:$A,"&lt;="&amp;B965+TIME(23,59,59)))</f>
        <v>0</v>
      </c>
      <c r="G965" s="3">
        <f>IFERROR(__xludf.DUMMYFUNCTION("IF(F965&lt;=0,0,IFERROR(ROUNDUP(F965/INDEX(FILTER('warehouse config'!$D:$D,('warehouse config'!$B:$B=C965)*('warehouse config'!$C:$C=D965)*('warehouse config'!$G:$G&lt;=B965)*(('warehouse config'!$H:$H&gt;=B965)+ISBLANK('warehouse config'!$H:$H))),1)),0))"),0.0)</f>
        <v>0</v>
      </c>
      <c r="H965" s="3">
        <f>IFERROR(__xludf.DUMMYFUNCTION("IFERROR(INDEX(FILTER('cost master'!$E:$E,('cost master'!$B:$B=C965)*('cost master'!$D:$D=""Storage cost per pallet / week"")*('cost master'!$G:$G&lt;=B965)*(('cost master'!$H:$H&gt;=B965)+ISBLANK('cost master'!$H:$H))),1),0)"),3.9)</f>
        <v>3.9</v>
      </c>
      <c r="I965" s="3">
        <f t="shared" si="4"/>
        <v>0</v>
      </c>
      <c r="J965" s="27">
        <f t="shared" si="5"/>
        <v>45854</v>
      </c>
      <c r="K965" s="27">
        <f t="shared" si="6"/>
        <v>45884</v>
      </c>
    </row>
    <row r="966" hidden="1">
      <c r="A966" s="3" t="str">
        <f t="shared" si="3"/>
        <v>SL-20250721-FMC-CS 010-10</v>
      </c>
      <c r="B966" s="2">
        <f t="array" ref="B966">INDEX(helper!$A$3:$A3996,ROUNDUP((ROW()-1)/COUNTA(helper!$D$3:$D3996),0))</f>
        <v>45859</v>
      </c>
      <c r="C966" s="5" t="str">
        <f t="array" ref="C966">IF(B966="","",INDEX(helper!$D$3:$D3996,MOD(ROW()-2,COUNTA(helper!$D$3:$D3996))+1))</f>
        <v>FMC</v>
      </c>
      <c r="D966" s="3" t="str">
        <f t="array" ref="D966">IF(B966="","",INDEX(helper!$E$3:$E3996,MOD(ROW()-2,COUNTA(helper!$D$3:$D3996))+1))</f>
        <v>CS 010</v>
      </c>
      <c r="E966" s="3">
        <f t="array" ref="E966">IF(B966="","",INDEX(helper!$F$3:$F3996,MOD(ROW()-2,COUNTA(helper!$D$3:$D3996))+1))</f>
        <v>10</v>
      </c>
      <c r="F966" s="3">
        <f>IF(B966="","",SUMIFS('inventory ledger'!$H:$H,'inventory ledger'!$C:$C,C966,'inventory ledger'!$D:$D,D966,'inventory ledger'!$E:$E,E966,'inventory ledger'!$A:$A,"&lt;="&amp;B966+TIME(23,59,59))-SUMIFS('inventory ledger'!$I:$I,'inventory ledger'!$C:$C,C966,'inventory ledger'!$D:$D,D966,'inventory ledger'!$E:$E,E966,'inventory ledger'!$A:$A,"&lt;="&amp;B966+TIME(23,59,59)))</f>
        <v>13</v>
      </c>
      <c r="G966" s="3">
        <f>IFERROR(__xludf.DUMMYFUNCTION("IF(F966&lt;=0,0,IFERROR(ROUNDUP(F966/INDEX(FILTER('warehouse config'!$D:$D,('warehouse config'!$B:$B=C966)*('warehouse config'!$C:$C=D966)*('warehouse config'!$G:$G&lt;=B966)*(('warehouse config'!$H:$H&gt;=B966)+ISBLANK('warehouse config'!$H:$H))),1)),0))"),1.0)</f>
        <v>1</v>
      </c>
      <c r="H966" s="3">
        <f>IFERROR(__xludf.DUMMYFUNCTION("IFERROR(INDEX(FILTER('cost master'!$E:$E,('cost master'!$B:$B=C966)*('cost master'!$D:$D=""Storage cost per pallet / week"")*('cost master'!$G:$G&lt;=B966)*(('cost master'!$H:$H&gt;=B966)+ISBLANK('cost master'!$H:$H))),1),0)"),3.9)</f>
        <v>3.9</v>
      </c>
      <c r="I966" s="3">
        <f t="shared" si="4"/>
        <v>3.9</v>
      </c>
      <c r="J966" s="27">
        <f t="shared" si="5"/>
        <v>45854</v>
      </c>
      <c r="K966" s="27">
        <f t="shared" si="6"/>
        <v>45884</v>
      </c>
    </row>
    <row r="967" hidden="1">
      <c r="A967" s="3" t="str">
        <f t="shared" si="3"/>
        <v>SL-20250721-FMC-CS-CDS-001-10</v>
      </c>
      <c r="B967" s="2">
        <f t="array" ref="B967">INDEX(helper!$A$3:$A3996,ROUNDUP((ROW()-1)/COUNTA(helper!$D$3:$D3996),0))</f>
        <v>45859</v>
      </c>
      <c r="C967" s="5" t="str">
        <f t="array" ref="C967">IF(B967="","",INDEX(helper!$D$3:$D3996,MOD(ROW()-2,COUNTA(helper!$D$3:$D3996))+1))</f>
        <v>FMC</v>
      </c>
      <c r="D967" s="3" t="str">
        <f t="array" ref="D967">IF(B967="","",INDEX(helper!$E$3:$E3996,MOD(ROW()-2,COUNTA(helper!$D$3:$D3996))+1))</f>
        <v>CS-CDS-001</v>
      </c>
      <c r="E967" s="3">
        <f t="array" ref="E967">IF(B967="","",INDEX(helper!$F$3:$F3996,MOD(ROW()-2,COUNTA(helper!$D$3:$D3996))+1))</f>
        <v>10</v>
      </c>
      <c r="F967" s="3">
        <f>IF(B967="","",SUMIFS('inventory ledger'!$H:$H,'inventory ledger'!$C:$C,C967,'inventory ledger'!$D:$D,D967,'inventory ledger'!$E:$E,E967,'inventory ledger'!$A:$A,"&lt;="&amp;B967+TIME(23,59,59))-SUMIFS('inventory ledger'!$I:$I,'inventory ledger'!$C:$C,C967,'inventory ledger'!$D:$D,D967,'inventory ledger'!$E:$E,E967,'inventory ledger'!$A:$A,"&lt;="&amp;B967+TIME(23,59,59)))</f>
        <v>0</v>
      </c>
      <c r="G967" s="3">
        <f>IFERROR(__xludf.DUMMYFUNCTION("IF(F967&lt;=0,0,IFERROR(ROUNDUP(F967/INDEX(FILTER('warehouse config'!$D:$D,('warehouse config'!$B:$B=C967)*('warehouse config'!$C:$C=D967)*('warehouse config'!$G:$G&lt;=B967)*(('warehouse config'!$H:$H&gt;=B967)+ISBLANK('warehouse config'!$H:$H))),1)),0))"),0.0)</f>
        <v>0</v>
      </c>
      <c r="H967" s="3">
        <f>IFERROR(__xludf.DUMMYFUNCTION("IFERROR(INDEX(FILTER('cost master'!$E:$E,('cost master'!$B:$B=C967)*('cost master'!$D:$D=""Storage cost per pallet / week"")*('cost master'!$G:$G&lt;=B967)*(('cost master'!$H:$H&gt;=B967)+ISBLANK('cost master'!$H:$H))),1),0)"),3.9)</f>
        <v>3.9</v>
      </c>
      <c r="I967" s="3">
        <f t="shared" si="4"/>
        <v>0</v>
      </c>
      <c r="J967" s="27">
        <f t="shared" si="5"/>
        <v>45854</v>
      </c>
      <c r="K967" s="27">
        <f t="shared" si="6"/>
        <v>45884</v>
      </c>
    </row>
    <row r="968">
      <c r="A968" s="3" t="str">
        <f t="shared" si="3"/>
        <v>SL-20250721-FMC-CS 007-11</v>
      </c>
      <c r="B968" s="2">
        <f t="array" ref="B968">INDEX(helper!$A$3:$A3996,ROUNDUP((ROW()-1)/COUNTA(helper!$D$3:$D3996),0))</f>
        <v>45859</v>
      </c>
      <c r="C968" s="5" t="str">
        <f t="array" ref="C968">IF(B968="","",INDEX(helper!$D$3:$D3996,MOD(ROW()-2,COUNTA(helper!$D$3:$D3996))+1))</f>
        <v>FMC</v>
      </c>
      <c r="D968" s="3" t="str">
        <f t="array" ref="D968">IF(B968="","",INDEX(helper!$E$3:$E3996,MOD(ROW()-2,COUNTA(helper!$D$3:$D3996))+1))</f>
        <v>CS 007</v>
      </c>
      <c r="E968" s="3">
        <f t="array" ref="E968">IF(B968="","",INDEX(helper!$F$3:$F3996,MOD(ROW()-2,COUNTA(helper!$D$3:$D3996))+1))</f>
        <v>11</v>
      </c>
      <c r="F968" s="3">
        <f>IF(B968="","",SUMIFS('inventory ledger'!$H:$H,'inventory ledger'!$C:$C,C968,'inventory ledger'!$D:$D,D968,'inventory ledger'!$E:$E,E968,'inventory ledger'!$A:$A,"&lt;="&amp;B968+TIME(23,59,59))-SUMIFS('inventory ledger'!$I:$I,'inventory ledger'!$C:$C,C968,'inventory ledger'!$D:$D,D968,'inventory ledger'!$E:$E,E968,'inventory ledger'!$A:$A,"&lt;="&amp;B968+TIME(23,59,59)))</f>
        <v>-1</v>
      </c>
      <c r="G968" s="3">
        <f>IFERROR(__xludf.DUMMYFUNCTION("IF(F968&lt;=0,0,IFERROR(ROUNDUP(F968/INDEX(FILTER('warehouse config'!$D:$D,('warehouse config'!$B:$B=C968)*('warehouse config'!$C:$C=D968)*('warehouse config'!$G:$G&lt;=B968)*(('warehouse config'!$H:$H&gt;=B968)+ISBLANK('warehouse config'!$H:$H))),1)),0))"),0.0)</f>
        <v>0</v>
      </c>
      <c r="H968" s="3">
        <f>IFERROR(__xludf.DUMMYFUNCTION("IFERROR(INDEX(FILTER('cost master'!$E:$E,('cost master'!$B:$B=C968)*('cost master'!$D:$D=""Storage cost per pallet / week"")*('cost master'!$G:$G&lt;=B968)*(('cost master'!$H:$H&gt;=B968)+ISBLANK('cost master'!$H:$H))),1),0)"),3.9)</f>
        <v>3.9</v>
      </c>
      <c r="I968" s="3">
        <f t="shared" si="4"/>
        <v>0</v>
      </c>
      <c r="J968" s="27">
        <f t="shared" si="5"/>
        <v>45854</v>
      </c>
      <c r="K968" s="27">
        <f t="shared" si="6"/>
        <v>45884</v>
      </c>
    </row>
    <row r="969" hidden="1">
      <c r="A969" s="3" t="str">
        <f t="shared" si="3"/>
        <v>SL-20250721-FMC-CS 009-11</v>
      </c>
      <c r="B969" s="2">
        <f t="array" ref="B969">INDEX(helper!$A$3:$A3996,ROUNDUP((ROW()-1)/COUNTA(helper!$D$3:$D3996),0))</f>
        <v>45859</v>
      </c>
      <c r="C969" s="5" t="str">
        <f t="array" ref="C969">IF(B969="","",INDEX(helper!$D$3:$D3996,MOD(ROW()-2,COUNTA(helper!$D$3:$D3996))+1))</f>
        <v>FMC</v>
      </c>
      <c r="D969" s="3" t="str">
        <f t="array" ref="D969">IF(B969="","",INDEX(helper!$E$3:$E3996,MOD(ROW()-2,COUNTA(helper!$D$3:$D3996))+1))</f>
        <v>CS 009</v>
      </c>
      <c r="E969" s="3">
        <f t="array" ref="E969">IF(B969="","",INDEX(helper!$F$3:$F3996,MOD(ROW()-2,COUNTA(helper!$D$3:$D3996))+1))</f>
        <v>11</v>
      </c>
      <c r="F969" s="3">
        <f>IF(B969="","",SUMIFS('inventory ledger'!$H:$H,'inventory ledger'!$C:$C,C969,'inventory ledger'!$D:$D,D969,'inventory ledger'!$E:$E,E969,'inventory ledger'!$A:$A,"&lt;="&amp;B969+TIME(23,59,59))-SUMIFS('inventory ledger'!$I:$I,'inventory ledger'!$C:$C,C969,'inventory ledger'!$D:$D,D969,'inventory ledger'!$E:$E,E969,'inventory ledger'!$A:$A,"&lt;="&amp;B969+TIME(23,59,59)))</f>
        <v>0</v>
      </c>
      <c r="G969" s="3">
        <f>IFERROR(__xludf.DUMMYFUNCTION("IF(F969&lt;=0,0,IFERROR(ROUNDUP(F969/INDEX(FILTER('warehouse config'!$D:$D,('warehouse config'!$B:$B=C969)*('warehouse config'!$C:$C=D969)*('warehouse config'!$G:$G&lt;=B969)*(('warehouse config'!$H:$H&gt;=B969)+ISBLANK('warehouse config'!$H:$H))),1)),0))"),0.0)</f>
        <v>0</v>
      </c>
      <c r="H969" s="3">
        <f>IFERROR(__xludf.DUMMYFUNCTION("IFERROR(INDEX(FILTER('cost master'!$E:$E,('cost master'!$B:$B=C969)*('cost master'!$D:$D=""Storage cost per pallet / week"")*('cost master'!$G:$G&lt;=B969)*(('cost master'!$H:$H&gt;=B969)+ISBLANK('cost master'!$H:$H))),1),0)"),3.9)</f>
        <v>3.9</v>
      </c>
      <c r="I969" s="3">
        <f t="shared" si="4"/>
        <v>0</v>
      </c>
      <c r="J969" s="27">
        <f t="shared" si="5"/>
        <v>45854</v>
      </c>
      <c r="K969" s="27">
        <f t="shared" si="6"/>
        <v>45884</v>
      </c>
    </row>
    <row r="970" hidden="1">
      <c r="A970" s="3" t="str">
        <f t="shared" si="3"/>
        <v>SL-20250721-FMC-CS 010-11</v>
      </c>
      <c r="B970" s="2">
        <f t="array" ref="B970">INDEX(helper!$A$3:$A3996,ROUNDUP((ROW()-1)/COUNTA(helper!$D$3:$D3996),0))</f>
        <v>45859</v>
      </c>
      <c r="C970" s="5" t="str">
        <f t="array" ref="C970">IF(B970="","",INDEX(helper!$D$3:$D3996,MOD(ROW()-2,COUNTA(helper!$D$3:$D3996))+1))</f>
        <v>FMC</v>
      </c>
      <c r="D970" s="3" t="str">
        <f t="array" ref="D970">IF(B970="","",INDEX(helper!$E$3:$E3996,MOD(ROW()-2,COUNTA(helper!$D$3:$D3996))+1))</f>
        <v>CS 010</v>
      </c>
      <c r="E970" s="3">
        <f t="array" ref="E970">IF(B970="","",INDEX(helper!$F$3:$F3996,MOD(ROW()-2,COUNTA(helper!$D$3:$D3996))+1))</f>
        <v>11</v>
      </c>
      <c r="F970" s="3">
        <f>IF(B970="","",SUMIFS('inventory ledger'!$H:$H,'inventory ledger'!$C:$C,C970,'inventory ledger'!$D:$D,D970,'inventory ledger'!$E:$E,E970,'inventory ledger'!$A:$A,"&lt;="&amp;B970+TIME(23,59,59))-SUMIFS('inventory ledger'!$I:$I,'inventory ledger'!$C:$C,C970,'inventory ledger'!$D:$D,D970,'inventory ledger'!$E:$E,E970,'inventory ledger'!$A:$A,"&lt;="&amp;B970+TIME(23,59,59)))</f>
        <v>6</v>
      </c>
      <c r="G970" s="3">
        <f>IFERROR(__xludf.DUMMYFUNCTION("IF(F970&lt;=0,0,IFERROR(ROUNDUP(F970/INDEX(FILTER('warehouse config'!$D:$D,('warehouse config'!$B:$B=C970)*('warehouse config'!$C:$C=D970)*('warehouse config'!$G:$G&lt;=B970)*(('warehouse config'!$H:$H&gt;=B970)+ISBLANK('warehouse config'!$H:$H))),1)),0))"),1.0)</f>
        <v>1</v>
      </c>
      <c r="H970" s="3">
        <f>IFERROR(__xludf.DUMMYFUNCTION("IFERROR(INDEX(FILTER('cost master'!$E:$E,('cost master'!$B:$B=C970)*('cost master'!$D:$D=""Storage cost per pallet / week"")*('cost master'!$G:$G&lt;=B970)*(('cost master'!$H:$H&gt;=B970)+ISBLANK('cost master'!$H:$H))),1),0)"),3.9)</f>
        <v>3.9</v>
      </c>
      <c r="I970" s="3">
        <f t="shared" si="4"/>
        <v>3.9</v>
      </c>
      <c r="J970" s="27">
        <f t="shared" si="5"/>
        <v>45854</v>
      </c>
      <c r="K970" s="27">
        <f t="shared" si="6"/>
        <v>45884</v>
      </c>
    </row>
    <row r="971" hidden="1">
      <c r="A971" s="3" t="str">
        <f t="shared" si="3"/>
        <v>SL-20250721-Vglobal-CS 007-12</v>
      </c>
      <c r="B971" s="2">
        <f t="array" ref="B971">INDEX(helper!$A$3:$A3996,ROUNDUP((ROW()-1)/COUNTA(helper!$D$3:$D3996),0))</f>
        <v>45859</v>
      </c>
      <c r="C971" s="5" t="str">
        <f t="array" ref="C971">IF(B971="","",INDEX(helper!$D$3:$D3996,MOD(ROW()-2,COUNTA(helper!$D$3:$D3996))+1))</f>
        <v>Vglobal</v>
      </c>
      <c r="D971" s="3" t="str">
        <f t="array" ref="D971">IF(B971="","",INDEX(helper!$E$3:$E3996,MOD(ROW()-2,COUNTA(helper!$D$3:$D3996))+1))</f>
        <v>CS 007</v>
      </c>
      <c r="E971" s="3">
        <f t="array" ref="E971">IF(B971="","",INDEX(helper!$F$3:$F3996,MOD(ROW()-2,COUNTA(helper!$D$3:$D3996))+1))</f>
        <v>12</v>
      </c>
      <c r="F971" s="3">
        <f>IF(B971="","",SUMIFS('inventory ledger'!$H:$H,'inventory ledger'!$C:$C,C971,'inventory ledger'!$D:$D,D971,'inventory ledger'!$E:$E,E971,'inventory ledger'!$A:$A,"&lt;="&amp;B971+TIME(23,59,59))-SUMIFS('inventory ledger'!$I:$I,'inventory ledger'!$C:$C,C971,'inventory ledger'!$D:$D,D971,'inventory ledger'!$E:$E,E971,'inventory ledger'!$A:$A,"&lt;="&amp;B971+TIME(23,59,59)))</f>
        <v>0</v>
      </c>
      <c r="G971" s="3">
        <f>IFERROR(__xludf.DUMMYFUNCTION("IF(F971&lt;=0,0,IFERROR(ROUNDUP(F971/INDEX(FILTER('warehouse config'!$D:$D,('warehouse config'!$B:$B=C971)*('warehouse config'!$C:$C=D971)*('warehouse config'!$G:$G&lt;=B971)*(('warehouse config'!$H:$H&gt;=B971)+ISBLANK('warehouse config'!$H:$H))),1)),0))"),0.0)</f>
        <v>0</v>
      </c>
      <c r="H971" s="3">
        <f>IFERROR(__xludf.DUMMYFUNCTION("IFERROR(INDEX(FILTER('cost master'!$E:$E,('cost master'!$B:$B=C971)*('cost master'!$D:$D=""Storage cost per pallet / week"")*('cost master'!$G:$G&lt;=B971)*(('cost master'!$H:$H&gt;=B971)+ISBLANK('cost master'!$H:$H))),1),0)"),2.6)</f>
        <v>2.6</v>
      </c>
      <c r="I971" s="3">
        <f t="shared" si="4"/>
        <v>0</v>
      </c>
      <c r="J971" s="27">
        <f t="shared" si="5"/>
        <v>45854</v>
      </c>
      <c r="K971" s="27">
        <f t="shared" si="6"/>
        <v>45884</v>
      </c>
    </row>
    <row r="972" hidden="1">
      <c r="A972" s="3" t="str">
        <f t="shared" si="3"/>
        <v>SL-20250721-Vglobal-CS 011-12</v>
      </c>
      <c r="B972" s="2">
        <f t="array" ref="B972">INDEX(helper!$A$3:$A3996,ROUNDUP((ROW()-1)/COUNTA(helper!$D$3:$D3996),0))</f>
        <v>45859</v>
      </c>
      <c r="C972" s="5" t="str">
        <f t="array" ref="C972">IF(B972="","",INDEX(helper!$D$3:$D3996,MOD(ROW()-2,COUNTA(helper!$D$3:$D3996))+1))</f>
        <v>Vglobal</v>
      </c>
      <c r="D972" s="3" t="str">
        <f t="array" ref="D972">IF(B972="","",INDEX(helper!$E$3:$E3996,MOD(ROW()-2,COUNTA(helper!$D$3:$D3996))+1))</f>
        <v>CS 011</v>
      </c>
      <c r="E972" s="3">
        <f t="array" ref="E972">IF(B972="","",INDEX(helper!$F$3:$F3996,MOD(ROW()-2,COUNTA(helper!$D$3:$D3996))+1))</f>
        <v>12</v>
      </c>
      <c r="F972" s="3">
        <f>IF(B972="","",SUMIFS('inventory ledger'!$H:$H,'inventory ledger'!$C:$C,C972,'inventory ledger'!$D:$D,D972,'inventory ledger'!$E:$E,E972,'inventory ledger'!$A:$A,"&lt;="&amp;B972+TIME(23,59,59))-SUMIFS('inventory ledger'!$I:$I,'inventory ledger'!$C:$C,C972,'inventory ledger'!$D:$D,D972,'inventory ledger'!$E:$E,E972,'inventory ledger'!$A:$A,"&lt;="&amp;B972+TIME(23,59,59)))</f>
        <v>0</v>
      </c>
      <c r="G972" s="3">
        <f>IFERROR(__xludf.DUMMYFUNCTION("IF(F972&lt;=0,0,IFERROR(ROUNDUP(F972/INDEX(FILTER('warehouse config'!$D:$D,('warehouse config'!$B:$B=C972)*('warehouse config'!$C:$C=D972)*('warehouse config'!$G:$G&lt;=B972)*(('warehouse config'!$H:$H&gt;=B972)+ISBLANK('warehouse config'!$H:$H))),1)),0))"),0.0)</f>
        <v>0</v>
      </c>
      <c r="H972" s="3">
        <f>IFERROR(__xludf.DUMMYFUNCTION("IFERROR(INDEX(FILTER('cost master'!$E:$E,('cost master'!$B:$B=C972)*('cost master'!$D:$D=""Storage cost per pallet / week"")*('cost master'!$G:$G&lt;=B972)*(('cost master'!$H:$H&gt;=B972)+ISBLANK('cost master'!$H:$H))),1),0)"),2.6)</f>
        <v>2.6</v>
      </c>
      <c r="I972" s="3">
        <f t="shared" si="4"/>
        <v>0</v>
      </c>
      <c r="J972" s="27">
        <f t="shared" si="5"/>
        <v>45854</v>
      </c>
      <c r="K972" s="27">
        <f t="shared" si="6"/>
        <v>45884</v>
      </c>
    </row>
    <row r="973" hidden="1">
      <c r="A973" s="3" t="str">
        <f t="shared" si="3"/>
        <v>SL-20250721-Vglobal-CS 008-12</v>
      </c>
      <c r="B973" s="2">
        <f t="array" ref="B973">INDEX(helper!$A$3:$A3996,ROUNDUP((ROW()-1)/COUNTA(helper!$D$3:$D3996),0))</f>
        <v>45859</v>
      </c>
      <c r="C973" s="5" t="str">
        <f t="array" ref="C973">IF(B973="","",INDEX(helper!$D$3:$D3996,MOD(ROW()-2,COUNTA(helper!$D$3:$D3996))+1))</f>
        <v>Vglobal</v>
      </c>
      <c r="D973" s="3" t="str">
        <f t="array" ref="D973">IF(B973="","",INDEX(helper!$E$3:$E3996,MOD(ROW()-2,COUNTA(helper!$D$3:$D3996))+1))</f>
        <v>CS 008</v>
      </c>
      <c r="E973" s="3">
        <f t="array" ref="E973">IF(B973="","",INDEX(helper!$F$3:$F3996,MOD(ROW()-2,COUNTA(helper!$D$3:$D3996))+1))</f>
        <v>12</v>
      </c>
      <c r="F973" s="3">
        <f>IF(B973="","",SUMIFS('inventory ledger'!$H:$H,'inventory ledger'!$C:$C,C973,'inventory ledger'!$D:$D,D973,'inventory ledger'!$E:$E,E973,'inventory ledger'!$A:$A,"&lt;="&amp;B973+TIME(23,59,59))-SUMIFS('inventory ledger'!$I:$I,'inventory ledger'!$C:$C,C973,'inventory ledger'!$D:$D,D973,'inventory ledger'!$E:$E,E973,'inventory ledger'!$A:$A,"&lt;="&amp;B973+TIME(23,59,59)))</f>
        <v>0</v>
      </c>
      <c r="G973" s="3">
        <f>IFERROR(__xludf.DUMMYFUNCTION("IF(F973&lt;=0,0,IFERROR(ROUNDUP(F973/INDEX(FILTER('warehouse config'!$D:$D,('warehouse config'!$B:$B=C973)*('warehouse config'!$C:$C=D973)*('warehouse config'!$G:$G&lt;=B973)*(('warehouse config'!$H:$H&gt;=B973)+ISBLANK('warehouse config'!$H:$H))),1)),0))"),0.0)</f>
        <v>0</v>
      </c>
      <c r="H973" s="3">
        <f>IFERROR(__xludf.DUMMYFUNCTION("IFERROR(INDEX(FILTER('cost master'!$E:$E,('cost master'!$B:$B=C973)*('cost master'!$D:$D=""Storage cost per pallet / week"")*('cost master'!$G:$G&lt;=B973)*(('cost master'!$H:$H&gt;=B973)+ISBLANK('cost master'!$H:$H))),1),0)"),2.6)</f>
        <v>2.6</v>
      </c>
      <c r="I973" s="3">
        <f t="shared" si="4"/>
        <v>0</v>
      </c>
      <c r="J973" s="27">
        <f t="shared" si="5"/>
        <v>45854</v>
      </c>
      <c r="K973" s="27">
        <f t="shared" si="6"/>
        <v>45884</v>
      </c>
    </row>
    <row r="974" hidden="1">
      <c r="A974" s="3" t="str">
        <f t="shared" si="3"/>
        <v>SL-20250721-Vglobal-CS 010-12</v>
      </c>
      <c r="B974" s="2">
        <f t="array" ref="B974">INDEX(helper!$A$3:$A3996,ROUNDUP((ROW()-1)/COUNTA(helper!$D$3:$D3996),0))</f>
        <v>45859</v>
      </c>
      <c r="C974" s="5" t="str">
        <f t="array" ref="C974">IF(B974="","",INDEX(helper!$D$3:$D3996,MOD(ROW()-2,COUNTA(helper!$D$3:$D3996))+1))</f>
        <v>Vglobal</v>
      </c>
      <c r="D974" s="3" t="str">
        <f t="array" ref="D974">IF(B974="","",INDEX(helper!$E$3:$E3996,MOD(ROW()-2,COUNTA(helper!$D$3:$D3996))+1))</f>
        <v>CS 010</v>
      </c>
      <c r="E974" s="3">
        <f t="array" ref="E974">IF(B974="","",INDEX(helper!$F$3:$F3996,MOD(ROW()-2,COUNTA(helper!$D$3:$D3996))+1))</f>
        <v>12</v>
      </c>
      <c r="F974" s="3">
        <f>IF(B974="","",SUMIFS('inventory ledger'!$H:$H,'inventory ledger'!$C:$C,C974,'inventory ledger'!$D:$D,D974,'inventory ledger'!$E:$E,E974,'inventory ledger'!$A:$A,"&lt;="&amp;B974+TIME(23,59,59))-SUMIFS('inventory ledger'!$I:$I,'inventory ledger'!$C:$C,C974,'inventory ledger'!$D:$D,D974,'inventory ledger'!$E:$E,E974,'inventory ledger'!$A:$A,"&lt;="&amp;B974+TIME(23,59,59)))</f>
        <v>70</v>
      </c>
      <c r="G974" s="3">
        <f>IFERROR(__xludf.DUMMYFUNCTION("IF(F974&lt;=0,0,IFERROR(ROUNDUP(F974/INDEX(FILTER('warehouse config'!$D:$D,('warehouse config'!$B:$B=C974)*('warehouse config'!$C:$C=D974)*('warehouse config'!$G:$G&lt;=B974)*(('warehouse config'!$H:$H&gt;=B974)+ISBLANK('warehouse config'!$H:$H))),1)),0))"),3.0)</f>
        <v>3</v>
      </c>
      <c r="H974" s="3">
        <f>IFERROR(__xludf.DUMMYFUNCTION("IFERROR(INDEX(FILTER('cost master'!$E:$E,('cost master'!$B:$B=C974)*('cost master'!$D:$D=""Storage cost per pallet / week"")*('cost master'!$G:$G&lt;=B974)*(('cost master'!$H:$H&gt;=B974)+ISBLANK('cost master'!$H:$H))),1),0)"),2.6)</f>
        <v>2.6</v>
      </c>
      <c r="I974" s="3">
        <f t="shared" si="4"/>
        <v>7.8</v>
      </c>
      <c r="J974" s="27">
        <f t="shared" si="5"/>
        <v>45854</v>
      </c>
      <c r="K974" s="27">
        <f t="shared" si="6"/>
        <v>45884</v>
      </c>
    </row>
    <row r="975" hidden="1">
      <c r="A975" s="3" t="str">
        <f t="shared" si="3"/>
        <v>SL-20250721-Vglobal-CS 009-12</v>
      </c>
      <c r="B975" s="2">
        <f t="array" ref="B975">INDEX(helper!$A$3:$A3996,ROUNDUP((ROW()-1)/COUNTA(helper!$D$3:$D3996),0))</f>
        <v>45859</v>
      </c>
      <c r="C975" s="5" t="str">
        <f t="array" ref="C975">IF(B975="","",INDEX(helper!$D$3:$D3996,MOD(ROW()-2,COUNTA(helper!$D$3:$D3996))+1))</f>
        <v>Vglobal</v>
      </c>
      <c r="D975" s="3" t="str">
        <f t="array" ref="D975">IF(B975="","",INDEX(helper!$E$3:$E3996,MOD(ROW()-2,COUNTA(helper!$D$3:$D3996))+1))</f>
        <v>CS 009</v>
      </c>
      <c r="E975" s="3">
        <f t="array" ref="E975">IF(B975="","",INDEX(helper!$F$3:$F3996,MOD(ROW()-2,COUNTA(helper!$D$3:$D3996))+1))</f>
        <v>12</v>
      </c>
      <c r="F975" s="3">
        <f>IF(B975="","",SUMIFS('inventory ledger'!$H:$H,'inventory ledger'!$C:$C,C975,'inventory ledger'!$D:$D,D975,'inventory ledger'!$E:$E,E975,'inventory ledger'!$A:$A,"&lt;="&amp;B975+TIME(23,59,59))-SUMIFS('inventory ledger'!$I:$I,'inventory ledger'!$C:$C,C975,'inventory ledger'!$D:$D,D975,'inventory ledger'!$E:$E,E975,'inventory ledger'!$A:$A,"&lt;="&amp;B975+TIME(23,59,59)))</f>
        <v>0</v>
      </c>
      <c r="G975" s="3">
        <f>IFERROR(__xludf.DUMMYFUNCTION("IF(F975&lt;=0,0,IFERROR(ROUNDUP(F975/INDEX(FILTER('warehouse config'!$D:$D,('warehouse config'!$B:$B=C975)*('warehouse config'!$C:$C=D975)*('warehouse config'!$G:$G&lt;=B975)*(('warehouse config'!$H:$H&gt;=B975)+ISBLANK('warehouse config'!$H:$H))),1)),0))"),0.0)</f>
        <v>0</v>
      </c>
      <c r="H975" s="3">
        <f>IFERROR(__xludf.DUMMYFUNCTION("IFERROR(INDEX(FILTER('cost master'!$E:$E,('cost master'!$B:$B=C975)*('cost master'!$D:$D=""Storage cost per pallet / week"")*('cost master'!$G:$G&lt;=B975)*(('cost master'!$H:$H&gt;=B975)+ISBLANK('cost master'!$H:$H))),1),0)"),2.6)</f>
        <v>2.6</v>
      </c>
      <c r="I975" s="3">
        <f t="shared" si="4"/>
        <v>0</v>
      </c>
      <c r="J975" s="27">
        <f t="shared" si="5"/>
        <v>45854</v>
      </c>
      <c r="K975" s="27">
        <f t="shared" si="6"/>
        <v>45884</v>
      </c>
    </row>
    <row r="976" hidden="1">
      <c r="A976" s="3" t="str">
        <f t="shared" si="3"/>
        <v>SL-20250721-Vglobal-CS 012-12</v>
      </c>
      <c r="B976" s="2">
        <f t="array" ref="B976">INDEX(helper!$A$3:$A3996,ROUNDUP((ROW()-1)/COUNTA(helper!$D$3:$D3996),0))</f>
        <v>45859</v>
      </c>
      <c r="C976" s="5" t="str">
        <f t="array" ref="C976">IF(B976="","",INDEX(helper!$D$3:$D3996,MOD(ROW()-2,COUNTA(helper!$D$3:$D3996))+1))</f>
        <v>Vglobal</v>
      </c>
      <c r="D976" s="3" t="str">
        <f t="array" ref="D976">IF(B976="","",INDEX(helper!$E$3:$E3996,MOD(ROW()-2,COUNTA(helper!$D$3:$D3996))+1))</f>
        <v>CS 012</v>
      </c>
      <c r="E976" s="3">
        <f t="array" ref="E976">IF(B976="","",INDEX(helper!$F$3:$F3996,MOD(ROW()-2,COUNTA(helper!$D$3:$D3996))+1))</f>
        <v>12</v>
      </c>
      <c r="F976" s="3">
        <f>IF(B976="","",SUMIFS('inventory ledger'!$H:$H,'inventory ledger'!$C:$C,C976,'inventory ledger'!$D:$D,D976,'inventory ledger'!$E:$E,E976,'inventory ledger'!$A:$A,"&lt;="&amp;B976+TIME(23,59,59))-SUMIFS('inventory ledger'!$I:$I,'inventory ledger'!$C:$C,C976,'inventory ledger'!$D:$D,D976,'inventory ledger'!$E:$E,E976,'inventory ledger'!$A:$A,"&lt;="&amp;B976+TIME(23,59,59)))</f>
        <v>0</v>
      </c>
      <c r="G976" s="3">
        <f>IFERROR(__xludf.DUMMYFUNCTION("IF(F976&lt;=0,0,IFERROR(ROUNDUP(F976/INDEX(FILTER('warehouse config'!$D:$D,('warehouse config'!$B:$B=C976)*('warehouse config'!$C:$C=D976)*('warehouse config'!$G:$G&lt;=B976)*(('warehouse config'!$H:$H&gt;=B976)+ISBLANK('warehouse config'!$H:$H))),1)),0))"),0.0)</f>
        <v>0</v>
      </c>
      <c r="H976" s="3">
        <f>IFERROR(__xludf.DUMMYFUNCTION("IFERROR(INDEX(FILTER('cost master'!$E:$E,('cost master'!$B:$B=C976)*('cost master'!$D:$D=""Storage cost per pallet / week"")*('cost master'!$G:$G&lt;=B976)*(('cost master'!$H:$H&gt;=B976)+ISBLANK('cost master'!$H:$H))),1),0)"),2.6)</f>
        <v>2.6</v>
      </c>
      <c r="I976" s="3">
        <f t="shared" si="4"/>
        <v>0</v>
      </c>
      <c r="J976" s="27">
        <f t="shared" si="5"/>
        <v>45854</v>
      </c>
      <c r="K976" s="27">
        <f t="shared" si="6"/>
        <v>45884</v>
      </c>
    </row>
    <row r="977" hidden="1">
      <c r="A977" s="3" t="str">
        <f t="shared" si="3"/>
        <v>SL-20250721-Vglobal-CS-CDS-001-3</v>
      </c>
      <c r="B977" s="2">
        <f t="array" ref="B977">INDEX(helper!$A$3:$A3996,ROUNDUP((ROW()-1)/COUNTA(helper!$D$3:$D3996),0))</f>
        <v>45859</v>
      </c>
      <c r="C977" s="5" t="str">
        <f t="array" ref="C977">IF(B977="","",INDEX(helper!$D$3:$D3996,MOD(ROW()-2,COUNTA(helper!$D$3:$D3996))+1))</f>
        <v>Vglobal</v>
      </c>
      <c r="D977" s="3" t="str">
        <f t="array" ref="D977">IF(B977="","",INDEX(helper!$E$3:$E3996,MOD(ROW()-2,COUNTA(helper!$D$3:$D3996))+1))</f>
        <v>CS-CDS-001</v>
      </c>
      <c r="E977" s="3">
        <f t="array" ref="E977">IF(B977="","",INDEX(helper!$F$3:$F3996,MOD(ROW()-2,COUNTA(helper!$D$3:$D3996))+1))</f>
        <v>3</v>
      </c>
      <c r="F977" s="3">
        <f>IF(B977="","",SUMIFS('inventory ledger'!$H:$H,'inventory ledger'!$C:$C,C977,'inventory ledger'!$D:$D,D977,'inventory ledger'!$E:$E,E977,'inventory ledger'!$A:$A,"&lt;="&amp;B977+TIME(23,59,59))-SUMIFS('inventory ledger'!$I:$I,'inventory ledger'!$C:$C,C977,'inventory ledger'!$D:$D,D977,'inventory ledger'!$E:$E,E977,'inventory ledger'!$A:$A,"&lt;="&amp;B977+TIME(23,59,59)))</f>
        <v>1</v>
      </c>
      <c r="G977" s="3">
        <f>IFERROR(__xludf.DUMMYFUNCTION("IF(F977&lt;=0,0,IFERROR(ROUNDUP(F977/INDEX(FILTER('warehouse config'!$D:$D,('warehouse config'!$B:$B=C977)*('warehouse config'!$C:$C=D977)*('warehouse config'!$G:$G&lt;=B977)*(('warehouse config'!$H:$H&gt;=B977)+ISBLANK('warehouse config'!$H:$H))),1)),0))"),1.0)</f>
        <v>1</v>
      </c>
      <c r="H977" s="3">
        <f>IFERROR(__xludf.DUMMYFUNCTION("IFERROR(INDEX(FILTER('cost master'!$E:$E,('cost master'!$B:$B=C977)*('cost master'!$D:$D=""Storage cost per pallet / week"")*('cost master'!$G:$G&lt;=B977)*(('cost master'!$H:$H&gt;=B977)+ISBLANK('cost master'!$H:$H))),1),0)"),2.6)</f>
        <v>2.6</v>
      </c>
      <c r="I977" s="3">
        <f t="shared" si="4"/>
        <v>2.6</v>
      </c>
      <c r="J977" s="27">
        <f t="shared" si="5"/>
        <v>45854</v>
      </c>
      <c r="K977" s="27">
        <f t="shared" si="6"/>
        <v>45884</v>
      </c>
    </row>
    <row r="978" hidden="1">
      <c r="A978" s="3" t="str">
        <f t="shared" si="3"/>
        <v>SL-20250721-Vglobal-CS-CDS-002-3</v>
      </c>
      <c r="B978" s="2">
        <f t="array" ref="B978">INDEX(helper!$A$3:$A3996,ROUNDUP((ROW()-1)/COUNTA(helper!$D$3:$D3996),0))</f>
        <v>45859</v>
      </c>
      <c r="C978" s="5" t="str">
        <f t="array" ref="C978">IF(B978="","",INDEX(helper!$D$3:$D3996,MOD(ROW()-2,COUNTA(helper!$D$3:$D3996))+1))</f>
        <v>Vglobal</v>
      </c>
      <c r="D978" s="3" t="str">
        <f t="array" ref="D978">IF(B978="","",INDEX(helper!$E$3:$E3996,MOD(ROW()-2,COUNTA(helper!$D$3:$D3996))+1))</f>
        <v>CS-CDS-002</v>
      </c>
      <c r="E978" s="3">
        <f t="array" ref="E978">IF(B978="","",INDEX(helper!$F$3:$F3996,MOD(ROW()-2,COUNTA(helper!$D$3:$D3996))+1))</f>
        <v>3</v>
      </c>
      <c r="F978" s="3">
        <f>IF(B978="","",SUMIFS('inventory ledger'!$H:$H,'inventory ledger'!$C:$C,C978,'inventory ledger'!$D:$D,D978,'inventory ledger'!$E:$E,E978,'inventory ledger'!$A:$A,"&lt;="&amp;B978+TIME(23,59,59))-SUMIFS('inventory ledger'!$I:$I,'inventory ledger'!$C:$C,C978,'inventory ledger'!$D:$D,D978,'inventory ledger'!$E:$E,E978,'inventory ledger'!$A:$A,"&lt;="&amp;B978+TIME(23,59,59)))</f>
        <v>0</v>
      </c>
      <c r="G978" s="3">
        <f>IFERROR(__xludf.DUMMYFUNCTION("IF(F978&lt;=0,0,IFERROR(ROUNDUP(F978/INDEX(FILTER('warehouse config'!$D:$D,('warehouse config'!$B:$B=C978)*('warehouse config'!$C:$C=D978)*('warehouse config'!$G:$G&lt;=B978)*(('warehouse config'!$H:$H&gt;=B978)+ISBLANK('warehouse config'!$H:$H))),1)),0))"),0.0)</f>
        <v>0</v>
      </c>
      <c r="H978" s="3">
        <f>IFERROR(__xludf.DUMMYFUNCTION("IFERROR(INDEX(FILTER('cost master'!$E:$E,('cost master'!$B:$B=C978)*('cost master'!$D:$D=""Storage cost per pallet / week"")*('cost master'!$G:$G&lt;=B978)*(('cost master'!$H:$H&gt;=B978)+ISBLANK('cost master'!$H:$H))),1),0)"),2.6)</f>
        <v>2.6</v>
      </c>
      <c r="I978" s="3">
        <f t="shared" si="4"/>
        <v>0</v>
      </c>
      <c r="J978" s="27">
        <f t="shared" si="5"/>
        <v>45854</v>
      </c>
      <c r="K978" s="27">
        <f t="shared" si="6"/>
        <v>45884</v>
      </c>
    </row>
    <row r="979" hidden="1">
      <c r="A979" s="3" t="str">
        <f t="shared" si="3"/>
        <v>SL-20250721-4as-CS-CDS-001-4</v>
      </c>
      <c r="B979" s="2">
        <f t="array" ref="B979">INDEX(helper!$A$3:$A3996,ROUNDUP((ROW()-1)/COUNTA(helper!$D$3:$D3996),0))</f>
        <v>45859</v>
      </c>
      <c r="C979" s="5" t="str">
        <f t="array" ref="C979">IF(B979="","",INDEX(helper!$D$3:$D3996,MOD(ROW()-2,COUNTA(helper!$D$3:$D3996))+1))</f>
        <v>4as</v>
      </c>
      <c r="D979" s="3" t="str">
        <f t="array" ref="D979">IF(B979="","",INDEX(helper!$E$3:$E3996,MOD(ROW()-2,COUNTA(helper!$D$3:$D3996))+1))</f>
        <v>CS-CDS-001</v>
      </c>
      <c r="E979" s="3">
        <f t="array" ref="E979">IF(B979="","",INDEX(helper!$F$3:$F3996,MOD(ROW()-2,COUNTA(helper!$D$3:$D3996))+1))</f>
        <v>4</v>
      </c>
      <c r="F979" s="3">
        <f>IF(B979="","",SUMIFS('inventory ledger'!$H:$H,'inventory ledger'!$C:$C,C979,'inventory ledger'!$D:$D,D979,'inventory ledger'!$E:$E,E979,'inventory ledger'!$A:$A,"&lt;="&amp;B979+TIME(23,59,59))-SUMIFS('inventory ledger'!$I:$I,'inventory ledger'!$C:$C,C979,'inventory ledger'!$D:$D,D979,'inventory ledger'!$E:$E,E979,'inventory ledger'!$A:$A,"&lt;="&amp;B979+TIME(23,59,59)))</f>
        <v>0</v>
      </c>
      <c r="G979" s="3">
        <f>IFERROR(__xludf.DUMMYFUNCTION("IF(F979&lt;=0,0,IFERROR(ROUNDUP(F979/INDEX(FILTER('warehouse config'!$D:$D,('warehouse config'!$B:$B=C979)*('warehouse config'!$C:$C=D979)*('warehouse config'!$G:$G&lt;=B979)*(('warehouse config'!$H:$H&gt;=B979)+ISBLANK('warehouse config'!$H:$H))),1)),0))"),0.0)</f>
        <v>0</v>
      </c>
      <c r="H979" s="3">
        <f>IFERROR(__xludf.DUMMYFUNCTION("IFERROR(INDEX(FILTER('cost master'!$E:$E,('cost master'!$B:$B=C979)*('cost master'!$D:$D=""Storage cost per pallet / week"")*('cost master'!$G:$G&lt;=B979)*(('cost master'!$H:$H&gt;=B979)+ISBLANK('cost master'!$H:$H))),1),0)"),9.0)</f>
        <v>9</v>
      </c>
      <c r="I979" s="3">
        <f t="shared" si="4"/>
        <v>0</v>
      </c>
      <c r="J979" s="27">
        <f t="shared" si="5"/>
        <v>45854</v>
      </c>
      <c r="K979" s="27">
        <f t="shared" si="6"/>
        <v>45884</v>
      </c>
    </row>
    <row r="980" hidden="1">
      <c r="A980" s="3" t="str">
        <f t="shared" si="3"/>
        <v>SL-20250721-4as-CS-CDS-002-4</v>
      </c>
      <c r="B980" s="2">
        <f t="array" ref="B980">INDEX(helper!$A$3:$A3996,ROUNDUP((ROW()-1)/COUNTA(helper!$D$3:$D3996),0))</f>
        <v>45859</v>
      </c>
      <c r="C980" s="5" t="str">
        <f t="array" ref="C980">IF(B980="","",INDEX(helper!$D$3:$D3996,MOD(ROW()-2,COUNTA(helper!$D$3:$D3996))+1))</f>
        <v>4as</v>
      </c>
      <c r="D980" s="3" t="str">
        <f t="array" ref="D980">IF(B980="","",INDEX(helper!$E$3:$E3996,MOD(ROW()-2,COUNTA(helper!$D$3:$D3996))+1))</f>
        <v>CS-CDS-002</v>
      </c>
      <c r="E980" s="3">
        <f t="array" ref="E980">IF(B980="","",INDEX(helper!$F$3:$F3996,MOD(ROW()-2,COUNTA(helper!$D$3:$D3996))+1))</f>
        <v>4</v>
      </c>
      <c r="F980" s="3">
        <f>IF(B980="","",SUMIFS('inventory ledger'!$H:$H,'inventory ledger'!$C:$C,C980,'inventory ledger'!$D:$D,D980,'inventory ledger'!$E:$E,E980,'inventory ledger'!$A:$A,"&lt;="&amp;B980+TIME(23,59,59))-SUMIFS('inventory ledger'!$I:$I,'inventory ledger'!$C:$C,C980,'inventory ledger'!$D:$D,D980,'inventory ledger'!$E:$E,E980,'inventory ledger'!$A:$A,"&lt;="&amp;B980+TIME(23,59,59)))</f>
        <v>0</v>
      </c>
      <c r="G980" s="3">
        <f>IFERROR(__xludf.DUMMYFUNCTION("IF(F980&lt;=0,0,IFERROR(ROUNDUP(F980/INDEX(FILTER('warehouse config'!$D:$D,('warehouse config'!$B:$B=C980)*('warehouse config'!$C:$C=D980)*('warehouse config'!$G:$G&lt;=B980)*(('warehouse config'!$H:$H&gt;=B980)+ISBLANK('warehouse config'!$H:$H))),1)),0))"),0.0)</f>
        <v>0</v>
      </c>
      <c r="H980" s="3">
        <f>IFERROR(__xludf.DUMMYFUNCTION("IFERROR(INDEX(FILTER('cost master'!$E:$E,('cost master'!$B:$B=C980)*('cost master'!$D:$D=""Storage cost per pallet / week"")*('cost master'!$G:$G&lt;=B980)*(('cost master'!$H:$H&gt;=B980)+ISBLANK('cost master'!$H:$H))),1),0)"),9.0)</f>
        <v>9</v>
      </c>
      <c r="I980" s="3">
        <f t="shared" si="4"/>
        <v>0</v>
      </c>
      <c r="J980" s="27">
        <f t="shared" si="5"/>
        <v>45854</v>
      </c>
      <c r="K980" s="27">
        <f t="shared" si="6"/>
        <v>45884</v>
      </c>
    </row>
    <row r="981" hidden="1">
      <c r="A981" s="3" t="str">
        <f t="shared" si="3"/>
        <v>SL-20250721-Vglobal-CS 007-13</v>
      </c>
      <c r="B981" s="2">
        <f t="array" ref="B981">INDEX(helper!$A$3:$A3996,ROUNDUP((ROW()-1)/COUNTA(helper!$D$3:$D3996),0))</f>
        <v>45859</v>
      </c>
      <c r="C981" s="5" t="str">
        <f t="array" ref="C981">IF(B981="","",INDEX(helper!$D$3:$D3996,MOD(ROW()-2,COUNTA(helper!$D$3:$D3996))+1))</f>
        <v>Vglobal</v>
      </c>
      <c r="D981" s="3" t="str">
        <f t="array" ref="D981">IF(B981="","",INDEX(helper!$E$3:$E3996,MOD(ROW()-2,COUNTA(helper!$D$3:$D3996))+1))</f>
        <v>CS 007</v>
      </c>
      <c r="E981" s="3">
        <f t="array" ref="E981">IF(B981="","",INDEX(helper!$F$3:$F3996,MOD(ROW()-2,COUNTA(helper!$D$3:$D3996))+1))</f>
        <v>13</v>
      </c>
      <c r="F981" s="3">
        <f>IF(B981="","",SUMIFS('inventory ledger'!$H:$H,'inventory ledger'!$C:$C,C981,'inventory ledger'!$D:$D,D981,'inventory ledger'!$E:$E,E981,'inventory ledger'!$A:$A,"&lt;="&amp;B981+TIME(23,59,59))-SUMIFS('inventory ledger'!$I:$I,'inventory ledger'!$C:$C,C981,'inventory ledger'!$D:$D,D981,'inventory ledger'!$E:$E,E981,'inventory ledger'!$A:$A,"&lt;="&amp;B981+TIME(23,59,59)))</f>
        <v>45</v>
      </c>
      <c r="G981" s="3">
        <f>IFERROR(__xludf.DUMMYFUNCTION("IF(F981&lt;=0,0,IFERROR(ROUNDUP(F981/INDEX(FILTER('warehouse config'!$D:$D,('warehouse config'!$B:$B=C981)*('warehouse config'!$C:$C=D981)*('warehouse config'!$G:$G&lt;=B981)*(('warehouse config'!$H:$H&gt;=B981)+ISBLANK('warehouse config'!$H:$H))),1)),0))"),3.0)</f>
        <v>3</v>
      </c>
      <c r="H981" s="3">
        <f>IFERROR(__xludf.DUMMYFUNCTION("IFERROR(INDEX(FILTER('cost master'!$E:$E,('cost master'!$B:$B=C981)*('cost master'!$D:$D=""Storage cost per pallet / week"")*('cost master'!$G:$G&lt;=B981)*(('cost master'!$H:$H&gt;=B981)+ISBLANK('cost master'!$H:$H))),1),0)"),2.6)</f>
        <v>2.6</v>
      </c>
      <c r="I981" s="3">
        <f t="shared" si="4"/>
        <v>7.8</v>
      </c>
      <c r="J981" s="27">
        <f t="shared" si="5"/>
        <v>45854</v>
      </c>
      <c r="K981" s="27">
        <f t="shared" si="6"/>
        <v>45884</v>
      </c>
    </row>
    <row r="982" hidden="1">
      <c r="A982" s="3" t="str">
        <f t="shared" si="3"/>
        <v>SL-20250721-Vglobal-CS 011-13</v>
      </c>
      <c r="B982" s="2">
        <f t="array" ref="B982">INDEX(helper!$A$3:$A3996,ROUNDUP((ROW()-1)/COUNTA(helper!$D$3:$D3996),0))</f>
        <v>45859</v>
      </c>
      <c r="C982" s="5" t="str">
        <f t="array" ref="C982">IF(B982="","",INDEX(helper!$D$3:$D3996,MOD(ROW()-2,COUNTA(helper!$D$3:$D3996))+1))</f>
        <v>Vglobal</v>
      </c>
      <c r="D982" s="3" t="str">
        <f t="array" ref="D982">IF(B982="","",INDEX(helper!$E$3:$E3996,MOD(ROW()-2,COUNTA(helper!$D$3:$D3996))+1))</f>
        <v>CS 011</v>
      </c>
      <c r="E982" s="3">
        <f t="array" ref="E982">IF(B982="","",INDEX(helper!$F$3:$F3996,MOD(ROW()-2,COUNTA(helper!$D$3:$D3996))+1))</f>
        <v>13</v>
      </c>
      <c r="F982" s="3">
        <f>IF(B982="","",SUMIFS('inventory ledger'!$H:$H,'inventory ledger'!$C:$C,C982,'inventory ledger'!$D:$D,D982,'inventory ledger'!$E:$E,E982,'inventory ledger'!$A:$A,"&lt;="&amp;B982+TIME(23,59,59))-SUMIFS('inventory ledger'!$I:$I,'inventory ledger'!$C:$C,C982,'inventory ledger'!$D:$D,D982,'inventory ledger'!$E:$E,E982,'inventory ledger'!$A:$A,"&lt;="&amp;B982+TIME(23,59,59)))</f>
        <v>0</v>
      </c>
      <c r="G982" s="3">
        <f>IFERROR(__xludf.DUMMYFUNCTION("IF(F982&lt;=0,0,IFERROR(ROUNDUP(F982/INDEX(FILTER('warehouse config'!$D:$D,('warehouse config'!$B:$B=C982)*('warehouse config'!$C:$C=D982)*('warehouse config'!$G:$G&lt;=B982)*(('warehouse config'!$H:$H&gt;=B982)+ISBLANK('warehouse config'!$H:$H))),1)),0))"),0.0)</f>
        <v>0</v>
      </c>
      <c r="H982" s="3">
        <f>IFERROR(__xludf.DUMMYFUNCTION("IFERROR(INDEX(FILTER('cost master'!$E:$E,('cost master'!$B:$B=C982)*('cost master'!$D:$D=""Storage cost per pallet / week"")*('cost master'!$G:$G&lt;=B982)*(('cost master'!$H:$H&gt;=B982)+ISBLANK('cost master'!$H:$H))),1),0)"),2.6)</f>
        <v>2.6</v>
      </c>
      <c r="I982" s="3">
        <f t="shared" si="4"/>
        <v>0</v>
      </c>
      <c r="J982" s="27">
        <f t="shared" si="5"/>
        <v>45854</v>
      </c>
      <c r="K982" s="27">
        <f t="shared" si="6"/>
        <v>45884</v>
      </c>
    </row>
    <row r="983" hidden="1">
      <c r="A983" s="3" t="str">
        <f t="shared" si="3"/>
        <v>SL-20250721-Vglobal-CS 008-13</v>
      </c>
      <c r="B983" s="2">
        <f t="array" ref="B983">INDEX(helper!$A$3:$A3996,ROUNDUP((ROW()-1)/COUNTA(helper!$D$3:$D3996),0))</f>
        <v>45859</v>
      </c>
      <c r="C983" s="5" t="str">
        <f t="array" ref="C983">IF(B983="","",INDEX(helper!$D$3:$D3996,MOD(ROW()-2,COUNTA(helper!$D$3:$D3996))+1))</f>
        <v>Vglobal</v>
      </c>
      <c r="D983" s="3" t="str">
        <f t="array" ref="D983">IF(B983="","",INDEX(helper!$E$3:$E3996,MOD(ROW()-2,COUNTA(helper!$D$3:$D3996))+1))</f>
        <v>CS 008</v>
      </c>
      <c r="E983" s="3">
        <f t="array" ref="E983">IF(B983="","",INDEX(helper!$F$3:$F3996,MOD(ROW()-2,COUNTA(helper!$D$3:$D3996))+1))</f>
        <v>13</v>
      </c>
      <c r="F983" s="3">
        <f>IF(B983="","",SUMIFS('inventory ledger'!$H:$H,'inventory ledger'!$C:$C,C983,'inventory ledger'!$D:$D,D983,'inventory ledger'!$E:$E,E983,'inventory ledger'!$A:$A,"&lt;="&amp;B983+TIME(23,59,59))-SUMIFS('inventory ledger'!$I:$I,'inventory ledger'!$C:$C,C983,'inventory ledger'!$D:$D,D983,'inventory ledger'!$E:$E,E983,'inventory ledger'!$A:$A,"&lt;="&amp;B983+TIME(23,59,59)))</f>
        <v>20</v>
      </c>
      <c r="G983" s="3">
        <f>IFERROR(__xludf.DUMMYFUNCTION("IF(F983&lt;=0,0,IFERROR(ROUNDUP(F983/INDEX(FILTER('warehouse config'!$D:$D,('warehouse config'!$B:$B=C983)*('warehouse config'!$C:$C=D983)*('warehouse config'!$G:$G&lt;=B983)*(('warehouse config'!$H:$H&gt;=B983)+ISBLANK('warehouse config'!$H:$H))),1)),0))"),1.0)</f>
        <v>1</v>
      </c>
      <c r="H983" s="3">
        <f>IFERROR(__xludf.DUMMYFUNCTION("IFERROR(INDEX(FILTER('cost master'!$E:$E,('cost master'!$B:$B=C983)*('cost master'!$D:$D=""Storage cost per pallet / week"")*('cost master'!$G:$G&lt;=B983)*(('cost master'!$H:$H&gt;=B983)+ISBLANK('cost master'!$H:$H))),1),0)"),2.6)</f>
        <v>2.6</v>
      </c>
      <c r="I983" s="3">
        <f t="shared" si="4"/>
        <v>2.6</v>
      </c>
      <c r="J983" s="27">
        <f t="shared" si="5"/>
        <v>45854</v>
      </c>
      <c r="K983" s="27">
        <f t="shared" si="6"/>
        <v>45884</v>
      </c>
    </row>
    <row r="984" hidden="1">
      <c r="A984" s="3" t="str">
        <f t="shared" si="3"/>
        <v>SL-20250721-Vglobal-CS 010-13</v>
      </c>
      <c r="B984" s="2">
        <f t="array" ref="B984">INDEX(helper!$A$3:$A3996,ROUNDUP((ROW()-1)/COUNTA(helper!$D$3:$D3996),0))</f>
        <v>45859</v>
      </c>
      <c r="C984" s="5" t="str">
        <f t="array" ref="C984">IF(B984="","",INDEX(helper!$D$3:$D3996,MOD(ROW()-2,COUNTA(helper!$D$3:$D3996))+1))</f>
        <v>Vglobal</v>
      </c>
      <c r="D984" s="3" t="str">
        <f t="array" ref="D984">IF(B984="","",INDEX(helper!$E$3:$E3996,MOD(ROW()-2,COUNTA(helper!$D$3:$D3996))+1))</f>
        <v>CS 010</v>
      </c>
      <c r="E984" s="3">
        <f t="array" ref="E984">IF(B984="","",INDEX(helper!$F$3:$F3996,MOD(ROW()-2,COUNTA(helper!$D$3:$D3996))+1))</f>
        <v>13</v>
      </c>
      <c r="F984" s="3">
        <f>IF(B984="","",SUMIFS('inventory ledger'!$H:$H,'inventory ledger'!$C:$C,C984,'inventory ledger'!$D:$D,D984,'inventory ledger'!$E:$E,E984,'inventory ledger'!$A:$A,"&lt;="&amp;B984+TIME(23,59,59))-SUMIFS('inventory ledger'!$I:$I,'inventory ledger'!$C:$C,C984,'inventory ledger'!$D:$D,D984,'inventory ledger'!$E:$E,E984,'inventory ledger'!$A:$A,"&lt;="&amp;B984+TIME(23,59,59)))</f>
        <v>80</v>
      </c>
      <c r="G984" s="3">
        <f>IFERROR(__xludf.DUMMYFUNCTION("IF(F984&lt;=0,0,IFERROR(ROUNDUP(F984/INDEX(FILTER('warehouse config'!$D:$D,('warehouse config'!$B:$B=C984)*('warehouse config'!$C:$C=D984)*('warehouse config'!$G:$G&lt;=B984)*(('warehouse config'!$H:$H&gt;=B984)+ISBLANK('warehouse config'!$H:$H))),1)),0))"),4.0)</f>
        <v>4</v>
      </c>
      <c r="H984" s="3">
        <f>IFERROR(__xludf.DUMMYFUNCTION("IFERROR(INDEX(FILTER('cost master'!$E:$E,('cost master'!$B:$B=C984)*('cost master'!$D:$D=""Storage cost per pallet / week"")*('cost master'!$G:$G&lt;=B984)*(('cost master'!$H:$H&gt;=B984)+ISBLANK('cost master'!$H:$H))),1),0)"),2.6)</f>
        <v>2.6</v>
      </c>
      <c r="I984" s="3">
        <f t="shared" si="4"/>
        <v>10.4</v>
      </c>
      <c r="J984" s="27">
        <f t="shared" si="5"/>
        <v>45854</v>
      </c>
      <c r="K984" s="27">
        <f t="shared" si="6"/>
        <v>45884</v>
      </c>
    </row>
    <row r="985" hidden="1">
      <c r="A985" s="3" t="str">
        <f t="shared" si="3"/>
        <v>SL-20250721-Vglobal-CS 009-13</v>
      </c>
      <c r="B985" s="2">
        <f t="array" ref="B985">INDEX(helper!$A$3:$A3996,ROUNDUP((ROW()-1)/COUNTA(helper!$D$3:$D3996),0))</f>
        <v>45859</v>
      </c>
      <c r="C985" s="5" t="str">
        <f t="array" ref="C985">IF(B985="","",INDEX(helper!$D$3:$D3996,MOD(ROW()-2,COUNTA(helper!$D$3:$D3996))+1))</f>
        <v>Vglobal</v>
      </c>
      <c r="D985" s="3" t="str">
        <f t="array" ref="D985">IF(B985="","",INDEX(helper!$E$3:$E3996,MOD(ROW()-2,COUNTA(helper!$D$3:$D3996))+1))</f>
        <v>CS 009</v>
      </c>
      <c r="E985" s="3">
        <f t="array" ref="E985">IF(B985="","",INDEX(helper!$F$3:$F3996,MOD(ROW()-2,COUNTA(helper!$D$3:$D3996))+1))</f>
        <v>13</v>
      </c>
      <c r="F985" s="3">
        <f>IF(B985="","",SUMIFS('inventory ledger'!$H:$H,'inventory ledger'!$C:$C,C985,'inventory ledger'!$D:$D,D985,'inventory ledger'!$E:$E,E985,'inventory ledger'!$A:$A,"&lt;="&amp;B985+TIME(23,59,59))-SUMIFS('inventory ledger'!$I:$I,'inventory ledger'!$C:$C,C985,'inventory ledger'!$D:$D,D985,'inventory ledger'!$E:$E,E985,'inventory ledger'!$A:$A,"&lt;="&amp;B985+TIME(23,59,59)))</f>
        <v>0</v>
      </c>
      <c r="G985" s="3">
        <f>IFERROR(__xludf.DUMMYFUNCTION("IF(F985&lt;=0,0,IFERROR(ROUNDUP(F985/INDEX(FILTER('warehouse config'!$D:$D,('warehouse config'!$B:$B=C985)*('warehouse config'!$C:$C=D985)*('warehouse config'!$G:$G&lt;=B985)*(('warehouse config'!$H:$H&gt;=B985)+ISBLANK('warehouse config'!$H:$H))),1)),0))"),0.0)</f>
        <v>0</v>
      </c>
      <c r="H985" s="3">
        <f>IFERROR(__xludf.DUMMYFUNCTION("IFERROR(INDEX(FILTER('cost master'!$E:$E,('cost master'!$B:$B=C985)*('cost master'!$D:$D=""Storage cost per pallet / week"")*('cost master'!$G:$G&lt;=B985)*(('cost master'!$H:$H&gt;=B985)+ISBLANK('cost master'!$H:$H))),1),0)"),2.6)</f>
        <v>2.6</v>
      </c>
      <c r="I985" s="3">
        <f t="shared" si="4"/>
        <v>0</v>
      </c>
      <c r="J985" s="27">
        <f t="shared" si="5"/>
        <v>45854</v>
      </c>
      <c r="K985" s="27">
        <f t="shared" si="6"/>
        <v>45884</v>
      </c>
    </row>
    <row r="986" hidden="1">
      <c r="A986" s="3" t="str">
        <f t="shared" si="3"/>
        <v>SL-20250721-Vglobal-CS 012-13</v>
      </c>
      <c r="B986" s="2">
        <f t="array" ref="B986">INDEX(helper!$A$3:$A3996,ROUNDUP((ROW()-1)/COUNTA(helper!$D$3:$D3996),0))</f>
        <v>45859</v>
      </c>
      <c r="C986" s="5" t="str">
        <f t="array" ref="C986">IF(B986="","",INDEX(helper!$D$3:$D3996,MOD(ROW()-2,COUNTA(helper!$D$3:$D3996))+1))</f>
        <v>Vglobal</v>
      </c>
      <c r="D986" s="3" t="str">
        <f t="array" ref="D986">IF(B986="","",INDEX(helper!$E$3:$E3996,MOD(ROW()-2,COUNTA(helper!$D$3:$D3996))+1))</f>
        <v>CS 012</v>
      </c>
      <c r="E986" s="3">
        <f t="array" ref="E986">IF(B986="","",INDEX(helper!$F$3:$F3996,MOD(ROW()-2,COUNTA(helper!$D$3:$D3996))+1))</f>
        <v>13</v>
      </c>
      <c r="F986" s="3">
        <f>IF(B986="","",SUMIFS('inventory ledger'!$H:$H,'inventory ledger'!$C:$C,C986,'inventory ledger'!$D:$D,D986,'inventory ledger'!$E:$E,E986,'inventory ledger'!$A:$A,"&lt;="&amp;B986+TIME(23,59,59))-SUMIFS('inventory ledger'!$I:$I,'inventory ledger'!$C:$C,C986,'inventory ledger'!$D:$D,D986,'inventory ledger'!$E:$E,E986,'inventory ledger'!$A:$A,"&lt;="&amp;B986+TIME(23,59,59)))</f>
        <v>0</v>
      </c>
      <c r="G986" s="3">
        <f>IFERROR(__xludf.DUMMYFUNCTION("IF(F986&lt;=0,0,IFERROR(ROUNDUP(F986/INDEX(FILTER('warehouse config'!$D:$D,('warehouse config'!$B:$B=C986)*('warehouse config'!$C:$C=D986)*('warehouse config'!$G:$G&lt;=B986)*(('warehouse config'!$H:$H&gt;=B986)+ISBLANK('warehouse config'!$H:$H))),1)),0))"),0.0)</f>
        <v>0</v>
      </c>
      <c r="H986" s="3">
        <f>IFERROR(__xludf.DUMMYFUNCTION("IFERROR(INDEX(FILTER('cost master'!$E:$E,('cost master'!$B:$B=C986)*('cost master'!$D:$D=""Storage cost per pallet / week"")*('cost master'!$G:$G&lt;=B986)*(('cost master'!$H:$H&gt;=B986)+ISBLANK('cost master'!$H:$H))),1),0)"),2.6)</f>
        <v>2.6</v>
      </c>
      <c r="I986" s="3">
        <f t="shared" si="4"/>
        <v>0</v>
      </c>
      <c r="J986" s="27">
        <f t="shared" si="5"/>
        <v>45854</v>
      </c>
      <c r="K986" s="27">
        <f t="shared" si="6"/>
        <v>45884</v>
      </c>
    </row>
    <row r="987">
      <c r="A987" s="3" t="str">
        <f t="shared" si="3"/>
        <v>SL-20250721-FMC-CS 008-11</v>
      </c>
      <c r="B987" s="2">
        <f t="array" ref="B987">INDEX(helper!$A$3:$A3996,ROUNDUP((ROW()-1)/COUNTA(helper!$D$3:$D3996),0))</f>
        <v>45859</v>
      </c>
      <c r="C987" s="5" t="str">
        <f t="array" ref="C987">IF(B987="","",INDEX(helper!$D$3:$D3996,MOD(ROW()-2,COUNTA(helper!$D$3:$D3996))+1))</f>
        <v>FMC</v>
      </c>
      <c r="D987" s="3" t="str">
        <f t="array" ref="D987">IF(B987="","",INDEX(helper!$E$3:$E3996,MOD(ROW()-2,COUNTA(helper!$D$3:$D3996))+1))</f>
        <v>CS 008</v>
      </c>
      <c r="E987" s="3">
        <f t="array" ref="E987">IF(B987="","",INDEX(helper!$F$3:$F3996,MOD(ROW()-2,COUNTA(helper!$D$3:$D3996))+1))</f>
        <v>11</v>
      </c>
      <c r="F987" s="3">
        <f>IF(B987="","",SUMIFS('inventory ledger'!$H:$H,'inventory ledger'!$C:$C,C987,'inventory ledger'!$D:$D,D987,'inventory ledger'!$E:$E,E987,'inventory ledger'!$A:$A,"&lt;="&amp;B987+TIME(23,59,59))-SUMIFS('inventory ledger'!$I:$I,'inventory ledger'!$C:$C,C987,'inventory ledger'!$D:$D,D987,'inventory ledger'!$E:$E,E987,'inventory ledger'!$A:$A,"&lt;="&amp;B987+TIME(23,59,59)))</f>
        <v>-2</v>
      </c>
      <c r="G987" s="3">
        <f>IFERROR(__xludf.DUMMYFUNCTION("IF(F987&lt;=0,0,IFERROR(ROUNDUP(F987/INDEX(FILTER('warehouse config'!$D:$D,('warehouse config'!$B:$B=C987)*('warehouse config'!$C:$C=D987)*('warehouse config'!$G:$G&lt;=B987)*(('warehouse config'!$H:$H&gt;=B987)+ISBLANK('warehouse config'!$H:$H))),1)),0))"),0.0)</f>
        <v>0</v>
      </c>
      <c r="H987" s="3">
        <f>IFERROR(__xludf.DUMMYFUNCTION("IFERROR(INDEX(FILTER('cost master'!$E:$E,('cost master'!$B:$B=C987)*('cost master'!$D:$D=""Storage cost per pallet / week"")*('cost master'!$G:$G&lt;=B987)*(('cost master'!$H:$H&gt;=B987)+ISBLANK('cost master'!$H:$H))),1),0)"),3.9)</f>
        <v>3.9</v>
      </c>
      <c r="I987" s="3">
        <f t="shared" si="4"/>
        <v>0</v>
      </c>
      <c r="J987" s="27">
        <f t="shared" si="5"/>
        <v>45854</v>
      </c>
      <c r="K987" s="27">
        <f t="shared" si="6"/>
        <v>45884</v>
      </c>
    </row>
    <row r="988" hidden="1">
      <c r="A988" s="3" t="str">
        <f t="shared" si="3"/>
        <v>SL-20250728-FMC-CS 007-8</v>
      </c>
      <c r="B988" s="2">
        <f t="array" ref="B988">INDEX(helper!$A$3:$A3996,ROUNDUP((ROW()-1)/COUNTA(helper!$D$3:$D3996),0))</f>
        <v>45866</v>
      </c>
      <c r="C988" s="5" t="str">
        <f t="array" ref="C988">IF(B988="","",INDEX(helper!$D$3:$D3996,MOD(ROW()-2,COUNTA(helper!$D$3:$D3996))+1))</f>
        <v>FMC</v>
      </c>
      <c r="D988" s="3" t="str">
        <f t="array" ref="D988">IF(B988="","",INDEX(helper!$E$3:$E3996,MOD(ROW()-2,COUNTA(helper!$D$3:$D3996))+1))</f>
        <v>CS 007</v>
      </c>
      <c r="E988" s="3">
        <f t="array" ref="E988">IF(B988="","",INDEX(helper!$F$3:$F3996,MOD(ROW()-2,COUNTA(helper!$D$3:$D3996))+1))</f>
        <v>8</v>
      </c>
      <c r="F988" s="3">
        <f>IF(B988="","",SUMIFS('inventory ledger'!$H:$H,'inventory ledger'!$C:$C,C988,'inventory ledger'!$D:$D,D988,'inventory ledger'!$E:$E,E988,'inventory ledger'!$A:$A,"&lt;="&amp;B988+TIME(23,59,59))-SUMIFS('inventory ledger'!$I:$I,'inventory ledger'!$C:$C,C988,'inventory ledger'!$D:$D,D988,'inventory ledger'!$E:$E,E988,'inventory ledger'!$A:$A,"&lt;="&amp;B988+TIME(23,59,59)))</f>
        <v>0</v>
      </c>
      <c r="G988" s="3">
        <f>IFERROR(__xludf.DUMMYFUNCTION("IF(F988&lt;=0,0,IFERROR(ROUNDUP(F988/INDEX(FILTER('warehouse config'!$D:$D,('warehouse config'!$B:$B=C988)*('warehouse config'!$C:$C=D988)*('warehouse config'!$G:$G&lt;=B988)*(('warehouse config'!$H:$H&gt;=B988)+ISBLANK('warehouse config'!$H:$H))),1)),0))"),0.0)</f>
        <v>0</v>
      </c>
      <c r="H988" s="3">
        <f>IFERROR(__xludf.DUMMYFUNCTION("IFERROR(INDEX(FILTER('cost master'!$E:$E,('cost master'!$B:$B=C988)*('cost master'!$D:$D=""Storage cost per pallet / week"")*('cost master'!$G:$G&lt;=B988)*(('cost master'!$H:$H&gt;=B988)+ISBLANK('cost master'!$H:$H))),1),0)"),3.9)</f>
        <v>3.9</v>
      </c>
      <c r="I988" s="3">
        <f t="shared" si="4"/>
        <v>0</v>
      </c>
      <c r="J988" s="27">
        <f t="shared" si="5"/>
        <v>45854</v>
      </c>
      <c r="K988" s="27">
        <f t="shared" si="6"/>
        <v>45884</v>
      </c>
    </row>
    <row r="989" hidden="1">
      <c r="A989" s="3" t="str">
        <f t="shared" si="3"/>
        <v>SL-20250728-FMC-CS 008-8</v>
      </c>
      <c r="B989" s="2">
        <f t="array" ref="B989">INDEX(helper!$A$3:$A3996,ROUNDUP((ROW()-1)/COUNTA(helper!$D$3:$D3996),0))</f>
        <v>45866</v>
      </c>
      <c r="C989" s="5" t="str">
        <f t="array" ref="C989">IF(B989="","",INDEX(helper!$D$3:$D3996,MOD(ROW()-2,COUNTA(helper!$D$3:$D3996))+1))</f>
        <v>FMC</v>
      </c>
      <c r="D989" s="3" t="str">
        <f t="array" ref="D989">IF(B989="","",INDEX(helper!$E$3:$E3996,MOD(ROW()-2,COUNTA(helper!$D$3:$D3996))+1))</f>
        <v>CS 008</v>
      </c>
      <c r="E989" s="3">
        <f t="array" ref="E989">IF(B989="","",INDEX(helper!$F$3:$F3996,MOD(ROW()-2,COUNTA(helper!$D$3:$D3996))+1))</f>
        <v>8</v>
      </c>
      <c r="F989" s="3">
        <f>IF(B989="","",SUMIFS('inventory ledger'!$H:$H,'inventory ledger'!$C:$C,C989,'inventory ledger'!$D:$D,D989,'inventory ledger'!$E:$E,E989,'inventory ledger'!$A:$A,"&lt;="&amp;B989+TIME(23,59,59))-SUMIFS('inventory ledger'!$I:$I,'inventory ledger'!$C:$C,C989,'inventory ledger'!$D:$D,D989,'inventory ledger'!$E:$E,E989,'inventory ledger'!$A:$A,"&lt;="&amp;B989+TIME(23,59,59)))</f>
        <v>0</v>
      </c>
      <c r="G989" s="3">
        <f>IFERROR(__xludf.DUMMYFUNCTION("IF(F989&lt;=0,0,IFERROR(ROUNDUP(F989/INDEX(FILTER('warehouse config'!$D:$D,('warehouse config'!$B:$B=C989)*('warehouse config'!$C:$C=D989)*('warehouse config'!$G:$G&lt;=B989)*(('warehouse config'!$H:$H&gt;=B989)+ISBLANK('warehouse config'!$H:$H))),1)),0))"),0.0)</f>
        <v>0</v>
      </c>
      <c r="H989" s="3">
        <f>IFERROR(__xludf.DUMMYFUNCTION("IFERROR(INDEX(FILTER('cost master'!$E:$E,('cost master'!$B:$B=C989)*('cost master'!$D:$D=""Storage cost per pallet / week"")*('cost master'!$G:$G&lt;=B989)*(('cost master'!$H:$H&gt;=B989)+ISBLANK('cost master'!$H:$H))),1),0)"),3.9)</f>
        <v>3.9</v>
      </c>
      <c r="I989" s="3">
        <f t="shared" si="4"/>
        <v>0</v>
      </c>
      <c r="J989" s="27">
        <f t="shared" si="5"/>
        <v>45854</v>
      </c>
      <c r="K989" s="27">
        <f t="shared" si="6"/>
        <v>45884</v>
      </c>
    </row>
    <row r="990" hidden="1">
      <c r="A990" s="3" t="str">
        <f t="shared" si="3"/>
        <v>SL-20250728-FMC-CS 009-8</v>
      </c>
      <c r="B990" s="2">
        <f t="array" ref="B990">INDEX(helper!$A$3:$A3996,ROUNDUP((ROW()-1)/COUNTA(helper!$D$3:$D3996),0))</f>
        <v>45866</v>
      </c>
      <c r="C990" s="5" t="str">
        <f t="array" ref="C990">IF(B990="","",INDEX(helper!$D$3:$D3996,MOD(ROW()-2,COUNTA(helper!$D$3:$D3996))+1))</f>
        <v>FMC</v>
      </c>
      <c r="D990" s="3" t="str">
        <f t="array" ref="D990">IF(B990="","",INDEX(helper!$E$3:$E3996,MOD(ROW()-2,COUNTA(helper!$D$3:$D3996))+1))</f>
        <v>CS 009</v>
      </c>
      <c r="E990" s="3">
        <f t="array" ref="E990">IF(B990="","",INDEX(helper!$F$3:$F3996,MOD(ROW()-2,COUNTA(helper!$D$3:$D3996))+1))</f>
        <v>8</v>
      </c>
      <c r="F990" s="3">
        <f>IF(B990="","",SUMIFS('inventory ledger'!$H:$H,'inventory ledger'!$C:$C,C990,'inventory ledger'!$D:$D,D990,'inventory ledger'!$E:$E,E990,'inventory ledger'!$A:$A,"&lt;="&amp;B990+TIME(23,59,59))-SUMIFS('inventory ledger'!$I:$I,'inventory ledger'!$C:$C,C990,'inventory ledger'!$D:$D,D990,'inventory ledger'!$E:$E,E990,'inventory ledger'!$A:$A,"&lt;="&amp;B990+TIME(23,59,59)))</f>
        <v>0</v>
      </c>
      <c r="G990" s="3">
        <f>IFERROR(__xludf.DUMMYFUNCTION("IF(F990&lt;=0,0,IFERROR(ROUNDUP(F990/INDEX(FILTER('warehouse config'!$D:$D,('warehouse config'!$B:$B=C990)*('warehouse config'!$C:$C=D990)*('warehouse config'!$G:$G&lt;=B990)*(('warehouse config'!$H:$H&gt;=B990)+ISBLANK('warehouse config'!$H:$H))),1)),0))"),0.0)</f>
        <v>0</v>
      </c>
      <c r="H990" s="3">
        <f>IFERROR(__xludf.DUMMYFUNCTION("IFERROR(INDEX(FILTER('cost master'!$E:$E,('cost master'!$B:$B=C990)*('cost master'!$D:$D=""Storage cost per pallet / week"")*('cost master'!$G:$G&lt;=B990)*(('cost master'!$H:$H&gt;=B990)+ISBLANK('cost master'!$H:$H))),1),0)"),3.9)</f>
        <v>3.9</v>
      </c>
      <c r="I990" s="3">
        <f t="shared" si="4"/>
        <v>0</v>
      </c>
      <c r="J990" s="27">
        <f t="shared" si="5"/>
        <v>45854</v>
      </c>
      <c r="K990" s="27">
        <f t="shared" si="6"/>
        <v>45884</v>
      </c>
    </row>
    <row r="991" hidden="1">
      <c r="A991" s="3" t="str">
        <f t="shared" si="3"/>
        <v>SL-20250728-FMC-CS 010-8</v>
      </c>
      <c r="B991" s="2">
        <f t="array" ref="B991">INDEX(helper!$A$3:$A3996,ROUNDUP((ROW()-1)/COUNTA(helper!$D$3:$D3996),0))</f>
        <v>45866</v>
      </c>
      <c r="C991" s="5" t="str">
        <f t="array" ref="C991">IF(B991="","",INDEX(helper!$D$3:$D3996,MOD(ROW()-2,COUNTA(helper!$D$3:$D3996))+1))</f>
        <v>FMC</v>
      </c>
      <c r="D991" s="3" t="str">
        <f t="array" ref="D991">IF(B991="","",INDEX(helper!$E$3:$E3996,MOD(ROW()-2,COUNTA(helper!$D$3:$D3996))+1))</f>
        <v>CS 010</v>
      </c>
      <c r="E991" s="3">
        <f t="array" ref="E991">IF(B991="","",INDEX(helper!$F$3:$F3996,MOD(ROW()-2,COUNTA(helper!$D$3:$D3996))+1))</f>
        <v>8</v>
      </c>
      <c r="F991" s="3">
        <f>IF(B991="","",SUMIFS('inventory ledger'!$H:$H,'inventory ledger'!$C:$C,C991,'inventory ledger'!$D:$D,D991,'inventory ledger'!$E:$E,E991,'inventory ledger'!$A:$A,"&lt;="&amp;B991+TIME(23,59,59))-SUMIFS('inventory ledger'!$I:$I,'inventory ledger'!$C:$C,C991,'inventory ledger'!$D:$D,D991,'inventory ledger'!$E:$E,E991,'inventory ledger'!$A:$A,"&lt;="&amp;B991+TIME(23,59,59)))</f>
        <v>0</v>
      </c>
      <c r="G991" s="3">
        <f>IFERROR(__xludf.DUMMYFUNCTION("IF(F991&lt;=0,0,IFERROR(ROUNDUP(F991/INDEX(FILTER('warehouse config'!$D:$D,('warehouse config'!$B:$B=C991)*('warehouse config'!$C:$C=D991)*('warehouse config'!$G:$G&lt;=B991)*(('warehouse config'!$H:$H&gt;=B991)+ISBLANK('warehouse config'!$H:$H))),1)),0))"),0.0)</f>
        <v>0</v>
      </c>
      <c r="H991" s="3">
        <f>IFERROR(__xludf.DUMMYFUNCTION("IFERROR(INDEX(FILTER('cost master'!$E:$E,('cost master'!$B:$B=C991)*('cost master'!$D:$D=""Storage cost per pallet / week"")*('cost master'!$G:$G&lt;=B991)*(('cost master'!$H:$H&gt;=B991)+ISBLANK('cost master'!$H:$H))),1),0)"),3.9)</f>
        <v>3.9</v>
      </c>
      <c r="I991" s="3">
        <f t="shared" si="4"/>
        <v>0</v>
      </c>
      <c r="J991" s="27">
        <f t="shared" si="5"/>
        <v>45854</v>
      </c>
      <c r="K991" s="27">
        <f t="shared" si="6"/>
        <v>45884</v>
      </c>
    </row>
    <row r="992" hidden="1">
      <c r="A992" s="3" t="str">
        <f t="shared" si="3"/>
        <v>SL-20250728-FMC-CS 007-9</v>
      </c>
      <c r="B992" s="2">
        <f t="array" ref="B992">INDEX(helper!$A$3:$A3996,ROUNDUP((ROW()-1)/COUNTA(helper!$D$3:$D3996),0))</f>
        <v>45866</v>
      </c>
      <c r="C992" s="5" t="str">
        <f t="array" ref="C992">IF(B992="","",INDEX(helper!$D$3:$D3996,MOD(ROW()-2,COUNTA(helper!$D$3:$D3996))+1))</f>
        <v>FMC</v>
      </c>
      <c r="D992" s="3" t="str">
        <f t="array" ref="D992">IF(B992="","",INDEX(helper!$E$3:$E3996,MOD(ROW()-2,COUNTA(helper!$D$3:$D3996))+1))</f>
        <v>CS 007</v>
      </c>
      <c r="E992" s="3">
        <f t="array" ref="E992">IF(B992="","",INDEX(helper!$F$3:$F3996,MOD(ROW()-2,COUNTA(helper!$D$3:$D3996))+1))</f>
        <v>9</v>
      </c>
      <c r="F992" s="3">
        <f>IF(B992="","",SUMIFS('inventory ledger'!$H:$H,'inventory ledger'!$C:$C,C992,'inventory ledger'!$D:$D,D992,'inventory ledger'!$E:$E,E992,'inventory ledger'!$A:$A,"&lt;="&amp;B992+TIME(23,59,59))-SUMIFS('inventory ledger'!$I:$I,'inventory ledger'!$C:$C,C992,'inventory ledger'!$D:$D,D992,'inventory ledger'!$E:$E,E992,'inventory ledger'!$A:$A,"&lt;="&amp;B992+TIME(23,59,59)))</f>
        <v>0</v>
      </c>
      <c r="G992" s="3">
        <f>IFERROR(__xludf.DUMMYFUNCTION("IF(F992&lt;=0,0,IFERROR(ROUNDUP(F992/INDEX(FILTER('warehouse config'!$D:$D,('warehouse config'!$B:$B=C992)*('warehouse config'!$C:$C=D992)*('warehouse config'!$G:$G&lt;=B992)*(('warehouse config'!$H:$H&gt;=B992)+ISBLANK('warehouse config'!$H:$H))),1)),0))"),0.0)</f>
        <v>0</v>
      </c>
      <c r="H992" s="3">
        <f>IFERROR(__xludf.DUMMYFUNCTION("IFERROR(INDEX(FILTER('cost master'!$E:$E,('cost master'!$B:$B=C992)*('cost master'!$D:$D=""Storage cost per pallet / week"")*('cost master'!$G:$G&lt;=B992)*(('cost master'!$H:$H&gt;=B992)+ISBLANK('cost master'!$H:$H))),1),0)"),3.9)</f>
        <v>3.9</v>
      </c>
      <c r="I992" s="3">
        <f t="shared" si="4"/>
        <v>0</v>
      </c>
      <c r="J992" s="27">
        <f t="shared" si="5"/>
        <v>45854</v>
      </c>
      <c r="K992" s="27">
        <f t="shared" si="6"/>
        <v>45884</v>
      </c>
    </row>
    <row r="993" hidden="1">
      <c r="A993" s="3" t="str">
        <f t="shared" si="3"/>
        <v>SL-20250728-FMC-CS 008-9</v>
      </c>
      <c r="B993" s="2">
        <f t="array" ref="B993">INDEX(helper!$A$3:$A3996,ROUNDUP((ROW()-1)/COUNTA(helper!$D$3:$D3996),0))</f>
        <v>45866</v>
      </c>
      <c r="C993" s="5" t="str">
        <f t="array" ref="C993">IF(B993="","",INDEX(helper!$D$3:$D3996,MOD(ROW()-2,COUNTA(helper!$D$3:$D3996))+1))</f>
        <v>FMC</v>
      </c>
      <c r="D993" s="3" t="str">
        <f t="array" ref="D993">IF(B993="","",INDEX(helper!$E$3:$E3996,MOD(ROW()-2,COUNTA(helper!$D$3:$D3996))+1))</f>
        <v>CS 008</v>
      </c>
      <c r="E993" s="3">
        <f t="array" ref="E993">IF(B993="","",INDEX(helper!$F$3:$F3996,MOD(ROW()-2,COUNTA(helper!$D$3:$D3996))+1))</f>
        <v>9</v>
      </c>
      <c r="F993" s="3">
        <f>IF(B993="","",SUMIFS('inventory ledger'!$H:$H,'inventory ledger'!$C:$C,C993,'inventory ledger'!$D:$D,D993,'inventory ledger'!$E:$E,E993,'inventory ledger'!$A:$A,"&lt;="&amp;B993+TIME(23,59,59))-SUMIFS('inventory ledger'!$I:$I,'inventory ledger'!$C:$C,C993,'inventory ledger'!$D:$D,D993,'inventory ledger'!$E:$E,E993,'inventory ledger'!$A:$A,"&lt;="&amp;B993+TIME(23,59,59)))</f>
        <v>2</v>
      </c>
      <c r="G993" s="3">
        <f>IFERROR(__xludf.DUMMYFUNCTION("IF(F993&lt;=0,0,IFERROR(ROUNDUP(F993/INDEX(FILTER('warehouse config'!$D:$D,('warehouse config'!$B:$B=C993)*('warehouse config'!$C:$C=D993)*('warehouse config'!$G:$G&lt;=B993)*(('warehouse config'!$H:$H&gt;=B993)+ISBLANK('warehouse config'!$H:$H))),1)),0))"),1.0)</f>
        <v>1</v>
      </c>
      <c r="H993" s="3">
        <f>IFERROR(__xludf.DUMMYFUNCTION("IFERROR(INDEX(FILTER('cost master'!$E:$E,('cost master'!$B:$B=C993)*('cost master'!$D:$D=""Storage cost per pallet / week"")*('cost master'!$G:$G&lt;=B993)*(('cost master'!$H:$H&gt;=B993)+ISBLANK('cost master'!$H:$H))),1),0)"),3.9)</f>
        <v>3.9</v>
      </c>
      <c r="I993" s="3">
        <f t="shared" si="4"/>
        <v>3.9</v>
      </c>
      <c r="J993" s="27">
        <f t="shared" si="5"/>
        <v>45854</v>
      </c>
      <c r="K993" s="27">
        <f t="shared" si="6"/>
        <v>45884</v>
      </c>
    </row>
    <row r="994" hidden="1">
      <c r="A994" s="3" t="str">
        <f t="shared" si="3"/>
        <v>SL-20250728-FMC-CS 009-9</v>
      </c>
      <c r="B994" s="2">
        <f t="array" ref="B994">INDEX(helper!$A$3:$A3996,ROUNDUP((ROW()-1)/COUNTA(helper!$D$3:$D3996),0))</f>
        <v>45866</v>
      </c>
      <c r="C994" s="5" t="str">
        <f t="array" ref="C994">IF(B994="","",INDEX(helper!$D$3:$D3996,MOD(ROW()-2,COUNTA(helper!$D$3:$D3996))+1))</f>
        <v>FMC</v>
      </c>
      <c r="D994" s="3" t="str">
        <f t="array" ref="D994">IF(B994="","",INDEX(helper!$E$3:$E3996,MOD(ROW()-2,COUNTA(helper!$D$3:$D3996))+1))</f>
        <v>CS 009</v>
      </c>
      <c r="E994" s="3">
        <f t="array" ref="E994">IF(B994="","",INDEX(helper!$F$3:$F3996,MOD(ROW()-2,COUNTA(helper!$D$3:$D3996))+1))</f>
        <v>9</v>
      </c>
      <c r="F994" s="3">
        <f>IF(B994="","",SUMIFS('inventory ledger'!$H:$H,'inventory ledger'!$C:$C,C994,'inventory ledger'!$D:$D,D994,'inventory ledger'!$E:$E,E994,'inventory ledger'!$A:$A,"&lt;="&amp;B994+TIME(23,59,59))-SUMIFS('inventory ledger'!$I:$I,'inventory ledger'!$C:$C,C994,'inventory ledger'!$D:$D,D994,'inventory ledger'!$E:$E,E994,'inventory ledger'!$A:$A,"&lt;="&amp;B994+TIME(23,59,59)))</f>
        <v>0</v>
      </c>
      <c r="G994" s="3">
        <f>IFERROR(__xludf.DUMMYFUNCTION("IF(F994&lt;=0,0,IFERROR(ROUNDUP(F994/INDEX(FILTER('warehouse config'!$D:$D,('warehouse config'!$B:$B=C994)*('warehouse config'!$C:$C=D994)*('warehouse config'!$G:$G&lt;=B994)*(('warehouse config'!$H:$H&gt;=B994)+ISBLANK('warehouse config'!$H:$H))),1)),0))"),0.0)</f>
        <v>0</v>
      </c>
      <c r="H994" s="3">
        <f>IFERROR(__xludf.DUMMYFUNCTION("IFERROR(INDEX(FILTER('cost master'!$E:$E,('cost master'!$B:$B=C994)*('cost master'!$D:$D=""Storage cost per pallet / week"")*('cost master'!$G:$G&lt;=B994)*(('cost master'!$H:$H&gt;=B994)+ISBLANK('cost master'!$H:$H))),1),0)"),3.9)</f>
        <v>3.9</v>
      </c>
      <c r="I994" s="3">
        <f t="shared" si="4"/>
        <v>0</v>
      </c>
      <c r="J994" s="27">
        <f t="shared" si="5"/>
        <v>45854</v>
      </c>
      <c r="K994" s="27">
        <f t="shared" si="6"/>
        <v>45884</v>
      </c>
    </row>
    <row r="995" hidden="1">
      <c r="A995" s="3" t="str">
        <f t="shared" si="3"/>
        <v>SL-20250728-FMC-CS 010-9</v>
      </c>
      <c r="B995" s="2">
        <f t="array" ref="B995">INDEX(helper!$A$3:$A3996,ROUNDUP((ROW()-1)/COUNTA(helper!$D$3:$D3996),0))</f>
        <v>45866</v>
      </c>
      <c r="C995" s="5" t="str">
        <f t="array" ref="C995">IF(B995="","",INDEX(helper!$D$3:$D3996,MOD(ROW()-2,COUNTA(helper!$D$3:$D3996))+1))</f>
        <v>FMC</v>
      </c>
      <c r="D995" s="3" t="str">
        <f t="array" ref="D995">IF(B995="","",INDEX(helper!$E$3:$E3996,MOD(ROW()-2,COUNTA(helper!$D$3:$D3996))+1))</f>
        <v>CS 010</v>
      </c>
      <c r="E995" s="3">
        <f t="array" ref="E995">IF(B995="","",INDEX(helper!$F$3:$F3996,MOD(ROW()-2,COUNTA(helper!$D$3:$D3996))+1))</f>
        <v>9</v>
      </c>
      <c r="F995" s="3">
        <f>IF(B995="","",SUMIFS('inventory ledger'!$H:$H,'inventory ledger'!$C:$C,C995,'inventory ledger'!$D:$D,D995,'inventory ledger'!$E:$E,E995,'inventory ledger'!$A:$A,"&lt;="&amp;B995+TIME(23,59,59))-SUMIFS('inventory ledger'!$I:$I,'inventory ledger'!$C:$C,C995,'inventory ledger'!$D:$D,D995,'inventory ledger'!$E:$E,E995,'inventory ledger'!$A:$A,"&lt;="&amp;B995+TIME(23,59,59)))</f>
        <v>0</v>
      </c>
      <c r="G995" s="3">
        <f>IFERROR(__xludf.DUMMYFUNCTION("IF(F995&lt;=0,0,IFERROR(ROUNDUP(F995/INDEX(FILTER('warehouse config'!$D:$D,('warehouse config'!$B:$B=C995)*('warehouse config'!$C:$C=D995)*('warehouse config'!$G:$G&lt;=B995)*(('warehouse config'!$H:$H&gt;=B995)+ISBLANK('warehouse config'!$H:$H))),1)),0))"),0.0)</f>
        <v>0</v>
      </c>
      <c r="H995" s="3">
        <f>IFERROR(__xludf.DUMMYFUNCTION("IFERROR(INDEX(FILTER('cost master'!$E:$E,('cost master'!$B:$B=C995)*('cost master'!$D:$D=""Storage cost per pallet / week"")*('cost master'!$G:$G&lt;=B995)*(('cost master'!$H:$H&gt;=B995)+ISBLANK('cost master'!$H:$H))),1),0)"),3.9)</f>
        <v>3.9</v>
      </c>
      <c r="I995" s="3">
        <f t="shared" si="4"/>
        <v>0</v>
      </c>
      <c r="J995" s="27">
        <f t="shared" si="5"/>
        <v>45854</v>
      </c>
      <c r="K995" s="27">
        <f t="shared" si="6"/>
        <v>45884</v>
      </c>
    </row>
    <row r="996" hidden="1">
      <c r="A996" s="3" t="str">
        <f t="shared" si="3"/>
        <v>SL-20250728-FMC-CS-CDS-001-9</v>
      </c>
      <c r="B996" s="2">
        <f t="array" ref="B996">INDEX(helper!$A$3:$A3996,ROUNDUP((ROW()-1)/COUNTA(helper!$D$3:$D3996),0))</f>
        <v>45866</v>
      </c>
      <c r="C996" s="5" t="str">
        <f t="array" ref="C996">IF(B996="","",INDEX(helper!$D$3:$D3996,MOD(ROW()-2,COUNTA(helper!$D$3:$D3996))+1))</f>
        <v>FMC</v>
      </c>
      <c r="D996" s="3" t="str">
        <f t="array" ref="D996">IF(B996="","",INDEX(helper!$E$3:$E3996,MOD(ROW()-2,COUNTA(helper!$D$3:$D3996))+1))</f>
        <v>CS-CDS-001</v>
      </c>
      <c r="E996" s="3">
        <f t="array" ref="E996">IF(B996="","",INDEX(helper!$F$3:$F3996,MOD(ROW()-2,COUNTA(helper!$D$3:$D3996))+1))</f>
        <v>9</v>
      </c>
      <c r="F996" s="3">
        <f>IF(B996="","",SUMIFS('inventory ledger'!$H:$H,'inventory ledger'!$C:$C,C996,'inventory ledger'!$D:$D,D996,'inventory ledger'!$E:$E,E996,'inventory ledger'!$A:$A,"&lt;="&amp;B996+TIME(23,59,59))-SUMIFS('inventory ledger'!$I:$I,'inventory ledger'!$C:$C,C996,'inventory ledger'!$D:$D,D996,'inventory ledger'!$E:$E,E996,'inventory ledger'!$A:$A,"&lt;="&amp;B996+TIME(23,59,59)))</f>
        <v>0</v>
      </c>
      <c r="G996" s="3">
        <f>IFERROR(__xludf.DUMMYFUNCTION("IF(F996&lt;=0,0,IFERROR(ROUNDUP(F996/INDEX(FILTER('warehouse config'!$D:$D,('warehouse config'!$B:$B=C996)*('warehouse config'!$C:$C=D996)*('warehouse config'!$G:$G&lt;=B996)*(('warehouse config'!$H:$H&gt;=B996)+ISBLANK('warehouse config'!$H:$H))),1)),0))"),0.0)</f>
        <v>0</v>
      </c>
      <c r="H996" s="3">
        <f>IFERROR(__xludf.DUMMYFUNCTION("IFERROR(INDEX(FILTER('cost master'!$E:$E,('cost master'!$B:$B=C996)*('cost master'!$D:$D=""Storage cost per pallet / week"")*('cost master'!$G:$G&lt;=B996)*(('cost master'!$H:$H&gt;=B996)+ISBLANK('cost master'!$H:$H))),1),0)"),3.9)</f>
        <v>3.9</v>
      </c>
      <c r="I996" s="3">
        <f t="shared" si="4"/>
        <v>0</v>
      </c>
      <c r="J996" s="27">
        <f t="shared" si="5"/>
        <v>45854</v>
      </c>
      <c r="K996" s="27">
        <f t="shared" si="6"/>
        <v>45884</v>
      </c>
    </row>
    <row r="997" hidden="1">
      <c r="A997" s="3" t="str">
        <f t="shared" si="3"/>
        <v>SL-20250728-FMC-CS-CDS-002-9</v>
      </c>
      <c r="B997" s="2">
        <f t="array" ref="B997">INDEX(helper!$A$3:$A3996,ROUNDUP((ROW()-1)/COUNTA(helper!$D$3:$D3996),0))</f>
        <v>45866</v>
      </c>
      <c r="C997" s="5" t="str">
        <f t="array" ref="C997">IF(B997="","",INDEX(helper!$D$3:$D3996,MOD(ROW()-2,COUNTA(helper!$D$3:$D3996))+1))</f>
        <v>FMC</v>
      </c>
      <c r="D997" s="3" t="str">
        <f t="array" ref="D997">IF(B997="","",INDEX(helper!$E$3:$E3996,MOD(ROW()-2,COUNTA(helper!$D$3:$D3996))+1))</f>
        <v>CS-CDS-002</v>
      </c>
      <c r="E997" s="3">
        <f t="array" ref="E997">IF(B997="","",INDEX(helper!$F$3:$F3996,MOD(ROW()-2,COUNTA(helper!$D$3:$D3996))+1))</f>
        <v>9</v>
      </c>
      <c r="F997" s="3">
        <f>IF(B997="","",SUMIFS('inventory ledger'!$H:$H,'inventory ledger'!$C:$C,C997,'inventory ledger'!$D:$D,D997,'inventory ledger'!$E:$E,E997,'inventory ledger'!$A:$A,"&lt;="&amp;B997+TIME(23,59,59))-SUMIFS('inventory ledger'!$I:$I,'inventory ledger'!$C:$C,C997,'inventory ledger'!$D:$D,D997,'inventory ledger'!$E:$E,E997,'inventory ledger'!$A:$A,"&lt;="&amp;B997+TIME(23,59,59)))</f>
        <v>0</v>
      </c>
      <c r="G997" s="3">
        <f>IFERROR(__xludf.DUMMYFUNCTION("IF(F997&lt;=0,0,IFERROR(ROUNDUP(F997/INDEX(FILTER('warehouse config'!$D:$D,('warehouse config'!$B:$B=C997)*('warehouse config'!$C:$C=D997)*('warehouse config'!$G:$G&lt;=B997)*(('warehouse config'!$H:$H&gt;=B997)+ISBLANK('warehouse config'!$H:$H))),1)),0))"),0.0)</f>
        <v>0</v>
      </c>
      <c r="H997" s="3">
        <f>IFERROR(__xludf.DUMMYFUNCTION("IFERROR(INDEX(FILTER('cost master'!$E:$E,('cost master'!$B:$B=C997)*('cost master'!$D:$D=""Storage cost per pallet / week"")*('cost master'!$G:$G&lt;=B997)*(('cost master'!$H:$H&gt;=B997)+ISBLANK('cost master'!$H:$H))),1),0)"),3.9)</f>
        <v>3.9</v>
      </c>
      <c r="I997" s="3">
        <f t="shared" si="4"/>
        <v>0</v>
      </c>
      <c r="J997" s="27">
        <f t="shared" si="5"/>
        <v>45854</v>
      </c>
      <c r="K997" s="27">
        <f t="shared" si="6"/>
        <v>45884</v>
      </c>
    </row>
    <row r="998" hidden="1">
      <c r="A998" s="3" t="str">
        <f t="shared" si="3"/>
        <v>SL-20250728-FMC-CS 007-10</v>
      </c>
      <c r="B998" s="2">
        <f t="array" ref="B998">INDEX(helper!$A$3:$A3996,ROUNDUP((ROW()-1)/COUNTA(helper!$D$3:$D3996),0))</f>
        <v>45866</v>
      </c>
      <c r="C998" s="5" t="str">
        <f t="array" ref="C998">IF(B998="","",INDEX(helper!$D$3:$D3996,MOD(ROW()-2,COUNTA(helper!$D$3:$D3996))+1))</f>
        <v>FMC</v>
      </c>
      <c r="D998" s="3" t="str">
        <f t="array" ref="D998">IF(B998="","",INDEX(helper!$E$3:$E3996,MOD(ROW()-2,COUNTA(helper!$D$3:$D3996))+1))</f>
        <v>CS 007</v>
      </c>
      <c r="E998" s="3">
        <f t="array" ref="E998">IF(B998="","",INDEX(helper!$F$3:$F3996,MOD(ROW()-2,COUNTA(helper!$D$3:$D3996))+1))</f>
        <v>10</v>
      </c>
      <c r="F998" s="3">
        <f>IF(B998="","",SUMIFS('inventory ledger'!$H:$H,'inventory ledger'!$C:$C,C998,'inventory ledger'!$D:$D,D998,'inventory ledger'!$E:$E,E998,'inventory ledger'!$A:$A,"&lt;="&amp;B998+TIME(23,59,59))-SUMIFS('inventory ledger'!$I:$I,'inventory ledger'!$C:$C,C998,'inventory ledger'!$D:$D,D998,'inventory ledger'!$E:$E,E998,'inventory ledger'!$A:$A,"&lt;="&amp;B998+TIME(23,59,59)))</f>
        <v>0</v>
      </c>
      <c r="G998" s="3">
        <f>IFERROR(__xludf.DUMMYFUNCTION("IF(F998&lt;=0,0,IFERROR(ROUNDUP(F998/INDEX(FILTER('warehouse config'!$D:$D,('warehouse config'!$B:$B=C998)*('warehouse config'!$C:$C=D998)*('warehouse config'!$G:$G&lt;=B998)*(('warehouse config'!$H:$H&gt;=B998)+ISBLANK('warehouse config'!$H:$H))),1)),0))"),0.0)</f>
        <v>0</v>
      </c>
      <c r="H998" s="3">
        <f>IFERROR(__xludf.DUMMYFUNCTION("IFERROR(INDEX(FILTER('cost master'!$E:$E,('cost master'!$B:$B=C998)*('cost master'!$D:$D=""Storage cost per pallet / week"")*('cost master'!$G:$G&lt;=B998)*(('cost master'!$H:$H&gt;=B998)+ISBLANK('cost master'!$H:$H))),1),0)"),3.9)</f>
        <v>3.9</v>
      </c>
      <c r="I998" s="3">
        <f t="shared" si="4"/>
        <v>0</v>
      </c>
      <c r="J998" s="27">
        <f t="shared" si="5"/>
        <v>45854</v>
      </c>
      <c r="K998" s="27">
        <f t="shared" si="6"/>
        <v>45884</v>
      </c>
    </row>
    <row r="999" hidden="1">
      <c r="A999" s="3" t="str">
        <f t="shared" si="3"/>
        <v>SL-20250728-FMC-CS 009-10</v>
      </c>
      <c r="B999" s="2">
        <f t="array" ref="B999">INDEX(helper!$A$3:$A3996,ROUNDUP((ROW()-1)/COUNTA(helper!$D$3:$D3996),0))</f>
        <v>45866</v>
      </c>
      <c r="C999" s="5" t="str">
        <f t="array" ref="C999">IF(B999="","",INDEX(helper!$D$3:$D3996,MOD(ROW()-2,COUNTA(helper!$D$3:$D3996))+1))</f>
        <v>FMC</v>
      </c>
      <c r="D999" s="3" t="str">
        <f t="array" ref="D999">IF(B999="","",INDEX(helper!$E$3:$E3996,MOD(ROW()-2,COUNTA(helper!$D$3:$D3996))+1))</f>
        <v>CS 009</v>
      </c>
      <c r="E999" s="3">
        <f t="array" ref="E999">IF(B999="","",INDEX(helper!$F$3:$F3996,MOD(ROW()-2,COUNTA(helper!$D$3:$D3996))+1))</f>
        <v>10</v>
      </c>
      <c r="F999" s="3">
        <f>IF(B999="","",SUMIFS('inventory ledger'!$H:$H,'inventory ledger'!$C:$C,C999,'inventory ledger'!$D:$D,D999,'inventory ledger'!$E:$E,E999,'inventory ledger'!$A:$A,"&lt;="&amp;B999+TIME(23,59,59))-SUMIFS('inventory ledger'!$I:$I,'inventory ledger'!$C:$C,C999,'inventory ledger'!$D:$D,D999,'inventory ledger'!$E:$E,E999,'inventory ledger'!$A:$A,"&lt;="&amp;B999+TIME(23,59,59)))</f>
        <v>0</v>
      </c>
      <c r="G999" s="3">
        <f>IFERROR(__xludf.DUMMYFUNCTION("IF(F999&lt;=0,0,IFERROR(ROUNDUP(F999/INDEX(FILTER('warehouse config'!$D:$D,('warehouse config'!$B:$B=C999)*('warehouse config'!$C:$C=D999)*('warehouse config'!$G:$G&lt;=B999)*(('warehouse config'!$H:$H&gt;=B999)+ISBLANK('warehouse config'!$H:$H))),1)),0))"),0.0)</f>
        <v>0</v>
      </c>
      <c r="H999" s="3">
        <f>IFERROR(__xludf.DUMMYFUNCTION("IFERROR(INDEX(FILTER('cost master'!$E:$E,('cost master'!$B:$B=C999)*('cost master'!$D:$D=""Storage cost per pallet / week"")*('cost master'!$G:$G&lt;=B999)*(('cost master'!$H:$H&gt;=B999)+ISBLANK('cost master'!$H:$H))),1),0)"),3.9)</f>
        <v>3.9</v>
      </c>
      <c r="I999" s="3">
        <f t="shared" si="4"/>
        <v>0</v>
      </c>
      <c r="J999" s="27">
        <f t="shared" si="5"/>
        <v>45854</v>
      </c>
      <c r="K999" s="27">
        <f t="shared" si="6"/>
        <v>45884</v>
      </c>
    </row>
    <row r="1000" hidden="1">
      <c r="A1000" s="3" t="str">
        <f t="shared" si="3"/>
        <v>SL-20250728-FMC-CS 010-10</v>
      </c>
      <c r="B1000" s="2">
        <f t="array" ref="B1000">INDEX(helper!$A$3:$A3996,ROUNDUP((ROW()-1)/COUNTA(helper!$D$3:$D3996),0))</f>
        <v>45866</v>
      </c>
      <c r="C1000" s="5" t="str">
        <f t="array" ref="C1000">IF(B1000="","",INDEX(helper!$D$3:$D3996,MOD(ROW()-2,COUNTA(helper!$D$3:$D3996))+1))</f>
        <v>FMC</v>
      </c>
      <c r="D1000" s="3" t="str">
        <f t="array" ref="D1000">IF(B1000="","",INDEX(helper!$E$3:$E3996,MOD(ROW()-2,COUNTA(helper!$D$3:$D3996))+1))</f>
        <v>CS 010</v>
      </c>
      <c r="E1000" s="3">
        <f t="array" ref="E1000">IF(B1000="","",INDEX(helper!$F$3:$F3996,MOD(ROW()-2,COUNTA(helper!$D$3:$D3996))+1))</f>
        <v>10</v>
      </c>
      <c r="F1000" s="3">
        <f>IF(B1000="","",SUMIFS('inventory ledger'!$H:$H,'inventory ledger'!$C:$C,C1000,'inventory ledger'!$D:$D,D1000,'inventory ledger'!$E:$E,E1000,'inventory ledger'!$A:$A,"&lt;="&amp;B1000+TIME(23,59,59))-SUMIFS('inventory ledger'!$I:$I,'inventory ledger'!$C:$C,C1000,'inventory ledger'!$D:$D,D1000,'inventory ledger'!$E:$E,E1000,'inventory ledger'!$A:$A,"&lt;="&amp;B1000+TIME(23,59,59)))</f>
        <v>13</v>
      </c>
      <c r="G1000" s="3">
        <f>IFERROR(__xludf.DUMMYFUNCTION("IF(F1000&lt;=0,0,IFERROR(ROUNDUP(F1000/INDEX(FILTER('warehouse config'!$D:$D,('warehouse config'!$B:$B=C1000)*('warehouse config'!$C:$C=D1000)*('warehouse config'!$G:$G&lt;=B1000)*(('warehouse config'!$H:$H&gt;=B1000)+ISBLANK('warehouse config'!$H:$H))),1)),0))"),1.0)</f>
        <v>1</v>
      </c>
      <c r="H1000" s="3">
        <f>IFERROR(__xludf.DUMMYFUNCTION("IFERROR(INDEX(FILTER('cost master'!$E:$E,('cost master'!$B:$B=C1000)*('cost master'!$D:$D=""Storage cost per pallet / week"")*('cost master'!$G:$G&lt;=B1000)*(('cost master'!$H:$H&gt;=B1000)+ISBLANK('cost master'!$H:$H))),1),0)"),3.9)</f>
        <v>3.9</v>
      </c>
      <c r="I1000" s="3">
        <f t="shared" si="4"/>
        <v>3.9</v>
      </c>
      <c r="J1000" s="27">
        <f t="shared" si="5"/>
        <v>45854</v>
      </c>
      <c r="K1000" s="27">
        <f t="shared" si="6"/>
        <v>45884</v>
      </c>
    </row>
    <row r="1001" hidden="1">
      <c r="A1001" s="3" t="str">
        <f t="shared" si="3"/>
        <v>SL-20250728-FMC-CS-CDS-001-10</v>
      </c>
      <c r="B1001" s="2">
        <f t="array" ref="B1001">INDEX(helper!$A$3:$A3996,ROUNDUP((ROW()-1)/COUNTA(helper!$D$3:$D3996),0))</f>
        <v>45866</v>
      </c>
      <c r="C1001" s="5" t="str">
        <f t="array" ref="C1001">IF(B1001="","",INDEX(helper!$D$3:$D3996,MOD(ROW()-2,COUNTA(helper!$D$3:$D3996))+1))</f>
        <v>FMC</v>
      </c>
      <c r="D1001" s="3" t="str">
        <f t="array" ref="D1001">IF(B1001="","",INDEX(helper!$E$3:$E3996,MOD(ROW()-2,COUNTA(helper!$D$3:$D3996))+1))</f>
        <v>CS-CDS-001</v>
      </c>
      <c r="E1001" s="3">
        <f t="array" ref="E1001">IF(B1001="","",INDEX(helper!$F$3:$F3996,MOD(ROW()-2,COUNTA(helper!$D$3:$D3996))+1))</f>
        <v>10</v>
      </c>
      <c r="F1001" s="3">
        <f>IF(B1001="","",SUMIFS('inventory ledger'!$H:$H,'inventory ledger'!$C:$C,C1001,'inventory ledger'!$D:$D,D1001,'inventory ledger'!$E:$E,E1001,'inventory ledger'!$A:$A,"&lt;="&amp;B1001+TIME(23,59,59))-SUMIFS('inventory ledger'!$I:$I,'inventory ledger'!$C:$C,C1001,'inventory ledger'!$D:$D,D1001,'inventory ledger'!$E:$E,E1001,'inventory ledger'!$A:$A,"&lt;="&amp;B1001+TIME(23,59,59)))</f>
        <v>0</v>
      </c>
      <c r="G1001" s="3">
        <f>IFERROR(__xludf.DUMMYFUNCTION("IF(F1001&lt;=0,0,IFERROR(ROUNDUP(F1001/INDEX(FILTER('warehouse config'!$D:$D,('warehouse config'!$B:$B=C1001)*('warehouse config'!$C:$C=D1001)*('warehouse config'!$G:$G&lt;=B1001)*(('warehouse config'!$H:$H&gt;=B1001)+ISBLANK('warehouse config'!$H:$H))),1)),0))"),0.0)</f>
        <v>0</v>
      </c>
      <c r="H1001" s="3">
        <f>IFERROR(__xludf.DUMMYFUNCTION("IFERROR(INDEX(FILTER('cost master'!$E:$E,('cost master'!$B:$B=C1001)*('cost master'!$D:$D=""Storage cost per pallet / week"")*('cost master'!$G:$G&lt;=B1001)*(('cost master'!$H:$H&gt;=B1001)+ISBLANK('cost master'!$H:$H))),1),0)"),3.9)</f>
        <v>3.9</v>
      </c>
      <c r="I1001" s="3">
        <f t="shared" si="4"/>
        <v>0</v>
      </c>
      <c r="J1001" s="27">
        <f t="shared" si="5"/>
        <v>45854</v>
      </c>
      <c r="K1001" s="27">
        <f t="shared" si="6"/>
        <v>45884</v>
      </c>
    </row>
    <row r="1002">
      <c r="A1002" s="3" t="str">
        <f t="shared" si="3"/>
        <v>SL-20250728-FMC-CS 007-11</v>
      </c>
      <c r="B1002" s="2">
        <f t="array" ref="B1002">INDEX(helper!$A$3:$A3996,ROUNDUP((ROW()-1)/COUNTA(helper!$D$3:$D3996),0))</f>
        <v>45866</v>
      </c>
      <c r="C1002" s="5" t="str">
        <f t="array" ref="C1002">IF(B1002="","",INDEX(helper!$D$3:$D3996,MOD(ROW()-2,COUNTA(helper!$D$3:$D3996))+1))</f>
        <v>FMC</v>
      </c>
      <c r="D1002" s="3" t="str">
        <f t="array" ref="D1002">IF(B1002="","",INDEX(helper!$E$3:$E3996,MOD(ROW()-2,COUNTA(helper!$D$3:$D3996))+1))</f>
        <v>CS 007</v>
      </c>
      <c r="E1002" s="3">
        <f t="array" ref="E1002">IF(B1002="","",INDEX(helper!$F$3:$F3996,MOD(ROW()-2,COUNTA(helper!$D$3:$D3996))+1))</f>
        <v>11</v>
      </c>
      <c r="F1002" s="3">
        <f>IF(B1002="","",SUMIFS('inventory ledger'!$H:$H,'inventory ledger'!$C:$C,C1002,'inventory ledger'!$D:$D,D1002,'inventory ledger'!$E:$E,E1002,'inventory ledger'!$A:$A,"&lt;="&amp;B1002+TIME(23,59,59))-SUMIFS('inventory ledger'!$I:$I,'inventory ledger'!$C:$C,C1002,'inventory ledger'!$D:$D,D1002,'inventory ledger'!$E:$E,E1002,'inventory ledger'!$A:$A,"&lt;="&amp;B1002+TIME(23,59,59)))</f>
        <v>-1</v>
      </c>
      <c r="G1002" s="3">
        <f>IFERROR(__xludf.DUMMYFUNCTION("IF(F1002&lt;=0,0,IFERROR(ROUNDUP(F1002/INDEX(FILTER('warehouse config'!$D:$D,('warehouse config'!$B:$B=C1002)*('warehouse config'!$C:$C=D1002)*('warehouse config'!$G:$G&lt;=B1002)*(('warehouse config'!$H:$H&gt;=B1002)+ISBLANK('warehouse config'!$H:$H))),1)),0))"),0.0)</f>
        <v>0</v>
      </c>
      <c r="H1002" s="3">
        <f>IFERROR(__xludf.DUMMYFUNCTION("IFERROR(INDEX(FILTER('cost master'!$E:$E,('cost master'!$B:$B=C1002)*('cost master'!$D:$D=""Storage cost per pallet / week"")*('cost master'!$G:$G&lt;=B1002)*(('cost master'!$H:$H&gt;=B1002)+ISBLANK('cost master'!$H:$H))),1),0)"),3.9)</f>
        <v>3.9</v>
      </c>
      <c r="I1002" s="3">
        <f t="shared" si="4"/>
        <v>0</v>
      </c>
      <c r="J1002" s="27">
        <f t="shared" si="5"/>
        <v>45854</v>
      </c>
      <c r="K1002" s="27">
        <f t="shared" si="6"/>
        <v>45884</v>
      </c>
    </row>
    <row r="1003" hidden="1">
      <c r="A1003" s="3" t="str">
        <f t="shared" si="3"/>
        <v>SL-20250728-FMC-CS 009-11</v>
      </c>
      <c r="B1003" s="2">
        <f t="array" ref="B1003">INDEX(helper!$A$3:$A3996,ROUNDUP((ROW()-1)/COUNTA(helper!$D$3:$D3996),0))</f>
        <v>45866</v>
      </c>
      <c r="C1003" s="5" t="str">
        <f t="array" ref="C1003">IF(B1003="","",INDEX(helper!$D$3:$D3996,MOD(ROW()-2,COUNTA(helper!$D$3:$D3996))+1))</f>
        <v>FMC</v>
      </c>
      <c r="D1003" s="3" t="str">
        <f t="array" ref="D1003">IF(B1003="","",INDEX(helper!$E$3:$E3996,MOD(ROW()-2,COUNTA(helper!$D$3:$D3996))+1))</f>
        <v>CS 009</v>
      </c>
      <c r="E1003" s="3">
        <f t="array" ref="E1003">IF(B1003="","",INDEX(helper!$F$3:$F3996,MOD(ROW()-2,COUNTA(helper!$D$3:$D3996))+1))</f>
        <v>11</v>
      </c>
      <c r="F1003" s="3">
        <f>IF(B1003="","",SUMIFS('inventory ledger'!$H:$H,'inventory ledger'!$C:$C,C1003,'inventory ledger'!$D:$D,D1003,'inventory ledger'!$E:$E,E1003,'inventory ledger'!$A:$A,"&lt;="&amp;B1003+TIME(23,59,59))-SUMIFS('inventory ledger'!$I:$I,'inventory ledger'!$C:$C,C1003,'inventory ledger'!$D:$D,D1003,'inventory ledger'!$E:$E,E1003,'inventory ledger'!$A:$A,"&lt;="&amp;B1003+TIME(23,59,59)))</f>
        <v>0</v>
      </c>
      <c r="G1003" s="3">
        <f>IFERROR(__xludf.DUMMYFUNCTION("IF(F1003&lt;=0,0,IFERROR(ROUNDUP(F1003/INDEX(FILTER('warehouse config'!$D:$D,('warehouse config'!$B:$B=C1003)*('warehouse config'!$C:$C=D1003)*('warehouse config'!$G:$G&lt;=B1003)*(('warehouse config'!$H:$H&gt;=B1003)+ISBLANK('warehouse config'!$H:$H))),1)),0))"),0.0)</f>
        <v>0</v>
      </c>
      <c r="H1003" s="3">
        <f>IFERROR(__xludf.DUMMYFUNCTION("IFERROR(INDEX(FILTER('cost master'!$E:$E,('cost master'!$B:$B=C1003)*('cost master'!$D:$D=""Storage cost per pallet / week"")*('cost master'!$G:$G&lt;=B1003)*(('cost master'!$H:$H&gt;=B1003)+ISBLANK('cost master'!$H:$H))),1),0)"),3.9)</f>
        <v>3.9</v>
      </c>
      <c r="I1003" s="3">
        <f t="shared" si="4"/>
        <v>0</v>
      </c>
      <c r="J1003" s="27">
        <f t="shared" si="5"/>
        <v>45854</v>
      </c>
      <c r="K1003" s="27">
        <f t="shared" si="6"/>
        <v>45884</v>
      </c>
    </row>
    <row r="1004" hidden="1">
      <c r="A1004" s="3" t="str">
        <f t="shared" si="3"/>
        <v>SL-20250728-FMC-CS 010-11</v>
      </c>
      <c r="B1004" s="2">
        <f t="array" ref="B1004">INDEX(helper!$A$3:$A3996,ROUNDUP((ROW()-1)/COUNTA(helper!$D$3:$D3996),0))</f>
        <v>45866</v>
      </c>
      <c r="C1004" s="5" t="str">
        <f t="array" ref="C1004">IF(B1004="","",INDEX(helper!$D$3:$D3996,MOD(ROW()-2,COUNTA(helper!$D$3:$D3996))+1))</f>
        <v>FMC</v>
      </c>
      <c r="D1004" s="3" t="str">
        <f t="array" ref="D1004">IF(B1004="","",INDEX(helper!$E$3:$E3996,MOD(ROW()-2,COUNTA(helper!$D$3:$D3996))+1))</f>
        <v>CS 010</v>
      </c>
      <c r="E1004" s="3">
        <f t="array" ref="E1004">IF(B1004="","",INDEX(helper!$F$3:$F3996,MOD(ROW()-2,COUNTA(helper!$D$3:$D3996))+1))</f>
        <v>11</v>
      </c>
      <c r="F1004" s="3">
        <f>IF(B1004="","",SUMIFS('inventory ledger'!$H:$H,'inventory ledger'!$C:$C,C1004,'inventory ledger'!$D:$D,D1004,'inventory ledger'!$E:$E,E1004,'inventory ledger'!$A:$A,"&lt;="&amp;B1004+TIME(23,59,59))-SUMIFS('inventory ledger'!$I:$I,'inventory ledger'!$C:$C,C1004,'inventory ledger'!$D:$D,D1004,'inventory ledger'!$E:$E,E1004,'inventory ledger'!$A:$A,"&lt;="&amp;B1004+TIME(23,59,59)))</f>
        <v>6</v>
      </c>
      <c r="G1004" s="3">
        <f>IFERROR(__xludf.DUMMYFUNCTION("IF(F1004&lt;=0,0,IFERROR(ROUNDUP(F1004/INDEX(FILTER('warehouse config'!$D:$D,('warehouse config'!$B:$B=C1004)*('warehouse config'!$C:$C=D1004)*('warehouse config'!$G:$G&lt;=B1004)*(('warehouse config'!$H:$H&gt;=B1004)+ISBLANK('warehouse config'!$H:$H))),1)),0))"),1.0)</f>
        <v>1</v>
      </c>
      <c r="H1004" s="3">
        <f>IFERROR(__xludf.DUMMYFUNCTION("IFERROR(INDEX(FILTER('cost master'!$E:$E,('cost master'!$B:$B=C1004)*('cost master'!$D:$D=""Storage cost per pallet / week"")*('cost master'!$G:$G&lt;=B1004)*(('cost master'!$H:$H&gt;=B1004)+ISBLANK('cost master'!$H:$H))),1),0)"),3.9)</f>
        <v>3.9</v>
      </c>
      <c r="I1004" s="3">
        <f t="shared" si="4"/>
        <v>3.9</v>
      </c>
      <c r="J1004" s="27">
        <f t="shared" si="5"/>
        <v>45854</v>
      </c>
      <c r="K1004" s="27">
        <f t="shared" si="6"/>
        <v>45884</v>
      </c>
    </row>
    <row r="1005" hidden="1">
      <c r="A1005" s="3" t="str">
        <f t="shared" si="3"/>
        <v>SL-20250728-Vglobal-CS 007-12</v>
      </c>
      <c r="B1005" s="2">
        <f t="array" ref="B1005">INDEX(helper!$A$3:$A3996,ROUNDUP((ROW()-1)/COUNTA(helper!$D$3:$D3996),0))</f>
        <v>45866</v>
      </c>
      <c r="C1005" s="5" t="str">
        <f t="array" ref="C1005">IF(B1005="","",INDEX(helper!$D$3:$D3996,MOD(ROW()-2,COUNTA(helper!$D$3:$D3996))+1))</f>
        <v>Vglobal</v>
      </c>
      <c r="D1005" s="3" t="str">
        <f t="array" ref="D1005">IF(B1005="","",INDEX(helper!$E$3:$E3996,MOD(ROW()-2,COUNTA(helper!$D$3:$D3996))+1))</f>
        <v>CS 007</v>
      </c>
      <c r="E1005" s="3">
        <f t="array" ref="E1005">IF(B1005="","",INDEX(helper!$F$3:$F3996,MOD(ROW()-2,COUNTA(helper!$D$3:$D3996))+1))</f>
        <v>12</v>
      </c>
      <c r="F1005" s="3">
        <f>IF(B1005="","",SUMIFS('inventory ledger'!$H:$H,'inventory ledger'!$C:$C,C1005,'inventory ledger'!$D:$D,D1005,'inventory ledger'!$E:$E,E1005,'inventory ledger'!$A:$A,"&lt;="&amp;B1005+TIME(23,59,59))-SUMIFS('inventory ledger'!$I:$I,'inventory ledger'!$C:$C,C1005,'inventory ledger'!$D:$D,D1005,'inventory ledger'!$E:$E,E1005,'inventory ledger'!$A:$A,"&lt;="&amp;B1005+TIME(23,59,59)))</f>
        <v>0</v>
      </c>
      <c r="G1005" s="3">
        <f>IFERROR(__xludf.DUMMYFUNCTION("IF(F1005&lt;=0,0,IFERROR(ROUNDUP(F1005/INDEX(FILTER('warehouse config'!$D:$D,('warehouse config'!$B:$B=C1005)*('warehouse config'!$C:$C=D1005)*('warehouse config'!$G:$G&lt;=B1005)*(('warehouse config'!$H:$H&gt;=B1005)+ISBLANK('warehouse config'!$H:$H))),1)),0))"),0.0)</f>
        <v>0</v>
      </c>
      <c r="H1005" s="3">
        <f>IFERROR(__xludf.DUMMYFUNCTION("IFERROR(INDEX(FILTER('cost master'!$E:$E,('cost master'!$B:$B=C1005)*('cost master'!$D:$D=""Storage cost per pallet / week"")*('cost master'!$G:$G&lt;=B1005)*(('cost master'!$H:$H&gt;=B1005)+ISBLANK('cost master'!$H:$H))),1),0)"),2.6)</f>
        <v>2.6</v>
      </c>
      <c r="I1005" s="3">
        <f t="shared" si="4"/>
        <v>0</v>
      </c>
      <c r="J1005" s="27">
        <f t="shared" si="5"/>
        <v>45854</v>
      </c>
      <c r="K1005" s="27">
        <f t="shared" si="6"/>
        <v>45884</v>
      </c>
    </row>
    <row r="1006" hidden="1">
      <c r="A1006" s="3" t="str">
        <f t="shared" si="3"/>
        <v>SL-20250728-Vglobal-CS 011-12</v>
      </c>
      <c r="B1006" s="2">
        <f t="array" ref="B1006">INDEX(helper!$A$3:$A3996,ROUNDUP((ROW()-1)/COUNTA(helper!$D$3:$D3996),0))</f>
        <v>45866</v>
      </c>
      <c r="C1006" s="5" t="str">
        <f t="array" ref="C1006">IF(B1006="","",INDEX(helper!$D$3:$D3996,MOD(ROW()-2,COUNTA(helper!$D$3:$D3996))+1))</f>
        <v>Vglobal</v>
      </c>
      <c r="D1006" s="3" t="str">
        <f t="array" ref="D1006">IF(B1006="","",INDEX(helper!$E$3:$E3996,MOD(ROW()-2,COUNTA(helper!$D$3:$D3996))+1))</f>
        <v>CS 011</v>
      </c>
      <c r="E1006" s="3">
        <f t="array" ref="E1006">IF(B1006="","",INDEX(helper!$F$3:$F3996,MOD(ROW()-2,COUNTA(helper!$D$3:$D3996))+1))</f>
        <v>12</v>
      </c>
      <c r="F1006" s="3">
        <f>IF(B1006="","",SUMIFS('inventory ledger'!$H:$H,'inventory ledger'!$C:$C,C1006,'inventory ledger'!$D:$D,D1006,'inventory ledger'!$E:$E,E1006,'inventory ledger'!$A:$A,"&lt;="&amp;B1006+TIME(23,59,59))-SUMIFS('inventory ledger'!$I:$I,'inventory ledger'!$C:$C,C1006,'inventory ledger'!$D:$D,D1006,'inventory ledger'!$E:$E,E1006,'inventory ledger'!$A:$A,"&lt;="&amp;B1006+TIME(23,59,59)))</f>
        <v>0</v>
      </c>
      <c r="G1006" s="3">
        <f>IFERROR(__xludf.DUMMYFUNCTION("IF(F1006&lt;=0,0,IFERROR(ROUNDUP(F1006/INDEX(FILTER('warehouse config'!$D:$D,('warehouse config'!$B:$B=C1006)*('warehouse config'!$C:$C=D1006)*('warehouse config'!$G:$G&lt;=B1006)*(('warehouse config'!$H:$H&gt;=B1006)+ISBLANK('warehouse config'!$H:$H))),1)),0))"),0.0)</f>
        <v>0</v>
      </c>
      <c r="H1006" s="3">
        <f>IFERROR(__xludf.DUMMYFUNCTION("IFERROR(INDEX(FILTER('cost master'!$E:$E,('cost master'!$B:$B=C1006)*('cost master'!$D:$D=""Storage cost per pallet / week"")*('cost master'!$G:$G&lt;=B1006)*(('cost master'!$H:$H&gt;=B1006)+ISBLANK('cost master'!$H:$H))),1),0)"),2.6)</f>
        <v>2.6</v>
      </c>
      <c r="I1006" s="3">
        <f t="shared" si="4"/>
        <v>0</v>
      </c>
      <c r="J1006" s="27">
        <f t="shared" si="5"/>
        <v>45854</v>
      </c>
      <c r="K1006" s="27">
        <f t="shared" si="6"/>
        <v>45884</v>
      </c>
    </row>
    <row r="1007" hidden="1">
      <c r="A1007" s="3" t="str">
        <f t="shared" si="3"/>
        <v>SL-20250728-Vglobal-CS 008-12</v>
      </c>
      <c r="B1007" s="2">
        <f t="array" ref="B1007">INDEX(helper!$A$3:$A3996,ROUNDUP((ROW()-1)/COUNTA(helper!$D$3:$D3996),0))</f>
        <v>45866</v>
      </c>
      <c r="C1007" s="5" t="str">
        <f t="array" ref="C1007">IF(B1007="","",INDEX(helper!$D$3:$D3996,MOD(ROW()-2,COUNTA(helper!$D$3:$D3996))+1))</f>
        <v>Vglobal</v>
      </c>
      <c r="D1007" s="3" t="str">
        <f t="array" ref="D1007">IF(B1007="","",INDEX(helper!$E$3:$E3996,MOD(ROW()-2,COUNTA(helper!$D$3:$D3996))+1))</f>
        <v>CS 008</v>
      </c>
      <c r="E1007" s="3">
        <f t="array" ref="E1007">IF(B1007="","",INDEX(helper!$F$3:$F3996,MOD(ROW()-2,COUNTA(helper!$D$3:$D3996))+1))</f>
        <v>12</v>
      </c>
      <c r="F1007" s="3">
        <f>IF(B1007="","",SUMIFS('inventory ledger'!$H:$H,'inventory ledger'!$C:$C,C1007,'inventory ledger'!$D:$D,D1007,'inventory ledger'!$E:$E,E1007,'inventory ledger'!$A:$A,"&lt;="&amp;B1007+TIME(23,59,59))-SUMIFS('inventory ledger'!$I:$I,'inventory ledger'!$C:$C,C1007,'inventory ledger'!$D:$D,D1007,'inventory ledger'!$E:$E,E1007,'inventory ledger'!$A:$A,"&lt;="&amp;B1007+TIME(23,59,59)))</f>
        <v>0</v>
      </c>
      <c r="G1007" s="3">
        <f>IFERROR(__xludf.DUMMYFUNCTION("IF(F1007&lt;=0,0,IFERROR(ROUNDUP(F1007/INDEX(FILTER('warehouse config'!$D:$D,('warehouse config'!$B:$B=C1007)*('warehouse config'!$C:$C=D1007)*('warehouse config'!$G:$G&lt;=B1007)*(('warehouse config'!$H:$H&gt;=B1007)+ISBLANK('warehouse config'!$H:$H))),1)),0))"),0.0)</f>
        <v>0</v>
      </c>
      <c r="H1007" s="3">
        <f>IFERROR(__xludf.DUMMYFUNCTION("IFERROR(INDEX(FILTER('cost master'!$E:$E,('cost master'!$B:$B=C1007)*('cost master'!$D:$D=""Storage cost per pallet / week"")*('cost master'!$G:$G&lt;=B1007)*(('cost master'!$H:$H&gt;=B1007)+ISBLANK('cost master'!$H:$H))),1),0)"),2.6)</f>
        <v>2.6</v>
      </c>
      <c r="I1007" s="3">
        <f t="shared" si="4"/>
        <v>0</v>
      </c>
      <c r="J1007" s="27">
        <f t="shared" si="5"/>
        <v>45854</v>
      </c>
      <c r="K1007" s="27">
        <f t="shared" si="6"/>
        <v>45884</v>
      </c>
    </row>
    <row r="1008" hidden="1">
      <c r="A1008" s="3" t="str">
        <f t="shared" si="3"/>
        <v>SL-20250728-Vglobal-CS 010-12</v>
      </c>
      <c r="B1008" s="2">
        <f t="array" ref="B1008">INDEX(helper!$A$3:$A3996,ROUNDUP((ROW()-1)/COUNTA(helper!$D$3:$D3996),0))</f>
        <v>45866</v>
      </c>
      <c r="C1008" s="5" t="str">
        <f t="array" ref="C1008">IF(B1008="","",INDEX(helper!$D$3:$D3996,MOD(ROW()-2,COUNTA(helper!$D$3:$D3996))+1))</f>
        <v>Vglobal</v>
      </c>
      <c r="D1008" s="3" t="str">
        <f t="array" ref="D1008">IF(B1008="","",INDEX(helper!$E$3:$E3996,MOD(ROW()-2,COUNTA(helper!$D$3:$D3996))+1))</f>
        <v>CS 010</v>
      </c>
      <c r="E1008" s="3">
        <f t="array" ref="E1008">IF(B1008="","",INDEX(helper!$F$3:$F3996,MOD(ROW()-2,COUNTA(helper!$D$3:$D3996))+1))</f>
        <v>12</v>
      </c>
      <c r="F1008" s="3">
        <f>IF(B1008="","",SUMIFS('inventory ledger'!$H:$H,'inventory ledger'!$C:$C,C1008,'inventory ledger'!$D:$D,D1008,'inventory ledger'!$E:$E,E1008,'inventory ledger'!$A:$A,"&lt;="&amp;B1008+TIME(23,59,59))-SUMIFS('inventory ledger'!$I:$I,'inventory ledger'!$C:$C,C1008,'inventory ledger'!$D:$D,D1008,'inventory ledger'!$E:$E,E1008,'inventory ledger'!$A:$A,"&lt;="&amp;B1008+TIME(23,59,59)))</f>
        <v>70</v>
      </c>
      <c r="G1008" s="3">
        <f>IFERROR(__xludf.DUMMYFUNCTION("IF(F1008&lt;=0,0,IFERROR(ROUNDUP(F1008/INDEX(FILTER('warehouse config'!$D:$D,('warehouse config'!$B:$B=C1008)*('warehouse config'!$C:$C=D1008)*('warehouse config'!$G:$G&lt;=B1008)*(('warehouse config'!$H:$H&gt;=B1008)+ISBLANK('warehouse config'!$H:$H))),1)),0))"),3.0)</f>
        <v>3</v>
      </c>
      <c r="H1008" s="3">
        <f>IFERROR(__xludf.DUMMYFUNCTION("IFERROR(INDEX(FILTER('cost master'!$E:$E,('cost master'!$B:$B=C1008)*('cost master'!$D:$D=""Storage cost per pallet / week"")*('cost master'!$G:$G&lt;=B1008)*(('cost master'!$H:$H&gt;=B1008)+ISBLANK('cost master'!$H:$H))),1),0)"),2.6)</f>
        <v>2.6</v>
      </c>
      <c r="I1008" s="3">
        <f t="shared" si="4"/>
        <v>7.8</v>
      </c>
      <c r="J1008" s="27">
        <f t="shared" si="5"/>
        <v>45854</v>
      </c>
      <c r="K1008" s="27">
        <f t="shared" si="6"/>
        <v>45884</v>
      </c>
    </row>
    <row r="1009" hidden="1">
      <c r="A1009" s="3" t="str">
        <f t="shared" si="3"/>
        <v>SL-20250728-Vglobal-CS 009-12</v>
      </c>
      <c r="B1009" s="2">
        <f t="array" ref="B1009">INDEX(helper!$A$3:$A3996,ROUNDUP((ROW()-1)/COUNTA(helper!$D$3:$D3996),0))</f>
        <v>45866</v>
      </c>
      <c r="C1009" s="5" t="str">
        <f t="array" ref="C1009">IF(B1009="","",INDEX(helper!$D$3:$D3996,MOD(ROW()-2,COUNTA(helper!$D$3:$D3996))+1))</f>
        <v>Vglobal</v>
      </c>
      <c r="D1009" s="3" t="str">
        <f t="array" ref="D1009">IF(B1009="","",INDEX(helper!$E$3:$E3996,MOD(ROW()-2,COUNTA(helper!$D$3:$D3996))+1))</f>
        <v>CS 009</v>
      </c>
      <c r="E1009" s="3">
        <f t="array" ref="E1009">IF(B1009="","",INDEX(helper!$F$3:$F3996,MOD(ROW()-2,COUNTA(helper!$D$3:$D3996))+1))</f>
        <v>12</v>
      </c>
      <c r="F1009" s="3">
        <f>IF(B1009="","",SUMIFS('inventory ledger'!$H:$H,'inventory ledger'!$C:$C,C1009,'inventory ledger'!$D:$D,D1009,'inventory ledger'!$E:$E,E1009,'inventory ledger'!$A:$A,"&lt;="&amp;B1009+TIME(23,59,59))-SUMIFS('inventory ledger'!$I:$I,'inventory ledger'!$C:$C,C1009,'inventory ledger'!$D:$D,D1009,'inventory ledger'!$E:$E,E1009,'inventory ledger'!$A:$A,"&lt;="&amp;B1009+TIME(23,59,59)))</f>
        <v>0</v>
      </c>
      <c r="G1009" s="3">
        <f>IFERROR(__xludf.DUMMYFUNCTION("IF(F1009&lt;=0,0,IFERROR(ROUNDUP(F1009/INDEX(FILTER('warehouse config'!$D:$D,('warehouse config'!$B:$B=C1009)*('warehouse config'!$C:$C=D1009)*('warehouse config'!$G:$G&lt;=B1009)*(('warehouse config'!$H:$H&gt;=B1009)+ISBLANK('warehouse config'!$H:$H))),1)),0))"),0.0)</f>
        <v>0</v>
      </c>
      <c r="H1009" s="3">
        <f>IFERROR(__xludf.DUMMYFUNCTION("IFERROR(INDEX(FILTER('cost master'!$E:$E,('cost master'!$B:$B=C1009)*('cost master'!$D:$D=""Storage cost per pallet / week"")*('cost master'!$G:$G&lt;=B1009)*(('cost master'!$H:$H&gt;=B1009)+ISBLANK('cost master'!$H:$H))),1),0)"),2.6)</f>
        <v>2.6</v>
      </c>
      <c r="I1009" s="3">
        <f t="shared" si="4"/>
        <v>0</v>
      </c>
      <c r="J1009" s="27">
        <f t="shared" si="5"/>
        <v>45854</v>
      </c>
      <c r="K1009" s="27">
        <f t="shared" si="6"/>
        <v>45884</v>
      </c>
    </row>
    <row r="1010" hidden="1">
      <c r="A1010" s="3" t="str">
        <f t="shared" si="3"/>
        <v>SL-20250728-Vglobal-CS 012-12</v>
      </c>
      <c r="B1010" s="2">
        <f t="array" ref="B1010">INDEX(helper!$A$3:$A3996,ROUNDUP((ROW()-1)/COUNTA(helper!$D$3:$D3996),0))</f>
        <v>45866</v>
      </c>
      <c r="C1010" s="5" t="str">
        <f t="array" ref="C1010">IF(B1010="","",INDEX(helper!$D$3:$D3996,MOD(ROW()-2,COUNTA(helper!$D$3:$D3996))+1))</f>
        <v>Vglobal</v>
      </c>
      <c r="D1010" s="3" t="str">
        <f t="array" ref="D1010">IF(B1010="","",INDEX(helper!$E$3:$E3996,MOD(ROW()-2,COUNTA(helper!$D$3:$D3996))+1))</f>
        <v>CS 012</v>
      </c>
      <c r="E1010" s="3">
        <f t="array" ref="E1010">IF(B1010="","",INDEX(helper!$F$3:$F3996,MOD(ROW()-2,COUNTA(helper!$D$3:$D3996))+1))</f>
        <v>12</v>
      </c>
      <c r="F1010" s="3">
        <f>IF(B1010="","",SUMIFS('inventory ledger'!$H:$H,'inventory ledger'!$C:$C,C1010,'inventory ledger'!$D:$D,D1010,'inventory ledger'!$E:$E,E1010,'inventory ledger'!$A:$A,"&lt;="&amp;B1010+TIME(23,59,59))-SUMIFS('inventory ledger'!$I:$I,'inventory ledger'!$C:$C,C1010,'inventory ledger'!$D:$D,D1010,'inventory ledger'!$E:$E,E1010,'inventory ledger'!$A:$A,"&lt;="&amp;B1010+TIME(23,59,59)))</f>
        <v>0</v>
      </c>
      <c r="G1010" s="3">
        <f>IFERROR(__xludf.DUMMYFUNCTION("IF(F1010&lt;=0,0,IFERROR(ROUNDUP(F1010/INDEX(FILTER('warehouse config'!$D:$D,('warehouse config'!$B:$B=C1010)*('warehouse config'!$C:$C=D1010)*('warehouse config'!$G:$G&lt;=B1010)*(('warehouse config'!$H:$H&gt;=B1010)+ISBLANK('warehouse config'!$H:$H))),1)),0))"),0.0)</f>
        <v>0</v>
      </c>
      <c r="H1010" s="3">
        <f>IFERROR(__xludf.DUMMYFUNCTION("IFERROR(INDEX(FILTER('cost master'!$E:$E,('cost master'!$B:$B=C1010)*('cost master'!$D:$D=""Storage cost per pallet / week"")*('cost master'!$G:$G&lt;=B1010)*(('cost master'!$H:$H&gt;=B1010)+ISBLANK('cost master'!$H:$H))),1),0)"),2.6)</f>
        <v>2.6</v>
      </c>
      <c r="I1010" s="3">
        <f t="shared" si="4"/>
        <v>0</v>
      </c>
      <c r="J1010" s="27">
        <f t="shared" si="5"/>
        <v>45854</v>
      </c>
      <c r="K1010" s="27">
        <f t="shared" si="6"/>
        <v>45884</v>
      </c>
    </row>
    <row r="1011" hidden="1">
      <c r="A1011" s="3" t="str">
        <f t="shared" si="3"/>
        <v>SL-20250728-Vglobal-CS-CDS-001-3</v>
      </c>
      <c r="B1011" s="2">
        <f t="array" ref="B1011">INDEX(helper!$A$3:$A3996,ROUNDUP((ROW()-1)/COUNTA(helper!$D$3:$D3996),0))</f>
        <v>45866</v>
      </c>
      <c r="C1011" s="5" t="str">
        <f t="array" ref="C1011">IF(B1011="","",INDEX(helper!$D$3:$D3996,MOD(ROW()-2,COUNTA(helper!$D$3:$D3996))+1))</f>
        <v>Vglobal</v>
      </c>
      <c r="D1011" s="3" t="str">
        <f t="array" ref="D1011">IF(B1011="","",INDEX(helper!$E$3:$E3996,MOD(ROW()-2,COUNTA(helper!$D$3:$D3996))+1))</f>
        <v>CS-CDS-001</v>
      </c>
      <c r="E1011" s="3">
        <f t="array" ref="E1011">IF(B1011="","",INDEX(helper!$F$3:$F3996,MOD(ROW()-2,COUNTA(helper!$D$3:$D3996))+1))</f>
        <v>3</v>
      </c>
      <c r="F1011" s="3">
        <f>IF(B1011="","",SUMIFS('inventory ledger'!$H:$H,'inventory ledger'!$C:$C,C1011,'inventory ledger'!$D:$D,D1011,'inventory ledger'!$E:$E,E1011,'inventory ledger'!$A:$A,"&lt;="&amp;B1011+TIME(23,59,59))-SUMIFS('inventory ledger'!$I:$I,'inventory ledger'!$C:$C,C1011,'inventory ledger'!$D:$D,D1011,'inventory ledger'!$E:$E,E1011,'inventory ledger'!$A:$A,"&lt;="&amp;B1011+TIME(23,59,59)))</f>
        <v>1</v>
      </c>
      <c r="G1011" s="3">
        <f>IFERROR(__xludf.DUMMYFUNCTION("IF(F1011&lt;=0,0,IFERROR(ROUNDUP(F1011/INDEX(FILTER('warehouse config'!$D:$D,('warehouse config'!$B:$B=C1011)*('warehouse config'!$C:$C=D1011)*('warehouse config'!$G:$G&lt;=B1011)*(('warehouse config'!$H:$H&gt;=B1011)+ISBLANK('warehouse config'!$H:$H))),1)),0))"),1.0)</f>
        <v>1</v>
      </c>
      <c r="H1011" s="3">
        <f>IFERROR(__xludf.DUMMYFUNCTION("IFERROR(INDEX(FILTER('cost master'!$E:$E,('cost master'!$B:$B=C1011)*('cost master'!$D:$D=""Storage cost per pallet / week"")*('cost master'!$G:$G&lt;=B1011)*(('cost master'!$H:$H&gt;=B1011)+ISBLANK('cost master'!$H:$H))),1),0)"),2.6)</f>
        <v>2.6</v>
      </c>
      <c r="I1011" s="3">
        <f t="shared" si="4"/>
        <v>2.6</v>
      </c>
      <c r="J1011" s="27">
        <f t="shared" si="5"/>
        <v>45854</v>
      </c>
      <c r="K1011" s="27">
        <f t="shared" si="6"/>
        <v>45884</v>
      </c>
    </row>
    <row r="1012" hidden="1">
      <c r="A1012" s="3" t="str">
        <f t="shared" si="3"/>
        <v>SL-20250728-Vglobal-CS-CDS-002-3</v>
      </c>
      <c r="B1012" s="2">
        <f t="array" ref="B1012">INDEX(helper!$A$3:$A3996,ROUNDUP((ROW()-1)/COUNTA(helper!$D$3:$D3996),0))</f>
        <v>45866</v>
      </c>
      <c r="C1012" s="5" t="str">
        <f t="array" ref="C1012">IF(B1012="","",INDEX(helper!$D$3:$D3996,MOD(ROW()-2,COUNTA(helper!$D$3:$D3996))+1))</f>
        <v>Vglobal</v>
      </c>
      <c r="D1012" s="3" t="str">
        <f t="array" ref="D1012">IF(B1012="","",INDEX(helper!$E$3:$E3996,MOD(ROW()-2,COUNTA(helper!$D$3:$D3996))+1))</f>
        <v>CS-CDS-002</v>
      </c>
      <c r="E1012" s="3">
        <f t="array" ref="E1012">IF(B1012="","",INDEX(helper!$F$3:$F3996,MOD(ROW()-2,COUNTA(helper!$D$3:$D3996))+1))</f>
        <v>3</v>
      </c>
      <c r="F1012" s="3">
        <f>IF(B1012="","",SUMIFS('inventory ledger'!$H:$H,'inventory ledger'!$C:$C,C1012,'inventory ledger'!$D:$D,D1012,'inventory ledger'!$E:$E,E1012,'inventory ledger'!$A:$A,"&lt;="&amp;B1012+TIME(23,59,59))-SUMIFS('inventory ledger'!$I:$I,'inventory ledger'!$C:$C,C1012,'inventory ledger'!$D:$D,D1012,'inventory ledger'!$E:$E,E1012,'inventory ledger'!$A:$A,"&lt;="&amp;B1012+TIME(23,59,59)))</f>
        <v>0</v>
      </c>
      <c r="G1012" s="3">
        <f>IFERROR(__xludf.DUMMYFUNCTION("IF(F1012&lt;=0,0,IFERROR(ROUNDUP(F1012/INDEX(FILTER('warehouse config'!$D:$D,('warehouse config'!$B:$B=C1012)*('warehouse config'!$C:$C=D1012)*('warehouse config'!$G:$G&lt;=B1012)*(('warehouse config'!$H:$H&gt;=B1012)+ISBLANK('warehouse config'!$H:$H))),1)),0))"),0.0)</f>
        <v>0</v>
      </c>
      <c r="H1012" s="3">
        <f>IFERROR(__xludf.DUMMYFUNCTION("IFERROR(INDEX(FILTER('cost master'!$E:$E,('cost master'!$B:$B=C1012)*('cost master'!$D:$D=""Storage cost per pallet / week"")*('cost master'!$G:$G&lt;=B1012)*(('cost master'!$H:$H&gt;=B1012)+ISBLANK('cost master'!$H:$H))),1),0)"),2.6)</f>
        <v>2.6</v>
      </c>
      <c r="I1012" s="3">
        <f t="shared" si="4"/>
        <v>0</v>
      </c>
      <c r="J1012" s="27">
        <f t="shared" si="5"/>
        <v>45854</v>
      </c>
      <c r="K1012" s="27">
        <f t="shared" si="6"/>
        <v>45884</v>
      </c>
    </row>
    <row r="1013" hidden="1">
      <c r="A1013" s="3" t="str">
        <f t="shared" si="3"/>
        <v>SL-20250728-4as-CS-CDS-001-4</v>
      </c>
      <c r="B1013" s="2">
        <f t="array" ref="B1013">INDEX(helper!$A$3:$A3996,ROUNDUP((ROW()-1)/COUNTA(helper!$D$3:$D3996),0))</f>
        <v>45866</v>
      </c>
      <c r="C1013" s="5" t="str">
        <f t="array" ref="C1013">IF(B1013="","",INDEX(helper!$D$3:$D3996,MOD(ROW()-2,COUNTA(helper!$D$3:$D3996))+1))</f>
        <v>4as</v>
      </c>
      <c r="D1013" s="3" t="str">
        <f t="array" ref="D1013">IF(B1013="","",INDEX(helper!$E$3:$E3996,MOD(ROW()-2,COUNTA(helper!$D$3:$D3996))+1))</f>
        <v>CS-CDS-001</v>
      </c>
      <c r="E1013" s="3">
        <f t="array" ref="E1013">IF(B1013="","",INDEX(helper!$F$3:$F3996,MOD(ROW()-2,COUNTA(helper!$D$3:$D3996))+1))</f>
        <v>4</v>
      </c>
      <c r="F1013" s="3">
        <f>IF(B1013="","",SUMIFS('inventory ledger'!$H:$H,'inventory ledger'!$C:$C,C1013,'inventory ledger'!$D:$D,D1013,'inventory ledger'!$E:$E,E1013,'inventory ledger'!$A:$A,"&lt;="&amp;B1013+TIME(23,59,59))-SUMIFS('inventory ledger'!$I:$I,'inventory ledger'!$C:$C,C1013,'inventory ledger'!$D:$D,D1013,'inventory ledger'!$E:$E,E1013,'inventory ledger'!$A:$A,"&lt;="&amp;B1013+TIME(23,59,59)))</f>
        <v>0</v>
      </c>
      <c r="G1013" s="3">
        <f>IFERROR(__xludf.DUMMYFUNCTION("IF(F1013&lt;=0,0,IFERROR(ROUNDUP(F1013/INDEX(FILTER('warehouse config'!$D:$D,('warehouse config'!$B:$B=C1013)*('warehouse config'!$C:$C=D1013)*('warehouse config'!$G:$G&lt;=B1013)*(('warehouse config'!$H:$H&gt;=B1013)+ISBLANK('warehouse config'!$H:$H))),1)),0))"),0.0)</f>
        <v>0</v>
      </c>
      <c r="H1013" s="3">
        <f>IFERROR(__xludf.DUMMYFUNCTION("IFERROR(INDEX(FILTER('cost master'!$E:$E,('cost master'!$B:$B=C1013)*('cost master'!$D:$D=""Storage cost per pallet / week"")*('cost master'!$G:$G&lt;=B1013)*(('cost master'!$H:$H&gt;=B1013)+ISBLANK('cost master'!$H:$H))),1),0)"),9.0)</f>
        <v>9</v>
      </c>
      <c r="I1013" s="3">
        <f t="shared" si="4"/>
        <v>0</v>
      </c>
      <c r="J1013" s="27">
        <f t="shared" si="5"/>
        <v>45854</v>
      </c>
      <c r="K1013" s="27">
        <f t="shared" si="6"/>
        <v>45884</v>
      </c>
    </row>
    <row r="1014" hidden="1">
      <c r="A1014" s="3" t="str">
        <f t="shared" si="3"/>
        <v>SL-20250728-4as-CS-CDS-002-4</v>
      </c>
      <c r="B1014" s="2">
        <f t="array" ref="B1014">INDEX(helper!$A$3:$A3996,ROUNDUP((ROW()-1)/COUNTA(helper!$D$3:$D3996),0))</f>
        <v>45866</v>
      </c>
      <c r="C1014" s="5" t="str">
        <f t="array" ref="C1014">IF(B1014="","",INDEX(helper!$D$3:$D3996,MOD(ROW()-2,COUNTA(helper!$D$3:$D3996))+1))</f>
        <v>4as</v>
      </c>
      <c r="D1014" s="3" t="str">
        <f t="array" ref="D1014">IF(B1014="","",INDEX(helper!$E$3:$E3996,MOD(ROW()-2,COUNTA(helper!$D$3:$D3996))+1))</f>
        <v>CS-CDS-002</v>
      </c>
      <c r="E1014" s="3">
        <f t="array" ref="E1014">IF(B1014="","",INDEX(helper!$F$3:$F3996,MOD(ROW()-2,COUNTA(helper!$D$3:$D3996))+1))</f>
        <v>4</v>
      </c>
      <c r="F1014" s="3">
        <f>IF(B1014="","",SUMIFS('inventory ledger'!$H:$H,'inventory ledger'!$C:$C,C1014,'inventory ledger'!$D:$D,D1014,'inventory ledger'!$E:$E,E1014,'inventory ledger'!$A:$A,"&lt;="&amp;B1014+TIME(23,59,59))-SUMIFS('inventory ledger'!$I:$I,'inventory ledger'!$C:$C,C1014,'inventory ledger'!$D:$D,D1014,'inventory ledger'!$E:$E,E1014,'inventory ledger'!$A:$A,"&lt;="&amp;B1014+TIME(23,59,59)))</f>
        <v>0</v>
      </c>
      <c r="G1014" s="3">
        <f>IFERROR(__xludf.DUMMYFUNCTION("IF(F1014&lt;=0,0,IFERROR(ROUNDUP(F1014/INDEX(FILTER('warehouse config'!$D:$D,('warehouse config'!$B:$B=C1014)*('warehouse config'!$C:$C=D1014)*('warehouse config'!$G:$G&lt;=B1014)*(('warehouse config'!$H:$H&gt;=B1014)+ISBLANK('warehouse config'!$H:$H))),1)),0))"),0.0)</f>
        <v>0</v>
      </c>
      <c r="H1014" s="3">
        <f>IFERROR(__xludf.DUMMYFUNCTION("IFERROR(INDEX(FILTER('cost master'!$E:$E,('cost master'!$B:$B=C1014)*('cost master'!$D:$D=""Storage cost per pallet / week"")*('cost master'!$G:$G&lt;=B1014)*(('cost master'!$H:$H&gt;=B1014)+ISBLANK('cost master'!$H:$H))),1),0)"),9.0)</f>
        <v>9</v>
      </c>
      <c r="I1014" s="3">
        <f t="shared" si="4"/>
        <v>0</v>
      </c>
      <c r="J1014" s="27">
        <f t="shared" si="5"/>
        <v>45854</v>
      </c>
      <c r="K1014" s="27">
        <f t="shared" si="6"/>
        <v>45884</v>
      </c>
    </row>
    <row r="1015" hidden="1">
      <c r="A1015" s="3" t="str">
        <f t="shared" si="3"/>
        <v>SL-20250728-Vglobal-CS 007-13</v>
      </c>
      <c r="B1015" s="2">
        <f t="array" ref="B1015">INDEX(helper!$A$3:$A3996,ROUNDUP((ROW()-1)/COUNTA(helper!$D$3:$D3996),0))</f>
        <v>45866</v>
      </c>
      <c r="C1015" s="5" t="str">
        <f t="array" ref="C1015">IF(B1015="","",INDEX(helper!$D$3:$D3996,MOD(ROW()-2,COUNTA(helper!$D$3:$D3996))+1))</f>
        <v>Vglobal</v>
      </c>
      <c r="D1015" s="3" t="str">
        <f t="array" ref="D1015">IF(B1015="","",INDEX(helper!$E$3:$E3996,MOD(ROW()-2,COUNTA(helper!$D$3:$D3996))+1))</f>
        <v>CS 007</v>
      </c>
      <c r="E1015" s="3">
        <f t="array" ref="E1015">IF(B1015="","",INDEX(helper!$F$3:$F3996,MOD(ROW()-2,COUNTA(helper!$D$3:$D3996))+1))</f>
        <v>13</v>
      </c>
      <c r="F1015" s="3">
        <f>IF(B1015="","",SUMIFS('inventory ledger'!$H:$H,'inventory ledger'!$C:$C,C1015,'inventory ledger'!$D:$D,D1015,'inventory ledger'!$E:$E,E1015,'inventory ledger'!$A:$A,"&lt;="&amp;B1015+TIME(23,59,59))-SUMIFS('inventory ledger'!$I:$I,'inventory ledger'!$C:$C,C1015,'inventory ledger'!$D:$D,D1015,'inventory ledger'!$E:$E,E1015,'inventory ledger'!$A:$A,"&lt;="&amp;B1015+TIME(23,59,59)))</f>
        <v>45</v>
      </c>
      <c r="G1015" s="3">
        <f>IFERROR(__xludf.DUMMYFUNCTION("IF(F1015&lt;=0,0,IFERROR(ROUNDUP(F1015/INDEX(FILTER('warehouse config'!$D:$D,('warehouse config'!$B:$B=C1015)*('warehouse config'!$C:$C=D1015)*('warehouse config'!$G:$G&lt;=B1015)*(('warehouse config'!$H:$H&gt;=B1015)+ISBLANK('warehouse config'!$H:$H))),1)),0))"),3.0)</f>
        <v>3</v>
      </c>
      <c r="H1015" s="3">
        <f>IFERROR(__xludf.DUMMYFUNCTION("IFERROR(INDEX(FILTER('cost master'!$E:$E,('cost master'!$B:$B=C1015)*('cost master'!$D:$D=""Storage cost per pallet / week"")*('cost master'!$G:$G&lt;=B1015)*(('cost master'!$H:$H&gt;=B1015)+ISBLANK('cost master'!$H:$H))),1),0)"),2.6)</f>
        <v>2.6</v>
      </c>
      <c r="I1015" s="3">
        <f t="shared" si="4"/>
        <v>7.8</v>
      </c>
      <c r="J1015" s="27">
        <f t="shared" si="5"/>
        <v>45854</v>
      </c>
      <c r="K1015" s="27">
        <f t="shared" si="6"/>
        <v>45884</v>
      </c>
    </row>
    <row r="1016" hidden="1">
      <c r="A1016" s="3" t="str">
        <f t="shared" si="3"/>
        <v>SL-20250728-Vglobal-CS 011-13</v>
      </c>
      <c r="B1016" s="2">
        <f t="array" ref="B1016">INDEX(helper!$A$3:$A3996,ROUNDUP((ROW()-1)/COUNTA(helper!$D$3:$D3996),0))</f>
        <v>45866</v>
      </c>
      <c r="C1016" s="5" t="str">
        <f t="array" ref="C1016">IF(B1016="","",INDEX(helper!$D$3:$D3996,MOD(ROW()-2,COUNTA(helper!$D$3:$D3996))+1))</f>
        <v>Vglobal</v>
      </c>
      <c r="D1016" s="3" t="str">
        <f t="array" ref="D1016">IF(B1016="","",INDEX(helper!$E$3:$E3996,MOD(ROW()-2,COUNTA(helper!$D$3:$D3996))+1))</f>
        <v>CS 011</v>
      </c>
      <c r="E1016" s="3">
        <f t="array" ref="E1016">IF(B1016="","",INDEX(helper!$F$3:$F3996,MOD(ROW()-2,COUNTA(helper!$D$3:$D3996))+1))</f>
        <v>13</v>
      </c>
      <c r="F1016" s="3">
        <f>IF(B1016="","",SUMIFS('inventory ledger'!$H:$H,'inventory ledger'!$C:$C,C1016,'inventory ledger'!$D:$D,D1016,'inventory ledger'!$E:$E,E1016,'inventory ledger'!$A:$A,"&lt;="&amp;B1016+TIME(23,59,59))-SUMIFS('inventory ledger'!$I:$I,'inventory ledger'!$C:$C,C1016,'inventory ledger'!$D:$D,D1016,'inventory ledger'!$E:$E,E1016,'inventory ledger'!$A:$A,"&lt;="&amp;B1016+TIME(23,59,59)))</f>
        <v>0</v>
      </c>
      <c r="G1016" s="3">
        <f>IFERROR(__xludf.DUMMYFUNCTION("IF(F1016&lt;=0,0,IFERROR(ROUNDUP(F1016/INDEX(FILTER('warehouse config'!$D:$D,('warehouse config'!$B:$B=C1016)*('warehouse config'!$C:$C=D1016)*('warehouse config'!$G:$G&lt;=B1016)*(('warehouse config'!$H:$H&gt;=B1016)+ISBLANK('warehouse config'!$H:$H))),1)),0))"),0.0)</f>
        <v>0</v>
      </c>
      <c r="H1016" s="3">
        <f>IFERROR(__xludf.DUMMYFUNCTION("IFERROR(INDEX(FILTER('cost master'!$E:$E,('cost master'!$B:$B=C1016)*('cost master'!$D:$D=""Storage cost per pallet / week"")*('cost master'!$G:$G&lt;=B1016)*(('cost master'!$H:$H&gt;=B1016)+ISBLANK('cost master'!$H:$H))),1),0)"),2.6)</f>
        <v>2.6</v>
      </c>
      <c r="I1016" s="3">
        <f t="shared" si="4"/>
        <v>0</v>
      </c>
      <c r="J1016" s="27">
        <f t="shared" si="5"/>
        <v>45854</v>
      </c>
      <c r="K1016" s="27">
        <f t="shared" si="6"/>
        <v>45884</v>
      </c>
    </row>
    <row r="1017" hidden="1">
      <c r="A1017" s="3" t="str">
        <f t="shared" si="3"/>
        <v>SL-20250728-Vglobal-CS 008-13</v>
      </c>
      <c r="B1017" s="2">
        <f t="array" ref="B1017">INDEX(helper!$A$3:$A3996,ROUNDUP((ROW()-1)/COUNTA(helper!$D$3:$D3996),0))</f>
        <v>45866</v>
      </c>
      <c r="C1017" s="5" t="str">
        <f t="array" ref="C1017">IF(B1017="","",INDEX(helper!$D$3:$D3996,MOD(ROW()-2,COUNTA(helper!$D$3:$D3996))+1))</f>
        <v>Vglobal</v>
      </c>
      <c r="D1017" s="3" t="str">
        <f t="array" ref="D1017">IF(B1017="","",INDEX(helper!$E$3:$E3996,MOD(ROW()-2,COUNTA(helper!$D$3:$D3996))+1))</f>
        <v>CS 008</v>
      </c>
      <c r="E1017" s="3">
        <f t="array" ref="E1017">IF(B1017="","",INDEX(helper!$F$3:$F3996,MOD(ROW()-2,COUNTA(helper!$D$3:$D3996))+1))</f>
        <v>13</v>
      </c>
      <c r="F1017" s="3">
        <f>IF(B1017="","",SUMIFS('inventory ledger'!$H:$H,'inventory ledger'!$C:$C,C1017,'inventory ledger'!$D:$D,D1017,'inventory ledger'!$E:$E,E1017,'inventory ledger'!$A:$A,"&lt;="&amp;B1017+TIME(23,59,59))-SUMIFS('inventory ledger'!$I:$I,'inventory ledger'!$C:$C,C1017,'inventory ledger'!$D:$D,D1017,'inventory ledger'!$E:$E,E1017,'inventory ledger'!$A:$A,"&lt;="&amp;B1017+TIME(23,59,59)))</f>
        <v>20</v>
      </c>
      <c r="G1017" s="3">
        <f>IFERROR(__xludf.DUMMYFUNCTION("IF(F1017&lt;=0,0,IFERROR(ROUNDUP(F1017/INDEX(FILTER('warehouse config'!$D:$D,('warehouse config'!$B:$B=C1017)*('warehouse config'!$C:$C=D1017)*('warehouse config'!$G:$G&lt;=B1017)*(('warehouse config'!$H:$H&gt;=B1017)+ISBLANK('warehouse config'!$H:$H))),1)),0))"),1.0)</f>
        <v>1</v>
      </c>
      <c r="H1017" s="3">
        <f>IFERROR(__xludf.DUMMYFUNCTION("IFERROR(INDEX(FILTER('cost master'!$E:$E,('cost master'!$B:$B=C1017)*('cost master'!$D:$D=""Storage cost per pallet / week"")*('cost master'!$G:$G&lt;=B1017)*(('cost master'!$H:$H&gt;=B1017)+ISBLANK('cost master'!$H:$H))),1),0)"),2.6)</f>
        <v>2.6</v>
      </c>
      <c r="I1017" s="3">
        <f t="shared" si="4"/>
        <v>2.6</v>
      </c>
      <c r="J1017" s="27">
        <f t="shared" si="5"/>
        <v>45854</v>
      </c>
      <c r="K1017" s="27">
        <f t="shared" si="6"/>
        <v>45884</v>
      </c>
    </row>
    <row r="1018" hidden="1">
      <c r="A1018" s="3" t="str">
        <f t="shared" si="3"/>
        <v>SL-20250728-Vglobal-CS 010-13</v>
      </c>
      <c r="B1018" s="2">
        <f t="array" ref="B1018">INDEX(helper!$A$3:$A3996,ROUNDUP((ROW()-1)/COUNTA(helper!$D$3:$D3996),0))</f>
        <v>45866</v>
      </c>
      <c r="C1018" s="5" t="str">
        <f t="array" ref="C1018">IF(B1018="","",INDEX(helper!$D$3:$D3996,MOD(ROW()-2,COUNTA(helper!$D$3:$D3996))+1))</f>
        <v>Vglobal</v>
      </c>
      <c r="D1018" s="3" t="str">
        <f t="array" ref="D1018">IF(B1018="","",INDEX(helper!$E$3:$E3996,MOD(ROW()-2,COUNTA(helper!$D$3:$D3996))+1))</f>
        <v>CS 010</v>
      </c>
      <c r="E1018" s="3">
        <f t="array" ref="E1018">IF(B1018="","",INDEX(helper!$F$3:$F3996,MOD(ROW()-2,COUNTA(helper!$D$3:$D3996))+1))</f>
        <v>13</v>
      </c>
      <c r="F1018" s="3">
        <f>IF(B1018="","",SUMIFS('inventory ledger'!$H:$H,'inventory ledger'!$C:$C,C1018,'inventory ledger'!$D:$D,D1018,'inventory ledger'!$E:$E,E1018,'inventory ledger'!$A:$A,"&lt;="&amp;B1018+TIME(23,59,59))-SUMIFS('inventory ledger'!$I:$I,'inventory ledger'!$C:$C,C1018,'inventory ledger'!$D:$D,D1018,'inventory ledger'!$E:$E,E1018,'inventory ledger'!$A:$A,"&lt;="&amp;B1018+TIME(23,59,59)))</f>
        <v>80</v>
      </c>
      <c r="G1018" s="3">
        <f>IFERROR(__xludf.DUMMYFUNCTION("IF(F1018&lt;=0,0,IFERROR(ROUNDUP(F1018/INDEX(FILTER('warehouse config'!$D:$D,('warehouse config'!$B:$B=C1018)*('warehouse config'!$C:$C=D1018)*('warehouse config'!$G:$G&lt;=B1018)*(('warehouse config'!$H:$H&gt;=B1018)+ISBLANK('warehouse config'!$H:$H))),1)),0))"),4.0)</f>
        <v>4</v>
      </c>
      <c r="H1018" s="3">
        <f>IFERROR(__xludf.DUMMYFUNCTION("IFERROR(INDEX(FILTER('cost master'!$E:$E,('cost master'!$B:$B=C1018)*('cost master'!$D:$D=""Storage cost per pallet / week"")*('cost master'!$G:$G&lt;=B1018)*(('cost master'!$H:$H&gt;=B1018)+ISBLANK('cost master'!$H:$H))),1),0)"),2.6)</f>
        <v>2.6</v>
      </c>
      <c r="I1018" s="3">
        <f t="shared" si="4"/>
        <v>10.4</v>
      </c>
      <c r="J1018" s="27">
        <f t="shared" si="5"/>
        <v>45854</v>
      </c>
      <c r="K1018" s="27">
        <f t="shared" si="6"/>
        <v>45884</v>
      </c>
    </row>
    <row r="1019" hidden="1">
      <c r="A1019" s="3" t="str">
        <f t="shared" si="3"/>
        <v>SL-20250728-Vglobal-CS 009-13</v>
      </c>
      <c r="B1019" s="2">
        <f t="array" ref="B1019">INDEX(helper!$A$3:$A3996,ROUNDUP((ROW()-1)/COUNTA(helper!$D$3:$D3996),0))</f>
        <v>45866</v>
      </c>
      <c r="C1019" s="5" t="str">
        <f t="array" ref="C1019">IF(B1019="","",INDEX(helper!$D$3:$D3996,MOD(ROW()-2,COUNTA(helper!$D$3:$D3996))+1))</f>
        <v>Vglobal</v>
      </c>
      <c r="D1019" s="3" t="str">
        <f t="array" ref="D1019">IF(B1019="","",INDEX(helper!$E$3:$E3996,MOD(ROW()-2,COUNTA(helper!$D$3:$D3996))+1))</f>
        <v>CS 009</v>
      </c>
      <c r="E1019" s="3">
        <f t="array" ref="E1019">IF(B1019="","",INDEX(helper!$F$3:$F3996,MOD(ROW()-2,COUNTA(helper!$D$3:$D3996))+1))</f>
        <v>13</v>
      </c>
      <c r="F1019" s="3">
        <f>IF(B1019="","",SUMIFS('inventory ledger'!$H:$H,'inventory ledger'!$C:$C,C1019,'inventory ledger'!$D:$D,D1019,'inventory ledger'!$E:$E,E1019,'inventory ledger'!$A:$A,"&lt;="&amp;B1019+TIME(23,59,59))-SUMIFS('inventory ledger'!$I:$I,'inventory ledger'!$C:$C,C1019,'inventory ledger'!$D:$D,D1019,'inventory ledger'!$E:$E,E1019,'inventory ledger'!$A:$A,"&lt;="&amp;B1019+TIME(23,59,59)))</f>
        <v>0</v>
      </c>
      <c r="G1019" s="3">
        <f>IFERROR(__xludf.DUMMYFUNCTION("IF(F1019&lt;=0,0,IFERROR(ROUNDUP(F1019/INDEX(FILTER('warehouse config'!$D:$D,('warehouse config'!$B:$B=C1019)*('warehouse config'!$C:$C=D1019)*('warehouse config'!$G:$G&lt;=B1019)*(('warehouse config'!$H:$H&gt;=B1019)+ISBLANK('warehouse config'!$H:$H))),1)),0))"),0.0)</f>
        <v>0</v>
      </c>
      <c r="H1019" s="3">
        <f>IFERROR(__xludf.DUMMYFUNCTION("IFERROR(INDEX(FILTER('cost master'!$E:$E,('cost master'!$B:$B=C1019)*('cost master'!$D:$D=""Storage cost per pallet / week"")*('cost master'!$G:$G&lt;=B1019)*(('cost master'!$H:$H&gt;=B1019)+ISBLANK('cost master'!$H:$H))),1),0)"),2.6)</f>
        <v>2.6</v>
      </c>
      <c r="I1019" s="3">
        <f t="shared" si="4"/>
        <v>0</v>
      </c>
      <c r="J1019" s="27">
        <f t="shared" si="5"/>
        <v>45854</v>
      </c>
      <c r="K1019" s="27">
        <f t="shared" si="6"/>
        <v>45884</v>
      </c>
    </row>
    <row r="1020" hidden="1">
      <c r="A1020" s="3" t="str">
        <f t="shared" si="3"/>
        <v>SL-20250728-Vglobal-CS 012-13</v>
      </c>
      <c r="B1020" s="2">
        <f t="array" ref="B1020">INDEX(helper!$A$3:$A3996,ROUNDUP((ROW()-1)/COUNTA(helper!$D$3:$D3996),0))</f>
        <v>45866</v>
      </c>
      <c r="C1020" s="5" t="str">
        <f t="array" ref="C1020">IF(B1020="","",INDEX(helper!$D$3:$D3996,MOD(ROW()-2,COUNTA(helper!$D$3:$D3996))+1))</f>
        <v>Vglobal</v>
      </c>
      <c r="D1020" s="3" t="str">
        <f t="array" ref="D1020">IF(B1020="","",INDEX(helper!$E$3:$E3996,MOD(ROW()-2,COUNTA(helper!$D$3:$D3996))+1))</f>
        <v>CS 012</v>
      </c>
      <c r="E1020" s="3">
        <f t="array" ref="E1020">IF(B1020="","",INDEX(helper!$F$3:$F3996,MOD(ROW()-2,COUNTA(helper!$D$3:$D3996))+1))</f>
        <v>13</v>
      </c>
      <c r="F1020" s="3">
        <f>IF(B1020="","",SUMIFS('inventory ledger'!$H:$H,'inventory ledger'!$C:$C,C1020,'inventory ledger'!$D:$D,D1020,'inventory ledger'!$E:$E,E1020,'inventory ledger'!$A:$A,"&lt;="&amp;B1020+TIME(23,59,59))-SUMIFS('inventory ledger'!$I:$I,'inventory ledger'!$C:$C,C1020,'inventory ledger'!$D:$D,D1020,'inventory ledger'!$E:$E,E1020,'inventory ledger'!$A:$A,"&lt;="&amp;B1020+TIME(23,59,59)))</f>
        <v>0</v>
      </c>
      <c r="G1020" s="3">
        <f>IFERROR(__xludf.DUMMYFUNCTION("IF(F1020&lt;=0,0,IFERROR(ROUNDUP(F1020/INDEX(FILTER('warehouse config'!$D:$D,('warehouse config'!$B:$B=C1020)*('warehouse config'!$C:$C=D1020)*('warehouse config'!$G:$G&lt;=B1020)*(('warehouse config'!$H:$H&gt;=B1020)+ISBLANK('warehouse config'!$H:$H))),1)),0))"),0.0)</f>
        <v>0</v>
      </c>
      <c r="H1020" s="3">
        <f>IFERROR(__xludf.DUMMYFUNCTION("IFERROR(INDEX(FILTER('cost master'!$E:$E,('cost master'!$B:$B=C1020)*('cost master'!$D:$D=""Storage cost per pallet / week"")*('cost master'!$G:$G&lt;=B1020)*(('cost master'!$H:$H&gt;=B1020)+ISBLANK('cost master'!$H:$H))),1),0)"),2.6)</f>
        <v>2.6</v>
      </c>
      <c r="I1020" s="3">
        <f t="shared" si="4"/>
        <v>0</v>
      </c>
      <c r="J1020" s="27">
        <f t="shared" si="5"/>
        <v>45854</v>
      </c>
      <c r="K1020" s="27">
        <f t="shared" si="6"/>
        <v>45884</v>
      </c>
    </row>
    <row r="1021">
      <c r="A1021" s="3" t="str">
        <f t="shared" si="3"/>
        <v>SL-20250728-FMC-CS 008-11</v>
      </c>
      <c r="B1021" s="2">
        <f t="array" ref="B1021">INDEX(helper!$A$3:$A3996,ROUNDUP((ROW()-1)/COUNTA(helper!$D$3:$D3996),0))</f>
        <v>45866</v>
      </c>
      <c r="C1021" s="5" t="str">
        <f t="array" ref="C1021">IF(B1021="","",INDEX(helper!$D$3:$D3996,MOD(ROW()-2,COUNTA(helper!$D$3:$D3996))+1))</f>
        <v>FMC</v>
      </c>
      <c r="D1021" s="3" t="str">
        <f t="array" ref="D1021">IF(B1021="","",INDEX(helper!$E$3:$E3996,MOD(ROW()-2,COUNTA(helper!$D$3:$D3996))+1))</f>
        <v>CS 008</v>
      </c>
      <c r="E1021" s="3">
        <f t="array" ref="E1021">IF(B1021="","",INDEX(helper!$F$3:$F3996,MOD(ROW()-2,COUNTA(helper!$D$3:$D3996))+1))</f>
        <v>11</v>
      </c>
      <c r="F1021" s="3">
        <f>IF(B1021="","",SUMIFS('inventory ledger'!$H:$H,'inventory ledger'!$C:$C,C1021,'inventory ledger'!$D:$D,D1021,'inventory ledger'!$E:$E,E1021,'inventory ledger'!$A:$A,"&lt;="&amp;B1021+TIME(23,59,59))-SUMIFS('inventory ledger'!$I:$I,'inventory ledger'!$C:$C,C1021,'inventory ledger'!$D:$D,D1021,'inventory ledger'!$E:$E,E1021,'inventory ledger'!$A:$A,"&lt;="&amp;B1021+TIME(23,59,59)))</f>
        <v>-2</v>
      </c>
      <c r="G1021" s="3">
        <f>IFERROR(__xludf.DUMMYFUNCTION("IF(F1021&lt;=0,0,IFERROR(ROUNDUP(F1021/INDEX(FILTER('warehouse config'!$D:$D,('warehouse config'!$B:$B=C1021)*('warehouse config'!$C:$C=D1021)*('warehouse config'!$G:$G&lt;=B1021)*(('warehouse config'!$H:$H&gt;=B1021)+ISBLANK('warehouse config'!$H:$H))),1)),0))"),0.0)</f>
        <v>0</v>
      </c>
      <c r="H1021" s="3">
        <f>IFERROR(__xludf.DUMMYFUNCTION("IFERROR(INDEX(FILTER('cost master'!$E:$E,('cost master'!$B:$B=C1021)*('cost master'!$D:$D=""Storage cost per pallet / week"")*('cost master'!$G:$G&lt;=B1021)*(('cost master'!$H:$H&gt;=B1021)+ISBLANK('cost master'!$H:$H))),1),0)"),3.9)</f>
        <v>3.9</v>
      </c>
      <c r="I1021" s="3">
        <f t="shared" si="4"/>
        <v>0</v>
      </c>
      <c r="J1021" s="27">
        <f t="shared" si="5"/>
        <v>45854</v>
      </c>
      <c r="K1021" s="27">
        <f t="shared" si="6"/>
        <v>45884</v>
      </c>
    </row>
    <row r="1022" hidden="1">
      <c r="A1022" s="3" t="str">
        <f t="shared" si="3"/>
        <v>SL-20250804-FMC-CS 007-8</v>
      </c>
      <c r="B1022" s="2">
        <f t="array" ref="B1022">INDEX(helper!$A$3:$A3996,ROUNDUP((ROW()-1)/COUNTA(helper!$D$3:$D3996),0))</f>
        <v>45873</v>
      </c>
      <c r="C1022" s="5" t="str">
        <f t="array" ref="C1022">IF(B1022="","",INDEX(helper!$D$3:$D3996,MOD(ROW()-2,COUNTA(helper!$D$3:$D3996))+1))</f>
        <v>FMC</v>
      </c>
      <c r="D1022" s="3" t="str">
        <f t="array" ref="D1022">IF(B1022="","",INDEX(helper!$E$3:$E3996,MOD(ROW()-2,COUNTA(helper!$D$3:$D3996))+1))</f>
        <v>CS 007</v>
      </c>
      <c r="E1022" s="3">
        <f t="array" ref="E1022">IF(B1022="","",INDEX(helper!$F$3:$F3996,MOD(ROW()-2,COUNTA(helper!$D$3:$D3996))+1))</f>
        <v>8</v>
      </c>
      <c r="F1022" s="3">
        <f>IF(B1022="","",SUMIFS('inventory ledger'!$H:$H,'inventory ledger'!$C:$C,C1022,'inventory ledger'!$D:$D,D1022,'inventory ledger'!$E:$E,E1022,'inventory ledger'!$A:$A,"&lt;="&amp;B1022+TIME(23,59,59))-SUMIFS('inventory ledger'!$I:$I,'inventory ledger'!$C:$C,C1022,'inventory ledger'!$D:$D,D1022,'inventory ledger'!$E:$E,E1022,'inventory ledger'!$A:$A,"&lt;="&amp;B1022+TIME(23,59,59)))</f>
        <v>0</v>
      </c>
      <c r="G1022" s="3">
        <f>IFERROR(__xludf.DUMMYFUNCTION("IF(F1022&lt;=0,0,IFERROR(ROUNDUP(F1022/INDEX(FILTER('warehouse config'!$D:$D,('warehouse config'!$B:$B=C1022)*('warehouse config'!$C:$C=D1022)*('warehouse config'!$G:$G&lt;=B1022)*(('warehouse config'!$H:$H&gt;=B1022)+ISBLANK('warehouse config'!$H:$H))),1)),0))"),0.0)</f>
        <v>0</v>
      </c>
      <c r="H1022" s="3">
        <f>IFERROR(__xludf.DUMMYFUNCTION("IFERROR(INDEX(FILTER('cost master'!$E:$E,('cost master'!$B:$B=C1022)*('cost master'!$D:$D=""Storage cost per pallet / week"")*('cost master'!$G:$G&lt;=B1022)*(('cost master'!$H:$H&gt;=B1022)+ISBLANK('cost master'!$H:$H))),1),0)"),3.9)</f>
        <v>3.9</v>
      </c>
      <c r="I1022" s="3">
        <f t="shared" si="4"/>
        <v>0</v>
      </c>
      <c r="J1022" s="27">
        <f t="shared" si="5"/>
        <v>45854</v>
      </c>
      <c r="K1022" s="27">
        <f t="shared" si="6"/>
        <v>45884</v>
      </c>
    </row>
    <row r="1023" hidden="1">
      <c r="A1023" s="3" t="str">
        <f t="shared" si="3"/>
        <v>SL-20250804-FMC-CS 008-8</v>
      </c>
      <c r="B1023" s="2">
        <f t="array" ref="B1023">INDEX(helper!$A$3:$A3996,ROUNDUP((ROW()-1)/COUNTA(helper!$D$3:$D3996),0))</f>
        <v>45873</v>
      </c>
      <c r="C1023" s="5" t="str">
        <f t="array" ref="C1023">IF(B1023="","",INDEX(helper!$D$3:$D3996,MOD(ROW()-2,COUNTA(helper!$D$3:$D3996))+1))</f>
        <v>FMC</v>
      </c>
      <c r="D1023" s="3" t="str">
        <f t="array" ref="D1023">IF(B1023="","",INDEX(helper!$E$3:$E3996,MOD(ROW()-2,COUNTA(helper!$D$3:$D3996))+1))</f>
        <v>CS 008</v>
      </c>
      <c r="E1023" s="3">
        <f t="array" ref="E1023">IF(B1023="","",INDEX(helper!$F$3:$F3996,MOD(ROW()-2,COUNTA(helper!$D$3:$D3996))+1))</f>
        <v>8</v>
      </c>
      <c r="F1023" s="3">
        <f>IF(B1023="","",SUMIFS('inventory ledger'!$H:$H,'inventory ledger'!$C:$C,C1023,'inventory ledger'!$D:$D,D1023,'inventory ledger'!$E:$E,E1023,'inventory ledger'!$A:$A,"&lt;="&amp;B1023+TIME(23,59,59))-SUMIFS('inventory ledger'!$I:$I,'inventory ledger'!$C:$C,C1023,'inventory ledger'!$D:$D,D1023,'inventory ledger'!$E:$E,E1023,'inventory ledger'!$A:$A,"&lt;="&amp;B1023+TIME(23,59,59)))</f>
        <v>0</v>
      </c>
      <c r="G1023" s="3">
        <f>IFERROR(__xludf.DUMMYFUNCTION("IF(F1023&lt;=0,0,IFERROR(ROUNDUP(F1023/INDEX(FILTER('warehouse config'!$D:$D,('warehouse config'!$B:$B=C1023)*('warehouse config'!$C:$C=D1023)*('warehouse config'!$G:$G&lt;=B1023)*(('warehouse config'!$H:$H&gt;=B1023)+ISBLANK('warehouse config'!$H:$H))),1)),0))"),0.0)</f>
        <v>0</v>
      </c>
      <c r="H1023" s="3">
        <f>IFERROR(__xludf.DUMMYFUNCTION("IFERROR(INDEX(FILTER('cost master'!$E:$E,('cost master'!$B:$B=C1023)*('cost master'!$D:$D=""Storage cost per pallet / week"")*('cost master'!$G:$G&lt;=B1023)*(('cost master'!$H:$H&gt;=B1023)+ISBLANK('cost master'!$H:$H))),1),0)"),3.9)</f>
        <v>3.9</v>
      </c>
      <c r="I1023" s="3">
        <f t="shared" si="4"/>
        <v>0</v>
      </c>
      <c r="J1023" s="27">
        <f t="shared" si="5"/>
        <v>45854</v>
      </c>
      <c r="K1023" s="27">
        <f t="shared" si="6"/>
        <v>45884</v>
      </c>
    </row>
    <row r="1024" hidden="1">
      <c r="A1024" s="3" t="str">
        <f t="shared" si="3"/>
        <v>SL-20250804-FMC-CS 009-8</v>
      </c>
      <c r="B1024" s="2">
        <f t="array" ref="B1024">INDEX(helper!$A$3:$A3996,ROUNDUP((ROW()-1)/COUNTA(helper!$D$3:$D3996),0))</f>
        <v>45873</v>
      </c>
      <c r="C1024" s="5" t="str">
        <f t="array" ref="C1024">IF(B1024="","",INDEX(helper!$D$3:$D3996,MOD(ROW()-2,COUNTA(helper!$D$3:$D3996))+1))</f>
        <v>FMC</v>
      </c>
      <c r="D1024" s="3" t="str">
        <f t="array" ref="D1024">IF(B1024="","",INDEX(helper!$E$3:$E3996,MOD(ROW()-2,COUNTA(helper!$D$3:$D3996))+1))</f>
        <v>CS 009</v>
      </c>
      <c r="E1024" s="3">
        <f t="array" ref="E1024">IF(B1024="","",INDEX(helper!$F$3:$F3996,MOD(ROW()-2,COUNTA(helper!$D$3:$D3996))+1))</f>
        <v>8</v>
      </c>
      <c r="F1024" s="3">
        <f>IF(B1024="","",SUMIFS('inventory ledger'!$H:$H,'inventory ledger'!$C:$C,C1024,'inventory ledger'!$D:$D,D1024,'inventory ledger'!$E:$E,E1024,'inventory ledger'!$A:$A,"&lt;="&amp;B1024+TIME(23,59,59))-SUMIFS('inventory ledger'!$I:$I,'inventory ledger'!$C:$C,C1024,'inventory ledger'!$D:$D,D1024,'inventory ledger'!$E:$E,E1024,'inventory ledger'!$A:$A,"&lt;="&amp;B1024+TIME(23,59,59)))</f>
        <v>0</v>
      </c>
      <c r="G1024" s="3">
        <f>IFERROR(__xludf.DUMMYFUNCTION("IF(F1024&lt;=0,0,IFERROR(ROUNDUP(F1024/INDEX(FILTER('warehouse config'!$D:$D,('warehouse config'!$B:$B=C1024)*('warehouse config'!$C:$C=D1024)*('warehouse config'!$G:$G&lt;=B1024)*(('warehouse config'!$H:$H&gt;=B1024)+ISBLANK('warehouse config'!$H:$H))),1)),0))"),0.0)</f>
        <v>0</v>
      </c>
      <c r="H1024" s="3">
        <f>IFERROR(__xludf.DUMMYFUNCTION("IFERROR(INDEX(FILTER('cost master'!$E:$E,('cost master'!$B:$B=C1024)*('cost master'!$D:$D=""Storage cost per pallet / week"")*('cost master'!$G:$G&lt;=B1024)*(('cost master'!$H:$H&gt;=B1024)+ISBLANK('cost master'!$H:$H))),1),0)"),3.9)</f>
        <v>3.9</v>
      </c>
      <c r="I1024" s="3">
        <f t="shared" si="4"/>
        <v>0</v>
      </c>
      <c r="J1024" s="27">
        <f t="shared" si="5"/>
        <v>45854</v>
      </c>
      <c r="K1024" s="27">
        <f t="shared" si="6"/>
        <v>45884</v>
      </c>
    </row>
    <row r="1025" hidden="1">
      <c r="A1025" s="3" t="str">
        <f t="shared" si="3"/>
        <v>SL-20250804-FMC-CS 010-8</v>
      </c>
      <c r="B1025" s="2">
        <f t="array" ref="B1025">INDEX(helper!$A$3:$A3996,ROUNDUP((ROW()-1)/COUNTA(helper!$D$3:$D3996),0))</f>
        <v>45873</v>
      </c>
      <c r="C1025" s="5" t="str">
        <f t="array" ref="C1025">IF(B1025="","",INDEX(helper!$D$3:$D3996,MOD(ROW()-2,COUNTA(helper!$D$3:$D3996))+1))</f>
        <v>FMC</v>
      </c>
      <c r="D1025" s="3" t="str">
        <f t="array" ref="D1025">IF(B1025="","",INDEX(helper!$E$3:$E3996,MOD(ROW()-2,COUNTA(helper!$D$3:$D3996))+1))</f>
        <v>CS 010</v>
      </c>
      <c r="E1025" s="3">
        <f t="array" ref="E1025">IF(B1025="","",INDEX(helper!$F$3:$F3996,MOD(ROW()-2,COUNTA(helper!$D$3:$D3996))+1))</f>
        <v>8</v>
      </c>
      <c r="F1025" s="3">
        <f>IF(B1025="","",SUMIFS('inventory ledger'!$H:$H,'inventory ledger'!$C:$C,C1025,'inventory ledger'!$D:$D,D1025,'inventory ledger'!$E:$E,E1025,'inventory ledger'!$A:$A,"&lt;="&amp;B1025+TIME(23,59,59))-SUMIFS('inventory ledger'!$I:$I,'inventory ledger'!$C:$C,C1025,'inventory ledger'!$D:$D,D1025,'inventory ledger'!$E:$E,E1025,'inventory ledger'!$A:$A,"&lt;="&amp;B1025+TIME(23,59,59)))</f>
        <v>0</v>
      </c>
      <c r="G1025" s="3">
        <f>IFERROR(__xludf.DUMMYFUNCTION("IF(F1025&lt;=0,0,IFERROR(ROUNDUP(F1025/INDEX(FILTER('warehouse config'!$D:$D,('warehouse config'!$B:$B=C1025)*('warehouse config'!$C:$C=D1025)*('warehouse config'!$G:$G&lt;=B1025)*(('warehouse config'!$H:$H&gt;=B1025)+ISBLANK('warehouse config'!$H:$H))),1)),0))"),0.0)</f>
        <v>0</v>
      </c>
      <c r="H1025" s="3">
        <f>IFERROR(__xludf.DUMMYFUNCTION("IFERROR(INDEX(FILTER('cost master'!$E:$E,('cost master'!$B:$B=C1025)*('cost master'!$D:$D=""Storage cost per pallet / week"")*('cost master'!$G:$G&lt;=B1025)*(('cost master'!$H:$H&gt;=B1025)+ISBLANK('cost master'!$H:$H))),1),0)"),3.9)</f>
        <v>3.9</v>
      </c>
      <c r="I1025" s="3">
        <f t="shared" si="4"/>
        <v>0</v>
      </c>
      <c r="J1025" s="27">
        <f t="shared" si="5"/>
        <v>45854</v>
      </c>
      <c r="K1025" s="27">
        <f t="shared" si="6"/>
        <v>45884</v>
      </c>
    </row>
    <row r="1026" hidden="1">
      <c r="A1026" s="3" t="str">
        <f t="shared" si="3"/>
        <v>SL-20250804-FMC-CS 007-9</v>
      </c>
      <c r="B1026" s="2">
        <f t="array" ref="B1026">INDEX(helper!$A$3:$A3996,ROUNDUP((ROW()-1)/COUNTA(helper!$D$3:$D3996),0))</f>
        <v>45873</v>
      </c>
      <c r="C1026" s="5" t="str">
        <f t="array" ref="C1026">IF(B1026="","",INDEX(helper!$D$3:$D3996,MOD(ROW()-2,COUNTA(helper!$D$3:$D3996))+1))</f>
        <v>FMC</v>
      </c>
      <c r="D1026" s="3" t="str">
        <f t="array" ref="D1026">IF(B1026="","",INDEX(helper!$E$3:$E3996,MOD(ROW()-2,COUNTA(helper!$D$3:$D3996))+1))</f>
        <v>CS 007</v>
      </c>
      <c r="E1026" s="3">
        <f t="array" ref="E1026">IF(B1026="","",INDEX(helper!$F$3:$F3996,MOD(ROW()-2,COUNTA(helper!$D$3:$D3996))+1))</f>
        <v>9</v>
      </c>
      <c r="F1026" s="3">
        <f>IF(B1026="","",SUMIFS('inventory ledger'!$H:$H,'inventory ledger'!$C:$C,C1026,'inventory ledger'!$D:$D,D1026,'inventory ledger'!$E:$E,E1026,'inventory ledger'!$A:$A,"&lt;="&amp;B1026+TIME(23,59,59))-SUMIFS('inventory ledger'!$I:$I,'inventory ledger'!$C:$C,C1026,'inventory ledger'!$D:$D,D1026,'inventory ledger'!$E:$E,E1026,'inventory ledger'!$A:$A,"&lt;="&amp;B1026+TIME(23,59,59)))</f>
        <v>0</v>
      </c>
      <c r="G1026" s="3">
        <f>IFERROR(__xludf.DUMMYFUNCTION("IF(F1026&lt;=0,0,IFERROR(ROUNDUP(F1026/INDEX(FILTER('warehouse config'!$D:$D,('warehouse config'!$B:$B=C1026)*('warehouse config'!$C:$C=D1026)*('warehouse config'!$G:$G&lt;=B1026)*(('warehouse config'!$H:$H&gt;=B1026)+ISBLANK('warehouse config'!$H:$H))),1)),0))"),0.0)</f>
        <v>0</v>
      </c>
      <c r="H1026" s="3">
        <f>IFERROR(__xludf.DUMMYFUNCTION("IFERROR(INDEX(FILTER('cost master'!$E:$E,('cost master'!$B:$B=C1026)*('cost master'!$D:$D=""Storage cost per pallet / week"")*('cost master'!$G:$G&lt;=B1026)*(('cost master'!$H:$H&gt;=B1026)+ISBLANK('cost master'!$H:$H))),1),0)"),3.9)</f>
        <v>3.9</v>
      </c>
      <c r="I1026" s="3">
        <f t="shared" si="4"/>
        <v>0</v>
      </c>
      <c r="J1026" s="27">
        <f t="shared" si="5"/>
        <v>45854</v>
      </c>
      <c r="K1026" s="27">
        <f t="shared" si="6"/>
        <v>45884</v>
      </c>
    </row>
    <row r="1027" hidden="1">
      <c r="A1027" s="3" t="str">
        <f t="shared" si="3"/>
        <v>SL-20250804-FMC-CS 008-9</v>
      </c>
      <c r="B1027" s="2">
        <f t="array" ref="B1027">INDEX(helper!$A$3:$A3996,ROUNDUP((ROW()-1)/COUNTA(helper!$D$3:$D3996),0))</f>
        <v>45873</v>
      </c>
      <c r="C1027" s="5" t="str">
        <f t="array" ref="C1027">IF(B1027="","",INDEX(helper!$D$3:$D3996,MOD(ROW()-2,COUNTA(helper!$D$3:$D3996))+1))</f>
        <v>FMC</v>
      </c>
      <c r="D1027" s="3" t="str">
        <f t="array" ref="D1027">IF(B1027="","",INDEX(helper!$E$3:$E3996,MOD(ROW()-2,COUNTA(helper!$D$3:$D3996))+1))</f>
        <v>CS 008</v>
      </c>
      <c r="E1027" s="3">
        <f t="array" ref="E1027">IF(B1027="","",INDEX(helper!$F$3:$F3996,MOD(ROW()-2,COUNTA(helper!$D$3:$D3996))+1))</f>
        <v>9</v>
      </c>
      <c r="F1027" s="3">
        <f>IF(B1027="","",SUMIFS('inventory ledger'!$H:$H,'inventory ledger'!$C:$C,C1027,'inventory ledger'!$D:$D,D1027,'inventory ledger'!$E:$E,E1027,'inventory ledger'!$A:$A,"&lt;="&amp;B1027+TIME(23,59,59))-SUMIFS('inventory ledger'!$I:$I,'inventory ledger'!$C:$C,C1027,'inventory ledger'!$D:$D,D1027,'inventory ledger'!$E:$E,E1027,'inventory ledger'!$A:$A,"&lt;="&amp;B1027+TIME(23,59,59)))</f>
        <v>2</v>
      </c>
      <c r="G1027" s="3">
        <f>IFERROR(__xludf.DUMMYFUNCTION("IF(F1027&lt;=0,0,IFERROR(ROUNDUP(F1027/INDEX(FILTER('warehouse config'!$D:$D,('warehouse config'!$B:$B=C1027)*('warehouse config'!$C:$C=D1027)*('warehouse config'!$G:$G&lt;=B1027)*(('warehouse config'!$H:$H&gt;=B1027)+ISBLANK('warehouse config'!$H:$H))),1)),0))"),1.0)</f>
        <v>1</v>
      </c>
      <c r="H1027" s="3">
        <f>IFERROR(__xludf.DUMMYFUNCTION("IFERROR(INDEX(FILTER('cost master'!$E:$E,('cost master'!$B:$B=C1027)*('cost master'!$D:$D=""Storage cost per pallet / week"")*('cost master'!$G:$G&lt;=B1027)*(('cost master'!$H:$H&gt;=B1027)+ISBLANK('cost master'!$H:$H))),1),0)"),3.9)</f>
        <v>3.9</v>
      </c>
      <c r="I1027" s="3">
        <f t="shared" si="4"/>
        <v>3.9</v>
      </c>
      <c r="J1027" s="27">
        <f t="shared" si="5"/>
        <v>45854</v>
      </c>
      <c r="K1027" s="27">
        <f t="shared" si="6"/>
        <v>45884</v>
      </c>
    </row>
    <row r="1028" hidden="1">
      <c r="A1028" s="3" t="str">
        <f t="shared" si="3"/>
        <v>SL-20250804-FMC-CS 009-9</v>
      </c>
      <c r="B1028" s="2">
        <f t="array" ref="B1028">INDEX(helper!$A$3:$A3996,ROUNDUP((ROW()-1)/COUNTA(helper!$D$3:$D3996),0))</f>
        <v>45873</v>
      </c>
      <c r="C1028" s="5" t="str">
        <f t="array" ref="C1028">IF(B1028="","",INDEX(helper!$D$3:$D3996,MOD(ROW()-2,COUNTA(helper!$D$3:$D3996))+1))</f>
        <v>FMC</v>
      </c>
      <c r="D1028" s="3" t="str">
        <f t="array" ref="D1028">IF(B1028="","",INDEX(helper!$E$3:$E3996,MOD(ROW()-2,COUNTA(helper!$D$3:$D3996))+1))</f>
        <v>CS 009</v>
      </c>
      <c r="E1028" s="3">
        <f t="array" ref="E1028">IF(B1028="","",INDEX(helper!$F$3:$F3996,MOD(ROW()-2,COUNTA(helper!$D$3:$D3996))+1))</f>
        <v>9</v>
      </c>
      <c r="F1028" s="3">
        <f>IF(B1028="","",SUMIFS('inventory ledger'!$H:$H,'inventory ledger'!$C:$C,C1028,'inventory ledger'!$D:$D,D1028,'inventory ledger'!$E:$E,E1028,'inventory ledger'!$A:$A,"&lt;="&amp;B1028+TIME(23,59,59))-SUMIFS('inventory ledger'!$I:$I,'inventory ledger'!$C:$C,C1028,'inventory ledger'!$D:$D,D1028,'inventory ledger'!$E:$E,E1028,'inventory ledger'!$A:$A,"&lt;="&amp;B1028+TIME(23,59,59)))</f>
        <v>0</v>
      </c>
      <c r="G1028" s="3">
        <f>IFERROR(__xludf.DUMMYFUNCTION("IF(F1028&lt;=0,0,IFERROR(ROUNDUP(F1028/INDEX(FILTER('warehouse config'!$D:$D,('warehouse config'!$B:$B=C1028)*('warehouse config'!$C:$C=D1028)*('warehouse config'!$G:$G&lt;=B1028)*(('warehouse config'!$H:$H&gt;=B1028)+ISBLANK('warehouse config'!$H:$H))),1)),0))"),0.0)</f>
        <v>0</v>
      </c>
      <c r="H1028" s="3">
        <f>IFERROR(__xludf.DUMMYFUNCTION("IFERROR(INDEX(FILTER('cost master'!$E:$E,('cost master'!$B:$B=C1028)*('cost master'!$D:$D=""Storage cost per pallet / week"")*('cost master'!$G:$G&lt;=B1028)*(('cost master'!$H:$H&gt;=B1028)+ISBLANK('cost master'!$H:$H))),1),0)"),3.9)</f>
        <v>3.9</v>
      </c>
      <c r="I1028" s="3">
        <f t="shared" si="4"/>
        <v>0</v>
      </c>
      <c r="J1028" s="27">
        <f t="shared" si="5"/>
        <v>45854</v>
      </c>
      <c r="K1028" s="27">
        <f t="shared" si="6"/>
        <v>45884</v>
      </c>
    </row>
    <row r="1029" hidden="1">
      <c r="A1029" s="3" t="str">
        <f t="shared" si="3"/>
        <v>SL-20250804-FMC-CS 010-9</v>
      </c>
      <c r="B1029" s="2">
        <f t="array" ref="B1029">INDEX(helper!$A$3:$A3996,ROUNDUP((ROW()-1)/COUNTA(helper!$D$3:$D3996),0))</f>
        <v>45873</v>
      </c>
      <c r="C1029" s="5" t="str">
        <f t="array" ref="C1029">IF(B1029="","",INDEX(helper!$D$3:$D3996,MOD(ROW()-2,COUNTA(helper!$D$3:$D3996))+1))</f>
        <v>FMC</v>
      </c>
      <c r="D1029" s="3" t="str">
        <f t="array" ref="D1029">IF(B1029="","",INDEX(helper!$E$3:$E3996,MOD(ROW()-2,COUNTA(helper!$D$3:$D3996))+1))</f>
        <v>CS 010</v>
      </c>
      <c r="E1029" s="3">
        <f t="array" ref="E1029">IF(B1029="","",INDEX(helper!$F$3:$F3996,MOD(ROW()-2,COUNTA(helper!$D$3:$D3996))+1))</f>
        <v>9</v>
      </c>
      <c r="F1029" s="3">
        <f>IF(B1029="","",SUMIFS('inventory ledger'!$H:$H,'inventory ledger'!$C:$C,C1029,'inventory ledger'!$D:$D,D1029,'inventory ledger'!$E:$E,E1029,'inventory ledger'!$A:$A,"&lt;="&amp;B1029+TIME(23,59,59))-SUMIFS('inventory ledger'!$I:$I,'inventory ledger'!$C:$C,C1029,'inventory ledger'!$D:$D,D1029,'inventory ledger'!$E:$E,E1029,'inventory ledger'!$A:$A,"&lt;="&amp;B1029+TIME(23,59,59)))</f>
        <v>0</v>
      </c>
      <c r="G1029" s="3">
        <f>IFERROR(__xludf.DUMMYFUNCTION("IF(F1029&lt;=0,0,IFERROR(ROUNDUP(F1029/INDEX(FILTER('warehouse config'!$D:$D,('warehouse config'!$B:$B=C1029)*('warehouse config'!$C:$C=D1029)*('warehouse config'!$G:$G&lt;=B1029)*(('warehouse config'!$H:$H&gt;=B1029)+ISBLANK('warehouse config'!$H:$H))),1)),0))"),0.0)</f>
        <v>0</v>
      </c>
      <c r="H1029" s="3">
        <f>IFERROR(__xludf.DUMMYFUNCTION("IFERROR(INDEX(FILTER('cost master'!$E:$E,('cost master'!$B:$B=C1029)*('cost master'!$D:$D=""Storage cost per pallet / week"")*('cost master'!$G:$G&lt;=B1029)*(('cost master'!$H:$H&gt;=B1029)+ISBLANK('cost master'!$H:$H))),1),0)"),3.9)</f>
        <v>3.9</v>
      </c>
      <c r="I1029" s="3">
        <f t="shared" si="4"/>
        <v>0</v>
      </c>
      <c r="J1029" s="27">
        <f t="shared" si="5"/>
        <v>45854</v>
      </c>
      <c r="K1029" s="27">
        <f t="shared" si="6"/>
        <v>45884</v>
      </c>
    </row>
    <row r="1030" hidden="1">
      <c r="A1030" s="3" t="str">
        <f t="shared" si="3"/>
        <v>SL-20250804-FMC-CS-CDS-001-9</v>
      </c>
      <c r="B1030" s="2">
        <f t="array" ref="B1030">INDEX(helper!$A$3:$A3996,ROUNDUP((ROW()-1)/COUNTA(helper!$D$3:$D3996),0))</f>
        <v>45873</v>
      </c>
      <c r="C1030" s="5" t="str">
        <f t="array" ref="C1030">IF(B1030="","",INDEX(helper!$D$3:$D3996,MOD(ROW()-2,COUNTA(helper!$D$3:$D3996))+1))</f>
        <v>FMC</v>
      </c>
      <c r="D1030" s="3" t="str">
        <f t="array" ref="D1030">IF(B1030="","",INDEX(helper!$E$3:$E3996,MOD(ROW()-2,COUNTA(helper!$D$3:$D3996))+1))</f>
        <v>CS-CDS-001</v>
      </c>
      <c r="E1030" s="3">
        <f t="array" ref="E1030">IF(B1030="","",INDEX(helper!$F$3:$F3996,MOD(ROW()-2,COUNTA(helper!$D$3:$D3996))+1))</f>
        <v>9</v>
      </c>
      <c r="F1030" s="3">
        <f>IF(B1030="","",SUMIFS('inventory ledger'!$H:$H,'inventory ledger'!$C:$C,C1030,'inventory ledger'!$D:$D,D1030,'inventory ledger'!$E:$E,E1030,'inventory ledger'!$A:$A,"&lt;="&amp;B1030+TIME(23,59,59))-SUMIFS('inventory ledger'!$I:$I,'inventory ledger'!$C:$C,C1030,'inventory ledger'!$D:$D,D1030,'inventory ledger'!$E:$E,E1030,'inventory ledger'!$A:$A,"&lt;="&amp;B1030+TIME(23,59,59)))</f>
        <v>0</v>
      </c>
      <c r="G1030" s="3">
        <f>IFERROR(__xludf.DUMMYFUNCTION("IF(F1030&lt;=0,0,IFERROR(ROUNDUP(F1030/INDEX(FILTER('warehouse config'!$D:$D,('warehouse config'!$B:$B=C1030)*('warehouse config'!$C:$C=D1030)*('warehouse config'!$G:$G&lt;=B1030)*(('warehouse config'!$H:$H&gt;=B1030)+ISBLANK('warehouse config'!$H:$H))),1)),0))"),0.0)</f>
        <v>0</v>
      </c>
      <c r="H1030" s="3">
        <f>IFERROR(__xludf.DUMMYFUNCTION("IFERROR(INDEX(FILTER('cost master'!$E:$E,('cost master'!$B:$B=C1030)*('cost master'!$D:$D=""Storage cost per pallet / week"")*('cost master'!$G:$G&lt;=B1030)*(('cost master'!$H:$H&gt;=B1030)+ISBLANK('cost master'!$H:$H))),1),0)"),3.9)</f>
        <v>3.9</v>
      </c>
      <c r="I1030" s="3">
        <f t="shared" si="4"/>
        <v>0</v>
      </c>
      <c r="J1030" s="27">
        <f t="shared" si="5"/>
        <v>45854</v>
      </c>
      <c r="K1030" s="27">
        <f t="shared" si="6"/>
        <v>45884</v>
      </c>
    </row>
    <row r="1031" hidden="1">
      <c r="A1031" s="3" t="str">
        <f t="shared" si="3"/>
        <v>SL-20250804-FMC-CS-CDS-002-9</v>
      </c>
      <c r="B1031" s="2">
        <f t="array" ref="B1031">INDEX(helper!$A$3:$A3996,ROUNDUP((ROW()-1)/COUNTA(helper!$D$3:$D3996),0))</f>
        <v>45873</v>
      </c>
      <c r="C1031" s="5" t="str">
        <f t="array" ref="C1031">IF(B1031="","",INDEX(helper!$D$3:$D3996,MOD(ROW()-2,COUNTA(helper!$D$3:$D3996))+1))</f>
        <v>FMC</v>
      </c>
      <c r="D1031" s="3" t="str">
        <f t="array" ref="D1031">IF(B1031="","",INDEX(helper!$E$3:$E3996,MOD(ROW()-2,COUNTA(helper!$D$3:$D3996))+1))</f>
        <v>CS-CDS-002</v>
      </c>
      <c r="E1031" s="3">
        <f t="array" ref="E1031">IF(B1031="","",INDEX(helper!$F$3:$F3996,MOD(ROW()-2,COUNTA(helper!$D$3:$D3996))+1))</f>
        <v>9</v>
      </c>
      <c r="F1031" s="3">
        <f>IF(B1031="","",SUMIFS('inventory ledger'!$H:$H,'inventory ledger'!$C:$C,C1031,'inventory ledger'!$D:$D,D1031,'inventory ledger'!$E:$E,E1031,'inventory ledger'!$A:$A,"&lt;="&amp;B1031+TIME(23,59,59))-SUMIFS('inventory ledger'!$I:$I,'inventory ledger'!$C:$C,C1031,'inventory ledger'!$D:$D,D1031,'inventory ledger'!$E:$E,E1031,'inventory ledger'!$A:$A,"&lt;="&amp;B1031+TIME(23,59,59)))</f>
        <v>0</v>
      </c>
      <c r="G1031" s="3">
        <f>IFERROR(__xludf.DUMMYFUNCTION("IF(F1031&lt;=0,0,IFERROR(ROUNDUP(F1031/INDEX(FILTER('warehouse config'!$D:$D,('warehouse config'!$B:$B=C1031)*('warehouse config'!$C:$C=D1031)*('warehouse config'!$G:$G&lt;=B1031)*(('warehouse config'!$H:$H&gt;=B1031)+ISBLANK('warehouse config'!$H:$H))),1)),0))"),0.0)</f>
        <v>0</v>
      </c>
      <c r="H1031" s="3">
        <f>IFERROR(__xludf.DUMMYFUNCTION("IFERROR(INDEX(FILTER('cost master'!$E:$E,('cost master'!$B:$B=C1031)*('cost master'!$D:$D=""Storage cost per pallet / week"")*('cost master'!$G:$G&lt;=B1031)*(('cost master'!$H:$H&gt;=B1031)+ISBLANK('cost master'!$H:$H))),1),0)"),3.9)</f>
        <v>3.9</v>
      </c>
      <c r="I1031" s="3">
        <f t="shared" si="4"/>
        <v>0</v>
      </c>
      <c r="J1031" s="27">
        <f t="shared" si="5"/>
        <v>45854</v>
      </c>
      <c r="K1031" s="27">
        <f t="shared" si="6"/>
        <v>45884</v>
      </c>
    </row>
    <row r="1032" hidden="1">
      <c r="A1032" s="3" t="str">
        <f t="shared" si="3"/>
        <v>SL-20250804-FMC-CS 007-10</v>
      </c>
      <c r="B1032" s="2">
        <f t="array" ref="B1032">INDEX(helper!$A$3:$A3996,ROUNDUP((ROW()-1)/COUNTA(helper!$D$3:$D3996),0))</f>
        <v>45873</v>
      </c>
      <c r="C1032" s="5" t="str">
        <f t="array" ref="C1032">IF(B1032="","",INDEX(helper!$D$3:$D3996,MOD(ROW()-2,COUNTA(helper!$D$3:$D3996))+1))</f>
        <v>FMC</v>
      </c>
      <c r="D1032" s="3" t="str">
        <f t="array" ref="D1032">IF(B1032="","",INDEX(helper!$E$3:$E3996,MOD(ROW()-2,COUNTA(helper!$D$3:$D3996))+1))</f>
        <v>CS 007</v>
      </c>
      <c r="E1032" s="3">
        <f t="array" ref="E1032">IF(B1032="","",INDEX(helper!$F$3:$F3996,MOD(ROW()-2,COUNTA(helper!$D$3:$D3996))+1))</f>
        <v>10</v>
      </c>
      <c r="F1032" s="3">
        <f>IF(B1032="","",SUMIFS('inventory ledger'!$H:$H,'inventory ledger'!$C:$C,C1032,'inventory ledger'!$D:$D,D1032,'inventory ledger'!$E:$E,E1032,'inventory ledger'!$A:$A,"&lt;="&amp;B1032+TIME(23,59,59))-SUMIFS('inventory ledger'!$I:$I,'inventory ledger'!$C:$C,C1032,'inventory ledger'!$D:$D,D1032,'inventory ledger'!$E:$E,E1032,'inventory ledger'!$A:$A,"&lt;="&amp;B1032+TIME(23,59,59)))</f>
        <v>0</v>
      </c>
      <c r="G1032" s="3">
        <f>IFERROR(__xludf.DUMMYFUNCTION("IF(F1032&lt;=0,0,IFERROR(ROUNDUP(F1032/INDEX(FILTER('warehouse config'!$D:$D,('warehouse config'!$B:$B=C1032)*('warehouse config'!$C:$C=D1032)*('warehouse config'!$G:$G&lt;=B1032)*(('warehouse config'!$H:$H&gt;=B1032)+ISBLANK('warehouse config'!$H:$H))),1)),0))"),0.0)</f>
        <v>0</v>
      </c>
      <c r="H1032" s="3">
        <f>IFERROR(__xludf.DUMMYFUNCTION("IFERROR(INDEX(FILTER('cost master'!$E:$E,('cost master'!$B:$B=C1032)*('cost master'!$D:$D=""Storage cost per pallet / week"")*('cost master'!$G:$G&lt;=B1032)*(('cost master'!$H:$H&gt;=B1032)+ISBLANK('cost master'!$H:$H))),1),0)"),3.9)</f>
        <v>3.9</v>
      </c>
      <c r="I1032" s="3">
        <f t="shared" si="4"/>
        <v>0</v>
      </c>
      <c r="J1032" s="27">
        <f t="shared" si="5"/>
        <v>45854</v>
      </c>
      <c r="K1032" s="27">
        <f t="shared" si="6"/>
        <v>45884</v>
      </c>
    </row>
    <row r="1033" hidden="1">
      <c r="A1033" s="3" t="str">
        <f t="shared" si="3"/>
        <v>SL-20250804-FMC-CS 009-10</v>
      </c>
      <c r="B1033" s="2">
        <f t="array" ref="B1033">INDEX(helper!$A$3:$A3996,ROUNDUP((ROW()-1)/COUNTA(helper!$D$3:$D3996),0))</f>
        <v>45873</v>
      </c>
      <c r="C1033" s="5" t="str">
        <f t="array" ref="C1033">IF(B1033="","",INDEX(helper!$D$3:$D3996,MOD(ROW()-2,COUNTA(helper!$D$3:$D3996))+1))</f>
        <v>FMC</v>
      </c>
      <c r="D1033" s="3" t="str">
        <f t="array" ref="D1033">IF(B1033="","",INDEX(helper!$E$3:$E3996,MOD(ROW()-2,COUNTA(helper!$D$3:$D3996))+1))</f>
        <v>CS 009</v>
      </c>
      <c r="E1033" s="3">
        <f t="array" ref="E1033">IF(B1033="","",INDEX(helper!$F$3:$F3996,MOD(ROW()-2,COUNTA(helper!$D$3:$D3996))+1))</f>
        <v>10</v>
      </c>
      <c r="F1033" s="3">
        <f>IF(B1033="","",SUMIFS('inventory ledger'!$H:$H,'inventory ledger'!$C:$C,C1033,'inventory ledger'!$D:$D,D1033,'inventory ledger'!$E:$E,E1033,'inventory ledger'!$A:$A,"&lt;="&amp;B1033+TIME(23,59,59))-SUMIFS('inventory ledger'!$I:$I,'inventory ledger'!$C:$C,C1033,'inventory ledger'!$D:$D,D1033,'inventory ledger'!$E:$E,E1033,'inventory ledger'!$A:$A,"&lt;="&amp;B1033+TIME(23,59,59)))</f>
        <v>0</v>
      </c>
      <c r="G1033" s="3">
        <f>IFERROR(__xludf.DUMMYFUNCTION("IF(F1033&lt;=0,0,IFERROR(ROUNDUP(F1033/INDEX(FILTER('warehouse config'!$D:$D,('warehouse config'!$B:$B=C1033)*('warehouse config'!$C:$C=D1033)*('warehouse config'!$G:$G&lt;=B1033)*(('warehouse config'!$H:$H&gt;=B1033)+ISBLANK('warehouse config'!$H:$H))),1)),0))"),0.0)</f>
        <v>0</v>
      </c>
      <c r="H1033" s="3">
        <f>IFERROR(__xludf.DUMMYFUNCTION("IFERROR(INDEX(FILTER('cost master'!$E:$E,('cost master'!$B:$B=C1033)*('cost master'!$D:$D=""Storage cost per pallet / week"")*('cost master'!$G:$G&lt;=B1033)*(('cost master'!$H:$H&gt;=B1033)+ISBLANK('cost master'!$H:$H))),1),0)"),3.9)</f>
        <v>3.9</v>
      </c>
      <c r="I1033" s="3">
        <f t="shared" si="4"/>
        <v>0</v>
      </c>
      <c r="J1033" s="27">
        <f t="shared" si="5"/>
        <v>45854</v>
      </c>
      <c r="K1033" s="27">
        <f t="shared" si="6"/>
        <v>45884</v>
      </c>
    </row>
    <row r="1034" hidden="1">
      <c r="A1034" s="3" t="str">
        <f t="shared" si="3"/>
        <v>SL-20250804-FMC-CS 010-10</v>
      </c>
      <c r="B1034" s="2">
        <f t="array" ref="B1034">INDEX(helper!$A$3:$A3996,ROUNDUP((ROW()-1)/COUNTA(helper!$D$3:$D3996),0))</f>
        <v>45873</v>
      </c>
      <c r="C1034" s="5" t="str">
        <f t="array" ref="C1034">IF(B1034="","",INDEX(helper!$D$3:$D3996,MOD(ROW()-2,COUNTA(helper!$D$3:$D3996))+1))</f>
        <v>FMC</v>
      </c>
      <c r="D1034" s="3" t="str">
        <f t="array" ref="D1034">IF(B1034="","",INDEX(helper!$E$3:$E3996,MOD(ROW()-2,COUNTA(helper!$D$3:$D3996))+1))</f>
        <v>CS 010</v>
      </c>
      <c r="E1034" s="3">
        <f t="array" ref="E1034">IF(B1034="","",INDEX(helper!$F$3:$F3996,MOD(ROW()-2,COUNTA(helper!$D$3:$D3996))+1))</f>
        <v>10</v>
      </c>
      <c r="F1034" s="3">
        <f>IF(B1034="","",SUMIFS('inventory ledger'!$H:$H,'inventory ledger'!$C:$C,C1034,'inventory ledger'!$D:$D,D1034,'inventory ledger'!$E:$E,E1034,'inventory ledger'!$A:$A,"&lt;="&amp;B1034+TIME(23,59,59))-SUMIFS('inventory ledger'!$I:$I,'inventory ledger'!$C:$C,C1034,'inventory ledger'!$D:$D,D1034,'inventory ledger'!$E:$E,E1034,'inventory ledger'!$A:$A,"&lt;="&amp;B1034+TIME(23,59,59)))</f>
        <v>13</v>
      </c>
      <c r="G1034" s="3">
        <f>IFERROR(__xludf.DUMMYFUNCTION("IF(F1034&lt;=0,0,IFERROR(ROUNDUP(F1034/INDEX(FILTER('warehouse config'!$D:$D,('warehouse config'!$B:$B=C1034)*('warehouse config'!$C:$C=D1034)*('warehouse config'!$G:$G&lt;=B1034)*(('warehouse config'!$H:$H&gt;=B1034)+ISBLANK('warehouse config'!$H:$H))),1)),0))"),1.0)</f>
        <v>1</v>
      </c>
      <c r="H1034" s="3">
        <f>IFERROR(__xludf.DUMMYFUNCTION("IFERROR(INDEX(FILTER('cost master'!$E:$E,('cost master'!$B:$B=C1034)*('cost master'!$D:$D=""Storage cost per pallet / week"")*('cost master'!$G:$G&lt;=B1034)*(('cost master'!$H:$H&gt;=B1034)+ISBLANK('cost master'!$H:$H))),1),0)"),3.9)</f>
        <v>3.9</v>
      </c>
      <c r="I1034" s="3">
        <f t="shared" si="4"/>
        <v>3.9</v>
      </c>
      <c r="J1034" s="27">
        <f t="shared" si="5"/>
        <v>45854</v>
      </c>
      <c r="K1034" s="27">
        <f t="shared" si="6"/>
        <v>45884</v>
      </c>
    </row>
    <row r="1035" hidden="1">
      <c r="A1035" s="3" t="str">
        <f t="shared" si="3"/>
        <v>SL-20250804-FMC-CS-CDS-001-10</v>
      </c>
      <c r="B1035" s="2">
        <f t="array" ref="B1035">INDEX(helper!$A$3:$A3996,ROUNDUP((ROW()-1)/COUNTA(helper!$D$3:$D3996),0))</f>
        <v>45873</v>
      </c>
      <c r="C1035" s="5" t="str">
        <f t="array" ref="C1035">IF(B1035="","",INDEX(helper!$D$3:$D3996,MOD(ROW()-2,COUNTA(helper!$D$3:$D3996))+1))</f>
        <v>FMC</v>
      </c>
      <c r="D1035" s="3" t="str">
        <f t="array" ref="D1035">IF(B1035="","",INDEX(helper!$E$3:$E3996,MOD(ROW()-2,COUNTA(helper!$D$3:$D3996))+1))</f>
        <v>CS-CDS-001</v>
      </c>
      <c r="E1035" s="3">
        <f t="array" ref="E1035">IF(B1035="","",INDEX(helper!$F$3:$F3996,MOD(ROW()-2,COUNTA(helper!$D$3:$D3996))+1))</f>
        <v>10</v>
      </c>
      <c r="F1035" s="3">
        <f>IF(B1035="","",SUMIFS('inventory ledger'!$H:$H,'inventory ledger'!$C:$C,C1035,'inventory ledger'!$D:$D,D1035,'inventory ledger'!$E:$E,E1035,'inventory ledger'!$A:$A,"&lt;="&amp;B1035+TIME(23,59,59))-SUMIFS('inventory ledger'!$I:$I,'inventory ledger'!$C:$C,C1035,'inventory ledger'!$D:$D,D1035,'inventory ledger'!$E:$E,E1035,'inventory ledger'!$A:$A,"&lt;="&amp;B1035+TIME(23,59,59)))</f>
        <v>0</v>
      </c>
      <c r="G1035" s="3">
        <f>IFERROR(__xludf.DUMMYFUNCTION("IF(F1035&lt;=0,0,IFERROR(ROUNDUP(F1035/INDEX(FILTER('warehouse config'!$D:$D,('warehouse config'!$B:$B=C1035)*('warehouse config'!$C:$C=D1035)*('warehouse config'!$G:$G&lt;=B1035)*(('warehouse config'!$H:$H&gt;=B1035)+ISBLANK('warehouse config'!$H:$H))),1)),0))"),0.0)</f>
        <v>0</v>
      </c>
      <c r="H1035" s="3">
        <f>IFERROR(__xludf.DUMMYFUNCTION("IFERROR(INDEX(FILTER('cost master'!$E:$E,('cost master'!$B:$B=C1035)*('cost master'!$D:$D=""Storage cost per pallet / week"")*('cost master'!$G:$G&lt;=B1035)*(('cost master'!$H:$H&gt;=B1035)+ISBLANK('cost master'!$H:$H))),1),0)"),3.9)</f>
        <v>3.9</v>
      </c>
      <c r="I1035" s="3">
        <f t="shared" si="4"/>
        <v>0</v>
      </c>
      <c r="J1035" s="27">
        <f t="shared" si="5"/>
        <v>45854</v>
      </c>
      <c r="K1035" s="27">
        <f t="shared" si="6"/>
        <v>45884</v>
      </c>
    </row>
    <row r="1036">
      <c r="A1036" s="3" t="str">
        <f t="shared" si="3"/>
        <v>SL-20250804-FMC-CS 007-11</v>
      </c>
      <c r="B1036" s="2">
        <f t="array" ref="B1036">INDEX(helper!$A$3:$A3996,ROUNDUP((ROW()-1)/COUNTA(helper!$D$3:$D3996),0))</f>
        <v>45873</v>
      </c>
      <c r="C1036" s="5" t="str">
        <f t="array" ref="C1036">IF(B1036="","",INDEX(helper!$D$3:$D3996,MOD(ROW()-2,COUNTA(helper!$D$3:$D3996))+1))</f>
        <v>FMC</v>
      </c>
      <c r="D1036" s="3" t="str">
        <f t="array" ref="D1036">IF(B1036="","",INDEX(helper!$E$3:$E3996,MOD(ROW()-2,COUNTA(helper!$D$3:$D3996))+1))</f>
        <v>CS 007</v>
      </c>
      <c r="E1036" s="3">
        <f t="array" ref="E1036">IF(B1036="","",INDEX(helper!$F$3:$F3996,MOD(ROW()-2,COUNTA(helper!$D$3:$D3996))+1))</f>
        <v>11</v>
      </c>
      <c r="F1036" s="3">
        <f>IF(B1036="","",SUMIFS('inventory ledger'!$H:$H,'inventory ledger'!$C:$C,C1036,'inventory ledger'!$D:$D,D1036,'inventory ledger'!$E:$E,E1036,'inventory ledger'!$A:$A,"&lt;="&amp;B1036+TIME(23,59,59))-SUMIFS('inventory ledger'!$I:$I,'inventory ledger'!$C:$C,C1036,'inventory ledger'!$D:$D,D1036,'inventory ledger'!$E:$E,E1036,'inventory ledger'!$A:$A,"&lt;="&amp;B1036+TIME(23,59,59)))</f>
        <v>-1</v>
      </c>
      <c r="G1036" s="3">
        <f>IFERROR(__xludf.DUMMYFUNCTION("IF(F1036&lt;=0,0,IFERROR(ROUNDUP(F1036/INDEX(FILTER('warehouse config'!$D:$D,('warehouse config'!$B:$B=C1036)*('warehouse config'!$C:$C=D1036)*('warehouse config'!$G:$G&lt;=B1036)*(('warehouse config'!$H:$H&gt;=B1036)+ISBLANK('warehouse config'!$H:$H))),1)),0))"),0.0)</f>
        <v>0</v>
      </c>
      <c r="H1036" s="3">
        <f>IFERROR(__xludf.DUMMYFUNCTION("IFERROR(INDEX(FILTER('cost master'!$E:$E,('cost master'!$B:$B=C1036)*('cost master'!$D:$D=""Storage cost per pallet / week"")*('cost master'!$G:$G&lt;=B1036)*(('cost master'!$H:$H&gt;=B1036)+ISBLANK('cost master'!$H:$H))),1),0)"),3.9)</f>
        <v>3.9</v>
      </c>
      <c r="I1036" s="3">
        <f t="shared" si="4"/>
        <v>0</v>
      </c>
      <c r="J1036" s="27">
        <f t="shared" si="5"/>
        <v>45854</v>
      </c>
      <c r="K1036" s="27">
        <f t="shared" si="6"/>
        <v>45884</v>
      </c>
    </row>
    <row r="1037" hidden="1">
      <c r="A1037" s="3" t="str">
        <f t="shared" si="3"/>
        <v>SL-20250804-FMC-CS 009-11</v>
      </c>
      <c r="B1037" s="2">
        <f t="array" ref="B1037">INDEX(helper!$A$3:$A3996,ROUNDUP((ROW()-1)/COUNTA(helper!$D$3:$D3996),0))</f>
        <v>45873</v>
      </c>
      <c r="C1037" s="5" t="str">
        <f t="array" ref="C1037">IF(B1037="","",INDEX(helper!$D$3:$D3996,MOD(ROW()-2,COUNTA(helper!$D$3:$D3996))+1))</f>
        <v>FMC</v>
      </c>
      <c r="D1037" s="3" t="str">
        <f t="array" ref="D1037">IF(B1037="","",INDEX(helper!$E$3:$E3996,MOD(ROW()-2,COUNTA(helper!$D$3:$D3996))+1))</f>
        <v>CS 009</v>
      </c>
      <c r="E1037" s="3">
        <f t="array" ref="E1037">IF(B1037="","",INDEX(helper!$F$3:$F3996,MOD(ROW()-2,COUNTA(helper!$D$3:$D3996))+1))</f>
        <v>11</v>
      </c>
      <c r="F1037" s="3">
        <f>IF(B1037="","",SUMIFS('inventory ledger'!$H:$H,'inventory ledger'!$C:$C,C1037,'inventory ledger'!$D:$D,D1037,'inventory ledger'!$E:$E,E1037,'inventory ledger'!$A:$A,"&lt;="&amp;B1037+TIME(23,59,59))-SUMIFS('inventory ledger'!$I:$I,'inventory ledger'!$C:$C,C1037,'inventory ledger'!$D:$D,D1037,'inventory ledger'!$E:$E,E1037,'inventory ledger'!$A:$A,"&lt;="&amp;B1037+TIME(23,59,59)))</f>
        <v>0</v>
      </c>
      <c r="G1037" s="3">
        <f>IFERROR(__xludf.DUMMYFUNCTION("IF(F1037&lt;=0,0,IFERROR(ROUNDUP(F1037/INDEX(FILTER('warehouse config'!$D:$D,('warehouse config'!$B:$B=C1037)*('warehouse config'!$C:$C=D1037)*('warehouse config'!$G:$G&lt;=B1037)*(('warehouse config'!$H:$H&gt;=B1037)+ISBLANK('warehouse config'!$H:$H))),1)),0))"),0.0)</f>
        <v>0</v>
      </c>
      <c r="H1037" s="3">
        <f>IFERROR(__xludf.DUMMYFUNCTION("IFERROR(INDEX(FILTER('cost master'!$E:$E,('cost master'!$B:$B=C1037)*('cost master'!$D:$D=""Storage cost per pallet / week"")*('cost master'!$G:$G&lt;=B1037)*(('cost master'!$H:$H&gt;=B1037)+ISBLANK('cost master'!$H:$H))),1),0)"),3.9)</f>
        <v>3.9</v>
      </c>
      <c r="I1037" s="3">
        <f t="shared" si="4"/>
        <v>0</v>
      </c>
      <c r="J1037" s="27">
        <f t="shared" si="5"/>
        <v>45854</v>
      </c>
      <c r="K1037" s="27">
        <f t="shared" si="6"/>
        <v>45884</v>
      </c>
    </row>
    <row r="1038" hidden="1">
      <c r="A1038" s="3" t="str">
        <f t="shared" si="3"/>
        <v>SL-20250804-FMC-CS 010-11</v>
      </c>
      <c r="B1038" s="2">
        <f t="array" ref="B1038">INDEX(helper!$A$3:$A3996,ROUNDUP((ROW()-1)/COUNTA(helper!$D$3:$D3996),0))</f>
        <v>45873</v>
      </c>
      <c r="C1038" s="5" t="str">
        <f t="array" ref="C1038">IF(B1038="","",INDEX(helper!$D$3:$D3996,MOD(ROW()-2,COUNTA(helper!$D$3:$D3996))+1))</f>
        <v>FMC</v>
      </c>
      <c r="D1038" s="3" t="str">
        <f t="array" ref="D1038">IF(B1038="","",INDEX(helper!$E$3:$E3996,MOD(ROW()-2,COUNTA(helper!$D$3:$D3996))+1))</f>
        <v>CS 010</v>
      </c>
      <c r="E1038" s="3">
        <f t="array" ref="E1038">IF(B1038="","",INDEX(helper!$F$3:$F3996,MOD(ROW()-2,COUNTA(helper!$D$3:$D3996))+1))</f>
        <v>11</v>
      </c>
      <c r="F1038" s="3">
        <f>IF(B1038="","",SUMIFS('inventory ledger'!$H:$H,'inventory ledger'!$C:$C,C1038,'inventory ledger'!$D:$D,D1038,'inventory ledger'!$E:$E,E1038,'inventory ledger'!$A:$A,"&lt;="&amp;B1038+TIME(23,59,59))-SUMIFS('inventory ledger'!$I:$I,'inventory ledger'!$C:$C,C1038,'inventory ledger'!$D:$D,D1038,'inventory ledger'!$E:$E,E1038,'inventory ledger'!$A:$A,"&lt;="&amp;B1038+TIME(23,59,59)))</f>
        <v>6</v>
      </c>
      <c r="G1038" s="3">
        <f>IFERROR(__xludf.DUMMYFUNCTION("IF(F1038&lt;=0,0,IFERROR(ROUNDUP(F1038/INDEX(FILTER('warehouse config'!$D:$D,('warehouse config'!$B:$B=C1038)*('warehouse config'!$C:$C=D1038)*('warehouse config'!$G:$G&lt;=B1038)*(('warehouse config'!$H:$H&gt;=B1038)+ISBLANK('warehouse config'!$H:$H))),1)),0))"),1.0)</f>
        <v>1</v>
      </c>
      <c r="H1038" s="3">
        <f>IFERROR(__xludf.DUMMYFUNCTION("IFERROR(INDEX(FILTER('cost master'!$E:$E,('cost master'!$B:$B=C1038)*('cost master'!$D:$D=""Storage cost per pallet / week"")*('cost master'!$G:$G&lt;=B1038)*(('cost master'!$H:$H&gt;=B1038)+ISBLANK('cost master'!$H:$H))),1),0)"),3.9)</f>
        <v>3.9</v>
      </c>
      <c r="I1038" s="3">
        <f t="shared" si="4"/>
        <v>3.9</v>
      </c>
      <c r="J1038" s="27">
        <f t="shared" si="5"/>
        <v>45854</v>
      </c>
      <c r="K1038" s="27">
        <f t="shared" si="6"/>
        <v>45884</v>
      </c>
    </row>
    <row r="1039" hidden="1">
      <c r="A1039" s="3" t="str">
        <f t="shared" si="3"/>
        <v>SL-20250804-Vglobal-CS 007-12</v>
      </c>
      <c r="B1039" s="2">
        <f t="array" ref="B1039">INDEX(helper!$A$3:$A3996,ROUNDUP((ROW()-1)/COUNTA(helper!$D$3:$D3996),0))</f>
        <v>45873</v>
      </c>
      <c r="C1039" s="5" t="str">
        <f t="array" ref="C1039">IF(B1039="","",INDEX(helper!$D$3:$D3996,MOD(ROW()-2,COUNTA(helper!$D$3:$D3996))+1))</f>
        <v>Vglobal</v>
      </c>
      <c r="D1039" s="3" t="str">
        <f t="array" ref="D1039">IF(B1039="","",INDEX(helper!$E$3:$E3996,MOD(ROW()-2,COUNTA(helper!$D$3:$D3996))+1))</f>
        <v>CS 007</v>
      </c>
      <c r="E1039" s="3">
        <f t="array" ref="E1039">IF(B1039="","",INDEX(helper!$F$3:$F3996,MOD(ROW()-2,COUNTA(helper!$D$3:$D3996))+1))</f>
        <v>12</v>
      </c>
      <c r="F1039" s="3">
        <f>IF(B1039="","",SUMIFS('inventory ledger'!$H:$H,'inventory ledger'!$C:$C,C1039,'inventory ledger'!$D:$D,D1039,'inventory ledger'!$E:$E,E1039,'inventory ledger'!$A:$A,"&lt;="&amp;B1039+TIME(23,59,59))-SUMIFS('inventory ledger'!$I:$I,'inventory ledger'!$C:$C,C1039,'inventory ledger'!$D:$D,D1039,'inventory ledger'!$E:$E,E1039,'inventory ledger'!$A:$A,"&lt;="&amp;B1039+TIME(23,59,59)))</f>
        <v>0</v>
      </c>
      <c r="G1039" s="3">
        <f>IFERROR(__xludf.DUMMYFUNCTION("IF(F1039&lt;=0,0,IFERROR(ROUNDUP(F1039/INDEX(FILTER('warehouse config'!$D:$D,('warehouse config'!$B:$B=C1039)*('warehouse config'!$C:$C=D1039)*('warehouse config'!$G:$G&lt;=B1039)*(('warehouse config'!$H:$H&gt;=B1039)+ISBLANK('warehouse config'!$H:$H))),1)),0))"),0.0)</f>
        <v>0</v>
      </c>
      <c r="H1039" s="3">
        <f>IFERROR(__xludf.DUMMYFUNCTION("IFERROR(INDEX(FILTER('cost master'!$E:$E,('cost master'!$B:$B=C1039)*('cost master'!$D:$D=""Storage cost per pallet / week"")*('cost master'!$G:$G&lt;=B1039)*(('cost master'!$H:$H&gt;=B1039)+ISBLANK('cost master'!$H:$H))),1),0)"),2.6)</f>
        <v>2.6</v>
      </c>
      <c r="I1039" s="3">
        <f t="shared" si="4"/>
        <v>0</v>
      </c>
      <c r="J1039" s="27">
        <f t="shared" si="5"/>
        <v>45854</v>
      </c>
      <c r="K1039" s="27">
        <f t="shared" si="6"/>
        <v>45884</v>
      </c>
    </row>
    <row r="1040" hidden="1">
      <c r="A1040" s="3" t="str">
        <f t="shared" si="3"/>
        <v>SL-20250804-Vglobal-CS 011-12</v>
      </c>
      <c r="B1040" s="2">
        <f t="array" ref="B1040">INDEX(helper!$A$3:$A3996,ROUNDUP((ROW()-1)/COUNTA(helper!$D$3:$D3996),0))</f>
        <v>45873</v>
      </c>
      <c r="C1040" s="5" t="str">
        <f t="array" ref="C1040">IF(B1040="","",INDEX(helper!$D$3:$D3996,MOD(ROW()-2,COUNTA(helper!$D$3:$D3996))+1))</f>
        <v>Vglobal</v>
      </c>
      <c r="D1040" s="3" t="str">
        <f t="array" ref="D1040">IF(B1040="","",INDEX(helper!$E$3:$E3996,MOD(ROW()-2,COUNTA(helper!$D$3:$D3996))+1))</f>
        <v>CS 011</v>
      </c>
      <c r="E1040" s="3">
        <f t="array" ref="E1040">IF(B1040="","",INDEX(helper!$F$3:$F3996,MOD(ROW()-2,COUNTA(helper!$D$3:$D3996))+1))</f>
        <v>12</v>
      </c>
      <c r="F1040" s="3">
        <f>IF(B1040="","",SUMIFS('inventory ledger'!$H:$H,'inventory ledger'!$C:$C,C1040,'inventory ledger'!$D:$D,D1040,'inventory ledger'!$E:$E,E1040,'inventory ledger'!$A:$A,"&lt;="&amp;B1040+TIME(23,59,59))-SUMIFS('inventory ledger'!$I:$I,'inventory ledger'!$C:$C,C1040,'inventory ledger'!$D:$D,D1040,'inventory ledger'!$E:$E,E1040,'inventory ledger'!$A:$A,"&lt;="&amp;B1040+TIME(23,59,59)))</f>
        <v>0</v>
      </c>
      <c r="G1040" s="3">
        <f>IFERROR(__xludf.DUMMYFUNCTION("IF(F1040&lt;=0,0,IFERROR(ROUNDUP(F1040/INDEX(FILTER('warehouse config'!$D:$D,('warehouse config'!$B:$B=C1040)*('warehouse config'!$C:$C=D1040)*('warehouse config'!$G:$G&lt;=B1040)*(('warehouse config'!$H:$H&gt;=B1040)+ISBLANK('warehouse config'!$H:$H))),1)),0))"),0.0)</f>
        <v>0</v>
      </c>
      <c r="H1040" s="3">
        <f>IFERROR(__xludf.DUMMYFUNCTION("IFERROR(INDEX(FILTER('cost master'!$E:$E,('cost master'!$B:$B=C1040)*('cost master'!$D:$D=""Storage cost per pallet / week"")*('cost master'!$G:$G&lt;=B1040)*(('cost master'!$H:$H&gt;=B1040)+ISBLANK('cost master'!$H:$H))),1),0)"),2.6)</f>
        <v>2.6</v>
      </c>
      <c r="I1040" s="3">
        <f t="shared" si="4"/>
        <v>0</v>
      </c>
      <c r="J1040" s="27">
        <f t="shared" si="5"/>
        <v>45854</v>
      </c>
      <c r="K1040" s="27">
        <f t="shared" si="6"/>
        <v>45884</v>
      </c>
    </row>
    <row r="1041" hidden="1">
      <c r="A1041" s="3" t="str">
        <f t="shared" si="3"/>
        <v>SL-20250804-Vglobal-CS 008-12</v>
      </c>
      <c r="B1041" s="2">
        <f t="array" ref="B1041">INDEX(helper!$A$3:$A3996,ROUNDUP((ROW()-1)/COUNTA(helper!$D$3:$D3996),0))</f>
        <v>45873</v>
      </c>
      <c r="C1041" s="5" t="str">
        <f t="array" ref="C1041">IF(B1041="","",INDEX(helper!$D$3:$D3996,MOD(ROW()-2,COUNTA(helper!$D$3:$D3996))+1))</f>
        <v>Vglobal</v>
      </c>
      <c r="D1041" s="3" t="str">
        <f t="array" ref="D1041">IF(B1041="","",INDEX(helper!$E$3:$E3996,MOD(ROW()-2,COUNTA(helper!$D$3:$D3996))+1))</f>
        <v>CS 008</v>
      </c>
      <c r="E1041" s="3">
        <f t="array" ref="E1041">IF(B1041="","",INDEX(helper!$F$3:$F3996,MOD(ROW()-2,COUNTA(helper!$D$3:$D3996))+1))</f>
        <v>12</v>
      </c>
      <c r="F1041" s="3">
        <f>IF(B1041="","",SUMIFS('inventory ledger'!$H:$H,'inventory ledger'!$C:$C,C1041,'inventory ledger'!$D:$D,D1041,'inventory ledger'!$E:$E,E1041,'inventory ledger'!$A:$A,"&lt;="&amp;B1041+TIME(23,59,59))-SUMIFS('inventory ledger'!$I:$I,'inventory ledger'!$C:$C,C1041,'inventory ledger'!$D:$D,D1041,'inventory ledger'!$E:$E,E1041,'inventory ledger'!$A:$A,"&lt;="&amp;B1041+TIME(23,59,59)))</f>
        <v>0</v>
      </c>
      <c r="G1041" s="3">
        <f>IFERROR(__xludf.DUMMYFUNCTION("IF(F1041&lt;=0,0,IFERROR(ROUNDUP(F1041/INDEX(FILTER('warehouse config'!$D:$D,('warehouse config'!$B:$B=C1041)*('warehouse config'!$C:$C=D1041)*('warehouse config'!$G:$G&lt;=B1041)*(('warehouse config'!$H:$H&gt;=B1041)+ISBLANK('warehouse config'!$H:$H))),1)),0))"),0.0)</f>
        <v>0</v>
      </c>
      <c r="H1041" s="3">
        <f>IFERROR(__xludf.DUMMYFUNCTION("IFERROR(INDEX(FILTER('cost master'!$E:$E,('cost master'!$B:$B=C1041)*('cost master'!$D:$D=""Storage cost per pallet / week"")*('cost master'!$G:$G&lt;=B1041)*(('cost master'!$H:$H&gt;=B1041)+ISBLANK('cost master'!$H:$H))),1),0)"),2.6)</f>
        <v>2.6</v>
      </c>
      <c r="I1041" s="3">
        <f t="shared" si="4"/>
        <v>0</v>
      </c>
      <c r="J1041" s="27">
        <f t="shared" si="5"/>
        <v>45854</v>
      </c>
      <c r="K1041" s="27">
        <f t="shared" si="6"/>
        <v>45884</v>
      </c>
    </row>
    <row r="1042" hidden="1">
      <c r="A1042" s="3" t="str">
        <f t="shared" si="3"/>
        <v>SL-20250804-Vglobal-CS 010-12</v>
      </c>
      <c r="B1042" s="2">
        <f t="array" ref="B1042">INDEX(helper!$A$3:$A3996,ROUNDUP((ROW()-1)/COUNTA(helper!$D$3:$D3996),0))</f>
        <v>45873</v>
      </c>
      <c r="C1042" s="5" t="str">
        <f t="array" ref="C1042">IF(B1042="","",INDEX(helper!$D$3:$D3996,MOD(ROW()-2,COUNTA(helper!$D$3:$D3996))+1))</f>
        <v>Vglobal</v>
      </c>
      <c r="D1042" s="3" t="str">
        <f t="array" ref="D1042">IF(B1042="","",INDEX(helper!$E$3:$E3996,MOD(ROW()-2,COUNTA(helper!$D$3:$D3996))+1))</f>
        <v>CS 010</v>
      </c>
      <c r="E1042" s="3">
        <f t="array" ref="E1042">IF(B1042="","",INDEX(helper!$F$3:$F3996,MOD(ROW()-2,COUNTA(helper!$D$3:$D3996))+1))</f>
        <v>12</v>
      </c>
      <c r="F1042" s="3">
        <f>IF(B1042="","",SUMIFS('inventory ledger'!$H:$H,'inventory ledger'!$C:$C,C1042,'inventory ledger'!$D:$D,D1042,'inventory ledger'!$E:$E,E1042,'inventory ledger'!$A:$A,"&lt;="&amp;B1042+TIME(23,59,59))-SUMIFS('inventory ledger'!$I:$I,'inventory ledger'!$C:$C,C1042,'inventory ledger'!$D:$D,D1042,'inventory ledger'!$E:$E,E1042,'inventory ledger'!$A:$A,"&lt;="&amp;B1042+TIME(23,59,59)))</f>
        <v>70</v>
      </c>
      <c r="G1042" s="3">
        <f>IFERROR(__xludf.DUMMYFUNCTION("IF(F1042&lt;=0,0,IFERROR(ROUNDUP(F1042/INDEX(FILTER('warehouse config'!$D:$D,('warehouse config'!$B:$B=C1042)*('warehouse config'!$C:$C=D1042)*('warehouse config'!$G:$G&lt;=B1042)*(('warehouse config'!$H:$H&gt;=B1042)+ISBLANK('warehouse config'!$H:$H))),1)),0))"),3.0)</f>
        <v>3</v>
      </c>
      <c r="H1042" s="3">
        <f>IFERROR(__xludf.DUMMYFUNCTION("IFERROR(INDEX(FILTER('cost master'!$E:$E,('cost master'!$B:$B=C1042)*('cost master'!$D:$D=""Storage cost per pallet / week"")*('cost master'!$G:$G&lt;=B1042)*(('cost master'!$H:$H&gt;=B1042)+ISBLANK('cost master'!$H:$H))),1),0)"),2.6)</f>
        <v>2.6</v>
      </c>
      <c r="I1042" s="3">
        <f t="shared" si="4"/>
        <v>7.8</v>
      </c>
      <c r="J1042" s="27">
        <f t="shared" si="5"/>
        <v>45854</v>
      </c>
      <c r="K1042" s="27">
        <f t="shared" si="6"/>
        <v>45884</v>
      </c>
    </row>
    <row r="1043" hidden="1">
      <c r="A1043" s="3" t="str">
        <f t="shared" si="3"/>
        <v>SL-20250804-Vglobal-CS 009-12</v>
      </c>
      <c r="B1043" s="2">
        <f t="array" ref="B1043">INDEX(helper!$A$3:$A3996,ROUNDUP((ROW()-1)/COUNTA(helper!$D$3:$D3996),0))</f>
        <v>45873</v>
      </c>
      <c r="C1043" s="5" t="str">
        <f t="array" ref="C1043">IF(B1043="","",INDEX(helper!$D$3:$D3996,MOD(ROW()-2,COUNTA(helper!$D$3:$D3996))+1))</f>
        <v>Vglobal</v>
      </c>
      <c r="D1043" s="3" t="str">
        <f t="array" ref="D1043">IF(B1043="","",INDEX(helper!$E$3:$E3996,MOD(ROW()-2,COUNTA(helper!$D$3:$D3996))+1))</f>
        <v>CS 009</v>
      </c>
      <c r="E1043" s="3">
        <f t="array" ref="E1043">IF(B1043="","",INDEX(helper!$F$3:$F3996,MOD(ROW()-2,COUNTA(helper!$D$3:$D3996))+1))</f>
        <v>12</v>
      </c>
      <c r="F1043" s="3">
        <f>IF(B1043="","",SUMIFS('inventory ledger'!$H:$H,'inventory ledger'!$C:$C,C1043,'inventory ledger'!$D:$D,D1043,'inventory ledger'!$E:$E,E1043,'inventory ledger'!$A:$A,"&lt;="&amp;B1043+TIME(23,59,59))-SUMIFS('inventory ledger'!$I:$I,'inventory ledger'!$C:$C,C1043,'inventory ledger'!$D:$D,D1043,'inventory ledger'!$E:$E,E1043,'inventory ledger'!$A:$A,"&lt;="&amp;B1043+TIME(23,59,59)))</f>
        <v>0</v>
      </c>
      <c r="G1043" s="3">
        <f>IFERROR(__xludf.DUMMYFUNCTION("IF(F1043&lt;=0,0,IFERROR(ROUNDUP(F1043/INDEX(FILTER('warehouse config'!$D:$D,('warehouse config'!$B:$B=C1043)*('warehouse config'!$C:$C=D1043)*('warehouse config'!$G:$G&lt;=B1043)*(('warehouse config'!$H:$H&gt;=B1043)+ISBLANK('warehouse config'!$H:$H))),1)),0))"),0.0)</f>
        <v>0</v>
      </c>
      <c r="H1043" s="3">
        <f>IFERROR(__xludf.DUMMYFUNCTION("IFERROR(INDEX(FILTER('cost master'!$E:$E,('cost master'!$B:$B=C1043)*('cost master'!$D:$D=""Storage cost per pallet / week"")*('cost master'!$G:$G&lt;=B1043)*(('cost master'!$H:$H&gt;=B1043)+ISBLANK('cost master'!$H:$H))),1),0)"),2.6)</f>
        <v>2.6</v>
      </c>
      <c r="I1043" s="3">
        <f t="shared" si="4"/>
        <v>0</v>
      </c>
      <c r="J1043" s="27">
        <f t="shared" si="5"/>
        <v>45854</v>
      </c>
      <c r="K1043" s="27">
        <f t="shared" si="6"/>
        <v>45884</v>
      </c>
    </row>
    <row r="1044" hidden="1">
      <c r="A1044" s="3" t="str">
        <f t="shared" si="3"/>
        <v>SL-20250804-Vglobal-CS 012-12</v>
      </c>
      <c r="B1044" s="2">
        <f t="array" ref="B1044">INDEX(helper!$A$3:$A3996,ROUNDUP((ROW()-1)/COUNTA(helper!$D$3:$D3996),0))</f>
        <v>45873</v>
      </c>
      <c r="C1044" s="5" t="str">
        <f t="array" ref="C1044">IF(B1044="","",INDEX(helper!$D$3:$D3996,MOD(ROW()-2,COUNTA(helper!$D$3:$D3996))+1))</f>
        <v>Vglobal</v>
      </c>
      <c r="D1044" s="3" t="str">
        <f t="array" ref="D1044">IF(B1044="","",INDEX(helper!$E$3:$E3996,MOD(ROW()-2,COUNTA(helper!$D$3:$D3996))+1))</f>
        <v>CS 012</v>
      </c>
      <c r="E1044" s="3">
        <f t="array" ref="E1044">IF(B1044="","",INDEX(helper!$F$3:$F3996,MOD(ROW()-2,COUNTA(helper!$D$3:$D3996))+1))</f>
        <v>12</v>
      </c>
      <c r="F1044" s="3">
        <f>IF(B1044="","",SUMIFS('inventory ledger'!$H:$H,'inventory ledger'!$C:$C,C1044,'inventory ledger'!$D:$D,D1044,'inventory ledger'!$E:$E,E1044,'inventory ledger'!$A:$A,"&lt;="&amp;B1044+TIME(23,59,59))-SUMIFS('inventory ledger'!$I:$I,'inventory ledger'!$C:$C,C1044,'inventory ledger'!$D:$D,D1044,'inventory ledger'!$E:$E,E1044,'inventory ledger'!$A:$A,"&lt;="&amp;B1044+TIME(23,59,59)))</f>
        <v>0</v>
      </c>
      <c r="G1044" s="3">
        <f>IFERROR(__xludf.DUMMYFUNCTION("IF(F1044&lt;=0,0,IFERROR(ROUNDUP(F1044/INDEX(FILTER('warehouse config'!$D:$D,('warehouse config'!$B:$B=C1044)*('warehouse config'!$C:$C=D1044)*('warehouse config'!$G:$G&lt;=B1044)*(('warehouse config'!$H:$H&gt;=B1044)+ISBLANK('warehouse config'!$H:$H))),1)),0))"),0.0)</f>
        <v>0</v>
      </c>
      <c r="H1044" s="3">
        <f>IFERROR(__xludf.DUMMYFUNCTION("IFERROR(INDEX(FILTER('cost master'!$E:$E,('cost master'!$B:$B=C1044)*('cost master'!$D:$D=""Storage cost per pallet / week"")*('cost master'!$G:$G&lt;=B1044)*(('cost master'!$H:$H&gt;=B1044)+ISBLANK('cost master'!$H:$H))),1),0)"),2.6)</f>
        <v>2.6</v>
      </c>
      <c r="I1044" s="3">
        <f t="shared" si="4"/>
        <v>0</v>
      </c>
      <c r="J1044" s="27">
        <f t="shared" si="5"/>
        <v>45854</v>
      </c>
      <c r="K1044" s="27">
        <f t="shared" si="6"/>
        <v>45884</v>
      </c>
    </row>
    <row r="1045" hidden="1">
      <c r="A1045" s="3" t="str">
        <f t="shared" si="3"/>
        <v>SL-20250804-Vglobal-CS-CDS-001-3</v>
      </c>
      <c r="B1045" s="2">
        <f t="array" ref="B1045">INDEX(helper!$A$3:$A3996,ROUNDUP((ROW()-1)/COUNTA(helper!$D$3:$D3996),0))</f>
        <v>45873</v>
      </c>
      <c r="C1045" s="5" t="str">
        <f t="array" ref="C1045">IF(B1045="","",INDEX(helper!$D$3:$D3996,MOD(ROW()-2,COUNTA(helper!$D$3:$D3996))+1))</f>
        <v>Vglobal</v>
      </c>
      <c r="D1045" s="3" t="str">
        <f t="array" ref="D1045">IF(B1045="","",INDEX(helper!$E$3:$E3996,MOD(ROW()-2,COUNTA(helper!$D$3:$D3996))+1))</f>
        <v>CS-CDS-001</v>
      </c>
      <c r="E1045" s="3">
        <f t="array" ref="E1045">IF(B1045="","",INDEX(helper!$F$3:$F3996,MOD(ROW()-2,COUNTA(helper!$D$3:$D3996))+1))</f>
        <v>3</v>
      </c>
      <c r="F1045" s="3">
        <f>IF(B1045="","",SUMIFS('inventory ledger'!$H:$H,'inventory ledger'!$C:$C,C1045,'inventory ledger'!$D:$D,D1045,'inventory ledger'!$E:$E,E1045,'inventory ledger'!$A:$A,"&lt;="&amp;B1045+TIME(23,59,59))-SUMIFS('inventory ledger'!$I:$I,'inventory ledger'!$C:$C,C1045,'inventory ledger'!$D:$D,D1045,'inventory ledger'!$E:$E,E1045,'inventory ledger'!$A:$A,"&lt;="&amp;B1045+TIME(23,59,59)))</f>
        <v>1</v>
      </c>
      <c r="G1045" s="3">
        <f>IFERROR(__xludf.DUMMYFUNCTION("IF(F1045&lt;=0,0,IFERROR(ROUNDUP(F1045/INDEX(FILTER('warehouse config'!$D:$D,('warehouse config'!$B:$B=C1045)*('warehouse config'!$C:$C=D1045)*('warehouse config'!$G:$G&lt;=B1045)*(('warehouse config'!$H:$H&gt;=B1045)+ISBLANK('warehouse config'!$H:$H))),1)),0))"),1.0)</f>
        <v>1</v>
      </c>
      <c r="H1045" s="3">
        <f>IFERROR(__xludf.DUMMYFUNCTION("IFERROR(INDEX(FILTER('cost master'!$E:$E,('cost master'!$B:$B=C1045)*('cost master'!$D:$D=""Storage cost per pallet / week"")*('cost master'!$G:$G&lt;=B1045)*(('cost master'!$H:$H&gt;=B1045)+ISBLANK('cost master'!$H:$H))),1),0)"),2.6)</f>
        <v>2.6</v>
      </c>
      <c r="I1045" s="3">
        <f t="shared" si="4"/>
        <v>2.6</v>
      </c>
      <c r="J1045" s="27">
        <f t="shared" si="5"/>
        <v>45854</v>
      </c>
      <c r="K1045" s="27">
        <f t="shared" si="6"/>
        <v>45884</v>
      </c>
    </row>
    <row r="1046" hidden="1">
      <c r="A1046" s="3" t="str">
        <f t="shared" si="3"/>
        <v>SL-20250804-Vglobal-CS-CDS-002-3</v>
      </c>
      <c r="B1046" s="2">
        <f t="array" ref="B1046">INDEX(helper!$A$3:$A3996,ROUNDUP((ROW()-1)/COUNTA(helper!$D$3:$D3996),0))</f>
        <v>45873</v>
      </c>
      <c r="C1046" s="5" t="str">
        <f t="array" ref="C1046">IF(B1046="","",INDEX(helper!$D$3:$D3996,MOD(ROW()-2,COUNTA(helper!$D$3:$D3996))+1))</f>
        <v>Vglobal</v>
      </c>
      <c r="D1046" s="3" t="str">
        <f t="array" ref="D1046">IF(B1046="","",INDEX(helper!$E$3:$E3996,MOD(ROW()-2,COUNTA(helper!$D$3:$D3996))+1))</f>
        <v>CS-CDS-002</v>
      </c>
      <c r="E1046" s="3">
        <f t="array" ref="E1046">IF(B1046="","",INDEX(helper!$F$3:$F3996,MOD(ROW()-2,COUNTA(helper!$D$3:$D3996))+1))</f>
        <v>3</v>
      </c>
      <c r="F1046" s="3">
        <f>IF(B1046="","",SUMIFS('inventory ledger'!$H:$H,'inventory ledger'!$C:$C,C1046,'inventory ledger'!$D:$D,D1046,'inventory ledger'!$E:$E,E1046,'inventory ledger'!$A:$A,"&lt;="&amp;B1046+TIME(23,59,59))-SUMIFS('inventory ledger'!$I:$I,'inventory ledger'!$C:$C,C1046,'inventory ledger'!$D:$D,D1046,'inventory ledger'!$E:$E,E1046,'inventory ledger'!$A:$A,"&lt;="&amp;B1046+TIME(23,59,59)))</f>
        <v>0</v>
      </c>
      <c r="G1046" s="3">
        <f>IFERROR(__xludf.DUMMYFUNCTION("IF(F1046&lt;=0,0,IFERROR(ROUNDUP(F1046/INDEX(FILTER('warehouse config'!$D:$D,('warehouse config'!$B:$B=C1046)*('warehouse config'!$C:$C=D1046)*('warehouse config'!$G:$G&lt;=B1046)*(('warehouse config'!$H:$H&gt;=B1046)+ISBLANK('warehouse config'!$H:$H))),1)),0))"),0.0)</f>
        <v>0</v>
      </c>
      <c r="H1046" s="3">
        <f>IFERROR(__xludf.DUMMYFUNCTION("IFERROR(INDEX(FILTER('cost master'!$E:$E,('cost master'!$B:$B=C1046)*('cost master'!$D:$D=""Storage cost per pallet / week"")*('cost master'!$G:$G&lt;=B1046)*(('cost master'!$H:$H&gt;=B1046)+ISBLANK('cost master'!$H:$H))),1),0)"),2.6)</f>
        <v>2.6</v>
      </c>
      <c r="I1046" s="3">
        <f t="shared" si="4"/>
        <v>0</v>
      </c>
      <c r="J1046" s="27">
        <f t="shared" si="5"/>
        <v>45854</v>
      </c>
      <c r="K1046" s="27">
        <f t="shared" si="6"/>
        <v>45884</v>
      </c>
    </row>
    <row r="1047" hidden="1">
      <c r="A1047" s="3" t="str">
        <f t="shared" si="3"/>
        <v>SL-20250804-4as-CS-CDS-001-4</v>
      </c>
      <c r="B1047" s="2">
        <f t="array" ref="B1047">INDEX(helper!$A$3:$A3996,ROUNDUP((ROW()-1)/COUNTA(helper!$D$3:$D3996),0))</f>
        <v>45873</v>
      </c>
      <c r="C1047" s="5" t="str">
        <f t="array" ref="C1047">IF(B1047="","",INDEX(helper!$D$3:$D3996,MOD(ROW()-2,COUNTA(helper!$D$3:$D3996))+1))</f>
        <v>4as</v>
      </c>
      <c r="D1047" s="3" t="str">
        <f t="array" ref="D1047">IF(B1047="","",INDEX(helper!$E$3:$E3996,MOD(ROW()-2,COUNTA(helper!$D$3:$D3996))+1))</f>
        <v>CS-CDS-001</v>
      </c>
      <c r="E1047" s="3">
        <f t="array" ref="E1047">IF(B1047="","",INDEX(helper!$F$3:$F3996,MOD(ROW()-2,COUNTA(helper!$D$3:$D3996))+1))</f>
        <v>4</v>
      </c>
      <c r="F1047" s="3">
        <f>IF(B1047="","",SUMIFS('inventory ledger'!$H:$H,'inventory ledger'!$C:$C,C1047,'inventory ledger'!$D:$D,D1047,'inventory ledger'!$E:$E,E1047,'inventory ledger'!$A:$A,"&lt;="&amp;B1047+TIME(23,59,59))-SUMIFS('inventory ledger'!$I:$I,'inventory ledger'!$C:$C,C1047,'inventory ledger'!$D:$D,D1047,'inventory ledger'!$E:$E,E1047,'inventory ledger'!$A:$A,"&lt;="&amp;B1047+TIME(23,59,59)))</f>
        <v>0</v>
      </c>
      <c r="G1047" s="3">
        <f>IFERROR(__xludf.DUMMYFUNCTION("IF(F1047&lt;=0,0,IFERROR(ROUNDUP(F1047/INDEX(FILTER('warehouse config'!$D:$D,('warehouse config'!$B:$B=C1047)*('warehouse config'!$C:$C=D1047)*('warehouse config'!$G:$G&lt;=B1047)*(('warehouse config'!$H:$H&gt;=B1047)+ISBLANK('warehouse config'!$H:$H))),1)),0))"),0.0)</f>
        <v>0</v>
      </c>
      <c r="H1047" s="3">
        <f>IFERROR(__xludf.DUMMYFUNCTION("IFERROR(INDEX(FILTER('cost master'!$E:$E,('cost master'!$B:$B=C1047)*('cost master'!$D:$D=""Storage cost per pallet / week"")*('cost master'!$G:$G&lt;=B1047)*(('cost master'!$H:$H&gt;=B1047)+ISBLANK('cost master'!$H:$H))),1),0)"),9.0)</f>
        <v>9</v>
      </c>
      <c r="I1047" s="3">
        <f t="shared" si="4"/>
        <v>0</v>
      </c>
      <c r="J1047" s="27">
        <f t="shared" si="5"/>
        <v>45854</v>
      </c>
      <c r="K1047" s="27">
        <f t="shared" si="6"/>
        <v>45884</v>
      </c>
    </row>
    <row r="1048" hidden="1">
      <c r="A1048" s="3" t="str">
        <f t="shared" si="3"/>
        <v>SL-20250804-4as-CS-CDS-002-4</v>
      </c>
      <c r="B1048" s="2">
        <f t="array" ref="B1048">INDEX(helper!$A$3:$A3996,ROUNDUP((ROW()-1)/COUNTA(helper!$D$3:$D3996),0))</f>
        <v>45873</v>
      </c>
      <c r="C1048" s="5" t="str">
        <f t="array" ref="C1048">IF(B1048="","",INDEX(helper!$D$3:$D3996,MOD(ROW()-2,COUNTA(helper!$D$3:$D3996))+1))</f>
        <v>4as</v>
      </c>
      <c r="D1048" s="3" t="str">
        <f t="array" ref="D1048">IF(B1048="","",INDEX(helper!$E$3:$E3996,MOD(ROW()-2,COUNTA(helper!$D$3:$D3996))+1))</f>
        <v>CS-CDS-002</v>
      </c>
      <c r="E1048" s="3">
        <f t="array" ref="E1048">IF(B1048="","",INDEX(helper!$F$3:$F3996,MOD(ROW()-2,COUNTA(helper!$D$3:$D3996))+1))</f>
        <v>4</v>
      </c>
      <c r="F1048" s="3">
        <f>IF(B1048="","",SUMIFS('inventory ledger'!$H:$H,'inventory ledger'!$C:$C,C1048,'inventory ledger'!$D:$D,D1048,'inventory ledger'!$E:$E,E1048,'inventory ledger'!$A:$A,"&lt;="&amp;B1048+TIME(23,59,59))-SUMIFS('inventory ledger'!$I:$I,'inventory ledger'!$C:$C,C1048,'inventory ledger'!$D:$D,D1048,'inventory ledger'!$E:$E,E1048,'inventory ledger'!$A:$A,"&lt;="&amp;B1048+TIME(23,59,59)))</f>
        <v>0</v>
      </c>
      <c r="G1048" s="3">
        <f>IFERROR(__xludf.DUMMYFUNCTION("IF(F1048&lt;=0,0,IFERROR(ROUNDUP(F1048/INDEX(FILTER('warehouse config'!$D:$D,('warehouse config'!$B:$B=C1048)*('warehouse config'!$C:$C=D1048)*('warehouse config'!$G:$G&lt;=B1048)*(('warehouse config'!$H:$H&gt;=B1048)+ISBLANK('warehouse config'!$H:$H))),1)),0))"),0.0)</f>
        <v>0</v>
      </c>
      <c r="H1048" s="3">
        <f>IFERROR(__xludf.DUMMYFUNCTION("IFERROR(INDEX(FILTER('cost master'!$E:$E,('cost master'!$B:$B=C1048)*('cost master'!$D:$D=""Storage cost per pallet / week"")*('cost master'!$G:$G&lt;=B1048)*(('cost master'!$H:$H&gt;=B1048)+ISBLANK('cost master'!$H:$H))),1),0)"),9.0)</f>
        <v>9</v>
      </c>
      <c r="I1048" s="3">
        <f t="shared" si="4"/>
        <v>0</v>
      </c>
      <c r="J1048" s="27">
        <f t="shared" si="5"/>
        <v>45854</v>
      </c>
      <c r="K1048" s="27">
        <f t="shared" si="6"/>
        <v>45884</v>
      </c>
    </row>
    <row r="1049" hidden="1">
      <c r="A1049" s="3" t="str">
        <f t="shared" si="3"/>
        <v>SL-20250804-Vglobal-CS 007-13</v>
      </c>
      <c r="B1049" s="2">
        <f t="array" ref="B1049">INDEX(helper!$A$3:$A3996,ROUNDUP((ROW()-1)/COUNTA(helper!$D$3:$D3996),0))</f>
        <v>45873</v>
      </c>
      <c r="C1049" s="5" t="str">
        <f t="array" ref="C1049">IF(B1049="","",INDEX(helper!$D$3:$D3996,MOD(ROW()-2,COUNTA(helper!$D$3:$D3996))+1))</f>
        <v>Vglobal</v>
      </c>
      <c r="D1049" s="3" t="str">
        <f t="array" ref="D1049">IF(B1049="","",INDEX(helper!$E$3:$E3996,MOD(ROW()-2,COUNTA(helper!$D$3:$D3996))+1))</f>
        <v>CS 007</v>
      </c>
      <c r="E1049" s="3">
        <f t="array" ref="E1049">IF(B1049="","",INDEX(helper!$F$3:$F3996,MOD(ROW()-2,COUNTA(helper!$D$3:$D3996))+1))</f>
        <v>13</v>
      </c>
      <c r="F1049" s="3">
        <f>IF(B1049="","",SUMIFS('inventory ledger'!$H:$H,'inventory ledger'!$C:$C,C1049,'inventory ledger'!$D:$D,D1049,'inventory ledger'!$E:$E,E1049,'inventory ledger'!$A:$A,"&lt;="&amp;B1049+TIME(23,59,59))-SUMIFS('inventory ledger'!$I:$I,'inventory ledger'!$C:$C,C1049,'inventory ledger'!$D:$D,D1049,'inventory ledger'!$E:$E,E1049,'inventory ledger'!$A:$A,"&lt;="&amp;B1049+TIME(23,59,59)))</f>
        <v>45</v>
      </c>
      <c r="G1049" s="3">
        <f>IFERROR(__xludf.DUMMYFUNCTION("IF(F1049&lt;=0,0,IFERROR(ROUNDUP(F1049/INDEX(FILTER('warehouse config'!$D:$D,('warehouse config'!$B:$B=C1049)*('warehouse config'!$C:$C=D1049)*('warehouse config'!$G:$G&lt;=B1049)*(('warehouse config'!$H:$H&gt;=B1049)+ISBLANK('warehouse config'!$H:$H))),1)),0))"),3.0)</f>
        <v>3</v>
      </c>
      <c r="H1049" s="3">
        <f>IFERROR(__xludf.DUMMYFUNCTION("IFERROR(INDEX(FILTER('cost master'!$E:$E,('cost master'!$B:$B=C1049)*('cost master'!$D:$D=""Storage cost per pallet / week"")*('cost master'!$G:$G&lt;=B1049)*(('cost master'!$H:$H&gt;=B1049)+ISBLANK('cost master'!$H:$H))),1),0)"),2.6)</f>
        <v>2.6</v>
      </c>
      <c r="I1049" s="3">
        <f t="shared" si="4"/>
        <v>7.8</v>
      </c>
      <c r="J1049" s="27">
        <f t="shared" si="5"/>
        <v>45854</v>
      </c>
      <c r="K1049" s="27">
        <f t="shared" si="6"/>
        <v>45884</v>
      </c>
    </row>
    <row r="1050" hidden="1">
      <c r="A1050" s="3" t="str">
        <f t="shared" si="3"/>
        <v>SL-20250804-Vglobal-CS 011-13</v>
      </c>
      <c r="B1050" s="2">
        <f t="array" ref="B1050">INDEX(helper!$A$3:$A3996,ROUNDUP((ROW()-1)/COUNTA(helper!$D$3:$D3996),0))</f>
        <v>45873</v>
      </c>
      <c r="C1050" s="5" t="str">
        <f t="array" ref="C1050">IF(B1050="","",INDEX(helper!$D$3:$D3996,MOD(ROW()-2,COUNTA(helper!$D$3:$D3996))+1))</f>
        <v>Vglobal</v>
      </c>
      <c r="D1050" s="3" t="str">
        <f t="array" ref="D1050">IF(B1050="","",INDEX(helper!$E$3:$E3996,MOD(ROW()-2,COUNTA(helper!$D$3:$D3996))+1))</f>
        <v>CS 011</v>
      </c>
      <c r="E1050" s="3">
        <f t="array" ref="E1050">IF(B1050="","",INDEX(helper!$F$3:$F3996,MOD(ROW()-2,COUNTA(helper!$D$3:$D3996))+1))</f>
        <v>13</v>
      </c>
      <c r="F1050" s="3">
        <f>IF(B1050="","",SUMIFS('inventory ledger'!$H:$H,'inventory ledger'!$C:$C,C1050,'inventory ledger'!$D:$D,D1050,'inventory ledger'!$E:$E,E1050,'inventory ledger'!$A:$A,"&lt;="&amp;B1050+TIME(23,59,59))-SUMIFS('inventory ledger'!$I:$I,'inventory ledger'!$C:$C,C1050,'inventory ledger'!$D:$D,D1050,'inventory ledger'!$E:$E,E1050,'inventory ledger'!$A:$A,"&lt;="&amp;B1050+TIME(23,59,59)))</f>
        <v>0</v>
      </c>
      <c r="G1050" s="3">
        <f>IFERROR(__xludf.DUMMYFUNCTION("IF(F1050&lt;=0,0,IFERROR(ROUNDUP(F1050/INDEX(FILTER('warehouse config'!$D:$D,('warehouse config'!$B:$B=C1050)*('warehouse config'!$C:$C=D1050)*('warehouse config'!$G:$G&lt;=B1050)*(('warehouse config'!$H:$H&gt;=B1050)+ISBLANK('warehouse config'!$H:$H))),1)),0))"),0.0)</f>
        <v>0</v>
      </c>
      <c r="H1050" s="3">
        <f>IFERROR(__xludf.DUMMYFUNCTION("IFERROR(INDEX(FILTER('cost master'!$E:$E,('cost master'!$B:$B=C1050)*('cost master'!$D:$D=""Storage cost per pallet / week"")*('cost master'!$G:$G&lt;=B1050)*(('cost master'!$H:$H&gt;=B1050)+ISBLANK('cost master'!$H:$H))),1),0)"),2.6)</f>
        <v>2.6</v>
      </c>
      <c r="I1050" s="3">
        <f t="shared" si="4"/>
        <v>0</v>
      </c>
      <c r="J1050" s="27">
        <f t="shared" si="5"/>
        <v>45854</v>
      </c>
      <c r="K1050" s="27">
        <f t="shared" si="6"/>
        <v>45884</v>
      </c>
    </row>
    <row r="1051" hidden="1">
      <c r="A1051" s="3" t="str">
        <f t="shared" si="3"/>
        <v>SL-20250804-Vglobal-CS 008-13</v>
      </c>
      <c r="B1051" s="2">
        <f t="array" ref="B1051">INDEX(helper!$A$3:$A3996,ROUNDUP((ROW()-1)/COUNTA(helper!$D$3:$D3996),0))</f>
        <v>45873</v>
      </c>
      <c r="C1051" s="5" t="str">
        <f t="array" ref="C1051">IF(B1051="","",INDEX(helper!$D$3:$D3996,MOD(ROW()-2,COUNTA(helper!$D$3:$D3996))+1))</f>
        <v>Vglobal</v>
      </c>
      <c r="D1051" s="3" t="str">
        <f t="array" ref="D1051">IF(B1051="","",INDEX(helper!$E$3:$E3996,MOD(ROW()-2,COUNTA(helper!$D$3:$D3996))+1))</f>
        <v>CS 008</v>
      </c>
      <c r="E1051" s="3">
        <f t="array" ref="E1051">IF(B1051="","",INDEX(helper!$F$3:$F3996,MOD(ROW()-2,COUNTA(helper!$D$3:$D3996))+1))</f>
        <v>13</v>
      </c>
      <c r="F1051" s="3">
        <f>IF(B1051="","",SUMIFS('inventory ledger'!$H:$H,'inventory ledger'!$C:$C,C1051,'inventory ledger'!$D:$D,D1051,'inventory ledger'!$E:$E,E1051,'inventory ledger'!$A:$A,"&lt;="&amp;B1051+TIME(23,59,59))-SUMIFS('inventory ledger'!$I:$I,'inventory ledger'!$C:$C,C1051,'inventory ledger'!$D:$D,D1051,'inventory ledger'!$E:$E,E1051,'inventory ledger'!$A:$A,"&lt;="&amp;B1051+TIME(23,59,59)))</f>
        <v>20</v>
      </c>
      <c r="G1051" s="3">
        <f>IFERROR(__xludf.DUMMYFUNCTION("IF(F1051&lt;=0,0,IFERROR(ROUNDUP(F1051/INDEX(FILTER('warehouse config'!$D:$D,('warehouse config'!$B:$B=C1051)*('warehouse config'!$C:$C=D1051)*('warehouse config'!$G:$G&lt;=B1051)*(('warehouse config'!$H:$H&gt;=B1051)+ISBLANK('warehouse config'!$H:$H))),1)),0))"),1.0)</f>
        <v>1</v>
      </c>
      <c r="H1051" s="3">
        <f>IFERROR(__xludf.DUMMYFUNCTION("IFERROR(INDEX(FILTER('cost master'!$E:$E,('cost master'!$B:$B=C1051)*('cost master'!$D:$D=""Storage cost per pallet / week"")*('cost master'!$G:$G&lt;=B1051)*(('cost master'!$H:$H&gt;=B1051)+ISBLANK('cost master'!$H:$H))),1),0)"),2.6)</f>
        <v>2.6</v>
      </c>
      <c r="I1051" s="3">
        <f t="shared" si="4"/>
        <v>2.6</v>
      </c>
      <c r="J1051" s="27">
        <f t="shared" si="5"/>
        <v>45854</v>
      </c>
      <c r="K1051" s="27">
        <f t="shared" si="6"/>
        <v>45884</v>
      </c>
    </row>
    <row r="1052" hidden="1">
      <c r="A1052" s="3" t="str">
        <f t="shared" si="3"/>
        <v>SL-20250804-Vglobal-CS 010-13</v>
      </c>
      <c r="B1052" s="2">
        <f t="array" ref="B1052">INDEX(helper!$A$3:$A3996,ROUNDUP((ROW()-1)/COUNTA(helper!$D$3:$D3996),0))</f>
        <v>45873</v>
      </c>
      <c r="C1052" s="5" t="str">
        <f t="array" ref="C1052">IF(B1052="","",INDEX(helper!$D$3:$D3996,MOD(ROW()-2,COUNTA(helper!$D$3:$D3996))+1))</f>
        <v>Vglobal</v>
      </c>
      <c r="D1052" s="3" t="str">
        <f t="array" ref="D1052">IF(B1052="","",INDEX(helper!$E$3:$E3996,MOD(ROW()-2,COUNTA(helper!$D$3:$D3996))+1))</f>
        <v>CS 010</v>
      </c>
      <c r="E1052" s="3">
        <f t="array" ref="E1052">IF(B1052="","",INDEX(helper!$F$3:$F3996,MOD(ROW()-2,COUNTA(helper!$D$3:$D3996))+1))</f>
        <v>13</v>
      </c>
      <c r="F1052" s="3">
        <f>IF(B1052="","",SUMIFS('inventory ledger'!$H:$H,'inventory ledger'!$C:$C,C1052,'inventory ledger'!$D:$D,D1052,'inventory ledger'!$E:$E,E1052,'inventory ledger'!$A:$A,"&lt;="&amp;B1052+TIME(23,59,59))-SUMIFS('inventory ledger'!$I:$I,'inventory ledger'!$C:$C,C1052,'inventory ledger'!$D:$D,D1052,'inventory ledger'!$E:$E,E1052,'inventory ledger'!$A:$A,"&lt;="&amp;B1052+TIME(23,59,59)))</f>
        <v>80</v>
      </c>
      <c r="G1052" s="3">
        <f>IFERROR(__xludf.DUMMYFUNCTION("IF(F1052&lt;=0,0,IFERROR(ROUNDUP(F1052/INDEX(FILTER('warehouse config'!$D:$D,('warehouse config'!$B:$B=C1052)*('warehouse config'!$C:$C=D1052)*('warehouse config'!$G:$G&lt;=B1052)*(('warehouse config'!$H:$H&gt;=B1052)+ISBLANK('warehouse config'!$H:$H))),1)),0))"),4.0)</f>
        <v>4</v>
      </c>
      <c r="H1052" s="3">
        <f>IFERROR(__xludf.DUMMYFUNCTION("IFERROR(INDEX(FILTER('cost master'!$E:$E,('cost master'!$B:$B=C1052)*('cost master'!$D:$D=""Storage cost per pallet / week"")*('cost master'!$G:$G&lt;=B1052)*(('cost master'!$H:$H&gt;=B1052)+ISBLANK('cost master'!$H:$H))),1),0)"),2.6)</f>
        <v>2.6</v>
      </c>
      <c r="I1052" s="3">
        <f t="shared" si="4"/>
        <v>10.4</v>
      </c>
      <c r="J1052" s="27">
        <f t="shared" si="5"/>
        <v>45854</v>
      </c>
      <c r="K1052" s="27">
        <f t="shared" si="6"/>
        <v>45884</v>
      </c>
    </row>
    <row r="1053" hidden="1">
      <c r="A1053" s="3" t="str">
        <f t="shared" si="3"/>
        <v>SL-20250804-Vglobal-CS 009-13</v>
      </c>
      <c r="B1053" s="2">
        <f t="array" ref="B1053">INDEX(helper!$A$3:$A3996,ROUNDUP((ROW()-1)/COUNTA(helper!$D$3:$D3996),0))</f>
        <v>45873</v>
      </c>
      <c r="C1053" s="5" t="str">
        <f t="array" ref="C1053">IF(B1053="","",INDEX(helper!$D$3:$D3996,MOD(ROW()-2,COUNTA(helper!$D$3:$D3996))+1))</f>
        <v>Vglobal</v>
      </c>
      <c r="D1053" s="3" t="str">
        <f t="array" ref="D1053">IF(B1053="","",INDEX(helper!$E$3:$E3996,MOD(ROW()-2,COUNTA(helper!$D$3:$D3996))+1))</f>
        <v>CS 009</v>
      </c>
      <c r="E1053" s="3">
        <f t="array" ref="E1053">IF(B1053="","",INDEX(helper!$F$3:$F3996,MOD(ROW()-2,COUNTA(helper!$D$3:$D3996))+1))</f>
        <v>13</v>
      </c>
      <c r="F1053" s="3">
        <f>IF(B1053="","",SUMIFS('inventory ledger'!$H:$H,'inventory ledger'!$C:$C,C1053,'inventory ledger'!$D:$D,D1053,'inventory ledger'!$E:$E,E1053,'inventory ledger'!$A:$A,"&lt;="&amp;B1053+TIME(23,59,59))-SUMIFS('inventory ledger'!$I:$I,'inventory ledger'!$C:$C,C1053,'inventory ledger'!$D:$D,D1053,'inventory ledger'!$E:$E,E1053,'inventory ledger'!$A:$A,"&lt;="&amp;B1053+TIME(23,59,59)))</f>
        <v>0</v>
      </c>
      <c r="G1053" s="3">
        <f>IFERROR(__xludf.DUMMYFUNCTION("IF(F1053&lt;=0,0,IFERROR(ROUNDUP(F1053/INDEX(FILTER('warehouse config'!$D:$D,('warehouse config'!$B:$B=C1053)*('warehouse config'!$C:$C=D1053)*('warehouse config'!$G:$G&lt;=B1053)*(('warehouse config'!$H:$H&gt;=B1053)+ISBLANK('warehouse config'!$H:$H))),1)),0))"),0.0)</f>
        <v>0</v>
      </c>
      <c r="H1053" s="3">
        <f>IFERROR(__xludf.DUMMYFUNCTION("IFERROR(INDEX(FILTER('cost master'!$E:$E,('cost master'!$B:$B=C1053)*('cost master'!$D:$D=""Storage cost per pallet / week"")*('cost master'!$G:$G&lt;=B1053)*(('cost master'!$H:$H&gt;=B1053)+ISBLANK('cost master'!$H:$H))),1),0)"),2.6)</f>
        <v>2.6</v>
      </c>
      <c r="I1053" s="3">
        <f t="shared" si="4"/>
        <v>0</v>
      </c>
      <c r="J1053" s="27">
        <f t="shared" si="5"/>
        <v>45854</v>
      </c>
      <c r="K1053" s="27">
        <f t="shared" si="6"/>
        <v>45884</v>
      </c>
    </row>
    <row r="1054" hidden="1">
      <c r="A1054" s="3" t="str">
        <f t="shared" si="3"/>
        <v>SL-20250804-Vglobal-CS 012-13</v>
      </c>
      <c r="B1054" s="2">
        <f t="array" ref="B1054">INDEX(helper!$A$3:$A3996,ROUNDUP((ROW()-1)/COUNTA(helper!$D$3:$D3996),0))</f>
        <v>45873</v>
      </c>
      <c r="C1054" s="5" t="str">
        <f t="array" ref="C1054">IF(B1054="","",INDEX(helper!$D$3:$D3996,MOD(ROW()-2,COUNTA(helper!$D$3:$D3996))+1))</f>
        <v>Vglobal</v>
      </c>
      <c r="D1054" s="3" t="str">
        <f t="array" ref="D1054">IF(B1054="","",INDEX(helper!$E$3:$E3996,MOD(ROW()-2,COUNTA(helper!$D$3:$D3996))+1))</f>
        <v>CS 012</v>
      </c>
      <c r="E1054" s="3">
        <f t="array" ref="E1054">IF(B1054="","",INDEX(helper!$F$3:$F3996,MOD(ROW()-2,COUNTA(helper!$D$3:$D3996))+1))</f>
        <v>13</v>
      </c>
      <c r="F1054" s="3">
        <f>IF(B1054="","",SUMIFS('inventory ledger'!$H:$H,'inventory ledger'!$C:$C,C1054,'inventory ledger'!$D:$D,D1054,'inventory ledger'!$E:$E,E1054,'inventory ledger'!$A:$A,"&lt;="&amp;B1054+TIME(23,59,59))-SUMIFS('inventory ledger'!$I:$I,'inventory ledger'!$C:$C,C1054,'inventory ledger'!$D:$D,D1054,'inventory ledger'!$E:$E,E1054,'inventory ledger'!$A:$A,"&lt;="&amp;B1054+TIME(23,59,59)))</f>
        <v>0</v>
      </c>
      <c r="G1054" s="3">
        <f>IFERROR(__xludf.DUMMYFUNCTION("IF(F1054&lt;=0,0,IFERROR(ROUNDUP(F1054/INDEX(FILTER('warehouse config'!$D:$D,('warehouse config'!$B:$B=C1054)*('warehouse config'!$C:$C=D1054)*('warehouse config'!$G:$G&lt;=B1054)*(('warehouse config'!$H:$H&gt;=B1054)+ISBLANK('warehouse config'!$H:$H))),1)),0))"),0.0)</f>
        <v>0</v>
      </c>
      <c r="H1054" s="3">
        <f>IFERROR(__xludf.DUMMYFUNCTION("IFERROR(INDEX(FILTER('cost master'!$E:$E,('cost master'!$B:$B=C1054)*('cost master'!$D:$D=""Storage cost per pallet / week"")*('cost master'!$G:$G&lt;=B1054)*(('cost master'!$H:$H&gt;=B1054)+ISBLANK('cost master'!$H:$H))),1),0)"),2.6)</f>
        <v>2.6</v>
      </c>
      <c r="I1054" s="3">
        <f t="shared" si="4"/>
        <v>0</v>
      </c>
      <c r="J1054" s="27">
        <f t="shared" si="5"/>
        <v>45854</v>
      </c>
      <c r="K1054" s="27">
        <f t="shared" si="6"/>
        <v>45884</v>
      </c>
    </row>
    <row r="1055">
      <c r="A1055" s="3" t="str">
        <f t="shared" si="3"/>
        <v>SL-20250804-FMC-CS 008-11</v>
      </c>
      <c r="B1055" s="2">
        <f t="array" ref="B1055">INDEX(helper!$A$3:$A3996,ROUNDUP((ROW()-1)/COUNTA(helper!$D$3:$D3996),0))</f>
        <v>45873</v>
      </c>
      <c r="C1055" s="5" t="str">
        <f t="array" ref="C1055">IF(B1055="","",INDEX(helper!$D$3:$D3996,MOD(ROW()-2,COUNTA(helper!$D$3:$D3996))+1))</f>
        <v>FMC</v>
      </c>
      <c r="D1055" s="3" t="str">
        <f t="array" ref="D1055">IF(B1055="","",INDEX(helper!$E$3:$E3996,MOD(ROW()-2,COUNTA(helper!$D$3:$D3996))+1))</f>
        <v>CS 008</v>
      </c>
      <c r="E1055" s="3">
        <f t="array" ref="E1055">IF(B1055="","",INDEX(helper!$F$3:$F3996,MOD(ROW()-2,COUNTA(helper!$D$3:$D3996))+1))</f>
        <v>11</v>
      </c>
      <c r="F1055" s="3">
        <f>IF(B1055="","",SUMIFS('inventory ledger'!$H:$H,'inventory ledger'!$C:$C,C1055,'inventory ledger'!$D:$D,D1055,'inventory ledger'!$E:$E,E1055,'inventory ledger'!$A:$A,"&lt;="&amp;B1055+TIME(23,59,59))-SUMIFS('inventory ledger'!$I:$I,'inventory ledger'!$C:$C,C1055,'inventory ledger'!$D:$D,D1055,'inventory ledger'!$E:$E,E1055,'inventory ledger'!$A:$A,"&lt;="&amp;B1055+TIME(23,59,59)))</f>
        <v>-2</v>
      </c>
      <c r="G1055" s="3">
        <f>IFERROR(__xludf.DUMMYFUNCTION("IF(F1055&lt;=0,0,IFERROR(ROUNDUP(F1055/INDEX(FILTER('warehouse config'!$D:$D,('warehouse config'!$B:$B=C1055)*('warehouse config'!$C:$C=D1055)*('warehouse config'!$G:$G&lt;=B1055)*(('warehouse config'!$H:$H&gt;=B1055)+ISBLANK('warehouse config'!$H:$H))),1)),0))"),0.0)</f>
        <v>0</v>
      </c>
      <c r="H1055" s="3">
        <f>IFERROR(__xludf.DUMMYFUNCTION("IFERROR(INDEX(FILTER('cost master'!$E:$E,('cost master'!$B:$B=C1055)*('cost master'!$D:$D=""Storage cost per pallet / week"")*('cost master'!$G:$G&lt;=B1055)*(('cost master'!$H:$H&gt;=B1055)+ISBLANK('cost master'!$H:$H))),1),0)"),3.9)</f>
        <v>3.9</v>
      </c>
      <c r="I1055" s="3">
        <f t="shared" si="4"/>
        <v>0</v>
      </c>
      <c r="J1055" s="27">
        <f t="shared" si="5"/>
        <v>45854</v>
      </c>
      <c r="K1055" s="27">
        <f t="shared" si="6"/>
        <v>45884</v>
      </c>
    </row>
    <row r="1056" hidden="1">
      <c r="A1056" s="3" t="str">
        <f t="shared" si="3"/>
        <v>SL-20250811-FMC-CS 007-8</v>
      </c>
      <c r="B1056" s="2">
        <f t="array" ref="B1056">INDEX(helper!$A$3:$A3996,ROUNDUP((ROW()-1)/COUNTA(helper!$D$3:$D3996),0))</f>
        <v>45880</v>
      </c>
      <c r="C1056" s="5" t="str">
        <f t="array" ref="C1056">IF(B1056="","",INDEX(helper!$D$3:$D3996,MOD(ROW()-2,COUNTA(helper!$D$3:$D3996))+1))</f>
        <v>FMC</v>
      </c>
      <c r="D1056" s="3" t="str">
        <f t="array" ref="D1056">IF(B1056="","",INDEX(helper!$E$3:$E3996,MOD(ROW()-2,COUNTA(helper!$D$3:$D3996))+1))</f>
        <v>CS 007</v>
      </c>
      <c r="E1056" s="3">
        <f t="array" ref="E1056">IF(B1056="","",INDEX(helper!$F$3:$F3996,MOD(ROW()-2,COUNTA(helper!$D$3:$D3996))+1))</f>
        <v>8</v>
      </c>
      <c r="F1056" s="3">
        <f>IF(B1056="","",SUMIFS('inventory ledger'!$H:$H,'inventory ledger'!$C:$C,C1056,'inventory ledger'!$D:$D,D1056,'inventory ledger'!$E:$E,E1056,'inventory ledger'!$A:$A,"&lt;="&amp;B1056+TIME(23,59,59))-SUMIFS('inventory ledger'!$I:$I,'inventory ledger'!$C:$C,C1056,'inventory ledger'!$D:$D,D1056,'inventory ledger'!$E:$E,E1056,'inventory ledger'!$A:$A,"&lt;="&amp;B1056+TIME(23,59,59)))</f>
        <v>0</v>
      </c>
      <c r="G1056" s="3">
        <f>IFERROR(__xludf.DUMMYFUNCTION("IF(F1056&lt;=0,0,IFERROR(ROUNDUP(F1056/INDEX(FILTER('warehouse config'!$D:$D,('warehouse config'!$B:$B=C1056)*('warehouse config'!$C:$C=D1056)*('warehouse config'!$G:$G&lt;=B1056)*(('warehouse config'!$H:$H&gt;=B1056)+ISBLANK('warehouse config'!$H:$H))),1)),0))"),0.0)</f>
        <v>0</v>
      </c>
      <c r="H1056" s="3">
        <f>IFERROR(__xludf.DUMMYFUNCTION("IFERROR(INDEX(FILTER('cost master'!$E:$E,('cost master'!$B:$B=C1056)*('cost master'!$D:$D=""Storage cost per pallet / week"")*('cost master'!$G:$G&lt;=B1056)*(('cost master'!$H:$H&gt;=B1056)+ISBLANK('cost master'!$H:$H))),1),0)"),3.9)</f>
        <v>3.9</v>
      </c>
      <c r="I1056" s="3">
        <f t="shared" si="4"/>
        <v>0</v>
      </c>
      <c r="J1056" s="27">
        <f t="shared" si="5"/>
        <v>45854</v>
      </c>
      <c r="K1056" s="27">
        <f t="shared" si="6"/>
        <v>45884</v>
      </c>
    </row>
    <row r="1057" hidden="1">
      <c r="A1057" s="3" t="str">
        <f t="shared" si="3"/>
        <v>SL-20250811-FMC-CS 008-8</v>
      </c>
      <c r="B1057" s="2">
        <f t="array" ref="B1057">INDEX(helper!$A$3:$A3996,ROUNDUP((ROW()-1)/COUNTA(helper!$D$3:$D3996),0))</f>
        <v>45880</v>
      </c>
      <c r="C1057" s="5" t="str">
        <f t="array" ref="C1057">IF(B1057="","",INDEX(helper!$D$3:$D3996,MOD(ROW()-2,COUNTA(helper!$D$3:$D3996))+1))</f>
        <v>FMC</v>
      </c>
      <c r="D1057" s="3" t="str">
        <f t="array" ref="D1057">IF(B1057="","",INDEX(helper!$E$3:$E3996,MOD(ROW()-2,COUNTA(helper!$D$3:$D3996))+1))</f>
        <v>CS 008</v>
      </c>
      <c r="E1057" s="3">
        <f t="array" ref="E1057">IF(B1057="","",INDEX(helper!$F$3:$F3996,MOD(ROW()-2,COUNTA(helper!$D$3:$D3996))+1))</f>
        <v>8</v>
      </c>
      <c r="F1057" s="3">
        <f>IF(B1057="","",SUMIFS('inventory ledger'!$H:$H,'inventory ledger'!$C:$C,C1057,'inventory ledger'!$D:$D,D1057,'inventory ledger'!$E:$E,E1057,'inventory ledger'!$A:$A,"&lt;="&amp;B1057+TIME(23,59,59))-SUMIFS('inventory ledger'!$I:$I,'inventory ledger'!$C:$C,C1057,'inventory ledger'!$D:$D,D1057,'inventory ledger'!$E:$E,E1057,'inventory ledger'!$A:$A,"&lt;="&amp;B1057+TIME(23,59,59)))</f>
        <v>0</v>
      </c>
      <c r="G1057" s="3">
        <f>IFERROR(__xludf.DUMMYFUNCTION("IF(F1057&lt;=0,0,IFERROR(ROUNDUP(F1057/INDEX(FILTER('warehouse config'!$D:$D,('warehouse config'!$B:$B=C1057)*('warehouse config'!$C:$C=D1057)*('warehouse config'!$G:$G&lt;=B1057)*(('warehouse config'!$H:$H&gt;=B1057)+ISBLANK('warehouse config'!$H:$H))),1)),0))"),0.0)</f>
        <v>0</v>
      </c>
      <c r="H1057" s="3">
        <f>IFERROR(__xludf.DUMMYFUNCTION("IFERROR(INDEX(FILTER('cost master'!$E:$E,('cost master'!$B:$B=C1057)*('cost master'!$D:$D=""Storage cost per pallet / week"")*('cost master'!$G:$G&lt;=B1057)*(('cost master'!$H:$H&gt;=B1057)+ISBLANK('cost master'!$H:$H))),1),0)"),3.9)</f>
        <v>3.9</v>
      </c>
      <c r="I1057" s="3">
        <f t="shared" si="4"/>
        <v>0</v>
      </c>
      <c r="J1057" s="27">
        <f t="shared" si="5"/>
        <v>45854</v>
      </c>
      <c r="K1057" s="27">
        <f t="shared" si="6"/>
        <v>45884</v>
      </c>
    </row>
    <row r="1058" hidden="1">
      <c r="A1058" s="3" t="str">
        <f t="shared" si="3"/>
        <v>SL-20250811-FMC-CS 009-8</v>
      </c>
      <c r="B1058" s="2">
        <f t="array" ref="B1058">INDEX(helper!$A$3:$A3996,ROUNDUP((ROW()-1)/COUNTA(helper!$D$3:$D3996),0))</f>
        <v>45880</v>
      </c>
      <c r="C1058" s="5" t="str">
        <f t="array" ref="C1058">IF(B1058="","",INDEX(helper!$D$3:$D3996,MOD(ROW()-2,COUNTA(helper!$D$3:$D3996))+1))</f>
        <v>FMC</v>
      </c>
      <c r="D1058" s="3" t="str">
        <f t="array" ref="D1058">IF(B1058="","",INDEX(helper!$E$3:$E3996,MOD(ROW()-2,COUNTA(helper!$D$3:$D3996))+1))</f>
        <v>CS 009</v>
      </c>
      <c r="E1058" s="3">
        <f t="array" ref="E1058">IF(B1058="","",INDEX(helper!$F$3:$F3996,MOD(ROW()-2,COUNTA(helper!$D$3:$D3996))+1))</f>
        <v>8</v>
      </c>
      <c r="F1058" s="3">
        <f>IF(B1058="","",SUMIFS('inventory ledger'!$H:$H,'inventory ledger'!$C:$C,C1058,'inventory ledger'!$D:$D,D1058,'inventory ledger'!$E:$E,E1058,'inventory ledger'!$A:$A,"&lt;="&amp;B1058+TIME(23,59,59))-SUMIFS('inventory ledger'!$I:$I,'inventory ledger'!$C:$C,C1058,'inventory ledger'!$D:$D,D1058,'inventory ledger'!$E:$E,E1058,'inventory ledger'!$A:$A,"&lt;="&amp;B1058+TIME(23,59,59)))</f>
        <v>0</v>
      </c>
      <c r="G1058" s="3">
        <f>IFERROR(__xludf.DUMMYFUNCTION("IF(F1058&lt;=0,0,IFERROR(ROUNDUP(F1058/INDEX(FILTER('warehouse config'!$D:$D,('warehouse config'!$B:$B=C1058)*('warehouse config'!$C:$C=D1058)*('warehouse config'!$G:$G&lt;=B1058)*(('warehouse config'!$H:$H&gt;=B1058)+ISBLANK('warehouse config'!$H:$H))),1)),0))"),0.0)</f>
        <v>0</v>
      </c>
      <c r="H1058" s="3">
        <f>IFERROR(__xludf.DUMMYFUNCTION("IFERROR(INDEX(FILTER('cost master'!$E:$E,('cost master'!$B:$B=C1058)*('cost master'!$D:$D=""Storage cost per pallet / week"")*('cost master'!$G:$G&lt;=B1058)*(('cost master'!$H:$H&gt;=B1058)+ISBLANK('cost master'!$H:$H))),1),0)"),3.9)</f>
        <v>3.9</v>
      </c>
      <c r="I1058" s="3">
        <f t="shared" si="4"/>
        <v>0</v>
      </c>
      <c r="J1058" s="27">
        <f t="shared" si="5"/>
        <v>45854</v>
      </c>
      <c r="K1058" s="27">
        <f t="shared" si="6"/>
        <v>45884</v>
      </c>
    </row>
    <row r="1059" hidden="1">
      <c r="A1059" s="3" t="str">
        <f t="shared" si="3"/>
        <v>SL-20250811-FMC-CS 010-8</v>
      </c>
      <c r="B1059" s="2">
        <f t="array" ref="B1059">INDEX(helper!$A$3:$A3996,ROUNDUP((ROW()-1)/COUNTA(helper!$D$3:$D3996),0))</f>
        <v>45880</v>
      </c>
      <c r="C1059" s="5" t="str">
        <f t="array" ref="C1059">IF(B1059="","",INDEX(helper!$D$3:$D3996,MOD(ROW()-2,COUNTA(helper!$D$3:$D3996))+1))</f>
        <v>FMC</v>
      </c>
      <c r="D1059" s="3" t="str">
        <f t="array" ref="D1059">IF(B1059="","",INDEX(helper!$E$3:$E3996,MOD(ROW()-2,COUNTA(helper!$D$3:$D3996))+1))</f>
        <v>CS 010</v>
      </c>
      <c r="E1059" s="3">
        <f t="array" ref="E1059">IF(B1059="","",INDEX(helper!$F$3:$F3996,MOD(ROW()-2,COUNTA(helper!$D$3:$D3996))+1))</f>
        <v>8</v>
      </c>
      <c r="F1059" s="3">
        <f>IF(B1059="","",SUMIFS('inventory ledger'!$H:$H,'inventory ledger'!$C:$C,C1059,'inventory ledger'!$D:$D,D1059,'inventory ledger'!$E:$E,E1059,'inventory ledger'!$A:$A,"&lt;="&amp;B1059+TIME(23,59,59))-SUMIFS('inventory ledger'!$I:$I,'inventory ledger'!$C:$C,C1059,'inventory ledger'!$D:$D,D1059,'inventory ledger'!$E:$E,E1059,'inventory ledger'!$A:$A,"&lt;="&amp;B1059+TIME(23,59,59)))</f>
        <v>0</v>
      </c>
      <c r="G1059" s="3">
        <f>IFERROR(__xludf.DUMMYFUNCTION("IF(F1059&lt;=0,0,IFERROR(ROUNDUP(F1059/INDEX(FILTER('warehouse config'!$D:$D,('warehouse config'!$B:$B=C1059)*('warehouse config'!$C:$C=D1059)*('warehouse config'!$G:$G&lt;=B1059)*(('warehouse config'!$H:$H&gt;=B1059)+ISBLANK('warehouse config'!$H:$H))),1)),0))"),0.0)</f>
        <v>0</v>
      </c>
      <c r="H1059" s="3">
        <f>IFERROR(__xludf.DUMMYFUNCTION("IFERROR(INDEX(FILTER('cost master'!$E:$E,('cost master'!$B:$B=C1059)*('cost master'!$D:$D=""Storage cost per pallet / week"")*('cost master'!$G:$G&lt;=B1059)*(('cost master'!$H:$H&gt;=B1059)+ISBLANK('cost master'!$H:$H))),1),0)"),3.9)</f>
        <v>3.9</v>
      </c>
      <c r="I1059" s="3">
        <f t="shared" si="4"/>
        <v>0</v>
      </c>
      <c r="J1059" s="27">
        <f t="shared" si="5"/>
        <v>45854</v>
      </c>
      <c r="K1059" s="27">
        <f t="shared" si="6"/>
        <v>45884</v>
      </c>
    </row>
    <row r="1060" hidden="1">
      <c r="A1060" s="3" t="str">
        <f t="shared" si="3"/>
        <v>SL-20250811-FMC-CS 007-9</v>
      </c>
      <c r="B1060" s="2">
        <f t="array" ref="B1060">INDEX(helper!$A$3:$A3996,ROUNDUP((ROW()-1)/COUNTA(helper!$D$3:$D3996),0))</f>
        <v>45880</v>
      </c>
      <c r="C1060" s="5" t="str">
        <f t="array" ref="C1060">IF(B1060="","",INDEX(helper!$D$3:$D3996,MOD(ROW()-2,COUNTA(helper!$D$3:$D3996))+1))</f>
        <v>FMC</v>
      </c>
      <c r="D1060" s="3" t="str">
        <f t="array" ref="D1060">IF(B1060="","",INDEX(helper!$E$3:$E3996,MOD(ROW()-2,COUNTA(helper!$D$3:$D3996))+1))</f>
        <v>CS 007</v>
      </c>
      <c r="E1060" s="3">
        <f t="array" ref="E1060">IF(B1060="","",INDEX(helper!$F$3:$F3996,MOD(ROW()-2,COUNTA(helper!$D$3:$D3996))+1))</f>
        <v>9</v>
      </c>
      <c r="F1060" s="3">
        <f>IF(B1060="","",SUMIFS('inventory ledger'!$H:$H,'inventory ledger'!$C:$C,C1060,'inventory ledger'!$D:$D,D1060,'inventory ledger'!$E:$E,E1060,'inventory ledger'!$A:$A,"&lt;="&amp;B1060+TIME(23,59,59))-SUMIFS('inventory ledger'!$I:$I,'inventory ledger'!$C:$C,C1060,'inventory ledger'!$D:$D,D1060,'inventory ledger'!$E:$E,E1060,'inventory ledger'!$A:$A,"&lt;="&amp;B1060+TIME(23,59,59)))</f>
        <v>0</v>
      </c>
      <c r="G1060" s="3">
        <f>IFERROR(__xludf.DUMMYFUNCTION("IF(F1060&lt;=0,0,IFERROR(ROUNDUP(F1060/INDEX(FILTER('warehouse config'!$D:$D,('warehouse config'!$B:$B=C1060)*('warehouse config'!$C:$C=D1060)*('warehouse config'!$G:$G&lt;=B1060)*(('warehouse config'!$H:$H&gt;=B1060)+ISBLANK('warehouse config'!$H:$H))),1)),0))"),0.0)</f>
        <v>0</v>
      </c>
      <c r="H1060" s="3">
        <f>IFERROR(__xludf.DUMMYFUNCTION("IFERROR(INDEX(FILTER('cost master'!$E:$E,('cost master'!$B:$B=C1060)*('cost master'!$D:$D=""Storage cost per pallet / week"")*('cost master'!$G:$G&lt;=B1060)*(('cost master'!$H:$H&gt;=B1060)+ISBLANK('cost master'!$H:$H))),1),0)"),3.9)</f>
        <v>3.9</v>
      </c>
      <c r="I1060" s="3">
        <f t="shared" si="4"/>
        <v>0</v>
      </c>
      <c r="J1060" s="27">
        <f t="shared" si="5"/>
        <v>45854</v>
      </c>
      <c r="K1060" s="27">
        <f t="shared" si="6"/>
        <v>45884</v>
      </c>
    </row>
    <row r="1061" hidden="1">
      <c r="A1061" s="3" t="str">
        <f t="shared" si="3"/>
        <v>SL-20250811-FMC-CS 008-9</v>
      </c>
      <c r="B1061" s="2">
        <f t="array" ref="B1061">INDEX(helper!$A$3:$A3996,ROUNDUP((ROW()-1)/COUNTA(helper!$D$3:$D3996),0))</f>
        <v>45880</v>
      </c>
      <c r="C1061" s="5" t="str">
        <f t="array" ref="C1061">IF(B1061="","",INDEX(helper!$D$3:$D3996,MOD(ROW()-2,COUNTA(helper!$D$3:$D3996))+1))</f>
        <v>FMC</v>
      </c>
      <c r="D1061" s="3" t="str">
        <f t="array" ref="D1061">IF(B1061="","",INDEX(helper!$E$3:$E3996,MOD(ROW()-2,COUNTA(helper!$D$3:$D3996))+1))</f>
        <v>CS 008</v>
      </c>
      <c r="E1061" s="3">
        <f t="array" ref="E1061">IF(B1061="","",INDEX(helper!$F$3:$F3996,MOD(ROW()-2,COUNTA(helper!$D$3:$D3996))+1))</f>
        <v>9</v>
      </c>
      <c r="F1061" s="3">
        <f>IF(B1061="","",SUMIFS('inventory ledger'!$H:$H,'inventory ledger'!$C:$C,C1061,'inventory ledger'!$D:$D,D1061,'inventory ledger'!$E:$E,E1061,'inventory ledger'!$A:$A,"&lt;="&amp;B1061+TIME(23,59,59))-SUMIFS('inventory ledger'!$I:$I,'inventory ledger'!$C:$C,C1061,'inventory ledger'!$D:$D,D1061,'inventory ledger'!$E:$E,E1061,'inventory ledger'!$A:$A,"&lt;="&amp;B1061+TIME(23,59,59)))</f>
        <v>2</v>
      </c>
      <c r="G1061" s="3">
        <f>IFERROR(__xludf.DUMMYFUNCTION("IF(F1061&lt;=0,0,IFERROR(ROUNDUP(F1061/INDEX(FILTER('warehouse config'!$D:$D,('warehouse config'!$B:$B=C1061)*('warehouse config'!$C:$C=D1061)*('warehouse config'!$G:$G&lt;=B1061)*(('warehouse config'!$H:$H&gt;=B1061)+ISBLANK('warehouse config'!$H:$H))),1)),0))"),1.0)</f>
        <v>1</v>
      </c>
      <c r="H1061" s="3">
        <f>IFERROR(__xludf.DUMMYFUNCTION("IFERROR(INDEX(FILTER('cost master'!$E:$E,('cost master'!$B:$B=C1061)*('cost master'!$D:$D=""Storage cost per pallet / week"")*('cost master'!$G:$G&lt;=B1061)*(('cost master'!$H:$H&gt;=B1061)+ISBLANK('cost master'!$H:$H))),1),0)"),3.9)</f>
        <v>3.9</v>
      </c>
      <c r="I1061" s="3">
        <f t="shared" si="4"/>
        <v>3.9</v>
      </c>
      <c r="J1061" s="27">
        <f t="shared" si="5"/>
        <v>45854</v>
      </c>
      <c r="K1061" s="27">
        <f t="shared" si="6"/>
        <v>45884</v>
      </c>
    </row>
    <row r="1062" hidden="1">
      <c r="A1062" s="3" t="str">
        <f t="shared" si="3"/>
        <v>SL-20250811-FMC-CS 009-9</v>
      </c>
      <c r="B1062" s="2">
        <f t="array" ref="B1062">INDEX(helper!$A$3:$A3996,ROUNDUP((ROW()-1)/COUNTA(helper!$D$3:$D3996),0))</f>
        <v>45880</v>
      </c>
      <c r="C1062" s="5" t="str">
        <f t="array" ref="C1062">IF(B1062="","",INDEX(helper!$D$3:$D3996,MOD(ROW()-2,COUNTA(helper!$D$3:$D3996))+1))</f>
        <v>FMC</v>
      </c>
      <c r="D1062" s="3" t="str">
        <f t="array" ref="D1062">IF(B1062="","",INDEX(helper!$E$3:$E3996,MOD(ROW()-2,COUNTA(helper!$D$3:$D3996))+1))</f>
        <v>CS 009</v>
      </c>
      <c r="E1062" s="3">
        <f t="array" ref="E1062">IF(B1062="","",INDEX(helper!$F$3:$F3996,MOD(ROW()-2,COUNTA(helper!$D$3:$D3996))+1))</f>
        <v>9</v>
      </c>
      <c r="F1062" s="3">
        <f>IF(B1062="","",SUMIFS('inventory ledger'!$H:$H,'inventory ledger'!$C:$C,C1062,'inventory ledger'!$D:$D,D1062,'inventory ledger'!$E:$E,E1062,'inventory ledger'!$A:$A,"&lt;="&amp;B1062+TIME(23,59,59))-SUMIFS('inventory ledger'!$I:$I,'inventory ledger'!$C:$C,C1062,'inventory ledger'!$D:$D,D1062,'inventory ledger'!$E:$E,E1062,'inventory ledger'!$A:$A,"&lt;="&amp;B1062+TIME(23,59,59)))</f>
        <v>0</v>
      </c>
      <c r="G1062" s="3">
        <f>IFERROR(__xludf.DUMMYFUNCTION("IF(F1062&lt;=0,0,IFERROR(ROUNDUP(F1062/INDEX(FILTER('warehouse config'!$D:$D,('warehouse config'!$B:$B=C1062)*('warehouse config'!$C:$C=D1062)*('warehouse config'!$G:$G&lt;=B1062)*(('warehouse config'!$H:$H&gt;=B1062)+ISBLANK('warehouse config'!$H:$H))),1)),0))"),0.0)</f>
        <v>0</v>
      </c>
      <c r="H1062" s="3">
        <f>IFERROR(__xludf.DUMMYFUNCTION("IFERROR(INDEX(FILTER('cost master'!$E:$E,('cost master'!$B:$B=C1062)*('cost master'!$D:$D=""Storage cost per pallet / week"")*('cost master'!$G:$G&lt;=B1062)*(('cost master'!$H:$H&gt;=B1062)+ISBLANK('cost master'!$H:$H))),1),0)"),3.9)</f>
        <v>3.9</v>
      </c>
      <c r="I1062" s="3">
        <f t="shared" si="4"/>
        <v>0</v>
      </c>
      <c r="J1062" s="27">
        <f t="shared" si="5"/>
        <v>45854</v>
      </c>
      <c r="K1062" s="27">
        <f t="shared" si="6"/>
        <v>45884</v>
      </c>
    </row>
    <row r="1063" hidden="1">
      <c r="A1063" s="3" t="str">
        <f t="shared" si="3"/>
        <v>SL-20250811-FMC-CS 010-9</v>
      </c>
      <c r="B1063" s="2">
        <f t="array" ref="B1063">INDEX(helper!$A$3:$A3996,ROUNDUP((ROW()-1)/COUNTA(helper!$D$3:$D3996),0))</f>
        <v>45880</v>
      </c>
      <c r="C1063" s="5" t="str">
        <f t="array" ref="C1063">IF(B1063="","",INDEX(helper!$D$3:$D3996,MOD(ROW()-2,COUNTA(helper!$D$3:$D3996))+1))</f>
        <v>FMC</v>
      </c>
      <c r="D1063" s="3" t="str">
        <f t="array" ref="D1063">IF(B1063="","",INDEX(helper!$E$3:$E3996,MOD(ROW()-2,COUNTA(helper!$D$3:$D3996))+1))</f>
        <v>CS 010</v>
      </c>
      <c r="E1063" s="3">
        <f t="array" ref="E1063">IF(B1063="","",INDEX(helper!$F$3:$F3996,MOD(ROW()-2,COUNTA(helper!$D$3:$D3996))+1))</f>
        <v>9</v>
      </c>
      <c r="F1063" s="3">
        <f>IF(B1063="","",SUMIFS('inventory ledger'!$H:$H,'inventory ledger'!$C:$C,C1063,'inventory ledger'!$D:$D,D1063,'inventory ledger'!$E:$E,E1063,'inventory ledger'!$A:$A,"&lt;="&amp;B1063+TIME(23,59,59))-SUMIFS('inventory ledger'!$I:$I,'inventory ledger'!$C:$C,C1063,'inventory ledger'!$D:$D,D1063,'inventory ledger'!$E:$E,E1063,'inventory ledger'!$A:$A,"&lt;="&amp;B1063+TIME(23,59,59)))</f>
        <v>0</v>
      </c>
      <c r="G1063" s="3">
        <f>IFERROR(__xludf.DUMMYFUNCTION("IF(F1063&lt;=0,0,IFERROR(ROUNDUP(F1063/INDEX(FILTER('warehouse config'!$D:$D,('warehouse config'!$B:$B=C1063)*('warehouse config'!$C:$C=D1063)*('warehouse config'!$G:$G&lt;=B1063)*(('warehouse config'!$H:$H&gt;=B1063)+ISBLANK('warehouse config'!$H:$H))),1)),0))"),0.0)</f>
        <v>0</v>
      </c>
      <c r="H1063" s="3">
        <f>IFERROR(__xludf.DUMMYFUNCTION("IFERROR(INDEX(FILTER('cost master'!$E:$E,('cost master'!$B:$B=C1063)*('cost master'!$D:$D=""Storage cost per pallet / week"")*('cost master'!$G:$G&lt;=B1063)*(('cost master'!$H:$H&gt;=B1063)+ISBLANK('cost master'!$H:$H))),1),0)"),3.9)</f>
        <v>3.9</v>
      </c>
      <c r="I1063" s="3">
        <f t="shared" si="4"/>
        <v>0</v>
      </c>
      <c r="J1063" s="27">
        <f t="shared" si="5"/>
        <v>45854</v>
      </c>
      <c r="K1063" s="27">
        <f t="shared" si="6"/>
        <v>45884</v>
      </c>
    </row>
    <row r="1064" hidden="1">
      <c r="A1064" s="3" t="str">
        <f t="shared" si="3"/>
        <v>SL-20250811-FMC-CS-CDS-001-9</v>
      </c>
      <c r="B1064" s="2">
        <f t="array" ref="B1064">INDEX(helper!$A$3:$A3996,ROUNDUP((ROW()-1)/COUNTA(helper!$D$3:$D3996),0))</f>
        <v>45880</v>
      </c>
      <c r="C1064" s="5" t="str">
        <f t="array" ref="C1064">IF(B1064="","",INDEX(helper!$D$3:$D3996,MOD(ROW()-2,COUNTA(helper!$D$3:$D3996))+1))</f>
        <v>FMC</v>
      </c>
      <c r="D1064" s="3" t="str">
        <f t="array" ref="D1064">IF(B1064="","",INDEX(helper!$E$3:$E3996,MOD(ROW()-2,COUNTA(helper!$D$3:$D3996))+1))</f>
        <v>CS-CDS-001</v>
      </c>
      <c r="E1064" s="3">
        <f t="array" ref="E1064">IF(B1064="","",INDEX(helper!$F$3:$F3996,MOD(ROW()-2,COUNTA(helper!$D$3:$D3996))+1))</f>
        <v>9</v>
      </c>
      <c r="F1064" s="3">
        <f>IF(B1064="","",SUMIFS('inventory ledger'!$H:$H,'inventory ledger'!$C:$C,C1064,'inventory ledger'!$D:$D,D1064,'inventory ledger'!$E:$E,E1064,'inventory ledger'!$A:$A,"&lt;="&amp;B1064+TIME(23,59,59))-SUMIFS('inventory ledger'!$I:$I,'inventory ledger'!$C:$C,C1064,'inventory ledger'!$D:$D,D1064,'inventory ledger'!$E:$E,E1064,'inventory ledger'!$A:$A,"&lt;="&amp;B1064+TIME(23,59,59)))</f>
        <v>0</v>
      </c>
      <c r="G1064" s="3">
        <f>IFERROR(__xludf.DUMMYFUNCTION("IF(F1064&lt;=0,0,IFERROR(ROUNDUP(F1064/INDEX(FILTER('warehouse config'!$D:$D,('warehouse config'!$B:$B=C1064)*('warehouse config'!$C:$C=D1064)*('warehouse config'!$G:$G&lt;=B1064)*(('warehouse config'!$H:$H&gt;=B1064)+ISBLANK('warehouse config'!$H:$H))),1)),0))"),0.0)</f>
        <v>0</v>
      </c>
      <c r="H1064" s="3">
        <f>IFERROR(__xludf.DUMMYFUNCTION("IFERROR(INDEX(FILTER('cost master'!$E:$E,('cost master'!$B:$B=C1064)*('cost master'!$D:$D=""Storage cost per pallet / week"")*('cost master'!$G:$G&lt;=B1064)*(('cost master'!$H:$H&gt;=B1064)+ISBLANK('cost master'!$H:$H))),1),0)"),3.9)</f>
        <v>3.9</v>
      </c>
      <c r="I1064" s="3">
        <f t="shared" si="4"/>
        <v>0</v>
      </c>
      <c r="J1064" s="27">
        <f t="shared" si="5"/>
        <v>45854</v>
      </c>
      <c r="K1064" s="27">
        <f t="shared" si="6"/>
        <v>45884</v>
      </c>
    </row>
    <row r="1065" hidden="1">
      <c r="A1065" s="3" t="str">
        <f t="shared" si="3"/>
        <v>SL-20250811-FMC-CS-CDS-002-9</v>
      </c>
      <c r="B1065" s="2">
        <f t="array" ref="B1065">INDEX(helper!$A$3:$A3996,ROUNDUP((ROW()-1)/COUNTA(helper!$D$3:$D3996),0))</f>
        <v>45880</v>
      </c>
      <c r="C1065" s="5" t="str">
        <f t="array" ref="C1065">IF(B1065="","",INDEX(helper!$D$3:$D3996,MOD(ROW()-2,COUNTA(helper!$D$3:$D3996))+1))</f>
        <v>FMC</v>
      </c>
      <c r="D1065" s="3" t="str">
        <f t="array" ref="D1065">IF(B1065="","",INDEX(helper!$E$3:$E3996,MOD(ROW()-2,COUNTA(helper!$D$3:$D3996))+1))</f>
        <v>CS-CDS-002</v>
      </c>
      <c r="E1065" s="3">
        <f t="array" ref="E1065">IF(B1065="","",INDEX(helper!$F$3:$F3996,MOD(ROW()-2,COUNTA(helper!$D$3:$D3996))+1))</f>
        <v>9</v>
      </c>
      <c r="F1065" s="3">
        <f>IF(B1065="","",SUMIFS('inventory ledger'!$H:$H,'inventory ledger'!$C:$C,C1065,'inventory ledger'!$D:$D,D1065,'inventory ledger'!$E:$E,E1065,'inventory ledger'!$A:$A,"&lt;="&amp;B1065+TIME(23,59,59))-SUMIFS('inventory ledger'!$I:$I,'inventory ledger'!$C:$C,C1065,'inventory ledger'!$D:$D,D1065,'inventory ledger'!$E:$E,E1065,'inventory ledger'!$A:$A,"&lt;="&amp;B1065+TIME(23,59,59)))</f>
        <v>0</v>
      </c>
      <c r="G1065" s="3">
        <f>IFERROR(__xludf.DUMMYFUNCTION("IF(F1065&lt;=0,0,IFERROR(ROUNDUP(F1065/INDEX(FILTER('warehouse config'!$D:$D,('warehouse config'!$B:$B=C1065)*('warehouse config'!$C:$C=D1065)*('warehouse config'!$G:$G&lt;=B1065)*(('warehouse config'!$H:$H&gt;=B1065)+ISBLANK('warehouse config'!$H:$H))),1)),0))"),0.0)</f>
        <v>0</v>
      </c>
      <c r="H1065" s="3">
        <f>IFERROR(__xludf.DUMMYFUNCTION("IFERROR(INDEX(FILTER('cost master'!$E:$E,('cost master'!$B:$B=C1065)*('cost master'!$D:$D=""Storage cost per pallet / week"")*('cost master'!$G:$G&lt;=B1065)*(('cost master'!$H:$H&gt;=B1065)+ISBLANK('cost master'!$H:$H))),1),0)"),3.9)</f>
        <v>3.9</v>
      </c>
      <c r="I1065" s="3">
        <f t="shared" si="4"/>
        <v>0</v>
      </c>
      <c r="J1065" s="27">
        <f t="shared" si="5"/>
        <v>45854</v>
      </c>
      <c r="K1065" s="27">
        <f t="shared" si="6"/>
        <v>45884</v>
      </c>
    </row>
    <row r="1066" hidden="1">
      <c r="A1066" s="3" t="str">
        <f t="shared" si="3"/>
        <v>SL-20250811-FMC-CS 007-10</v>
      </c>
      <c r="B1066" s="2">
        <f t="array" ref="B1066">INDEX(helper!$A$3:$A3996,ROUNDUP((ROW()-1)/COUNTA(helper!$D$3:$D3996),0))</f>
        <v>45880</v>
      </c>
      <c r="C1066" s="5" t="str">
        <f t="array" ref="C1066">IF(B1066="","",INDEX(helper!$D$3:$D3996,MOD(ROW()-2,COUNTA(helper!$D$3:$D3996))+1))</f>
        <v>FMC</v>
      </c>
      <c r="D1066" s="3" t="str">
        <f t="array" ref="D1066">IF(B1066="","",INDEX(helper!$E$3:$E3996,MOD(ROW()-2,COUNTA(helper!$D$3:$D3996))+1))</f>
        <v>CS 007</v>
      </c>
      <c r="E1066" s="3">
        <f t="array" ref="E1066">IF(B1066="","",INDEX(helper!$F$3:$F3996,MOD(ROW()-2,COUNTA(helper!$D$3:$D3996))+1))</f>
        <v>10</v>
      </c>
      <c r="F1066" s="3">
        <f>IF(B1066="","",SUMIFS('inventory ledger'!$H:$H,'inventory ledger'!$C:$C,C1066,'inventory ledger'!$D:$D,D1066,'inventory ledger'!$E:$E,E1066,'inventory ledger'!$A:$A,"&lt;="&amp;B1066+TIME(23,59,59))-SUMIFS('inventory ledger'!$I:$I,'inventory ledger'!$C:$C,C1066,'inventory ledger'!$D:$D,D1066,'inventory ledger'!$E:$E,E1066,'inventory ledger'!$A:$A,"&lt;="&amp;B1066+TIME(23,59,59)))</f>
        <v>0</v>
      </c>
      <c r="G1066" s="3">
        <f>IFERROR(__xludf.DUMMYFUNCTION("IF(F1066&lt;=0,0,IFERROR(ROUNDUP(F1066/INDEX(FILTER('warehouse config'!$D:$D,('warehouse config'!$B:$B=C1066)*('warehouse config'!$C:$C=D1066)*('warehouse config'!$G:$G&lt;=B1066)*(('warehouse config'!$H:$H&gt;=B1066)+ISBLANK('warehouse config'!$H:$H))),1)),0))"),0.0)</f>
        <v>0</v>
      </c>
      <c r="H1066" s="3">
        <f>IFERROR(__xludf.DUMMYFUNCTION("IFERROR(INDEX(FILTER('cost master'!$E:$E,('cost master'!$B:$B=C1066)*('cost master'!$D:$D=""Storage cost per pallet / week"")*('cost master'!$G:$G&lt;=B1066)*(('cost master'!$H:$H&gt;=B1066)+ISBLANK('cost master'!$H:$H))),1),0)"),3.9)</f>
        <v>3.9</v>
      </c>
      <c r="I1066" s="3">
        <f t="shared" si="4"/>
        <v>0</v>
      </c>
      <c r="J1066" s="27">
        <f t="shared" si="5"/>
        <v>45854</v>
      </c>
      <c r="K1066" s="27">
        <f t="shared" si="6"/>
        <v>45884</v>
      </c>
    </row>
    <row r="1067" hidden="1">
      <c r="A1067" s="3" t="str">
        <f t="shared" si="3"/>
        <v>SL-20250811-FMC-CS 009-10</v>
      </c>
      <c r="B1067" s="2">
        <f t="array" ref="B1067">INDEX(helper!$A$3:$A3996,ROUNDUP((ROW()-1)/COUNTA(helper!$D$3:$D3996),0))</f>
        <v>45880</v>
      </c>
      <c r="C1067" s="5" t="str">
        <f t="array" ref="C1067">IF(B1067="","",INDEX(helper!$D$3:$D3996,MOD(ROW()-2,COUNTA(helper!$D$3:$D3996))+1))</f>
        <v>FMC</v>
      </c>
      <c r="D1067" s="3" t="str">
        <f t="array" ref="D1067">IF(B1067="","",INDEX(helper!$E$3:$E3996,MOD(ROW()-2,COUNTA(helper!$D$3:$D3996))+1))</f>
        <v>CS 009</v>
      </c>
      <c r="E1067" s="3">
        <f t="array" ref="E1067">IF(B1067="","",INDEX(helper!$F$3:$F3996,MOD(ROW()-2,COUNTA(helper!$D$3:$D3996))+1))</f>
        <v>10</v>
      </c>
      <c r="F1067" s="3">
        <f>IF(B1067="","",SUMIFS('inventory ledger'!$H:$H,'inventory ledger'!$C:$C,C1067,'inventory ledger'!$D:$D,D1067,'inventory ledger'!$E:$E,E1067,'inventory ledger'!$A:$A,"&lt;="&amp;B1067+TIME(23,59,59))-SUMIFS('inventory ledger'!$I:$I,'inventory ledger'!$C:$C,C1067,'inventory ledger'!$D:$D,D1067,'inventory ledger'!$E:$E,E1067,'inventory ledger'!$A:$A,"&lt;="&amp;B1067+TIME(23,59,59)))</f>
        <v>0</v>
      </c>
      <c r="G1067" s="3">
        <f>IFERROR(__xludf.DUMMYFUNCTION("IF(F1067&lt;=0,0,IFERROR(ROUNDUP(F1067/INDEX(FILTER('warehouse config'!$D:$D,('warehouse config'!$B:$B=C1067)*('warehouse config'!$C:$C=D1067)*('warehouse config'!$G:$G&lt;=B1067)*(('warehouse config'!$H:$H&gt;=B1067)+ISBLANK('warehouse config'!$H:$H))),1)),0))"),0.0)</f>
        <v>0</v>
      </c>
      <c r="H1067" s="3">
        <f>IFERROR(__xludf.DUMMYFUNCTION("IFERROR(INDEX(FILTER('cost master'!$E:$E,('cost master'!$B:$B=C1067)*('cost master'!$D:$D=""Storage cost per pallet / week"")*('cost master'!$G:$G&lt;=B1067)*(('cost master'!$H:$H&gt;=B1067)+ISBLANK('cost master'!$H:$H))),1),0)"),3.9)</f>
        <v>3.9</v>
      </c>
      <c r="I1067" s="3">
        <f t="shared" si="4"/>
        <v>0</v>
      </c>
      <c r="J1067" s="27">
        <f t="shared" si="5"/>
        <v>45854</v>
      </c>
      <c r="K1067" s="27">
        <f t="shared" si="6"/>
        <v>45884</v>
      </c>
    </row>
    <row r="1068" hidden="1">
      <c r="A1068" s="3" t="str">
        <f t="shared" si="3"/>
        <v>SL-20250811-FMC-CS 010-10</v>
      </c>
      <c r="B1068" s="2">
        <f t="array" ref="B1068">INDEX(helper!$A$3:$A3996,ROUNDUP((ROW()-1)/COUNTA(helper!$D$3:$D3996),0))</f>
        <v>45880</v>
      </c>
      <c r="C1068" s="5" t="str">
        <f t="array" ref="C1068">IF(B1068="","",INDEX(helper!$D$3:$D3996,MOD(ROW()-2,COUNTA(helper!$D$3:$D3996))+1))</f>
        <v>FMC</v>
      </c>
      <c r="D1068" s="3" t="str">
        <f t="array" ref="D1068">IF(B1068="","",INDEX(helper!$E$3:$E3996,MOD(ROW()-2,COUNTA(helper!$D$3:$D3996))+1))</f>
        <v>CS 010</v>
      </c>
      <c r="E1068" s="3">
        <f t="array" ref="E1068">IF(B1068="","",INDEX(helper!$F$3:$F3996,MOD(ROW()-2,COUNTA(helper!$D$3:$D3996))+1))</f>
        <v>10</v>
      </c>
      <c r="F1068" s="3">
        <f>IF(B1068="","",SUMIFS('inventory ledger'!$H:$H,'inventory ledger'!$C:$C,C1068,'inventory ledger'!$D:$D,D1068,'inventory ledger'!$E:$E,E1068,'inventory ledger'!$A:$A,"&lt;="&amp;B1068+TIME(23,59,59))-SUMIFS('inventory ledger'!$I:$I,'inventory ledger'!$C:$C,C1068,'inventory ledger'!$D:$D,D1068,'inventory ledger'!$E:$E,E1068,'inventory ledger'!$A:$A,"&lt;="&amp;B1068+TIME(23,59,59)))</f>
        <v>13</v>
      </c>
      <c r="G1068" s="3">
        <f>IFERROR(__xludf.DUMMYFUNCTION("IF(F1068&lt;=0,0,IFERROR(ROUNDUP(F1068/INDEX(FILTER('warehouse config'!$D:$D,('warehouse config'!$B:$B=C1068)*('warehouse config'!$C:$C=D1068)*('warehouse config'!$G:$G&lt;=B1068)*(('warehouse config'!$H:$H&gt;=B1068)+ISBLANK('warehouse config'!$H:$H))),1)),0))"),1.0)</f>
        <v>1</v>
      </c>
      <c r="H1068" s="3">
        <f>IFERROR(__xludf.DUMMYFUNCTION("IFERROR(INDEX(FILTER('cost master'!$E:$E,('cost master'!$B:$B=C1068)*('cost master'!$D:$D=""Storage cost per pallet / week"")*('cost master'!$G:$G&lt;=B1068)*(('cost master'!$H:$H&gt;=B1068)+ISBLANK('cost master'!$H:$H))),1),0)"),3.9)</f>
        <v>3.9</v>
      </c>
      <c r="I1068" s="3">
        <f t="shared" si="4"/>
        <v>3.9</v>
      </c>
      <c r="J1068" s="27">
        <f t="shared" si="5"/>
        <v>45854</v>
      </c>
      <c r="K1068" s="27">
        <f t="shared" si="6"/>
        <v>45884</v>
      </c>
    </row>
    <row r="1069" hidden="1">
      <c r="A1069" s="3" t="str">
        <f t="shared" si="3"/>
        <v>SL-20250811-FMC-CS-CDS-001-10</v>
      </c>
      <c r="B1069" s="2">
        <f t="array" ref="B1069">INDEX(helper!$A$3:$A3996,ROUNDUP((ROW()-1)/COUNTA(helper!$D$3:$D3996),0))</f>
        <v>45880</v>
      </c>
      <c r="C1069" s="5" t="str">
        <f t="array" ref="C1069">IF(B1069="","",INDEX(helper!$D$3:$D3996,MOD(ROW()-2,COUNTA(helper!$D$3:$D3996))+1))</f>
        <v>FMC</v>
      </c>
      <c r="D1069" s="3" t="str">
        <f t="array" ref="D1069">IF(B1069="","",INDEX(helper!$E$3:$E3996,MOD(ROW()-2,COUNTA(helper!$D$3:$D3996))+1))</f>
        <v>CS-CDS-001</v>
      </c>
      <c r="E1069" s="3">
        <f t="array" ref="E1069">IF(B1069="","",INDEX(helper!$F$3:$F3996,MOD(ROW()-2,COUNTA(helper!$D$3:$D3996))+1))</f>
        <v>10</v>
      </c>
      <c r="F1069" s="3">
        <f>IF(B1069="","",SUMIFS('inventory ledger'!$H:$H,'inventory ledger'!$C:$C,C1069,'inventory ledger'!$D:$D,D1069,'inventory ledger'!$E:$E,E1069,'inventory ledger'!$A:$A,"&lt;="&amp;B1069+TIME(23,59,59))-SUMIFS('inventory ledger'!$I:$I,'inventory ledger'!$C:$C,C1069,'inventory ledger'!$D:$D,D1069,'inventory ledger'!$E:$E,E1069,'inventory ledger'!$A:$A,"&lt;="&amp;B1069+TIME(23,59,59)))</f>
        <v>0</v>
      </c>
      <c r="G1069" s="3">
        <f>IFERROR(__xludf.DUMMYFUNCTION("IF(F1069&lt;=0,0,IFERROR(ROUNDUP(F1069/INDEX(FILTER('warehouse config'!$D:$D,('warehouse config'!$B:$B=C1069)*('warehouse config'!$C:$C=D1069)*('warehouse config'!$G:$G&lt;=B1069)*(('warehouse config'!$H:$H&gt;=B1069)+ISBLANK('warehouse config'!$H:$H))),1)),0))"),0.0)</f>
        <v>0</v>
      </c>
      <c r="H1069" s="3">
        <f>IFERROR(__xludf.DUMMYFUNCTION("IFERROR(INDEX(FILTER('cost master'!$E:$E,('cost master'!$B:$B=C1069)*('cost master'!$D:$D=""Storage cost per pallet / week"")*('cost master'!$G:$G&lt;=B1069)*(('cost master'!$H:$H&gt;=B1069)+ISBLANK('cost master'!$H:$H))),1),0)"),3.9)</f>
        <v>3.9</v>
      </c>
      <c r="I1069" s="3">
        <f t="shared" si="4"/>
        <v>0</v>
      </c>
      <c r="J1069" s="27">
        <f t="shared" si="5"/>
        <v>45854</v>
      </c>
      <c r="K1069" s="27">
        <f t="shared" si="6"/>
        <v>45884</v>
      </c>
    </row>
    <row r="1070">
      <c r="A1070" s="3" t="str">
        <f t="shared" si="3"/>
        <v>SL-20250811-FMC-CS 007-11</v>
      </c>
      <c r="B1070" s="2">
        <f t="array" ref="B1070">INDEX(helper!$A$3:$A3996,ROUNDUP((ROW()-1)/COUNTA(helper!$D$3:$D3996),0))</f>
        <v>45880</v>
      </c>
      <c r="C1070" s="5" t="str">
        <f t="array" ref="C1070">IF(B1070="","",INDEX(helper!$D$3:$D3996,MOD(ROW()-2,COUNTA(helper!$D$3:$D3996))+1))</f>
        <v>FMC</v>
      </c>
      <c r="D1070" s="3" t="str">
        <f t="array" ref="D1070">IF(B1070="","",INDEX(helper!$E$3:$E3996,MOD(ROW()-2,COUNTA(helper!$D$3:$D3996))+1))</f>
        <v>CS 007</v>
      </c>
      <c r="E1070" s="3">
        <f t="array" ref="E1070">IF(B1070="","",INDEX(helper!$F$3:$F3996,MOD(ROW()-2,COUNTA(helper!$D$3:$D3996))+1))</f>
        <v>11</v>
      </c>
      <c r="F1070" s="3">
        <f>IF(B1070="","",SUMIFS('inventory ledger'!$H:$H,'inventory ledger'!$C:$C,C1070,'inventory ledger'!$D:$D,D1070,'inventory ledger'!$E:$E,E1070,'inventory ledger'!$A:$A,"&lt;="&amp;B1070+TIME(23,59,59))-SUMIFS('inventory ledger'!$I:$I,'inventory ledger'!$C:$C,C1070,'inventory ledger'!$D:$D,D1070,'inventory ledger'!$E:$E,E1070,'inventory ledger'!$A:$A,"&lt;="&amp;B1070+TIME(23,59,59)))</f>
        <v>-1</v>
      </c>
      <c r="G1070" s="3">
        <f>IFERROR(__xludf.DUMMYFUNCTION("IF(F1070&lt;=0,0,IFERROR(ROUNDUP(F1070/INDEX(FILTER('warehouse config'!$D:$D,('warehouse config'!$B:$B=C1070)*('warehouse config'!$C:$C=D1070)*('warehouse config'!$G:$G&lt;=B1070)*(('warehouse config'!$H:$H&gt;=B1070)+ISBLANK('warehouse config'!$H:$H))),1)),0))"),0.0)</f>
        <v>0</v>
      </c>
      <c r="H1070" s="3">
        <f>IFERROR(__xludf.DUMMYFUNCTION("IFERROR(INDEX(FILTER('cost master'!$E:$E,('cost master'!$B:$B=C1070)*('cost master'!$D:$D=""Storage cost per pallet / week"")*('cost master'!$G:$G&lt;=B1070)*(('cost master'!$H:$H&gt;=B1070)+ISBLANK('cost master'!$H:$H))),1),0)"),3.9)</f>
        <v>3.9</v>
      </c>
      <c r="I1070" s="3">
        <f t="shared" si="4"/>
        <v>0</v>
      </c>
      <c r="J1070" s="27">
        <f t="shared" si="5"/>
        <v>45854</v>
      </c>
      <c r="K1070" s="27">
        <f t="shared" si="6"/>
        <v>45884</v>
      </c>
    </row>
    <row r="1071" hidden="1">
      <c r="A1071" s="3" t="str">
        <f t="shared" si="3"/>
        <v>SL-20250811-FMC-CS 009-11</v>
      </c>
      <c r="B1071" s="2">
        <f t="array" ref="B1071">INDEX(helper!$A$3:$A3996,ROUNDUP((ROW()-1)/COUNTA(helper!$D$3:$D3996),0))</f>
        <v>45880</v>
      </c>
      <c r="C1071" s="5" t="str">
        <f t="array" ref="C1071">IF(B1071="","",INDEX(helper!$D$3:$D3996,MOD(ROW()-2,COUNTA(helper!$D$3:$D3996))+1))</f>
        <v>FMC</v>
      </c>
      <c r="D1071" s="3" t="str">
        <f t="array" ref="D1071">IF(B1071="","",INDEX(helper!$E$3:$E3996,MOD(ROW()-2,COUNTA(helper!$D$3:$D3996))+1))</f>
        <v>CS 009</v>
      </c>
      <c r="E1071" s="3">
        <f t="array" ref="E1071">IF(B1071="","",INDEX(helper!$F$3:$F3996,MOD(ROW()-2,COUNTA(helper!$D$3:$D3996))+1))</f>
        <v>11</v>
      </c>
      <c r="F1071" s="3">
        <f>IF(B1071="","",SUMIFS('inventory ledger'!$H:$H,'inventory ledger'!$C:$C,C1071,'inventory ledger'!$D:$D,D1071,'inventory ledger'!$E:$E,E1071,'inventory ledger'!$A:$A,"&lt;="&amp;B1071+TIME(23,59,59))-SUMIFS('inventory ledger'!$I:$I,'inventory ledger'!$C:$C,C1071,'inventory ledger'!$D:$D,D1071,'inventory ledger'!$E:$E,E1071,'inventory ledger'!$A:$A,"&lt;="&amp;B1071+TIME(23,59,59)))</f>
        <v>0</v>
      </c>
      <c r="G1071" s="3">
        <f>IFERROR(__xludf.DUMMYFUNCTION("IF(F1071&lt;=0,0,IFERROR(ROUNDUP(F1071/INDEX(FILTER('warehouse config'!$D:$D,('warehouse config'!$B:$B=C1071)*('warehouse config'!$C:$C=D1071)*('warehouse config'!$G:$G&lt;=B1071)*(('warehouse config'!$H:$H&gt;=B1071)+ISBLANK('warehouse config'!$H:$H))),1)),0))"),0.0)</f>
        <v>0</v>
      </c>
      <c r="H1071" s="3">
        <f>IFERROR(__xludf.DUMMYFUNCTION("IFERROR(INDEX(FILTER('cost master'!$E:$E,('cost master'!$B:$B=C1071)*('cost master'!$D:$D=""Storage cost per pallet / week"")*('cost master'!$G:$G&lt;=B1071)*(('cost master'!$H:$H&gt;=B1071)+ISBLANK('cost master'!$H:$H))),1),0)"),3.9)</f>
        <v>3.9</v>
      </c>
      <c r="I1071" s="3">
        <f t="shared" si="4"/>
        <v>0</v>
      </c>
      <c r="J1071" s="27">
        <f t="shared" si="5"/>
        <v>45854</v>
      </c>
      <c r="K1071" s="27">
        <f t="shared" si="6"/>
        <v>45884</v>
      </c>
    </row>
    <row r="1072" hidden="1">
      <c r="A1072" s="3" t="str">
        <f t="shared" si="3"/>
        <v>SL-20250811-FMC-CS 010-11</v>
      </c>
      <c r="B1072" s="2">
        <f t="array" ref="B1072">INDEX(helper!$A$3:$A3996,ROUNDUP((ROW()-1)/COUNTA(helper!$D$3:$D3996),0))</f>
        <v>45880</v>
      </c>
      <c r="C1072" s="5" t="str">
        <f t="array" ref="C1072">IF(B1072="","",INDEX(helper!$D$3:$D3996,MOD(ROW()-2,COUNTA(helper!$D$3:$D3996))+1))</f>
        <v>FMC</v>
      </c>
      <c r="D1072" s="3" t="str">
        <f t="array" ref="D1072">IF(B1072="","",INDEX(helper!$E$3:$E3996,MOD(ROW()-2,COUNTA(helper!$D$3:$D3996))+1))</f>
        <v>CS 010</v>
      </c>
      <c r="E1072" s="3">
        <f t="array" ref="E1072">IF(B1072="","",INDEX(helper!$F$3:$F3996,MOD(ROW()-2,COUNTA(helper!$D$3:$D3996))+1))</f>
        <v>11</v>
      </c>
      <c r="F1072" s="3">
        <f>IF(B1072="","",SUMIFS('inventory ledger'!$H:$H,'inventory ledger'!$C:$C,C1072,'inventory ledger'!$D:$D,D1072,'inventory ledger'!$E:$E,E1072,'inventory ledger'!$A:$A,"&lt;="&amp;B1072+TIME(23,59,59))-SUMIFS('inventory ledger'!$I:$I,'inventory ledger'!$C:$C,C1072,'inventory ledger'!$D:$D,D1072,'inventory ledger'!$E:$E,E1072,'inventory ledger'!$A:$A,"&lt;="&amp;B1072+TIME(23,59,59)))</f>
        <v>6</v>
      </c>
      <c r="G1072" s="3">
        <f>IFERROR(__xludf.DUMMYFUNCTION("IF(F1072&lt;=0,0,IFERROR(ROUNDUP(F1072/INDEX(FILTER('warehouse config'!$D:$D,('warehouse config'!$B:$B=C1072)*('warehouse config'!$C:$C=D1072)*('warehouse config'!$G:$G&lt;=B1072)*(('warehouse config'!$H:$H&gt;=B1072)+ISBLANK('warehouse config'!$H:$H))),1)),0))"),1.0)</f>
        <v>1</v>
      </c>
      <c r="H1072" s="3">
        <f>IFERROR(__xludf.DUMMYFUNCTION("IFERROR(INDEX(FILTER('cost master'!$E:$E,('cost master'!$B:$B=C1072)*('cost master'!$D:$D=""Storage cost per pallet / week"")*('cost master'!$G:$G&lt;=B1072)*(('cost master'!$H:$H&gt;=B1072)+ISBLANK('cost master'!$H:$H))),1),0)"),3.9)</f>
        <v>3.9</v>
      </c>
      <c r="I1072" s="3">
        <f t="shared" si="4"/>
        <v>3.9</v>
      </c>
      <c r="J1072" s="27">
        <f t="shared" si="5"/>
        <v>45854</v>
      </c>
      <c r="K1072" s="27">
        <f t="shared" si="6"/>
        <v>45884</v>
      </c>
    </row>
    <row r="1073" hidden="1">
      <c r="A1073" s="3" t="str">
        <f t="shared" si="3"/>
        <v>SL-20250811-Vglobal-CS 007-12</v>
      </c>
      <c r="B1073" s="2">
        <f t="array" ref="B1073">INDEX(helper!$A$3:$A3996,ROUNDUP((ROW()-1)/COUNTA(helper!$D$3:$D3996),0))</f>
        <v>45880</v>
      </c>
      <c r="C1073" s="5" t="str">
        <f t="array" ref="C1073">IF(B1073="","",INDEX(helper!$D$3:$D3996,MOD(ROW()-2,COUNTA(helper!$D$3:$D3996))+1))</f>
        <v>Vglobal</v>
      </c>
      <c r="D1073" s="3" t="str">
        <f t="array" ref="D1073">IF(B1073="","",INDEX(helper!$E$3:$E3996,MOD(ROW()-2,COUNTA(helper!$D$3:$D3996))+1))</f>
        <v>CS 007</v>
      </c>
      <c r="E1073" s="3">
        <f t="array" ref="E1073">IF(B1073="","",INDEX(helper!$F$3:$F3996,MOD(ROW()-2,COUNTA(helper!$D$3:$D3996))+1))</f>
        <v>12</v>
      </c>
      <c r="F1073" s="3">
        <f>IF(B1073="","",SUMIFS('inventory ledger'!$H:$H,'inventory ledger'!$C:$C,C1073,'inventory ledger'!$D:$D,D1073,'inventory ledger'!$E:$E,E1073,'inventory ledger'!$A:$A,"&lt;="&amp;B1073+TIME(23,59,59))-SUMIFS('inventory ledger'!$I:$I,'inventory ledger'!$C:$C,C1073,'inventory ledger'!$D:$D,D1073,'inventory ledger'!$E:$E,E1073,'inventory ledger'!$A:$A,"&lt;="&amp;B1073+TIME(23,59,59)))</f>
        <v>0</v>
      </c>
      <c r="G1073" s="3">
        <f>IFERROR(__xludf.DUMMYFUNCTION("IF(F1073&lt;=0,0,IFERROR(ROUNDUP(F1073/INDEX(FILTER('warehouse config'!$D:$D,('warehouse config'!$B:$B=C1073)*('warehouse config'!$C:$C=D1073)*('warehouse config'!$G:$G&lt;=B1073)*(('warehouse config'!$H:$H&gt;=B1073)+ISBLANK('warehouse config'!$H:$H))),1)),0))"),0.0)</f>
        <v>0</v>
      </c>
      <c r="H1073" s="3">
        <f>IFERROR(__xludf.DUMMYFUNCTION("IFERROR(INDEX(FILTER('cost master'!$E:$E,('cost master'!$B:$B=C1073)*('cost master'!$D:$D=""Storage cost per pallet / week"")*('cost master'!$G:$G&lt;=B1073)*(('cost master'!$H:$H&gt;=B1073)+ISBLANK('cost master'!$H:$H))),1),0)"),2.6)</f>
        <v>2.6</v>
      </c>
      <c r="I1073" s="3">
        <f t="shared" si="4"/>
        <v>0</v>
      </c>
      <c r="J1073" s="27">
        <f t="shared" si="5"/>
        <v>45854</v>
      </c>
      <c r="K1073" s="27">
        <f t="shared" si="6"/>
        <v>45884</v>
      </c>
    </row>
    <row r="1074" hidden="1">
      <c r="A1074" s="3" t="str">
        <f t="shared" si="3"/>
        <v>SL-20250811-Vglobal-CS 011-12</v>
      </c>
      <c r="B1074" s="2">
        <f t="array" ref="B1074">INDEX(helper!$A$3:$A3996,ROUNDUP((ROW()-1)/COUNTA(helper!$D$3:$D3996),0))</f>
        <v>45880</v>
      </c>
      <c r="C1074" s="5" t="str">
        <f t="array" ref="C1074">IF(B1074="","",INDEX(helper!$D$3:$D3996,MOD(ROW()-2,COUNTA(helper!$D$3:$D3996))+1))</f>
        <v>Vglobal</v>
      </c>
      <c r="D1074" s="3" t="str">
        <f t="array" ref="D1074">IF(B1074="","",INDEX(helper!$E$3:$E3996,MOD(ROW()-2,COUNTA(helper!$D$3:$D3996))+1))</f>
        <v>CS 011</v>
      </c>
      <c r="E1074" s="3">
        <f t="array" ref="E1074">IF(B1074="","",INDEX(helper!$F$3:$F3996,MOD(ROW()-2,COUNTA(helper!$D$3:$D3996))+1))</f>
        <v>12</v>
      </c>
      <c r="F1074" s="3">
        <f>IF(B1074="","",SUMIFS('inventory ledger'!$H:$H,'inventory ledger'!$C:$C,C1074,'inventory ledger'!$D:$D,D1074,'inventory ledger'!$E:$E,E1074,'inventory ledger'!$A:$A,"&lt;="&amp;B1074+TIME(23,59,59))-SUMIFS('inventory ledger'!$I:$I,'inventory ledger'!$C:$C,C1074,'inventory ledger'!$D:$D,D1074,'inventory ledger'!$E:$E,E1074,'inventory ledger'!$A:$A,"&lt;="&amp;B1074+TIME(23,59,59)))</f>
        <v>0</v>
      </c>
      <c r="G1074" s="3">
        <f>IFERROR(__xludf.DUMMYFUNCTION("IF(F1074&lt;=0,0,IFERROR(ROUNDUP(F1074/INDEX(FILTER('warehouse config'!$D:$D,('warehouse config'!$B:$B=C1074)*('warehouse config'!$C:$C=D1074)*('warehouse config'!$G:$G&lt;=B1074)*(('warehouse config'!$H:$H&gt;=B1074)+ISBLANK('warehouse config'!$H:$H))),1)),0))"),0.0)</f>
        <v>0</v>
      </c>
      <c r="H1074" s="3">
        <f>IFERROR(__xludf.DUMMYFUNCTION("IFERROR(INDEX(FILTER('cost master'!$E:$E,('cost master'!$B:$B=C1074)*('cost master'!$D:$D=""Storage cost per pallet / week"")*('cost master'!$G:$G&lt;=B1074)*(('cost master'!$H:$H&gt;=B1074)+ISBLANK('cost master'!$H:$H))),1),0)"),2.6)</f>
        <v>2.6</v>
      </c>
      <c r="I1074" s="3">
        <f t="shared" si="4"/>
        <v>0</v>
      </c>
      <c r="J1074" s="27">
        <f t="shared" si="5"/>
        <v>45854</v>
      </c>
      <c r="K1074" s="27">
        <f t="shared" si="6"/>
        <v>45884</v>
      </c>
    </row>
    <row r="1075" hidden="1">
      <c r="A1075" s="3" t="str">
        <f t="shared" si="3"/>
        <v>SL-20250811-Vglobal-CS 008-12</v>
      </c>
      <c r="B1075" s="2">
        <f t="array" ref="B1075">INDEX(helper!$A$3:$A3996,ROUNDUP((ROW()-1)/COUNTA(helper!$D$3:$D3996),0))</f>
        <v>45880</v>
      </c>
      <c r="C1075" s="5" t="str">
        <f t="array" ref="C1075">IF(B1075="","",INDEX(helper!$D$3:$D3996,MOD(ROW()-2,COUNTA(helper!$D$3:$D3996))+1))</f>
        <v>Vglobal</v>
      </c>
      <c r="D1075" s="3" t="str">
        <f t="array" ref="D1075">IF(B1075="","",INDEX(helper!$E$3:$E3996,MOD(ROW()-2,COUNTA(helper!$D$3:$D3996))+1))</f>
        <v>CS 008</v>
      </c>
      <c r="E1075" s="3">
        <f t="array" ref="E1075">IF(B1075="","",INDEX(helper!$F$3:$F3996,MOD(ROW()-2,COUNTA(helper!$D$3:$D3996))+1))</f>
        <v>12</v>
      </c>
      <c r="F1075" s="3">
        <f>IF(B1075="","",SUMIFS('inventory ledger'!$H:$H,'inventory ledger'!$C:$C,C1075,'inventory ledger'!$D:$D,D1075,'inventory ledger'!$E:$E,E1075,'inventory ledger'!$A:$A,"&lt;="&amp;B1075+TIME(23,59,59))-SUMIFS('inventory ledger'!$I:$I,'inventory ledger'!$C:$C,C1075,'inventory ledger'!$D:$D,D1075,'inventory ledger'!$E:$E,E1075,'inventory ledger'!$A:$A,"&lt;="&amp;B1075+TIME(23,59,59)))</f>
        <v>0</v>
      </c>
      <c r="G1075" s="3">
        <f>IFERROR(__xludf.DUMMYFUNCTION("IF(F1075&lt;=0,0,IFERROR(ROUNDUP(F1075/INDEX(FILTER('warehouse config'!$D:$D,('warehouse config'!$B:$B=C1075)*('warehouse config'!$C:$C=D1075)*('warehouse config'!$G:$G&lt;=B1075)*(('warehouse config'!$H:$H&gt;=B1075)+ISBLANK('warehouse config'!$H:$H))),1)),0))"),0.0)</f>
        <v>0</v>
      </c>
      <c r="H1075" s="3">
        <f>IFERROR(__xludf.DUMMYFUNCTION("IFERROR(INDEX(FILTER('cost master'!$E:$E,('cost master'!$B:$B=C1075)*('cost master'!$D:$D=""Storage cost per pallet / week"")*('cost master'!$G:$G&lt;=B1075)*(('cost master'!$H:$H&gt;=B1075)+ISBLANK('cost master'!$H:$H))),1),0)"),2.6)</f>
        <v>2.6</v>
      </c>
      <c r="I1075" s="3">
        <f t="shared" si="4"/>
        <v>0</v>
      </c>
      <c r="J1075" s="27">
        <f t="shared" si="5"/>
        <v>45854</v>
      </c>
      <c r="K1075" s="27">
        <f t="shared" si="6"/>
        <v>45884</v>
      </c>
    </row>
    <row r="1076" hidden="1">
      <c r="A1076" s="3" t="str">
        <f t="shared" si="3"/>
        <v>SL-20250811-Vglobal-CS 010-12</v>
      </c>
      <c r="B1076" s="2">
        <f t="array" ref="B1076">INDEX(helper!$A$3:$A3996,ROUNDUP((ROW()-1)/COUNTA(helper!$D$3:$D3996),0))</f>
        <v>45880</v>
      </c>
      <c r="C1076" s="5" t="str">
        <f t="array" ref="C1076">IF(B1076="","",INDEX(helper!$D$3:$D3996,MOD(ROW()-2,COUNTA(helper!$D$3:$D3996))+1))</f>
        <v>Vglobal</v>
      </c>
      <c r="D1076" s="3" t="str">
        <f t="array" ref="D1076">IF(B1076="","",INDEX(helper!$E$3:$E3996,MOD(ROW()-2,COUNTA(helper!$D$3:$D3996))+1))</f>
        <v>CS 010</v>
      </c>
      <c r="E1076" s="3">
        <f t="array" ref="E1076">IF(B1076="","",INDEX(helper!$F$3:$F3996,MOD(ROW()-2,COUNTA(helper!$D$3:$D3996))+1))</f>
        <v>12</v>
      </c>
      <c r="F1076" s="3">
        <f>IF(B1076="","",SUMIFS('inventory ledger'!$H:$H,'inventory ledger'!$C:$C,C1076,'inventory ledger'!$D:$D,D1076,'inventory ledger'!$E:$E,E1076,'inventory ledger'!$A:$A,"&lt;="&amp;B1076+TIME(23,59,59))-SUMIFS('inventory ledger'!$I:$I,'inventory ledger'!$C:$C,C1076,'inventory ledger'!$D:$D,D1076,'inventory ledger'!$E:$E,E1076,'inventory ledger'!$A:$A,"&lt;="&amp;B1076+TIME(23,59,59)))</f>
        <v>70</v>
      </c>
      <c r="G1076" s="3">
        <f>IFERROR(__xludf.DUMMYFUNCTION("IF(F1076&lt;=0,0,IFERROR(ROUNDUP(F1076/INDEX(FILTER('warehouse config'!$D:$D,('warehouse config'!$B:$B=C1076)*('warehouse config'!$C:$C=D1076)*('warehouse config'!$G:$G&lt;=B1076)*(('warehouse config'!$H:$H&gt;=B1076)+ISBLANK('warehouse config'!$H:$H))),1)),0))"),3.0)</f>
        <v>3</v>
      </c>
      <c r="H1076" s="3">
        <f>IFERROR(__xludf.DUMMYFUNCTION("IFERROR(INDEX(FILTER('cost master'!$E:$E,('cost master'!$B:$B=C1076)*('cost master'!$D:$D=""Storage cost per pallet / week"")*('cost master'!$G:$G&lt;=B1076)*(('cost master'!$H:$H&gt;=B1076)+ISBLANK('cost master'!$H:$H))),1),0)"),2.6)</f>
        <v>2.6</v>
      </c>
      <c r="I1076" s="3">
        <f t="shared" si="4"/>
        <v>7.8</v>
      </c>
      <c r="J1076" s="27">
        <f t="shared" si="5"/>
        <v>45854</v>
      </c>
      <c r="K1076" s="27">
        <f t="shared" si="6"/>
        <v>45884</v>
      </c>
    </row>
    <row r="1077" hidden="1">
      <c r="A1077" s="3" t="str">
        <f t="shared" si="3"/>
        <v>SL-20250811-Vglobal-CS 009-12</v>
      </c>
      <c r="B1077" s="2">
        <f t="array" ref="B1077">INDEX(helper!$A$3:$A3996,ROUNDUP((ROW()-1)/COUNTA(helper!$D$3:$D3996),0))</f>
        <v>45880</v>
      </c>
      <c r="C1077" s="5" t="str">
        <f t="array" ref="C1077">IF(B1077="","",INDEX(helper!$D$3:$D3996,MOD(ROW()-2,COUNTA(helper!$D$3:$D3996))+1))</f>
        <v>Vglobal</v>
      </c>
      <c r="D1077" s="3" t="str">
        <f t="array" ref="D1077">IF(B1077="","",INDEX(helper!$E$3:$E3996,MOD(ROW()-2,COUNTA(helper!$D$3:$D3996))+1))</f>
        <v>CS 009</v>
      </c>
      <c r="E1077" s="3">
        <f t="array" ref="E1077">IF(B1077="","",INDEX(helper!$F$3:$F3996,MOD(ROW()-2,COUNTA(helper!$D$3:$D3996))+1))</f>
        <v>12</v>
      </c>
      <c r="F1077" s="3">
        <f>IF(B1077="","",SUMIFS('inventory ledger'!$H:$H,'inventory ledger'!$C:$C,C1077,'inventory ledger'!$D:$D,D1077,'inventory ledger'!$E:$E,E1077,'inventory ledger'!$A:$A,"&lt;="&amp;B1077+TIME(23,59,59))-SUMIFS('inventory ledger'!$I:$I,'inventory ledger'!$C:$C,C1077,'inventory ledger'!$D:$D,D1077,'inventory ledger'!$E:$E,E1077,'inventory ledger'!$A:$A,"&lt;="&amp;B1077+TIME(23,59,59)))</f>
        <v>0</v>
      </c>
      <c r="G1077" s="3">
        <f>IFERROR(__xludf.DUMMYFUNCTION("IF(F1077&lt;=0,0,IFERROR(ROUNDUP(F1077/INDEX(FILTER('warehouse config'!$D:$D,('warehouse config'!$B:$B=C1077)*('warehouse config'!$C:$C=D1077)*('warehouse config'!$G:$G&lt;=B1077)*(('warehouse config'!$H:$H&gt;=B1077)+ISBLANK('warehouse config'!$H:$H))),1)),0))"),0.0)</f>
        <v>0</v>
      </c>
      <c r="H1077" s="3">
        <f>IFERROR(__xludf.DUMMYFUNCTION("IFERROR(INDEX(FILTER('cost master'!$E:$E,('cost master'!$B:$B=C1077)*('cost master'!$D:$D=""Storage cost per pallet / week"")*('cost master'!$G:$G&lt;=B1077)*(('cost master'!$H:$H&gt;=B1077)+ISBLANK('cost master'!$H:$H))),1),0)"),2.6)</f>
        <v>2.6</v>
      </c>
      <c r="I1077" s="3">
        <f t="shared" si="4"/>
        <v>0</v>
      </c>
      <c r="J1077" s="27">
        <f t="shared" si="5"/>
        <v>45854</v>
      </c>
      <c r="K1077" s="27">
        <f t="shared" si="6"/>
        <v>45884</v>
      </c>
    </row>
    <row r="1078" hidden="1">
      <c r="A1078" s="3" t="str">
        <f t="shared" si="3"/>
        <v>SL-20250811-Vglobal-CS 012-12</v>
      </c>
      <c r="B1078" s="2">
        <f t="array" ref="B1078">INDEX(helper!$A$3:$A3996,ROUNDUP((ROW()-1)/COUNTA(helper!$D$3:$D3996),0))</f>
        <v>45880</v>
      </c>
      <c r="C1078" s="5" t="str">
        <f t="array" ref="C1078">IF(B1078="","",INDEX(helper!$D$3:$D3996,MOD(ROW()-2,COUNTA(helper!$D$3:$D3996))+1))</f>
        <v>Vglobal</v>
      </c>
      <c r="D1078" s="3" t="str">
        <f t="array" ref="D1078">IF(B1078="","",INDEX(helper!$E$3:$E3996,MOD(ROW()-2,COUNTA(helper!$D$3:$D3996))+1))</f>
        <v>CS 012</v>
      </c>
      <c r="E1078" s="3">
        <f t="array" ref="E1078">IF(B1078="","",INDEX(helper!$F$3:$F3996,MOD(ROW()-2,COUNTA(helper!$D$3:$D3996))+1))</f>
        <v>12</v>
      </c>
      <c r="F1078" s="3">
        <f>IF(B1078="","",SUMIFS('inventory ledger'!$H:$H,'inventory ledger'!$C:$C,C1078,'inventory ledger'!$D:$D,D1078,'inventory ledger'!$E:$E,E1078,'inventory ledger'!$A:$A,"&lt;="&amp;B1078+TIME(23,59,59))-SUMIFS('inventory ledger'!$I:$I,'inventory ledger'!$C:$C,C1078,'inventory ledger'!$D:$D,D1078,'inventory ledger'!$E:$E,E1078,'inventory ledger'!$A:$A,"&lt;="&amp;B1078+TIME(23,59,59)))</f>
        <v>0</v>
      </c>
      <c r="G1078" s="3">
        <f>IFERROR(__xludf.DUMMYFUNCTION("IF(F1078&lt;=0,0,IFERROR(ROUNDUP(F1078/INDEX(FILTER('warehouse config'!$D:$D,('warehouse config'!$B:$B=C1078)*('warehouse config'!$C:$C=D1078)*('warehouse config'!$G:$G&lt;=B1078)*(('warehouse config'!$H:$H&gt;=B1078)+ISBLANK('warehouse config'!$H:$H))),1)),0))"),0.0)</f>
        <v>0</v>
      </c>
      <c r="H1078" s="3">
        <f>IFERROR(__xludf.DUMMYFUNCTION("IFERROR(INDEX(FILTER('cost master'!$E:$E,('cost master'!$B:$B=C1078)*('cost master'!$D:$D=""Storage cost per pallet / week"")*('cost master'!$G:$G&lt;=B1078)*(('cost master'!$H:$H&gt;=B1078)+ISBLANK('cost master'!$H:$H))),1),0)"),2.6)</f>
        <v>2.6</v>
      </c>
      <c r="I1078" s="3">
        <f t="shared" si="4"/>
        <v>0</v>
      </c>
      <c r="J1078" s="27">
        <f t="shared" si="5"/>
        <v>45854</v>
      </c>
      <c r="K1078" s="27">
        <f t="shared" si="6"/>
        <v>45884</v>
      </c>
    </row>
    <row r="1079" hidden="1">
      <c r="A1079" s="3" t="str">
        <f t="shared" si="3"/>
        <v>SL-20250811-Vglobal-CS-CDS-001-3</v>
      </c>
      <c r="B1079" s="2">
        <f t="array" ref="B1079">INDEX(helper!$A$3:$A3996,ROUNDUP((ROW()-1)/COUNTA(helper!$D$3:$D3996),0))</f>
        <v>45880</v>
      </c>
      <c r="C1079" s="5" t="str">
        <f t="array" ref="C1079">IF(B1079="","",INDEX(helper!$D$3:$D3996,MOD(ROW()-2,COUNTA(helper!$D$3:$D3996))+1))</f>
        <v>Vglobal</v>
      </c>
      <c r="D1079" s="3" t="str">
        <f t="array" ref="D1079">IF(B1079="","",INDEX(helper!$E$3:$E3996,MOD(ROW()-2,COUNTA(helper!$D$3:$D3996))+1))</f>
        <v>CS-CDS-001</v>
      </c>
      <c r="E1079" s="3">
        <f t="array" ref="E1079">IF(B1079="","",INDEX(helper!$F$3:$F3996,MOD(ROW()-2,COUNTA(helper!$D$3:$D3996))+1))</f>
        <v>3</v>
      </c>
      <c r="F1079" s="3">
        <f>IF(B1079="","",SUMIFS('inventory ledger'!$H:$H,'inventory ledger'!$C:$C,C1079,'inventory ledger'!$D:$D,D1079,'inventory ledger'!$E:$E,E1079,'inventory ledger'!$A:$A,"&lt;="&amp;B1079+TIME(23,59,59))-SUMIFS('inventory ledger'!$I:$I,'inventory ledger'!$C:$C,C1079,'inventory ledger'!$D:$D,D1079,'inventory ledger'!$E:$E,E1079,'inventory ledger'!$A:$A,"&lt;="&amp;B1079+TIME(23,59,59)))</f>
        <v>1</v>
      </c>
      <c r="G1079" s="3">
        <f>IFERROR(__xludf.DUMMYFUNCTION("IF(F1079&lt;=0,0,IFERROR(ROUNDUP(F1079/INDEX(FILTER('warehouse config'!$D:$D,('warehouse config'!$B:$B=C1079)*('warehouse config'!$C:$C=D1079)*('warehouse config'!$G:$G&lt;=B1079)*(('warehouse config'!$H:$H&gt;=B1079)+ISBLANK('warehouse config'!$H:$H))),1)),0))"),1.0)</f>
        <v>1</v>
      </c>
      <c r="H1079" s="3">
        <f>IFERROR(__xludf.DUMMYFUNCTION("IFERROR(INDEX(FILTER('cost master'!$E:$E,('cost master'!$B:$B=C1079)*('cost master'!$D:$D=""Storage cost per pallet / week"")*('cost master'!$G:$G&lt;=B1079)*(('cost master'!$H:$H&gt;=B1079)+ISBLANK('cost master'!$H:$H))),1),0)"),2.6)</f>
        <v>2.6</v>
      </c>
      <c r="I1079" s="3">
        <f t="shared" si="4"/>
        <v>2.6</v>
      </c>
      <c r="J1079" s="27">
        <f t="shared" si="5"/>
        <v>45854</v>
      </c>
      <c r="K1079" s="27">
        <f t="shared" si="6"/>
        <v>45884</v>
      </c>
    </row>
    <row r="1080" hidden="1">
      <c r="A1080" s="3" t="str">
        <f t="shared" si="3"/>
        <v>SL-20250811-Vglobal-CS-CDS-002-3</v>
      </c>
      <c r="B1080" s="2">
        <f t="array" ref="B1080">INDEX(helper!$A$3:$A3996,ROUNDUP((ROW()-1)/COUNTA(helper!$D$3:$D3996),0))</f>
        <v>45880</v>
      </c>
      <c r="C1080" s="5" t="str">
        <f t="array" ref="C1080">IF(B1080="","",INDEX(helper!$D$3:$D3996,MOD(ROW()-2,COUNTA(helper!$D$3:$D3996))+1))</f>
        <v>Vglobal</v>
      </c>
      <c r="D1080" s="3" t="str">
        <f t="array" ref="D1080">IF(B1080="","",INDEX(helper!$E$3:$E3996,MOD(ROW()-2,COUNTA(helper!$D$3:$D3996))+1))</f>
        <v>CS-CDS-002</v>
      </c>
      <c r="E1080" s="3">
        <f t="array" ref="E1080">IF(B1080="","",INDEX(helper!$F$3:$F3996,MOD(ROW()-2,COUNTA(helper!$D$3:$D3996))+1))</f>
        <v>3</v>
      </c>
      <c r="F1080" s="3">
        <f>IF(B1080="","",SUMIFS('inventory ledger'!$H:$H,'inventory ledger'!$C:$C,C1080,'inventory ledger'!$D:$D,D1080,'inventory ledger'!$E:$E,E1080,'inventory ledger'!$A:$A,"&lt;="&amp;B1080+TIME(23,59,59))-SUMIFS('inventory ledger'!$I:$I,'inventory ledger'!$C:$C,C1080,'inventory ledger'!$D:$D,D1080,'inventory ledger'!$E:$E,E1080,'inventory ledger'!$A:$A,"&lt;="&amp;B1080+TIME(23,59,59)))</f>
        <v>0</v>
      </c>
      <c r="G1080" s="3">
        <f>IFERROR(__xludf.DUMMYFUNCTION("IF(F1080&lt;=0,0,IFERROR(ROUNDUP(F1080/INDEX(FILTER('warehouse config'!$D:$D,('warehouse config'!$B:$B=C1080)*('warehouse config'!$C:$C=D1080)*('warehouse config'!$G:$G&lt;=B1080)*(('warehouse config'!$H:$H&gt;=B1080)+ISBLANK('warehouse config'!$H:$H))),1)),0))"),0.0)</f>
        <v>0</v>
      </c>
      <c r="H1080" s="3">
        <f>IFERROR(__xludf.DUMMYFUNCTION("IFERROR(INDEX(FILTER('cost master'!$E:$E,('cost master'!$B:$B=C1080)*('cost master'!$D:$D=""Storage cost per pallet / week"")*('cost master'!$G:$G&lt;=B1080)*(('cost master'!$H:$H&gt;=B1080)+ISBLANK('cost master'!$H:$H))),1),0)"),2.6)</f>
        <v>2.6</v>
      </c>
      <c r="I1080" s="3">
        <f t="shared" si="4"/>
        <v>0</v>
      </c>
      <c r="J1080" s="27">
        <f t="shared" si="5"/>
        <v>45854</v>
      </c>
      <c r="K1080" s="27">
        <f t="shared" si="6"/>
        <v>45884</v>
      </c>
    </row>
    <row r="1081" hidden="1">
      <c r="A1081" s="3" t="str">
        <f t="shared" si="3"/>
        <v>SL-20250811-4as-CS-CDS-001-4</v>
      </c>
      <c r="B1081" s="2">
        <f t="array" ref="B1081">INDEX(helper!$A$3:$A3996,ROUNDUP((ROW()-1)/COUNTA(helper!$D$3:$D3996),0))</f>
        <v>45880</v>
      </c>
      <c r="C1081" s="5" t="str">
        <f t="array" ref="C1081">IF(B1081="","",INDEX(helper!$D$3:$D3996,MOD(ROW()-2,COUNTA(helper!$D$3:$D3996))+1))</f>
        <v>4as</v>
      </c>
      <c r="D1081" s="3" t="str">
        <f t="array" ref="D1081">IF(B1081="","",INDEX(helper!$E$3:$E3996,MOD(ROW()-2,COUNTA(helper!$D$3:$D3996))+1))</f>
        <v>CS-CDS-001</v>
      </c>
      <c r="E1081" s="3">
        <f t="array" ref="E1081">IF(B1081="","",INDEX(helper!$F$3:$F3996,MOD(ROW()-2,COUNTA(helper!$D$3:$D3996))+1))</f>
        <v>4</v>
      </c>
      <c r="F1081" s="3">
        <f>IF(B1081="","",SUMIFS('inventory ledger'!$H:$H,'inventory ledger'!$C:$C,C1081,'inventory ledger'!$D:$D,D1081,'inventory ledger'!$E:$E,E1081,'inventory ledger'!$A:$A,"&lt;="&amp;B1081+TIME(23,59,59))-SUMIFS('inventory ledger'!$I:$I,'inventory ledger'!$C:$C,C1081,'inventory ledger'!$D:$D,D1081,'inventory ledger'!$E:$E,E1081,'inventory ledger'!$A:$A,"&lt;="&amp;B1081+TIME(23,59,59)))</f>
        <v>0</v>
      </c>
      <c r="G1081" s="3">
        <f>IFERROR(__xludf.DUMMYFUNCTION("IF(F1081&lt;=0,0,IFERROR(ROUNDUP(F1081/INDEX(FILTER('warehouse config'!$D:$D,('warehouse config'!$B:$B=C1081)*('warehouse config'!$C:$C=D1081)*('warehouse config'!$G:$G&lt;=B1081)*(('warehouse config'!$H:$H&gt;=B1081)+ISBLANK('warehouse config'!$H:$H))),1)),0))"),0.0)</f>
        <v>0</v>
      </c>
      <c r="H1081" s="3">
        <f>IFERROR(__xludf.DUMMYFUNCTION("IFERROR(INDEX(FILTER('cost master'!$E:$E,('cost master'!$B:$B=C1081)*('cost master'!$D:$D=""Storage cost per pallet / week"")*('cost master'!$G:$G&lt;=B1081)*(('cost master'!$H:$H&gt;=B1081)+ISBLANK('cost master'!$H:$H))),1),0)"),9.0)</f>
        <v>9</v>
      </c>
      <c r="I1081" s="3">
        <f t="shared" si="4"/>
        <v>0</v>
      </c>
      <c r="J1081" s="27">
        <f t="shared" si="5"/>
        <v>45854</v>
      </c>
      <c r="K1081" s="27">
        <f t="shared" si="6"/>
        <v>45884</v>
      </c>
    </row>
    <row r="1082" hidden="1">
      <c r="A1082" s="3" t="str">
        <f t="shared" si="3"/>
        <v>SL-20250811-4as-CS-CDS-002-4</v>
      </c>
      <c r="B1082" s="2">
        <f t="array" ref="B1082">INDEX(helper!$A$3:$A3996,ROUNDUP((ROW()-1)/COUNTA(helper!$D$3:$D3996),0))</f>
        <v>45880</v>
      </c>
      <c r="C1082" s="5" t="str">
        <f t="array" ref="C1082">IF(B1082="","",INDEX(helper!$D$3:$D3996,MOD(ROW()-2,COUNTA(helper!$D$3:$D3996))+1))</f>
        <v>4as</v>
      </c>
      <c r="D1082" s="3" t="str">
        <f t="array" ref="D1082">IF(B1082="","",INDEX(helper!$E$3:$E3996,MOD(ROW()-2,COUNTA(helper!$D$3:$D3996))+1))</f>
        <v>CS-CDS-002</v>
      </c>
      <c r="E1082" s="3">
        <f t="array" ref="E1082">IF(B1082="","",INDEX(helper!$F$3:$F3996,MOD(ROW()-2,COUNTA(helper!$D$3:$D3996))+1))</f>
        <v>4</v>
      </c>
      <c r="F1082" s="3">
        <f>IF(B1082="","",SUMIFS('inventory ledger'!$H:$H,'inventory ledger'!$C:$C,C1082,'inventory ledger'!$D:$D,D1082,'inventory ledger'!$E:$E,E1082,'inventory ledger'!$A:$A,"&lt;="&amp;B1082+TIME(23,59,59))-SUMIFS('inventory ledger'!$I:$I,'inventory ledger'!$C:$C,C1082,'inventory ledger'!$D:$D,D1082,'inventory ledger'!$E:$E,E1082,'inventory ledger'!$A:$A,"&lt;="&amp;B1082+TIME(23,59,59)))</f>
        <v>0</v>
      </c>
      <c r="G1082" s="3">
        <f>IFERROR(__xludf.DUMMYFUNCTION("IF(F1082&lt;=0,0,IFERROR(ROUNDUP(F1082/INDEX(FILTER('warehouse config'!$D:$D,('warehouse config'!$B:$B=C1082)*('warehouse config'!$C:$C=D1082)*('warehouse config'!$G:$G&lt;=B1082)*(('warehouse config'!$H:$H&gt;=B1082)+ISBLANK('warehouse config'!$H:$H))),1)),0))"),0.0)</f>
        <v>0</v>
      </c>
      <c r="H1082" s="3">
        <f>IFERROR(__xludf.DUMMYFUNCTION("IFERROR(INDEX(FILTER('cost master'!$E:$E,('cost master'!$B:$B=C1082)*('cost master'!$D:$D=""Storage cost per pallet / week"")*('cost master'!$G:$G&lt;=B1082)*(('cost master'!$H:$H&gt;=B1082)+ISBLANK('cost master'!$H:$H))),1),0)"),9.0)</f>
        <v>9</v>
      </c>
      <c r="I1082" s="3">
        <f t="shared" si="4"/>
        <v>0</v>
      </c>
      <c r="J1082" s="27">
        <f t="shared" si="5"/>
        <v>45854</v>
      </c>
      <c r="K1082" s="27">
        <f t="shared" si="6"/>
        <v>45884</v>
      </c>
    </row>
    <row r="1083" hidden="1">
      <c r="A1083" s="3" t="str">
        <f t="shared" si="3"/>
        <v>SL-20250811-Vglobal-CS 007-13</v>
      </c>
      <c r="B1083" s="2">
        <f t="array" ref="B1083">INDEX(helper!$A$3:$A3996,ROUNDUP((ROW()-1)/COUNTA(helper!$D$3:$D3996),0))</f>
        <v>45880</v>
      </c>
      <c r="C1083" s="5" t="str">
        <f t="array" ref="C1083">IF(B1083="","",INDEX(helper!$D$3:$D3996,MOD(ROW()-2,COUNTA(helper!$D$3:$D3996))+1))</f>
        <v>Vglobal</v>
      </c>
      <c r="D1083" s="3" t="str">
        <f t="array" ref="D1083">IF(B1083="","",INDEX(helper!$E$3:$E3996,MOD(ROW()-2,COUNTA(helper!$D$3:$D3996))+1))</f>
        <v>CS 007</v>
      </c>
      <c r="E1083" s="3">
        <f t="array" ref="E1083">IF(B1083="","",INDEX(helper!$F$3:$F3996,MOD(ROW()-2,COUNTA(helper!$D$3:$D3996))+1))</f>
        <v>13</v>
      </c>
      <c r="F1083" s="3">
        <f>IF(B1083="","",SUMIFS('inventory ledger'!$H:$H,'inventory ledger'!$C:$C,C1083,'inventory ledger'!$D:$D,D1083,'inventory ledger'!$E:$E,E1083,'inventory ledger'!$A:$A,"&lt;="&amp;B1083+TIME(23,59,59))-SUMIFS('inventory ledger'!$I:$I,'inventory ledger'!$C:$C,C1083,'inventory ledger'!$D:$D,D1083,'inventory ledger'!$E:$E,E1083,'inventory ledger'!$A:$A,"&lt;="&amp;B1083+TIME(23,59,59)))</f>
        <v>45</v>
      </c>
      <c r="G1083" s="3">
        <f>IFERROR(__xludf.DUMMYFUNCTION("IF(F1083&lt;=0,0,IFERROR(ROUNDUP(F1083/INDEX(FILTER('warehouse config'!$D:$D,('warehouse config'!$B:$B=C1083)*('warehouse config'!$C:$C=D1083)*('warehouse config'!$G:$G&lt;=B1083)*(('warehouse config'!$H:$H&gt;=B1083)+ISBLANK('warehouse config'!$H:$H))),1)),0))"),3.0)</f>
        <v>3</v>
      </c>
      <c r="H1083" s="3">
        <f>IFERROR(__xludf.DUMMYFUNCTION("IFERROR(INDEX(FILTER('cost master'!$E:$E,('cost master'!$B:$B=C1083)*('cost master'!$D:$D=""Storage cost per pallet / week"")*('cost master'!$G:$G&lt;=B1083)*(('cost master'!$H:$H&gt;=B1083)+ISBLANK('cost master'!$H:$H))),1),0)"),2.6)</f>
        <v>2.6</v>
      </c>
      <c r="I1083" s="3">
        <f t="shared" si="4"/>
        <v>7.8</v>
      </c>
      <c r="J1083" s="27">
        <f t="shared" si="5"/>
        <v>45854</v>
      </c>
      <c r="K1083" s="27">
        <f t="shared" si="6"/>
        <v>45884</v>
      </c>
    </row>
    <row r="1084" hidden="1">
      <c r="A1084" s="3" t="str">
        <f t="shared" si="3"/>
        <v>SL-20250811-Vglobal-CS 011-13</v>
      </c>
      <c r="B1084" s="2">
        <f t="array" ref="B1084">INDEX(helper!$A$3:$A3996,ROUNDUP((ROW()-1)/COUNTA(helper!$D$3:$D3996),0))</f>
        <v>45880</v>
      </c>
      <c r="C1084" s="5" t="str">
        <f t="array" ref="C1084">IF(B1084="","",INDEX(helper!$D$3:$D3996,MOD(ROW()-2,COUNTA(helper!$D$3:$D3996))+1))</f>
        <v>Vglobal</v>
      </c>
      <c r="D1084" s="3" t="str">
        <f t="array" ref="D1084">IF(B1084="","",INDEX(helper!$E$3:$E3996,MOD(ROW()-2,COUNTA(helper!$D$3:$D3996))+1))</f>
        <v>CS 011</v>
      </c>
      <c r="E1084" s="3">
        <f t="array" ref="E1084">IF(B1084="","",INDEX(helper!$F$3:$F3996,MOD(ROW()-2,COUNTA(helper!$D$3:$D3996))+1))</f>
        <v>13</v>
      </c>
      <c r="F1084" s="3">
        <f>IF(B1084="","",SUMIFS('inventory ledger'!$H:$H,'inventory ledger'!$C:$C,C1084,'inventory ledger'!$D:$D,D1084,'inventory ledger'!$E:$E,E1084,'inventory ledger'!$A:$A,"&lt;="&amp;B1084+TIME(23,59,59))-SUMIFS('inventory ledger'!$I:$I,'inventory ledger'!$C:$C,C1084,'inventory ledger'!$D:$D,D1084,'inventory ledger'!$E:$E,E1084,'inventory ledger'!$A:$A,"&lt;="&amp;B1084+TIME(23,59,59)))</f>
        <v>0</v>
      </c>
      <c r="G1084" s="3">
        <f>IFERROR(__xludf.DUMMYFUNCTION("IF(F1084&lt;=0,0,IFERROR(ROUNDUP(F1084/INDEX(FILTER('warehouse config'!$D:$D,('warehouse config'!$B:$B=C1084)*('warehouse config'!$C:$C=D1084)*('warehouse config'!$G:$G&lt;=B1084)*(('warehouse config'!$H:$H&gt;=B1084)+ISBLANK('warehouse config'!$H:$H))),1)),0))"),0.0)</f>
        <v>0</v>
      </c>
      <c r="H1084" s="3">
        <f>IFERROR(__xludf.DUMMYFUNCTION("IFERROR(INDEX(FILTER('cost master'!$E:$E,('cost master'!$B:$B=C1084)*('cost master'!$D:$D=""Storage cost per pallet / week"")*('cost master'!$G:$G&lt;=B1084)*(('cost master'!$H:$H&gt;=B1084)+ISBLANK('cost master'!$H:$H))),1),0)"),2.6)</f>
        <v>2.6</v>
      </c>
      <c r="I1084" s="3">
        <f t="shared" si="4"/>
        <v>0</v>
      </c>
      <c r="J1084" s="27">
        <f t="shared" si="5"/>
        <v>45854</v>
      </c>
      <c r="K1084" s="27">
        <f t="shared" si="6"/>
        <v>45884</v>
      </c>
    </row>
    <row r="1085" hidden="1">
      <c r="A1085" s="3" t="str">
        <f t="shared" si="3"/>
        <v>SL-20250811-Vglobal-CS 008-13</v>
      </c>
      <c r="B1085" s="2">
        <f t="array" ref="B1085">INDEX(helper!$A$3:$A3996,ROUNDUP((ROW()-1)/COUNTA(helper!$D$3:$D3996),0))</f>
        <v>45880</v>
      </c>
      <c r="C1085" s="5" t="str">
        <f t="array" ref="C1085">IF(B1085="","",INDEX(helper!$D$3:$D3996,MOD(ROW()-2,COUNTA(helper!$D$3:$D3996))+1))</f>
        <v>Vglobal</v>
      </c>
      <c r="D1085" s="3" t="str">
        <f t="array" ref="D1085">IF(B1085="","",INDEX(helper!$E$3:$E3996,MOD(ROW()-2,COUNTA(helper!$D$3:$D3996))+1))</f>
        <v>CS 008</v>
      </c>
      <c r="E1085" s="3">
        <f t="array" ref="E1085">IF(B1085="","",INDEX(helper!$F$3:$F3996,MOD(ROW()-2,COUNTA(helper!$D$3:$D3996))+1))</f>
        <v>13</v>
      </c>
      <c r="F1085" s="3">
        <f>IF(B1085="","",SUMIFS('inventory ledger'!$H:$H,'inventory ledger'!$C:$C,C1085,'inventory ledger'!$D:$D,D1085,'inventory ledger'!$E:$E,E1085,'inventory ledger'!$A:$A,"&lt;="&amp;B1085+TIME(23,59,59))-SUMIFS('inventory ledger'!$I:$I,'inventory ledger'!$C:$C,C1085,'inventory ledger'!$D:$D,D1085,'inventory ledger'!$E:$E,E1085,'inventory ledger'!$A:$A,"&lt;="&amp;B1085+TIME(23,59,59)))</f>
        <v>20</v>
      </c>
      <c r="G1085" s="3">
        <f>IFERROR(__xludf.DUMMYFUNCTION("IF(F1085&lt;=0,0,IFERROR(ROUNDUP(F1085/INDEX(FILTER('warehouse config'!$D:$D,('warehouse config'!$B:$B=C1085)*('warehouse config'!$C:$C=D1085)*('warehouse config'!$G:$G&lt;=B1085)*(('warehouse config'!$H:$H&gt;=B1085)+ISBLANK('warehouse config'!$H:$H))),1)),0))"),1.0)</f>
        <v>1</v>
      </c>
      <c r="H1085" s="3">
        <f>IFERROR(__xludf.DUMMYFUNCTION("IFERROR(INDEX(FILTER('cost master'!$E:$E,('cost master'!$B:$B=C1085)*('cost master'!$D:$D=""Storage cost per pallet / week"")*('cost master'!$G:$G&lt;=B1085)*(('cost master'!$H:$H&gt;=B1085)+ISBLANK('cost master'!$H:$H))),1),0)"),2.6)</f>
        <v>2.6</v>
      </c>
      <c r="I1085" s="3">
        <f t="shared" si="4"/>
        <v>2.6</v>
      </c>
      <c r="J1085" s="27">
        <f t="shared" si="5"/>
        <v>45854</v>
      </c>
      <c r="K1085" s="27">
        <f t="shared" si="6"/>
        <v>45884</v>
      </c>
    </row>
    <row r="1086" hidden="1">
      <c r="A1086" s="3" t="str">
        <f t="shared" si="3"/>
        <v>SL-20250811-Vglobal-CS 010-13</v>
      </c>
      <c r="B1086" s="2">
        <f t="array" ref="B1086">INDEX(helper!$A$3:$A3996,ROUNDUP((ROW()-1)/COUNTA(helper!$D$3:$D3996),0))</f>
        <v>45880</v>
      </c>
      <c r="C1086" s="5" t="str">
        <f t="array" ref="C1086">IF(B1086="","",INDEX(helper!$D$3:$D3996,MOD(ROW()-2,COUNTA(helper!$D$3:$D3996))+1))</f>
        <v>Vglobal</v>
      </c>
      <c r="D1086" s="3" t="str">
        <f t="array" ref="D1086">IF(B1086="","",INDEX(helper!$E$3:$E3996,MOD(ROW()-2,COUNTA(helper!$D$3:$D3996))+1))</f>
        <v>CS 010</v>
      </c>
      <c r="E1086" s="3">
        <f t="array" ref="E1086">IF(B1086="","",INDEX(helper!$F$3:$F3996,MOD(ROW()-2,COUNTA(helper!$D$3:$D3996))+1))</f>
        <v>13</v>
      </c>
      <c r="F1086" s="3">
        <f>IF(B1086="","",SUMIFS('inventory ledger'!$H:$H,'inventory ledger'!$C:$C,C1086,'inventory ledger'!$D:$D,D1086,'inventory ledger'!$E:$E,E1086,'inventory ledger'!$A:$A,"&lt;="&amp;B1086+TIME(23,59,59))-SUMIFS('inventory ledger'!$I:$I,'inventory ledger'!$C:$C,C1086,'inventory ledger'!$D:$D,D1086,'inventory ledger'!$E:$E,E1086,'inventory ledger'!$A:$A,"&lt;="&amp;B1086+TIME(23,59,59)))</f>
        <v>80</v>
      </c>
      <c r="G1086" s="3">
        <f>IFERROR(__xludf.DUMMYFUNCTION("IF(F1086&lt;=0,0,IFERROR(ROUNDUP(F1086/INDEX(FILTER('warehouse config'!$D:$D,('warehouse config'!$B:$B=C1086)*('warehouse config'!$C:$C=D1086)*('warehouse config'!$G:$G&lt;=B1086)*(('warehouse config'!$H:$H&gt;=B1086)+ISBLANK('warehouse config'!$H:$H))),1)),0))"),4.0)</f>
        <v>4</v>
      </c>
      <c r="H1086" s="3">
        <f>IFERROR(__xludf.DUMMYFUNCTION("IFERROR(INDEX(FILTER('cost master'!$E:$E,('cost master'!$B:$B=C1086)*('cost master'!$D:$D=""Storage cost per pallet / week"")*('cost master'!$G:$G&lt;=B1086)*(('cost master'!$H:$H&gt;=B1086)+ISBLANK('cost master'!$H:$H))),1),0)"),2.6)</f>
        <v>2.6</v>
      </c>
      <c r="I1086" s="3">
        <f t="shared" si="4"/>
        <v>10.4</v>
      </c>
      <c r="J1086" s="27">
        <f t="shared" si="5"/>
        <v>45854</v>
      </c>
      <c r="K1086" s="27">
        <f t="shared" si="6"/>
        <v>45884</v>
      </c>
    </row>
    <row r="1087" hidden="1">
      <c r="A1087" s="3" t="str">
        <f t="shared" si="3"/>
        <v>SL-20250811-Vglobal-CS 009-13</v>
      </c>
      <c r="B1087" s="2">
        <f t="array" ref="B1087">INDEX(helper!$A$3:$A3996,ROUNDUP((ROW()-1)/COUNTA(helper!$D$3:$D3996),0))</f>
        <v>45880</v>
      </c>
      <c r="C1087" s="5" t="str">
        <f t="array" ref="C1087">IF(B1087="","",INDEX(helper!$D$3:$D3996,MOD(ROW()-2,COUNTA(helper!$D$3:$D3996))+1))</f>
        <v>Vglobal</v>
      </c>
      <c r="D1087" s="3" t="str">
        <f t="array" ref="D1087">IF(B1087="","",INDEX(helper!$E$3:$E3996,MOD(ROW()-2,COUNTA(helper!$D$3:$D3996))+1))</f>
        <v>CS 009</v>
      </c>
      <c r="E1087" s="3">
        <f t="array" ref="E1087">IF(B1087="","",INDEX(helper!$F$3:$F3996,MOD(ROW()-2,COUNTA(helper!$D$3:$D3996))+1))</f>
        <v>13</v>
      </c>
      <c r="F1087" s="3">
        <f>IF(B1087="","",SUMIFS('inventory ledger'!$H:$H,'inventory ledger'!$C:$C,C1087,'inventory ledger'!$D:$D,D1087,'inventory ledger'!$E:$E,E1087,'inventory ledger'!$A:$A,"&lt;="&amp;B1087+TIME(23,59,59))-SUMIFS('inventory ledger'!$I:$I,'inventory ledger'!$C:$C,C1087,'inventory ledger'!$D:$D,D1087,'inventory ledger'!$E:$E,E1087,'inventory ledger'!$A:$A,"&lt;="&amp;B1087+TIME(23,59,59)))</f>
        <v>0</v>
      </c>
      <c r="G1087" s="3">
        <f>IFERROR(__xludf.DUMMYFUNCTION("IF(F1087&lt;=0,0,IFERROR(ROUNDUP(F1087/INDEX(FILTER('warehouse config'!$D:$D,('warehouse config'!$B:$B=C1087)*('warehouse config'!$C:$C=D1087)*('warehouse config'!$G:$G&lt;=B1087)*(('warehouse config'!$H:$H&gt;=B1087)+ISBLANK('warehouse config'!$H:$H))),1)),0))"),0.0)</f>
        <v>0</v>
      </c>
      <c r="H1087" s="3">
        <f>IFERROR(__xludf.DUMMYFUNCTION("IFERROR(INDEX(FILTER('cost master'!$E:$E,('cost master'!$B:$B=C1087)*('cost master'!$D:$D=""Storage cost per pallet / week"")*('cost master'!$G:$G&lt;=B1087)*(('cost master'!$H:$H&gt;=B1087)+ISBLANK('cost master'!$H:$H))),1),0)"),2.6)</f>
        <v>2.6</v>
      </c>
      <c r="I1087" s="3">
        <f t="shared" si="4"/>
        <v>0</v>
      </c>
      <c r="J1087" s="27">
        <f t="shared" si="5"/>
        <v>45854</v>
      </c>
      <c r="K1087" s="27">
        <f t="shared" si="6"/>
        <v>45884</v>
      </c>
    </row>
    <row r="1088" hidden="1">
      <c r="A1088" s="3" t="str">
        <f t="shared" si="3"/>
        <v>SL-20250811-Vglobal-CS 012-13</v>
      </c>
      <c r="B1088" s="2">
        <f t="array" ref="B1088">INDEX(helper!$A$3:$A3996,ROUNDUP((ROW()-1)/COUNTA(helper!$D$3:$D3996),0))</f>
        <v>45880</v>
      </c>
      <c r="C1088" s="5" t="str">
        <f t="array" ref="C1088">IF(B1088="","",INDEX(helper!$D$3:$D3996,MOD(ROW()-2,COUNTA(helper!$D$3:$D3996))+1))</f>
        <v>Vglobal</v>
      </c>
      <c r="D1088" s="3" t="str">
        <f t="array" ref="D1088">IF(B1088="","",INDEX(helper!$E$3:$E3996,MOD(ROW()-2,COUNTA(helper!$D$3:$D3996))+1))</f>
        <v>CS 012</v>
      </c>
      <c r="E1088" s="3">
        <f t="array" ref="E1088">IF(B1088="","",INDEX(helper!$F$3:$F3996,MOD(ROW()-2,COUNTA(helper!$D$3:$D3996))+1))</f>
        <v>13</v>
      </c>
      <c r="F1088" s="3">
        <f>IF(B1088="","",SUMIFS('inventory ledger'!$H:$H,'inventory ledger'!$C:$C,C1088,'inventory ledger'!$D:$D,D1088,'inventory ledger'!$E:$E,E1088,'inventory ledger'!$A:$A,"&lt;="&amp;B1088+TIME(23,59,59))-SUMIFS('inventory ledger'!$I:$I,'inventory ledger'!$C:$C,C1088,'inventory ledger'!$D:$D,D1088,'inventory ledger'!$E:$E,E1088,'inventory ledger'!$A:$A,"&lt;="&amp;B1088+TIME(23,59,59)))</f>
        <v>0</v>
      </c>
      <c r="G1088" s="3">
        <f>IFERROR(__xludf.DUMMYFUNCTION("IF(F1088&lt;=0,0,IFERROR(ROUNDUP(F1088/INDEX(FILTER('warehouse config'!$D:$D,('warehouse config'!$B:$B=C1088)*('warehouse config'!$C:$C=D1088)*('warehouse config'!$G:$G&lt;=B1088)*(('warehouse config'!$H:$H&gt;=B1088)+ISBLANK('warehouse config'!$H:$H))),1)),0))"),0.0)</f>
        <v>0</v>
      </c>
      <c r="H1088" s="3">
        <f>IFERROR(__xludf.DUMMYFUNCTION("IFERROR(INDEX(FILTER('cost master'!$E:$E,('cost master'!$B:$B=C1088)*('cost master'!$D:$D=""Storage cost per pallet / week"")*('cost master'!$G:$G&lt;=B1088)*(('cost master'!$H:$H&gt;=B1088)+ISBLANK('cost master'!$H:$H))),1),0)"),2.6)</f>
        <v>2.6</v>
      </c>
      <c r="I1088" s="3">
        <f t="shared" si="4"/>
        <v>0</v>
      </c>
      <c r="J1088" s="27">
        <f t="shared" si="5"/>
        <v>45854</v>
      </c>
      <c r="K1088" s="27">
        <f t="shared" si="6"/>
        <v>45884</v>
      </c>
    </row>
    <row r="1089">
      <c r="A1089" s="3" t="str">
        <f t="shared" si="3"/>
        <v>SL-20250811-FMC-CS 008-11</v>
      </c>
      <c r="B1089" s="2">
        <f t="array" ref="B1089">INDEX(helper!$A$3:$A3996,ROUNDUP((ROW()-1)/COUNTA(helper!$D$3:$D3996),0))</f>
        <v>45880</v>
      </c>
      <c r="C1089" s="5" t="str">
        <f t="array" ref="C1089">IF(B1089="","",INDEX(helper!$D$3:$D3996,MOD(ROW()-2,COUNTA(helper!$D$3:$D3996))+1))</f>
        <v>FMC</v>
      </c>
      <c r="D1089" s="3" t="str">
        <f t="array" ref="D1089">IF(B1089="","",INDEX(helper!$E$3:$E3996,MOD(ROW()-2,COUNTA(helper!$D$3:$D3996))+1))</f>
        <v>CS 008</v>
      </c>
      <c r="E1089" s="3">
        <f t="array" ref="E1089">IF(B1089="","",INDEX(helper!$F$3:$F3996,MOD(ROW()-2,COUNTA(helper!$D$3:$D3996))+1))</f>
        <v>11</v>
      </c>
      <c r="F1089" s="3">
        <f>IF(B1089="","",SUMIFS('inventory ledger'!$H:$H,'inventory ledger'!$C:$C,C1089,'inventory ledger'!$D:$D,D1089,'inventory ledger'!$E:$E,E1089,'inventory ledger'!$A:$A,"&lt;="&amp;B1089+TIME(23,59,59))-SUMIFS('inventory ledger'!$I:$I,'inventory ledger'!$C:$C,C1089,'inventory ledger'!$D:$D,D1089,'inventory ledger'!$E:$E,E1089,'inventory ledger'!$A:$A,"&lt;="&amp;B1089+TIME(23,59,59)))</f>
        <v>-2</v>
      </c>
      <c r="G1089" s="3">
        <f>IFERROR(__xludf.DUMMYFUNCTION("IF(F1089&lt;=0,0,IFERROR(ROUNDUP(F1089/INDEX(FILTER('warehouse config'!$D:$D,('warehouse config'!$B:$B=C1089)*('warehouse config'!$C:$C=D1089)*('warehouse config'!$G:$G&lt;=B1089)*(('warehouse config'!$H:$H&gt;=B1089)+ISBLANK('warehouse config'!$H:$H))),1)),0))"),0.0)</f>
        <v>0</v>
      </c>
      <c r="H1089" s="3">
        <f>IFERROR(__xludf.DUMMYFUNCTION("IFERROR(INDEX(FILTER('cost master'!$E:$E,('cost master'!$B:$B=C1089)*('cost master'!$D:$D=""Storage cost per pallet / week"")*('cost master'!$G:$G&lt;=B1089)*(('cost master'!$H:$H&gt;=B1089)+ISBLANK('cost master'!$H:$H))),1),0)"),3.9)</f>
        <v>3.9</v>
      </c>
      <c r="I1089" s="3">
        <f t="shared" si="4"/>
        <v>0</v>
      </c>
      <c r="J1089" s="27">
        <f t="shared" si="5"/>
        <v>45854</v>
      </c>
      <c r="K1089" s="27">
        <f t="shared" si="6"/>
        <v>45884</v>
      </c>
    </row>
    <row r="1090" hidden="1">
      <c r="A1090" s="3" t="str">
        <f t="shared" si="3"/>
        <v>SL-20250818-FMC-CS 007-8</v>
      </c>
      <c r="B1090" s="2">
        <f t="array" ref="B1090">INDEX(helper!$A$3:$A3996,ROUNDUP((ROW()-1)/COUNTA(helper!$D$3:$D3996),0))</f>
        <v>45887</v>
      </c>
      <c r="C1090" s="5" t="str">
        <f t="array" ref="C1090">IF(B1090="","",INDEX(helper!$D$3:$D3996,MOD(ROW()-2,COUNTA(helper!$D$3:$D3996))+1))</f>
        <v>FMC</v>
      </c>
      <c r="D1090" s="3" t="str">
        <f t="array" ref="D1090">IF(B1090="","",INDEX(helper!$E$3:$E3996,MOD(ROW()-2,COUNTA(helper!$D$3:$D3996))+1))</f>
        <v>CS 007</v>
      </c>
      <c r="E1090" s="3">
        <f t="array" ref="E1090">IF(B1090="","",INDEX(helper!$F$3:$F3996,MOD(ROW()-2,COUNTA(helper!$D$3:$D3996))+1))</f>
        <v>8</v>
      </c>
      <c r="F1090" s="3">
        <f>IF(B1090="","",SUMIFS('inventory ledger'!$H:$H,'inventory ledger'!$C:$C,C1090,'inventory ledger'!$D:$D,D1090,'inventory ledger'!$E:$E,E1090,'inventory ledger'!$A:$A,"&lt;="&amp;B1090+TIME(23,59,59))-SUMIFS('inventory ledger'!$I:$I,'inventory ledger'!$C:$C,C1090,'inventory ledger'!$D:$D,D1090,'inventory ledger'!$E:$E,E1090,'inventory ledger'!$A:$A,"&lt;="&amp;B1090+TIME(23,59,59)))</f>
        <v>0</v>
      </c>
      <c r="G1090" s="3">
        <f>IFERROR(__xludf.DUMMYFUNCTION("IF(F1090&lt;=0,0,IFERROR(ROUNDUP(F1090/INDEX(FILTER('warehouse config'!$D:$D,('warehouse config'!$B:$B=C1090)*('warehouse config'!$C:$C=D1090)*('warehouse config'!$G:$G&lt;=B1090)*(('warehouse config'!$H:$H&gt;=B1090)+ISBLANK('warehouse config'!$H:$H))),1)),0))"),0.0)</f>
        <v>0</v>
      </c>
      <c r="H1090" s="3">
        <f>IFERROR(__xludf.DUMMYFUNCTION("IFERROR(INDEX(FILTER('cost master'!$E:$E,('cost master'!$B:$B=C1090)*('cost master'!$D:$D=""Storage cost per pallet / week"")*('cost master'!$G:$G&lt;=B1090)*(('cost master'!$H:$H&gt;=B1090)+ISBLANK('cost master'!$H:$H))),1),0)"),3.9)</f>
        <v>3.9</v>
      </c>
      <c r="I1090" s="3">
        <f t="shared" si="4"/>
        <v>0</v>
      </c>
      <c r="J1090" s="27">
        <f t="shared" si="5"/>
        <v>45885</v>
      </c>
      <c r="K1090" s="27">
        <f t="shared" si="6"/>
        <v>45915</v>
      </c>
    </row>
    <row r="1091" hidden="1">
      <c r="A1091" s="3" t="str">
        <f t="shared" si="3"/>
        <v>SL-20250818-FMC-CS 008-8</v>
      </c>
      <c r="B1091" s="2">
        <f t="array" ref="B1091">INDEX(helper!$A$3:$A3996,ROUNDUP((ROW()-1)/COUNTA(helper!$D$3:$D3996),0))</f>
        <v>45887</v>
      </c>
      <c r="C1091" s="5" t="str">
        <f t="array" ref="C1091">IF(B1091="","",INDEX(helper!$D$3:$D3996,MOD(ROW()-2,COUNTA(helper!$D$3:$D3996))+1))</f>
        <v>FMC</v>
      </c>
      <c r="D1091" s="3" t="str">
        <f t="array" ref="D1091">IF(B1091="","",INDEX(helper!$E$3:$E3996,MOD(ROW()-2,COUNTA(helper!$D$3:$D3996))+1))</f>
        <v>CS 008</v>
      </c>
      <c r="E1091" s="3">
        <f t="array" ref="E1091">IF(B1091="","",INDEX(helper!$F$3:$F3996,MOD(ROW()-2,COUNTA(helper!$D$3:$D3996))+1))</f>
        <v>8</v>
      </c>
      <c r="F1091" s="3">
        <f>IF(B1091="","",SUMIFS('inventory ledger'!$H:$H,'inventory ledger'!$C:$C,C1091,'inventory ledger'!$D:$D,D1091,'inventory ledger'!$E:$E,E1091,'inventory ledger'!$A:$A,"&lt;="&amp;B1091+TIME(23,59,59))-SUMIFS('inventory ledger'!$I:$I,'inventory ledger'!$C:$C,C1091,'inventory ledger'!$D:$D,D1091,'inventory ledger'!$E:$E,E1091,'inventory ledger'!$A:$A,"&lt;="&amp;B1091+TIME(23,59,59)))</f>
        <v>0</v>
      </c>
      <c r="G1091" s="3">
        <f>IFERROR(__xludf.DUMMYFUNCTION("IF(F1091&lt;=0,0,IFERROR(ROUNDUP(F1091/INDEX(FILTER('warehouse config'!$D:$D,('warehouse config'!$B:$B=C1091)*('warehouse config'!$C:$C=D1091)*('warehouse config'!$G:$G&lt;=B1091)*(('warehouse config'!$H:$H&gt;=B1091)+ISBLANK('warehouse config'!$H:$H))),1)),0))"),0.0)</f>
        <v>0</v>
      </c>
      <c r="H1091" s="3">
        <f>IFERROR(__xludf.DUMMYFUNCTION("IFERROR(INDEX(FILTER('cost master'!$E:$E,('cost master'!$B:$B=C1091)*('cost master'!$D:$D=""Storage cost per pallet / week"")*('cost master'!$G:$G&lt;=B1091)*(('cost master'!$H:$H&gt;=B1091)+ISBLANK('cost master'!$H:$H))),1),0)"),3.9)</f>
        <v>3.9</v>
      </c>
      <c r="I1091" s="3">
        <f t="shared" si="4"/>
        <v>0</v>
      </c>
      <c r="J1091" s="27">
        <f t="shared" si="5"/>
        <v>45885</v>
      </c>
      <c r="K1091" s="27">
        <f t="shared" si="6"/>
        <v>45915</v>
      </c>
    </row>
    <row r="1092" hidden="1">
      <c r="A1092" s="3" t="str">
        <f t="shared" si="3"/>
        <v>SL-20250818-FMC-CS 009-8</v>
      </c>
      <c r="B1092" s="2">
        <f t="array" ref="B1092">INDEX(helper!$A$3:$A3996,ROUNDUP((ROW()-1)/COUNTA(helper!$D$3:$D3996),0))</f>
        <v>45887</v>
      </c>
      <c r="C1092" s="5" t="str">
        <f t="array" ref="C1092">IF(B1092="","",INDEX(helper!$D$3:$D3996,MOD(ROW()-2,COUNTA(helper!$D$3:$D3996))+1))</f>
        <v>FMC</v>
      </c>
      <c r="D1092" s="3" t="str">
        <f t="array" ref="D1092">IF(B1092="","",INDEX(helper!$E$3:$E3996,MOD(ROW()-2,COUNTA(helper!$D$3:$D3996))+1))</f>
        <v>CS 009</v>
      </c>
      <c r="E1092" s="3">
        <f t="array" ref="E1092">IF(B1092="","",INDEX(helper!$F$3:$F3996,MOD(ROW()-2,COUNTA(helper!$D$3:$D3996))+1))</f>
        <v>8</v>
      </c>
      <c r="F1092" s="3">
        <f>IF(B1092="","",SUMIFS('inventory ledger'!$H:$H,'inventory ledger'!$C:$C,C1092,'inventory ledger'!$D:$D,D1092,'inventory ledger'!$E:$E,E1092,'inventory ledger'!$A:$A,"&lt;="&amp;B1092+TIME(23,59,59))-SUMIFS('inventory ledger'!$I:$I,'inventory ledger'!$C:$C,C1092,'inventory ledger'!$D:$D,D1092,'inventory ledger'!$E:$E,E1092,'inventory ledger'!$A:$A,"&lt;="&amp;B1092+TIME(23,59,59)))</f>
        <v>0</v>
      </c>
      <c r="G1092" s="3">
        <f>IFERROR(__xludf.DUMMYFUNCTION("IF(F1092&lt;=0,0,IFERROR(ROUNDUP(F1092/INDEX(FILTER('warehouse config'!$D:$D,('warehouse config'!$B:$B=C1092)*('warehouse config'!$C:$C=D1092)*('warehouse config'!$G:$G&lt;=B1092)*(('warehouse config'!$H:$H&gt;=B1092)+ISBLANK('warehouse config'!$H:$H))),1)),0))"),0.0)</f>
        <v>0</v>
      </c>
      <c r="H1092" s="3">
        <f>IFERROR(__xludf.DUMMYFUNCTION("IFERROR(INDEX(FILTER('cost master'!$E:$E,('cost master'!$B:$B=C1092)*('cost master'!$D:$D=""Storage cost per pallet / week"")*('cost master'!$G:$G&lt;=B1092)*(('cost master'!$H:$H&gt;=B1092)+ISBLANK('cost master'!$H:$H))),1),0)"),3.9)</f>
        <v>3.9</v>
      </c>
      <c r="I1092" s="3">
        <f t="shared" si="4"/>
        <v>0</v>
      </c>
      <c r="J1092" s="27">
        <f t="shared" si="5"/>
        <v>45885</v>
      </c>
      <c r="K1092" s="27">
        <f t="shared" si="6"/>
        <v>45915</v>
      </c>
    </row>
    <row r="1093" hidden="1">
      <c r="A1093" s="3" t="str">
        <f t="shared" si="3"/>
        <v>SL-20250818-FMC-CS 010-8</v>
      </c>
      <c r="B1093" s="2">
        <f t="array" ref="B1093">INDEX(helper!$A$3:$A3996,ROUNDUP((ROW()-1)/COUNTA(helper!$D$3:$D3996),0))</f>
        <v>45887</v>
      </c>
      <c r="C1093" s="5" t="str">
        <f t="array" ref="C1093">IF(B1093="","",INDEX(helper!$D$3:$D3996,MOD(ROW()-2,COUNTA(helper!$D$3:$D3996))+1))</f>
        <v>FMC</v>
      </c>
      <c r="D1093" s="3" t="str">
        <f t="array" ref="D1093">IF(B1093="","",INDEX(helper!$E$3:$E3996,MOD(ROW()-2,COUNTA(helper!$D$3:$D3996))+1))</f>
        <v>CS 010</v>
      </c>
      <c r="E1093" s="3">
        <f t="array" ref="E1093">IF(B1093="","",INDEX(helper!$F$3:$F3996,MOD(ROW()-2,COUNTA(helper!$D$3:$D3996))+1))</f>
        <v>8</v>
      </c>
      <c r="F1093" s="3">
        <f>IF(B1093="","",SUMIFS('inventory ledger'!$H:$H,'inventory ledger'!$C:$C,C1093,'inventory ledger'!$D:$D,D1093,'inventory ledger'!$E:$E,E1093,'inventory ledger'!$A:$A,"&lt;="&amp;B1093+TIME(23,59,59))-SUMIFS('inventory ledger'!$I:$I,'inventory ledger'!$C:$C,C1093,'inventory ledger'!$D:$D,D1093,'inventory ledger'!$E:$E,E1093,'inventory ledger'!$A:$A,"&lt;="&amp;B1093+TIME(23,59,59)))</f>
        <v>0</v>
      </c>
      <c r="G1093" s="3">
        <f>IFERROR(__xludf.DUMMYFUNCTION("IF(F1093&lt;=0,0,IFERROR(ROUNDUP(F1093/INDEX(FILTER('warehouse config'!$D:$D,('warehouse config'!$B:$B=C1093)*('warehouse config'!$C:$C=D1093)*('warehouse config'!$G:$G&lt;=B1093)*(('warehouse config'!$H:$H&gt;=B1093)+ISBLANK('warehouse config'!$H:$H))),1)),0))"),0.0)</f>
        <v>0</v>
      </c>
      <c r="H1093" s="3">
        <f>IFERROR(__xludf.DUMMYFUNCTION("IFERROR(INDEX(FILTER('cost master'!$E:$E,('cost master'!$B:$B=C1093)*('cost master'!$D:$D=""Storage cost per pallet / week"")*('cost master'!$G:$G&lt;=B1093)*(('cost master'!$H:$H&gt;=B1093)+ISBLANK('cost master'!$H:$H))),1),0)"),3.9)</f>
        <v>3.9</v>
      </c>
      <c r="I1093" s="3">
        <f t="shared" si="4"/>
        <v>0</v>
      </c>
      <c r="J1093" s="27">
        <f t="shared" si="5"/>
        <v>45885</v>
      </c>
      <c r="K1093" s="27">
        <f t="shared" si="6"/>
        <v>45915</v>
      </c>
    </row>
    <row r="1094" hidden="1">
      <c r="A1094" s="3" t="str">
        <f t="shared" si="3"/>
        <v>SL-20250818-FMC-CS 007-9</v>
      </c>
      <c r="B1094" s="2">
        <f t="array" ref="B1094">INDEX(helper!$A$3:$A3996,ROUNDUP((ROW()-1)/COUNTA(helper!$D$3:$D3996),0))</f>
        <v>45887</v>
      </c>
      <c r="C1094" s="5" t="str">
        <f t="array" ref="C1094">IF(B1094="","",INDEX(helper!$D$3:$D3996,MOD(ROW()-2,COUNTA(helper!$D$3:$D3996))+1))</f>
        <v>FMC</v>
      </c>
      <c r="D1094" s="3" t="str">
        <f t="array" ref="D1094">IF(B1094="","",INDEX(helper!$E$3:$E3996,MOD(ROW()-2,COUNTA(helper!$D$3:$D3996))+1))</f>
        <v>CS 007</v>
      </c>
      <c r="E1094" s="3">
        <f t="array" ref="E1094">IF(B1094="","",INDEX(helper!$F$3:$F3996,MOD(ROW()-2,COUNTA(helper!$D$3:$D3996))+1))</f>
        <v>9</v>
      </c>
      <c r="F1094" s="3">
        <f>IF(B1094="","",SUMIFS('inventory ledger'!$H:$H,'inventory ledger'!$C:$C,C1094,'inventory ledger'!$D:$D,D1094,'inventory ledger'!$E:$E,E1094,'inventory ledger'!$A:$A,"&lt;="&amp;B1094+TIME(23,59,59))-SUMIFS('inventory ledger'!$I:$I,'inventory ledger'!$C:$C,C1094,'inventory ledger'!$D:$D,D1094,'inventory ledger'!$E:$E,E1094,'inventory ledger'!$A:$A,"&lt;="&amp;B1094+TIME(23,59,59)))</f>
        <v>0</v>
      </c>
      <c r="G1094" s="3">
        <f>IFERROR(__xludf.DUMMYFUNCTION("IF(F1094&lt;=0,0,IFERROR(ROUNDUP(F1094/INDEX(FILTER('warehouse config'!$D:$D,('warehouse config'!$B:$B=C1094)*('warehouse config'!$C:$C=D1094)*('warehouse config'!$G:$G&lt;=B1094)*(('warehouse config'!$H:$H&gt;=B1094)+ISBLANK('warehouse config'!$H:$H))),1)),0))"),0.0)</f>
        <v>0</v>
      </c>
      <c r="H1094" s="3">
        <f>IFERROR(__xludf.DUMMYFUNCTION("IFERROR(INDEX(FILTER('cost master'!$E:$E,('cost master'!$B:$B=C1094)*('cost master'!$D:$D=""Storage cost per pallet / week"")*('cost master'!$G:$G&lt;=B1094)*(('cost master'!$H:$H&gt;=B1094)+ISBLANK('cost master'!$H:$H))),1),0)"),3.9)</f>
        <v>3.9</v>
      </c>
      <c r="I1094" s="3">
        <f t="shared" si="4"/>
        <v>0</v>
      </c>
      <c r="J1094" s="27">
        <f t="shared" si="5"/>
        <v>45885</v>
      </c>
      <c r="K1094" s="27">
        <f t="shared" si="6"/>
        <v>45915</v>
      </c>
    </row>
    <row r="1095" hidden="1">
      <c r="A1095" s="3" t="str">
        <f t="shared" si="3"/>
        <v>SL-20250818-FMC-CS 008-9</v>
      </c>
      <c r="B1095" s="2">
        <f t="array" ref="B1095">INDEX(helper!$A$3:$A3996,ROUNDUP((ROW()-1)/COUNTA(helper!$D$3:$D3996),0))</f>
        <v>45887</v>
      </c>
      <c r="C1095" s="5" t="str">
        <f t="array" ref="C1095">IF(B1095="","",INDEX(helper!$D$3:$D3996,MOD(ROW()-2,COUNTA(helper!$D$3:$D3996))+1))</f>
        <v>FMC</v>
      </c>
      <c r="D1095" s="3" t="str">
        <f t="array" ref="D1095">IF(B1095="","",INDEX(helper!$E$3:$E3996,MOD(ROW()-2,COUNTA(helper!$D$3:$D3996))+1))</f>
        <v>CS 008</v>
      </c>
      <c r="E1095" s="3">
        <f t="array" ref="E1095">IF(B1095="","",INDEX(helper!$F$3:$F3996,MOD(ROW()-2,COUNTA(helper!$D$3:$D3996))+1))</f>
        <v>9</v>
      </c>
      <c r="F1095" s="3">
        <f>IF(B1095="","",SUMIFS('inventory ledger'!$H:$H,'inventory ledger'!$C:$C,C1095,'inventory ledger'!$D:$D,D1095,'inventory ledger'!$E:$E,E1095,'inventory ledger'!$A:$A,"&lt;="&amp;B1095+TIME(23,59,59))-SUMIFS('inventory ledger'!$I:$I,'inventory ledger'!$C:$C,C1095,'inventory ledger'!$D:$D,D1095,'inventory ledger'!$E:$E,E1095,'inventory ledger'!$A:$A,"&lt;="&amp;B1095+TIME(23,59,59)))</f>
        <v>2</v>
      </c>
      <c r="G1095" s="3">
        <f>IFERROR(__xludf.DUMMYFUNCTION("IF(F1095&lt;=0,0,IFERROR(ROUNDUP(F1095/INDEX(FILTER('warehouse config'!$D:$D,('warehouse config'!$B:$B=C1095)*('warehouse config'!$C:$C=D1095)*('warehouse config'!$G:$G&lt;=B1095)*(('warehouse config'!$H:$H&gt;=B1095)+ISBLANK('warehouse config'!$H:$H))),1)),0))"),1.0)</f>
        <v>1</v>
      </c>
      <c r="H1095" s="3">
        <f>IFERROR(__xludf.DUMMYFUNCTION("IFERROR(INDEX(FILTER('cost master'!$E:$E,('cost master'!$B:$B=C1095)*('cost master'!$D:$D=""Storage cost per pallet / week"")*('cost master'!$G:$G&lt;=B1095)*(('cost master'!$H:$H&gt;=B1095)+ISBLANK('cost master'!$H:$H))),1),0)"),3.9)</f>
        <v>3.9</v>
      </c>
      <c r="I1095" s="3">
        <f t="shared" si="4"/>
        <v>3.9</v>
      </c>
      <c r="J1095" s="27">
        <f t="shared" si="5"/>
        <v>45885</v>
      </c>
      <c r="K1095" s="27">
        <f t="shared" si="6"/>
        <v>45915</v>
      </c>
    </row>
    <row r="1096" hidden="1">
      <c r="A1096" s="3" t="str">
        <f t="shared" si="3"/>
        <v>SL-20250818-FMC-CS 009-9</v>
      </c>
      <c r="B1096" s="2">
        <f t="array" ref="B1096">INDEX(helper!$A$3:$A3996,ROUNDUP((ROW()-1)/COUNTA(helper!$D$3:$D3996),0))</f>
        <v>45887</v>
      </c>
      <c r="C1096" s="5" t="str">
        <f t="array" ref="C1096">IF(B1096="","",INDEX(helper!$D$3:$D3996,MOD(ROW()-2,COUNTA(helper!$D$3:$D3996))+1))</f>
        <v>FMC</v>
      </c>
      <c r="D1096" s="3" t="str">
        <f t="array" ref="D1096">IF(B1096="","",INDEX(helper!$E$3:$E3996,MOD(ROW()-2,COUNTA(helper!$D$3:$D3996))+1))</f>
        <v>CS 009</v>
      </c>
      <c r="E1096" s="3">
        <f t="array" ref="E1096">IF(B1096="","",INDEX(helper!$F$3:$F3996,MOD(ROW()-2,COUNTA(helper!$D$3:$D3996))+1))</f>
        <v>9</v>
      </c>
      <c r="F1096" s="3">
        <f>IF(B1096="","",SUMIFS('inventory ledger'!$H:$H,'inventory ledger'!$C:$C,C1096,'inventory ledger'!$D:$D,D1096,'inventory ledger'!$E:$E,E1096,'inventory ledger'!$A:$A,"&lt;="&amp;B1096+TIME(23,59,59))-SUMIFS('inventory ledger'!$I:$I,'inventory ledger'!$C:$C,C1096,'inventory ledger'!$D:$D,D1096,'inventory ledger'!$E:$E,E1096,'inventory ledger'!$A:$A,"&lt;="&amp;B1096+TIME(23,59,59)))</f>
        <v>0</v>
      </c>
      <c r="G1096" s="3">
        <f>IFERROR(__xludf.DUMMYFUNCTION("IF(F1096&lt;=0,0,IFERROR(ROUNDUP(F1096/INDEX(FILTER('warehouse config'!$D:$D,('warehouse config'!$B:$B=C1096)*('warehouse config'!$C:$C=D1096)*('warehouse config'!$G:$G&lt;=B1096)*(('warehouse config'!$H:$H&gt;=B1096)+ISBLANK('warehouse config'!$H:$H))),1)),0))"),0.0)</f>
        <v>0</v>
      </c>
      <c r="H1096" s="3">
        <f>IFERROR(__xludf.DUMMYFUNCTION("IFERROR(INDEX(FILTER('cost master'!$E:$E,('cost master'!$B:$B=C1096)*('cost master'!$D:$D=""Storage cost per pallet / week"")*('cost master'!$G:$G&lt;=B1096)*(('cost master'!$H:$H&gt;=B1096)+ISBLANK('cost master'!$H:$H))),1),0)"),3.9)</f>
        <v>3.9</v>
      </c>
      <c r="I1096" s="3">
        <f t="shared" si="4"/>
        <v>0</v>
      </c>
      <c r="J1096" s="27">
        <f t="shared" si="5"/>
        <v>45885</v>
      </c>
      <c r="K1096" s="27">
        <f t="shared" si="6"/>
        <v>45915</v>
      </c>
    </row>
    <row r="1097" hidden="1">
      <c r="A1097" s="3" t="str">
        <f t="shared" si="3"/>
        <v>SL-20250818-FMC-CS 010-9</v>
      </c>
      <c r="B1097" s="2">
        <f t="array" ref="B1097">INDEX(helper!$A$3:$A3996,ROUNDUP((ROW()-1)/COUNTA(helper!$D$3:$D3996),0))</f>
        <v>45887</v>
      </c>
      <c r="C1097" s="5" t="str">
        <f t="array" ref="C1097">IF(B1097="","",INDEX(helper!$D$3:$D3996,MOD(ROW()-2,COUNTA(helper!$D$3:$D3996))+1))</f>
        <v>FMC</v>
      </c>
      <c r="D1097" s="3" t="str">
        <f t="array" ref="D1097">IF(B1097="","",INDEX(helper!$E$3:$E3996,MOD(ROW()-2,COUNTA(helper!$D$3:$D3996))+1))</f>
        <v>CS 010</v>
      </c>
      <c r="E1097" s="3">
        <f t="array" ref="E1097">IF(B1097="","",INDEX(helper!$F$3:$F3996,MOD(ROW()-2,COUNTA(helper!$D$3:$D3996))+1))</f>
        <v>9</v>
      </c>
      <c r="F1097" s="3">
        <f>IF(B1097="","",SUMIFS('inventory ledger'!$H:$H,'inventory ledger'!$C:$C,C1097,'inventory ledger'!$D:$D,D1097,'inventory ledger'!$E:$E,E1097,'inventory ledger'!$A:$A,"&lt;="&amp;B1097+TIME(23,59,59))-SUMIFS('inventory ledger'!$I:$I,'inventory ledger'!$C:$C,C1097,'inventory ledger'!$D:$D,D1097,'inventory ledger'!$E:$E,E1097,'inventory ledger'!$A:$A,"&lt;="&amp;B1097+TIME(23,59,59)))</f>
        <v>0</v>
      </c>
      <c r="G1097" s="3">
        <f>IFERROR(__xludf.DUMMYFUNCTION("IF(F1097&lt;=0,0,IFERROR(ROUNDUP(F1097/INDEX(FILTER('warehouse config'!$D:$D,('warehouse config'!$B:$B=C1097)*('warehouse config'!$C:$C=D1097)*('warehouse config'!$G:$G&lt;=B1097)*(('warehouse config'!$H:$H&gt;=B1097)+ISBLANK('warehouse config'!$H:$H))),1)),0))"),0.0)</f>
        <v>0</v>
      </c>
      <c r="H1097" s="3">
        <f>IFERROR(__xludf.DUMMYFUNCTION("IFERROR(INDEX(FILTER('cost master'!$E:$E,('cost master'!$B:$B=C1097)*('cost master'!$D:$D=""Storage cost per pallet / week"")*('cost master'!$G:$G&lt;=B1097)*(('cost master'!$H:$H&gt;=B1097)+ISBLANK('cost master'!$H:$H))),1),0)"),3.9)</f>
        <v>3.9</v>
      </c>
      <c r="I1097" s="3">
        <f t="shared" si="4"/>
        <v>0</v>
      </c>
      <c r="J1097" s="27">
        <f t="shared" si="5"/>
        <v>45885</v>
      </c>
      <c r="K1097" s="27">
        <f t="shared" si="6"/>
        <v>45915</v>
      </c>
    </row>
    <row r="1098" hidden="1">
      <c r="A1098" s="3" t="str">
        <f t="shared" si="3"/>
        <v>SL-20250818-FMC-CS-CDS-001-9</v>
      </c>
      <c r="B1098" s="2">
        <f t="array" ref="B1098">INDEX(helper!$A$3:$A3996,ROUNDUP((ROW()-1)/COUNTA(helper!$D$3:$D3996),0))</f>
        <v>45887</v>
      </c>
      <c r="C1098" s="5" t="str">
        <f t="array" ref="C1098">IF(B1098="","",INDEX(helper!$D$3:$D3996,MOD(ROW()-2,COUNTA(helper!$D$3:$D3996))+1))</f>
        <v>FMC</v>
      </c>
      <c r="D1098" s="3" t="str">
        <f t="array" ref="D1098">IF(B1098="","",INDEX(helper!$E$3:$E3996,MOD(ROW()-2,COUNTA(helper!$D$3:$D3996))+1))</f>
        <v>CS-CDS-001</v>
      </c>
      <c r="E1098" s="3">
        <f t="array" ref="E1098">IF(B1098="","",INDEX(helper!$F$3:$F3996,MOD(ROW()-2,COUNTA(helper!$D$3:$D3996))+1))</f>
        <v>9</v>
      </c>
      <c r="F1098" s="3">
        <f>IF(B1098="","",SUMIFS('inventory ledger'!$H:$H,'inventory ledger'!$C:$C,C1098,'inventory ledger'!$D:$D,D1098,'inventory ledger'!$E:$E,E1098,'inventory ledger'!$A:$A,"&lt;="&amp;B1098+TIME(23,59,59))-SUMIFS('inventory ledger'!$I:$I,'inventory ledger'!$C:$C,C1098,'inventory ledger'!$D:$D,D1098,'inventory ledger'!$E:$E,E1098,'inventory ledger'!$A:$A,"&lt;="&amp;B1098+TIME(23,59,59)))</f>
        <v>0</v>
      </c>
      <c r="G1098" s="3">
        <f>IFERROR(__xludf.DUMMYFUNCTION("IF(F1098&lt;=0,0,IFERROR(ROUNDUP(F1098/INDEX(FILTER('warehouse config'!$D:$D,('warehouse config'!$B:$B=C1098)*('warehouse config'!$C:$C=D1098)*('warehouse config'!$G:$G&lt;=B1098)*(('warehouse config'!$H:$H&gt;=B1098)+ISBLANK('warehouse config'!$H:$H))),1)),0))"),0.0)</f>
        <v>0</v>
      </c>
      <c r="H1098" s="3">
        <f>IFERROR(__xludf.DUMMYFUNCTION("IFERROR(INDEX(FILTER('cost master'!$E:$E,('cost master'!$B:$B=C1098)*('cost master'!$D:$D=""Storage cost per pallet / week"")*('cost master'!$G:$G&lt;=B1098)*(('cost master'!$H:$H&gt;=B1098)+ISBLANK('cost master'!$H:$H))),1),0)"),3.9)</f>
        <v>3.9</v>
      </c>
      <c r="I1098" s="3">
        <f t="shared" si="4"/>
        <v>0</v>
      </c>
      <c r="J1098" s="27">
        <f t="shared" si="5"/>
        <v>45885</v>
      </c>
      <c r="K1098" s="27">
        <f t="shared" si="6"/>
        <v>45915</v>
      </c>
    </row>
    <row r="1099" hidden="1">
      <c r="A1099" s="3" t="str">
        <f t="shared" si="3"/>
        <v>SL-20250818-FMC-CS-CDS-002-9</v>
      </c>
      <c r="B1099" s="2">
        <f t="array" ref="B1099">INDEX(helper!$A$3:$A3996,ROUNDUP((ROW()-1)/COUNTA(helper!$D$3:$D3996),0))</f>
        <v>45887</v>
      </c>
      <c r="C1099" s="5" t="str">
        <f t="array" ref="C1099">IF(B1099="","",INDEX(helper!$D$3:$D3996,MOD(ROW()-2,COUNTA(helper!$D$3:$D3996))+1))</f>
        <v>FMC</v>
      </c>
      <c r="D1099" s="3" t="str">
        <f t="array" ref="D1099">IF(B1099="","",INDEX(helper!$E$3:$E3996,MOD(ROW()-2,COUNTA(helper!$D$3:$D3996))+1))</f>
        <v>CS-CDS-002</v>
      </c>
      <c r="E1099" s="3">
        <f t="array" ref="E1099">IF(B1099="","",INDEX(helper!$F$3:$F3996,MOD(ROW()-2,COUNTA(helper!$D$3:$D3996))+1))</f>
        <v>9</v>
      </c>
      <c r="F1099" s="3">
        <f>IF(B1099="","",SUMIFS('inventory ledger'!$H:$H,'inventory ledger'!$C:$C,C1099,'inventory ledger'!$D:$D,D1099,'inventory ledger'!$E:$E,E1099,'inventory ledger'!$A:$A,"&lt;="&amp;B1099+TIME(23,59,59))-SUMIFS('inventory ledger'!$I:$I,'inventory ledger'!$C:$C,C1099,'inventory ledger'!$D:$D,D1099,'inventory ledger'!$E:$E,E1099,'inventory ledger'!$A:$A,"&lt;="&amp;B1099+TIME(23,59,59)))</f>
        <v>0</v>
      </c>
      <c r="G1099" s="3">
        <f>IFERROR(__xludf.DUMMYFUNCTION("IF(F1099&lt;=0,0,IFERROR(ROUNDUP(F1099/INDEX(FILTER('warehouse config'!$D:$D,('warehouse config'!$B:$B=C1099)*('warehouse config'!$C:$C=D1099)*('warehouse config'!$G:$G&lt;=B1099)*(('warehouse config'!$H:$H&gt;=B1099)+ISBLANK('warehouse config'!$H:$H))),1)),0))"),0.0)</f>
        <v>0</v>
      </c>
      <c r="H1099" s="3">
        <f>IFERROR(__xludf.DUMMYFUNCTION("IFERROR(INDEX(FILTER('cost master'!$E:$E,('cost master'!$B:$B=C1099)*('cost master'!$D:$D=""Storage cost per pallet / week"")*('cost master'!$G:$G&lt;=B1099)*(('cost master'!$H:$H&gt;=B1099)+ISBLANK('cost master'!$H:$H))),1),0)"),3.9)</f>
        <v>3.9</v>
      </c>
      <c r="I1099" s="3">
        <f t="shared" si="4"/>
        <v>0</v>
      </c>
      <c r="J1099" s="27">
        <f t="shared" si="5"/>
        <v>45885</v>
      </c>
      <c r="K1099" s="27">
        <f t="shared" si="6"/>
        <v>45915</v>
      </c>
    </row>
    <row r="1100" hidden="1">
      <c r="A1100" s="3" t="str">
        <f t="shared" si="3"/>
        <v>SL-20250818-FMC-CS 007-10</v>
      </c>
      <c r="B1100" s="2">
        <f t="array" ref="B1100">INDEX(helper!$A$3:$A3996,ROUNDUP((ROW()-1)/COUNTA(helper!$D$3:$D3996),0))</f>
        <v>45887</v>
      </c>
      <c r="C1100" s="5" t="str">
        <f t="array" ref="C1100">IF(B1100="","",INDEX(helper!$D$3:$D3996,MOD(ROW()-2,COUNTA(helper!$D$3:$D3996))+1))</f>
        <v>FMC</v>
      </c>
      <c r="D1100" s="3" t="str">
        <f t="array" ref="D1100">IF(B1100="","",INDEX(helper!$E$3:$E3996,MOD(ROW()-2,COUNTA(helper!$D$3:$D3996))+1))</f>
        <v>CS 007</v>
      </c>
      <c r="E1100" s="3">
        <f t="array" ref="E1100">IF(B1100="","",INDEX(helper!$F$3:$F3996,MOD(ROW()-2,COUNTA(helper!$D$3:$D3996))+1))</f>
        <v>10</v>
      </c>
      <c r="F1100" s="3">
        <f>IF(B1100="","",SUMIFS('inventory ledger'!$H:$H,'inventory ledger'!$C:$C,C1100,'inventory ledger'!$D:$D,D1100,'inventory ledger'!$E:$E,E1100,'inventory ledger'!$A:$A,"&lt;="&amp;B1100+TIME(23,59,59))-SUMIFS('inventory ledger'!$I:$I,'inventory ledger'!$C:$C,C1100,'inventory ledger'!$D:$D,D1100,'inventory ledger'!$E:$E,E1100,'inventory ledger'!$A:$A,"&lt;="&amp;B1100+TIME(23,59,59)))</f>
        <v>0</v>
      </c>
      <c r="G1100" s="3">
        <f>IFERROR(__xludf.DUMMYFUNCTION("IF(F1100&lt;=0,0,IFERROR(ROUNDUP(F1100/INDEX(FILTER('warehouse config'!$D:$D,('warehouse config'!$B:$B=C1100)*('warehouse config'!$C:$C=D1100)*('warehouse config'!$G:$G&lt;=B1100)*(('warehouse config'!$H:$H&gt;=B1100)+ISBLANK('warehouse config'!$H:$H))),1)),0))"),0.0)</f>
        <v>0</v>
      </c>
      <c r="H1100" s="3">
        <f>IFERROR(__xludf.DUMMYFUNCTION("IFERROR(INDEX(FILTER('cost master'!$E:$E,('cost master'!$B:$B=C1100)*('cost master'!$D:$D=""Storage cost per pallet / week"")*('cost master'!$G:$G&lt;=B1100)*(('cost master'!$H:$H&gt;=B1100)+ISBLANK('cost master'!$H:$H))),1),0)"),3.9)</f>
        <v>3.9</v>
      </c>
      <c r="I1100" s="3">
        <f t="shared" si="4"/>
        <v>0</v>
      </c>
      <c r="J1100" s="27">
        <f t="shared" si="5"/>
        <v>45885</v>
      </c>
      <c r="K1100" s="27">
        <f t="shared" si="6"/>
        <v>45915</v>
      </c>
    </row>
    <row r="1101" hidden="1">
      <c r="A1101" s="3" t="str">
        <f t="shared" si="3"/>
        <v>SL-20250818-FMC-CS 009-10</v>
      </c>
      <c r="B1101" s="2">
        <f t="array" ref="B1101">INDEX(helper!$A$3:$A3996,ROUNDUP((ROW()-1)/COUNTA(helper!$D$3:$D3996),0))</f>
        <v>45887</v>
      </c>
      <c r="C1101" s="5" t="str">
        <f t="array" ref="C1101">IF(B1101="","",INDEX(helper!$D$3:$D3996,MOD(ROW()-2,COUNTA(helper!$D$3:$D3996))+1))</f>
        <v>FMC</v>
      </c>
      <c r="D1101" s="3" t="str">
        <f t="array" ref="D1101">IF(B1101="","",INDEX(helper!$E$3:$E3996,MOD(ROW()-2,COUNTA(helper!$D$3:$D3996))+1))</f>
        <v>CS 009</v>
      </c>
      <c r="E1101" s="3">
        <f t="array" ref="E1101">IF(B1101="","",INDEX(helper!$F$3:$F3996,MOD(ROW()-2,COUNTA(helper!$D$3:$D3996))+1))</f>
        <v>10</v>
      </c>
      <c r="F1101" s="3">
        <f>IF(B1101="","",SUMIFS('inventory ledger'!$H:$H,'inventory ledger'!$C:$C,C1101,'inventory ledger'!$D:$D,D1101,'inventory ledger'!$E:$E,E1101,'inventory ledger'!$A:$A,"&lt;="&amp;B1101+TIME(23,59,59))-SUMIFS('inventory ledger'!$I:$I,'inventory ledger'!$C:$C,C1101,'inventory ledger'!$D:$D,D1101,'inventory ledger'!$E:$E,E1101,'inventory ledger'!$A:$A,"&lt;="&amp;B1101+TIME(23,59,59)))</f>
        <v>0</v>
      </c>
      <c r="G1101" s="3">
        <f>IFERROR(__xludf.DUMMYFUNCTION("IF(F1101&lt;=0,0,IFERROR(ROUNDUP(F1101/INDEX(FILTER('warehouse config'!$D:$D,('warehouse config'!$B:$B=C1101)*('warehouse config'!$C:$C=D1101)*('warehouse config'!$G:$G&lt;=B1101)*(('warehouse config'!$H:$H&gt;=B1101)+ISBLANK('warehouse config'!$H:$H))),1)),0))"),0.0)</f>
        <v>0</v>
      </c>
      <c r="H1101" s="3">
        <f>IFERROR(__xludf.DUMMYFUNCTION("IFERROR(INDEX(FILTER('cost master'!$E:$E,('cost master'!$B:$B=C1101)*('cost master'!$D:$D=""Storage cost per pallet / week"")*('cost master'!$G:$G&lt;=B1101)*(('cost master'!$H:$H&gt;=B1101)+ISBLANK('cost master'!$H:$H))),1),0)"),3.9)</f>
        <v>3.9</v>
      </c>
      <c r="I1101" s="3">
        <f t="shared" si="4"/>
        <v>0</v>
      </c>
      <c r="J1101" s="27">
        <f t="shared" si="5"/>
        <v>45885</v>
      </c>
      <c r="K1101" s="27">
        <f t="shared" si="6"/>
        <v>45915</v>
      </c>
    </row>
    <row r="1102" hidden="1">
      <c r="A1102" s="3" t="str">
        <f t="shared" si="3"/>
        <v>SL-20250818-FMC-CS 010-10</v>
      </c>
      <c r="B1102" s="2">
        <f t="array" ref="B1102">INDEX(helper!$A$3:$A3996,ROUNDUP((ROW()-1)/COUNTA(helper!$D$3:$D3996),0))</f>
        <v>45887</v>
      </c>
      <c r="C1102" s="5" t="str">
        <f t="array" ref="C1102">IF(B1102="","",INDEX(helper!$D$3:$D3996,MOD(ROW()-2,COUNTA(helper!$D$3:$D3996))+1))</f>
        <v>FMC</v>
      </c>
      <c r="D1102" s="3" t="str">
        <f t="array" ref="D1102">IF(B1102="","",INDEX(helper!$E$3:$E3996,MOD(ROW()-2,COUNTA(helper!$D$3:$D3996))+1))</f>
        <v>CS 010</v>
      </c>
      <c r="E1102" s="3">
        <f t="array" ref="E1102">IF(B1102="","",INDEX(helper!$F$3:$F3996,MOD(ROW()-2,COUNTA(helper!$D$3:$D3996))+1))</f>
        <v>10</v>
      </c>
      <c r="F1102" s="3">
        <f>IF(B1102="","",SUMIFS('inventory ledger'!$H:$H,'inventory ledger'!$C:$C,C1102,'inventory ledger'!$D:$D,D1102,'inventory ledger'!$E:$E,E1102,'inventory ledger'!$A:$A,"&lt;="&amp;B1102+TIME(23,59,59))-SUMIFS('inventory ledger'!$I:$I,'inventory ledger'!$C:$C,C1102,'inventory ledger'!$D:$D,D1102,'inventory ledger'!$E:$E,E1102,'inventory ledger'!$A:$A,"&lt;="&amp;B1102+TIME(23,59,59)))</f>
        <v>13</v>
      </c>
      <c r="G1102" s="3">
        <f>IFERROR(__xludf.DUMMYFUNCTION("IF(F1102&lt;=0,0,IFERROR(ROUNDUP(F1102/INDEX(FILTER('warehouse config'!$D:$D,('warehouse config'!$B:$B=C1102)*('warehouse config'!$C:$C=D1102)*('warehouse config'!$G:$G&lt;=B1102)*(('warehouse config'!$H:$H&gt;=B1102)+ISBLANK('warehouse config'!$H:$H))),1)),0))"),1.0)</f>
        <v>1</v>
      </c>
      <c r="H1102" s="3">
        <f>IFERROR(__xludf.DUMMYFUNCTION("IFERROR(INDEX(FILTER('cost master'!$E:$E,('cost master'!$B:$B=C1102)*('cost master'!$D:$D=""Storage cost per pallet / week"")*('cost master'!$G:$G&lt;=B1102)*(('cost master'!$H:$H&gt;=B1102)+ISBLANK('cost master'!$H:$H))),1),0)"),3.9)</f>
        <v>3.9</v>
      </c>
      <c r="I1102" s="3">
        <f t="shared" si="4"/>
        <v>3.9</v>
      </c>
      <c r="J1102" s="27">
        <f t="shared" si="5"/>
        <v>45885</v>
      </c>
      <c r="K1102" s="27">
        <f t="shared" si="6"/>
        <v>45915</v>
      </c>
    </row>
    <row r="1103" hidden="1">
      <c r="A1103" s="3" t="str">
        <f t="shared" si="3"/>
        <v>SL-20250818-FMC-CS-CDS-001-10</v>
      </c>
      <c r="B1103" s="2">
        <f t="array" ref="B1103">INDEX(helper!$A$3:$A3996,ROUNDUP((ROW()-1)/COUNTA(helper!$D$3:$D3996),0))</f>
        <v>45887</v>
      </c>
      <c r="C1103" s="5" t="str">
        <f t="array" ref="C1103">IF(B1103="","",INDEX(helper!$D$3:$D3996,MOD(ROW()-2,COUNTA(helper!$D$3:$D3996))+1))</f>
        <v>FMC</v>
      </c>
      <c r="D1103" s="3" t="str">
        <f t="array" ref="D1103">IF(B1103="","",INDEX(helper!$E$3:$E3996,MOD(ROW()-2,COUNTA(helper!$D$3:$D3996))+1))</f>
        <v>CS-CDS-001</v>
      </c>
      <c r="E1103" s="3">
        <f t="array" ref="E1103">IF(B1103="","",INDEX(helper!$F$3:$F3996,MOD(ROW()-2,COUNTA(helper!$D$3:$D3996))+1))</f>
        <v>10</v>
      </c>
      <c r="F1103" s="3">
        <f>IF(B1103="","",SUMIFS('inventory ledger'!$H:$H,'inventory ledger'!$C:$C,C1103,'inventory ledger'!$D:$D,D1103,'inventory ledger'!$E:$E,E1103,'inventory ledger'!$A:$A,"&lt;="&amp;B1103+TIME(23,59,59))-SUMIFS('inventory ledger'!$I:$I,'inventory ledger'!$C:$C,C1103,'inventory ledger'!$D:$D,D1103,'inventory ledger'!$E:$E,E1103,'inventory ledger'!$A:$A,"&lt;="&amp;B1103+TIME(23,59,59)))</f>
        <v>0</v>
      </c>
      <c r="G1103" s="3">
        <f>IFERROR(__xludf.DUMMYFUNCTION("IF(F1103&lt;=0,0,IFERROR(ROUNDUP(F1103/INDEX(FILTER('warehouse config'!$D:$D,('warehouse config'!$B:$B=C1103)*('warehouse config'!$C:$C=D1103)*('warehouse config'!$G:$G&lt;=B1103)*(('warehouse config'!$H:$H&gt;=B1103)+ISBLANK('warehouse config'!$H:$H))),1)),0))"),0.0)</f>
        <v>0</v>
      </c>
      <c r="H1103" s="3">
        <f>IFERROR(__xludf.DUMMYFUNCTION("IFERROR(INDEX(FILTER('cost master'!$E:$E,('cost master'!$B:$B=C1103)*('cost master'!$D:$D=""Storage cost per pallet / week"")*('cost master'!$G:$G&lt;=B1103)*(('cost master'!$H:$H&gt;=B1103)+ISBLANK('cost master'!$H:$H))),1),0)"),3.9)</f>
        <v>3.9</v>
      </c>
      <c r="I1103" s="3">
        <f t="shared" si="4"/>
        <v>0</v>
      </c>
      <c r="J1103" s="27">
        <f t="shared" si="5"/>
        <v>45885</v>
      </c>
      <c r="K1103" s="27">
        <f t="shared" si="6"/>
        <v>45915</v>
      </c>
    </row>
    <row r="1104">
      <c r="A1104" s="3" t="str">
        <f t="shared" si="3"/>
        <v>SL-20250818-FMC-CS 007-11</v>
      </c>
      <c r="B1104" s="2">
        <f t="array" ref="B1104">INDEX(helper!$A$3:$A3996,ROUNDUP((ROW()-1)/COUNTA(helper!$D$3:$D3996),0))</f>
        <v>45887</v>
      </c>
      <c r="C1104" s="5" t="str">
        <f t="array" ref="C1104">IF(B1104="","",INDEX(helper!$D$3:$D3996,MOD(ROW()-2,COUNTA(helper!$D$3:$D3996))+1))</f>
        <v>FMC</v>
      </c>
      <c r="D1104" s="3" t="str">
        <f t="array" ref="D1104">IF(B1104="","",INDEX(helper!$E$3:$E3996,MOD(ROW()-2,COUNTA(helper!$D$3:$D3996))+1))</f>
        <v>CS 007</v>
      </c>
      <c r="E1104" s="3">
        <f t="array" ref="E1104">IF(B1104="","",INDEX(helper!$F$3:$F3996,MOD(ROW()-2,COUNTA(helper!$D$3:$D3996))+1))</f>
        <v>11</v>
      </c>
      <c r="F1104" s="3">
        <f>IF(B1104="","",SUMIFS('inventory ledger'!$H:$H,'inventory ledger'!$C:$C,C1104,'inventory ledger'!$D:$D,D1104,'inventory ledger'!$E:$E,E1104,'inventory ledger'!$A:$A,"&lt;="&amp;B1104+TIME(23,59,59))-SUMIFS('inventory ledger'!$I:$I,'inventory ledger'!$C:$C,C1104,'inventory ledger'!$D:$D,D1104,'inventory ledger'!$E:$E,E1104,'inventory ledger'!$A:$A,"&lt;="&amp;B1104+TIME(23,59,59)))</f>
        <v>-1</v>
      </c>
      <c r="G1104" s="3">
        <f>IFERROR(__xludf.DUMMYFUNCTION("IF(F1104&lt;=0,0,IFERROR(ROUNDUP(F1104/INDEX(FILTER('warehouse config'!$D:$D,('warehouse config'!$B:$B=C1104)*('warehouse config'!$C:$C=D1104)*('warehouse config'!$G:$G&lt;=B1104)*(('warehouse config'!$H:$H&gt;=B1104)+ISBLANK('warehouse config'!$H:$H))),1)),0))"),0.0)</f>
        <v>0</v>
      </c>
      <c r="H1104" s="3">
        <f>IFERROR(__xludf.DUMMYFUNCTION("IFERROR(INDEX(FILTER('cost master'!$E:$E,('cost master'!$B:$B=C1104)*('cost master'!$D:$D=""Storage cost per pallet / week"")*('cost master'!$G:$G&lt;=B1104)*(('cost master'!$H:$H&gt;=B1104)+ISBLANK('cost master'!$H:$H))),1),0)"),3.9)</f>
        <v>3.9</v>
      </c>
      <c r="I1104" s="3">
        <f t="shared" si="4"/>
        <v>0</v>
      </c>
      <c r="J1104" s="27">
        <f t="shared" si="5"/>
        <v>45885</v>
      </c>
      <c r="K1104" s="27">
        <f t="shared" si="6"/>
        <v>45915</v>
      </c>
    </row>
    <row r="1105" hidden="1">
      <c r="A1105" s="3" t="str">
        <f t="shared" si="3"/>
        <v>SL-20250818-FMC-CS 009-11</v>
      </c>
      <c r="B1105" s="2">
        <f t="array" ref="B1105">INDEX(helper!$A$3:$A3996,ROUNDUP((ROW()-1)/COUNTA(helper!$D$3:$D3996),0))</f>
        <v>45887</v>
      </c>
      <c r="C1105" s="5" t="str">
        <f t="array" ref="C1105">IF(B1105="","",INDEX(helper!$D$3:$D3996,MOD(ROW()-2,COUNTA(helper!$D$3:$D3996))+1))</f>
        <v>FMC</v>
      </c>
      <c r="D1105" s="3" t="str">
        <f t="array" ref="D1105">IF(B1105="","",INDEX(helper!$E$3:$E3996,MOD(ROW()-2,COUNTA(helper!$D$3:$D3996))+1))</f>
        <v>CS 009</v>
      </c>
      <c r="E1105" s="3">
        <f t="array" ref="E1105">IF(B1105="","",INDEX(helper!$F$3:$F3996,MOD(ROW()-2,COUNTA(helper!$D$3:$D3996))+1))</f>
        <v>11</v>
      </c>
      <c r="F1105" s="3">
        <f>IF(B1105="","",SUMIFS('inventory ledger'!$H:$H,'inventory ledger'!$C:$C,C1105,'inventory ledger'!$D:$D,D1105,'inventory ledger'!$E:$E,E1105,'inventory ledger'!$A:$A,"&lt;="&amp;B1105+TIME(23,59,59))-SUMIFS('inventory ledger'!$I:$I,'inventory ledger'!$C:$C,C1105,'inventory ledger'!$D:$D,D1105,'inventory ledger'!$E:$E,E1105,'inventory ledger'!$A:$A,"&lt;="&amp;B1105+TIME(23,59,59)))</f>
        <v>0</v>
      </c>
      <c r="G1105" s="3">
        <f>IFERROR(__xludf.DUMMYFUNCTION("IF(F1105&lt;=0,0,IFERROR(ROUNDUP(F1105/INDEX(FILTER('warehouse config'!$D:$D,('warehouse config'!$B:$B=C1105)*('warehouse config'!$C:$C=D1105)*('warehouse config'!$G:$G&lt;=B1105)*(('warehouse config'!$H:$H&gt;=B1105)+ISBLANK('warehouse config'!$H:$H))),1)),0))"),0.0)</f>
        <v>0</v>
      </c>
      <c r="H1105" s="3">
        <f>IFERROR(__xludf.DUMMYFUNCTION("IFERROR(INDEX(FILTER('cost master'!$E:$E,('cost master'!$B:$B=C1105)*('cost master'!$D:$D=""Storage cost per pallet / week"")*('cost master'!$G:$G&lt;=B1105)*(('cost master'!$H:$H&gt;=B1105)+ISBLANK('cost master'!$H:$H))),1),0)"),3.9)</f>
        <v>3.9</v>
      </c>
      <c r="I1105" s="3">
        <f t="shared" si="4"/>
        <v>0</v>
      </c>
      <c r="J1105" s="27">
        <f t="shared" si="5"/>
        <v>45885</v>
      </c>
      <c r="K1105" s="27">
        <f t="shared" si="6"/>
        <v>45915</v>
      </c>
    </row>
    <row r="1106" hidden="1">
      <c r="A1106" s="3" t="str">
        <f t="shared" si="3"/>
        <v>SL-20250818-FMC-CS 010-11</v>
      </c>
      <c r="B1106" s="2">
        <f t="array" ref="B1106">INDEX(helper!$A$3:$A3996,ROUNDUP((ROW()-1)/COUNTA(helper!$D$3:$D3996),0))</f>
        <v>45887</v>
      </c>
      <c r="C1106" s="5" t="str">
        <f t="array" ref="C1106">IF(B1106="","",INDEX(helper!$D$3:$D3996,MOD(ROW()-2,COUNTA(helper!$D$3:$D3996))+1))</f>
        <v>FMC</v>
      </c>
      <c r="D1106" s="3" t="str">
        <f t="array" ref="D1106">IF(B1106="","",INDEX(helper!$E$3:$E3996,MOD(ROW()-2,COUNTA(helper!$D$3:$D3996))+1))</f>
        <v>CS 010</v>
      </c>
      <c r="E1106" s="3">
        <f t="array" ref="E1106">IF(B1106="","",INDEX(helper!$F$3:$F3996,MOD(ROW()-2,COUNTA(helper!$D$3:$D3996))+1))</f>
        <v>11</v>
      </c>
      <c r="F1106" s="3">
        <f>IF(B1106="","",SUMIFS('inventory ledger'!$H:$H,'inventory ledger'!$C:$C,C1106,'inventory ledger'!$D:$D,D1106,'inventory ledger'!$E:$E,E1106,'inventory ledger'!$A:$A,"&lt;="&amp;B1106+TIME(23,59,59))-SUMIFS('inventory ledger'!$I:$I,'inventory ledger'!$C:$C,C1106,'inventory ledger'!$D:$D,D1106,'inventory ledger'!$E:$E,E1106,'inventory ledger'!$A:$A,"&lt;="&amp;B1106+TIME(23,59,59)))</f>
        <v>6</v>
      </c>
      <c r="G1106" s="3">
        <f>IFERROR(__xludf.DUMMYFUNCTION("IF(F1106&lt;=0,0,IFERROR(ROUNDUP(F1106/INDEX(FILTER('warehouse config'!$D:$D,('warehouse config'!$B:$B=C1106)*('warehouse config'!$C:$C=D1106)*('warehouse config'!$G:$G&lt;=B1106)*(('warehouse config'!$H:$H&gt;=B1106)+ISBLANK('warehouse config'!$H:$H))),1)),0))"),1.0)</f>
        <v>1</v>
      </c>
      <c r="H1106" s="3">
        <f>IFERROR(__xludf.DUMMYFUNCTION("IFERROR(INDEX(FILTER('cost master'!$E:$E,('cost master'!$B:$B=C1106)*('cost master'!$D:$D=""Storage cost per pallet / week"")*('cost master'!$G:$G&lt;=B1106)*(('cost master'!$H:$H&gt;=B1106)+ISBLANK('cost master'!$H:$H))),1),0)"),3.9)</f>
        <v>3.9</v>
      </c>
      <c r="I1106" s="3">
        <f t="shared" si="4"/>
        <v>3.9</v>
      </c>
      <c r="J1106" s="27">
        <f t="shared" si="5"/>
        <v>45885</v>
      </c>
      <c r="K1106" s="27">
        <f t="shared" si="6"/>
        <v>45915</v>
      </c>
    </row>
    <row r="1107" hidden="1">
      <c r="A1107" s="3" t="str">
        <f t="shared" si="3"/>
        <v>SL-20250818-Vglobal-CS 007-12</v>
      </c>
      <c r="B1107" s="2">
        <f t="array" ref="B1107">INDEX(helper!$A$3:$A3996,ROUNDUP((ROW()-1)/COUNTA(helper!$D$3:$D3996),0))</f>
        <v>45887</v>
      </c>
      <c r="C1107" s="5" t="str">
        <f t="array" ref="C1107">IF(B1107="","",INDEX(helper!$D$3:$D3996,MOD(ROW()-2,COUNTA(helper!$D$3:$D3996))+1))</f>
        <v>Vglobal</v>
      </c>
      <c r="D1107" s="3" t="str">
        <f t="array" ref="D1107">IF(B1107="","",INDEX(helper!$E$3:$E3996,MOD(ROW()-2,COUNTA(helper!$D$3:$D3996))+1))</f>
        <v>CS 007</v>
      </c>
      <c r="E1107" s="3">
        <f t="array" ref="E1107">IF(B1107="","",INDEX(helper!$F$3:$F3996,MOD(ROW()-2,COUNTA(helper!$D$3:$D3996))+1))</f>
        <v>12</v>
      </c>
      <c r="F1107" s="3">
        <f>IF(B1107="","",SUMIFS('inventory ledger'!$H:$H,'inventory ledger'!$C:$C,C1107,'inventory ledger'!$D:$D,D1107,'inventory ledger'!$E:$E,E1107,'inventory ledger'!$A:$A,"&lt;="&amp;B1107+TIME(23,59,59))-SUMIFS('inventory ledger'!$I:$I,'inventory ledger'!$C:$C,C1107,'inventory ledger'!$D:$D,D1107,'inventory ledger'!$E:$E,E1107,'inventory ledger'!$A:$A,"&lt;="&amp;B1107+TIME(23,59,59)))</f>
        <v>0</v>
      </c>
      <c r="G1107" s="3">
        <f>IFERROR(__xludf.DUMMYFUNCTION("IF(F1107&lt;=0,0,IFERROR(ROUNDUP(F1107/INDEX(FILTER('warehouse config'!$D:$D,('warehouse config'!$B:$B=C1107)*('warehouse config'!$C:$C=D1107)*('warehouse config'!$G:$G&lt;=B1107)*(('warehouse config'!$H:$H&gt;=B1107)+ISBLANK('warehouse config'!$H:$H))),1)),0))"),0.0)</f>
        <v>0</v>
      </c>
      <c r="H1107" s="3">
        <f>IFERROR(__xludf.DUMMYFUNCTION("IFERROR(INDEX(FILTER('cost master'!$E:$E,('cost master'!$B:$B=C1107)*('cost master'!$D:$D=""Storage cost per pallet / week"")*('cost master'!$G:$G&lt;=B1107)*(('cost master'!$H:$H&gt;=B1107)+ISBLANK('cost master'!$H:$H))),1),0)"),2.6)</f>
        <v>2.6</v>
      </c>
      <c r="I1107" s="3">
        <f t="shared" si="4"/>
        <v>0</v>
      </c>
      <c r="J1107" s="27">
        <f t="shared" si="5"/>
        <v>45885</v>
      </c>
      <c r="K1107" s="27">
        <f t="shared" si="6"/>
        <v>45915</v>
      </c>
    </row>
    <row r="1108" hidden="1">
      <c r="A1108" s="3" t="str">
        <f t="shared" si="3"/>
        <v>SL-20250818-Vglobal-CS 011-12</v>
      </c>
      <c r="B1108" s="2">
        <f t="array" ref="B1108">INDEX(helper!$A$3:$A3996,ROUNDUP((ROW()-1)/COUNTA(helper!$D$3:$D3996),0))</f>
        <v>45887</v>
      </c>
      <c r="C1108" s="5" t="str">
        <f t="array" ref="C1108">IF(B1108="","",INDEX(helper!$D$3:$D3996,MOD(ROW()-2,COUNTA(helper!$D$3:$D3996))+1))</f>
        <v>Vglobal</v>
      </c>
      <c r="D1108" s="3" t="str">
        <f t="array" ref="D1108">IF(B1108="","",INDEX(helper!$E$3:$E3996,MOD(ROW()-2,COUNTA(helper!$D$3:$D3996))+1))</f>
        <v>CS 011</v>
      </c>
      <c r="E1108" s="3">
        <f t="array" ref="E1108">IF(B1108="","",INDEX(helper!$F$3:$F3996,MOD(ROW()-2,COUNTA(helper!$D$3:$D3996))+1))</f>
        <v>12</v>
      </c>
      <c r="F1108" s="3">
        <f>IF(B1108="","",SUMIFS('inventory ledger'!$H:$H,'inventory ledger'!$C:$C,C1108,'inventory ledger'!$D:$D,D1108,'inventory ledger'!$E:$E,E1108,'inventory ledger'!$A:$A,"&lt;="&amp;B1108+TIME(23,59,59))-SUMIFS('inventory ledger'!$I:$I,'inventory ledger'!$C:$C,C1108,'inventory ledger'!$D:$D,D1108,'inventory ledger'!$E:$E,E1108,'inventory ledger'!$A:$A,"&lt;="&amp;B1108+TIME(23,59,59)))</f>
        <v>0</v>
      </c>
      <c r="G1108" s="3">
        <f>IFERROR(__xludf.DUMMYFUNCTION("IF(F1108&lt;=0,0,IFERROR(ROUNDUP(F1108/INDEX(FILTER('warehouse config'!$D:$D,('warehouse config'!$B:$B=C1108)*('warehouse config'!$C:$C=D1108)*('warehouse config'!$G:$G&lt;=B1108)*(('warehouse config'!$H:$H&gt;=B1108)+ISBLANK('warehouse config'!$H:$H))),1)),0))"),0.0)</f>
        <v>0</v>
      </c>
      <c r="H1108" s="3">
        <f>IFERROR(__xludf.DUMMYFUNCTION("IFERROR(INDEX(FILTER('cost master'!$E:$E,('cost master'!$B:$B=C1108)*('cost master'!$D:$D=""Storage cost per pallet / week"")*('cost master'!$G:$G&lt;=B1108)*(('cost master'!$H:$H&gt;=B1108)+ISBLANK('cost master'!$H:$H))),1),0)"),2.6)</f>
        <v>2.6</v>
      </c>
      <c r="I1108" s="3">
        <f t="shared" si="4"/>
        <v>0</v>
      </c>
      <c r="J1108" s="27">
        <f t="shared" si="5"/>
        <v>45885</v>
      </c>
      <c r="K1108" s="27">
        <f t="shared" si="6"/>
        <v>45915</v>
      </c>
    </row>
    <row r="1109" hidden="1">
      <c r="A1109" s="3" t="str">
        <f t="shared" si="3"/>
        <v>SL-20250818-Vglobal-CS 008-12</v>
      </c>
      <c r="B1109" s="2">
        <f t="array" ref="B1109">INDEX(helper!$A$3:$A3996,ROUNDUP((ROW()-1)/COUNTA(helper!$D$3:$D3996),0))</f>
        <v>45887</v>
      </c>
      <c r="C1109" s="5" t="str">
        <f t="array" ref="C1109">IF(B1109="","",INDEX(helper!$D$3:$D3996,MOD(ROW()-2,COUNTA(helper!$D$3:$D3996))+1))</f>
        <v>Vglobal</v>
      </c>
      <c r="D1109" s="3" t="str">
        <f t="array" ref="D1109">IF(B1109="","",INDEX(helper!$E$3:$E3996,MOD(ROW()-2,COUNTA(helper!$D$3:$D3996))+1))</f>
        <v>CS 008</v>
      </c>
      <c r="E1109" s="3">
        <f t="array" ref="E1109">IF(B1109="","",INDEX(helper!$F$3:$F3996,MOD(ROW()-2,COUNTA(helper!$D$3:$D3996))+1))</f>
        <v>12</v>
      </c>
      <c r="F1109" s="3">
        <f>IF(B1109="","",SUMIFS('inventory ledger'!$H:$H,'inventory ledger'!$C:$C,C1109,'inventory ledger'!$D:$D,D1109,'inventory ledger'!$E:$E,E1109,'inventory ledger'!$A:$A,"&lt;="&amp;B1109+TIME(23,59,59))-SUMIFS('inventory ledger'!$I:$I,'inventory ledger'!$C:$C,C1109,'inventory ledger'!$D:$D,D1109,'inventory ledger'!$E:$E,E1109,'inventory ledger'!$A:$A,"&lt;="&amp;B1109+TIME(23,59,59)))</f>
        <v>0</v>
      </c>
      <c r="G1109" s="3">
        <f>IFERROR(__xludf.DUMMYFUNCTION("IF(F1109&lt;=0,0,IFERROR(ROUNDUP(F1109/INDEX(FILTER('warehouse config'!$D:$D,('warehouse config'!$B:$B=C1109)*('warehouse config'!$C:$C=D1109)*('warehouse config'!$G:$G&lt;=B1109)*(('warehouse config'!$H:$H&gt;=B1109)+ISBLANK('warehouse config'!$H:$H))),1)),0))"),0.0)</f>
        <v>0</v>
      </c>
      <c r="H1109" s="3">
        <f>IFERROR(__xludf.DUMMYFUNCTION("IFERROR(INDEX(FILTER('cost master'!$E:$E,('cost master'!$B:$B=C1109)*('cost master'!$D:$D=""Storage cost per pallet / week"")*('cost master'!$G:$G&lt;=B1109)*(('cost master'!$H:$H&gt;=B1109)+ISBLANK('cost master'!$H:$H))),1),0)"),2.6)</f>
        <v>2.6</v>
      </c>
      <c r="I1109" s="3">
        <f t="shared" si="4"/>
        <v>0</v>
      </c>
      <c r="J1109" s="27">
        <f t="shared" si="5"/>
        <v>45885</v>
      </c>
      <c r="K1109" s="27">
        <f t="shared" si="6"/>
        <v>45915</v>
      </c>
    </row>
    <row r="1110" hidden="1">
      <c r="A1110" s="3" t="str">
        <f t="shared" si="3"/>
        <v>SL-20250818-Vglobal-CS 010-12</v>
      </c>
      <c r="B1110" s="2">
        <f t="array" ref="B1110">INDEX(helper!$A$3:$A3996,ROUNDUP((ROW()-1)/COUNTA(helper!$D$3:$D3996),0))</f>
        <v>45887</v>
      </c>
      <c r="C1110" s="5" t="str">
        <f t="array" ref="C1110">IF(B1110="","",INDEX(helper!$D$3:$D3996,MOD(ROW()-2,COUNTA(helper!$D$3:$D3996))+1))</f>
        <v>Vglobal</v>
      </c>
      <c r="D1110" s="3" t="str">
        <f t="array" ref="D1110">IF(B1110="","",INDEX(helper!$E$3:$E3996,MOD(ROW()-2,COUNTA(helper!$D$3:$D3996))+1))</f>
        <v>CS 010</v>
      </c>
      <c r="E1110" s="3">
        <f t="array" ref="E1110">IF(B1110="","",INDEX(helper!$F$3:$F3996,MOD(ROW()-2,COUNTA(helper!$D$3:$D3996))+1))</f>
        <v>12</v>
      </c>
      <c r="F1110" s="3">
        <f>IF(B1110="","",SUMIFS('inventory ledger'!$H:$H,'inventory ledger'!$C:$C,C1110,'inventory ledger'!$D:$D,D1110,'inventory ledger'!$E:$E,E1110,'inventory ledger'!$A:$A,"&lt;="&amp;B1110+TIME(23,59,59))-SUMIFS('inventory ledger'!$I:$I,'inventory ledger'!$C:$C,C1110,'inventory ledger'!$D:$D,D1110,'inventory ledger'!$E:$E,E1110,'inventory ledger'!$A:$A,"&lt;="&amp;B1110+TIME(23,59,59)))</f>
        <v>70</v>
      </c>
      <c r="G1110" s="3">
        <f>IFERROR(__xludf.DUMMYFUNCTION("IF(F1110&lt;=0,0,IFERROR(ROUNDUP(F1110/INDEX(FILTER('warehouse config'!$D:$D,('warehouse config'!$B:$B=C1110)*('warehouse config'!$C:$C=D1110)*('warehouse config'!$G:$G&lt;=B1110)*(('warehouse config'!$H:$H&gt;=B1110)+ISBLANK('warehouse config'!$H:$H))),1)),0))"),3.0)</f>
        <v>3</v>
      </c>
      <c r="H1110" s="3">
        <f>IFERROR(__xludf.DUMMYFUNCTION("IFERROR(INDEX(FILTER('cost master'!$E:$E,('cost master'!$B:$B=C1110)*('cost master'!$D:$D=""Storage cost per pallet / week"")*('cost master'!$G:$G&lt;=B1110)*(('cost master'!$H:$H&gt;=B1110)+ISBLANK('cost master'!$H:$H))),1),0)"),2.6)</f>
        <v>2.6</v>
      </c>
      <c r="I1110" s="3">
        <f t="shared" si="4"/>
        <v>7.8</v>
      </c>
      <c r="J1110" s="27">
        <f t="shared" si="5"/>
        <v>45885</v>
      </c>
      <c r="K1110" s="27">
        <f t="shared" si="6"/>
        <v>45915</v>
      </c>
    </row>
    <row r="1111" hidden="1">
      <c r="A1111" s="3" t="str">
        <f t="shared" si="3"/>
        <v>SL-20250818-Vglobal-CS 009-12</v>
      </c>
      <c r="B1111" s="2">
        <f t="array" ref="B1111">INDEX(helper!$A$3:$A3996,ROUNDUP((ROW()-1)/COUNTA(helper!$D$3:$D3996),0))</f>
        <v>45887</v>
      </c>
      <c r="C1111" s="5" t="str">
        <f t="array" ref="C1111">IF(B1111="","",INDEX(helper!$D$3:$D3996,MOD(ROW()-2,COUNTA(helper!$D$3:$D3996))+1))</f>
        <v>Vglobal</v>
      </c>
      <c r="D1111" s="3" t="str">
        <f t="array" ref="D1111">IF(B1111="","",INDEX(helper!$E$3:$E3996,MOD(ROW()-2,COUNTA(helper!$D$3:$D3996))+1))</f>
        <v>CS 009</v>
      </c>
      <c r="E1111" s="3">
        <f t="array" ref="E1111">IF(B1111="","",INDEX(helper!$F$3:$F3996,MOD(ROW()-2,COUNTA(helper!$D$3:$D3996))+1))</f>
        <v>12</v>
      </c>
      <c r="F1111" s="3">
        <f>IF(B1111="","",SUMIFS('inventory ledger'!$H:$H,'inventory ledger'!$C:$C,C1111,'inventory ledger'!$D:$D,D1111,'inventory ledger'!$E:$E,E1111,'inventory ledger'!$A:$A,"&lt;="&amp;B1111+TIME(23,59,59))-SUMIFS('inventory ledger'!$I:$I,'inventory ledger'!$C:$C,C1111,'inventory ledger'!$D:$D,D1111,'inventory ledger'!$E:$E,E1111,'inventory ledger'!$A:$A,"&lt;="&amp;B1111+TIME(23,59,59)))</f>
        <v>0</v>
      </c>
      <c r="G1111" s="3">
        <f>IFERROR(__xludf.DUMMYFUNCTION("IF(F1111&lt;=0,0,IFERROR(ROUNDUP(F1111/INDEX(FILTER('warehouse config'!$D:$D,('warehouse config'!$B:$B=C1111)*('warehouse config'!$C:$C=D1111)*('warehouse config'!$G:$G&lt;=B1111)*(('warehouse config'!$H:$H&gt;=B1111)+ISBLANK('warehouse config'!$H:$H))),1)),0))"),0.0)</f>
        <v>0</v>
      </c>
      <c r="H1111" s="3">
        <f>IFERROR(__xludf.DUMMYFUNCTION("IFERROR(INDEX(FILTER('cost master'!$E:$E,('cost master'!$B:$B=C1111)*('cost master'!$D:$D=""Storage cost per pallet / week"")*('cost master'!$G:$G&lt;=B1111)*(('cost master'!$H:$H&gt;=B1111)+ISBLANK('cost master'!$H:$H))),1),0)"),2.6)</f>
        <v>2.6</v>
      </c>
      <c r="I1111" s="3">
        <f t="shared" si="4"/>
        <v>0</v>
      </c>
      <c r="J1111" s="27">
        <f t="shared" si="5"/>
        <v>45885</v>
      </c>
      <c r="K1111" s="27">
        <f t="shared" si="6"/>
        <v>45915</v>
      </c>
    </row>
    <row r="1112" hidden="1">
      <c r="A1112" s="3" t="str">
        <f t="shared" si="3"/>
        <v>SL-20250818-Vglobal-CS 012-12</v>
      </c>
      <c r="B1112" s="2">
        <f t="array" ref="B1112">INDEX(helper!$A$3:$A3996,ROUNDUP((ROW()-1)/COUNTA(helper!$D$3:$D3996),0))</f>
        <v>45887</v>
      </c>
      <c r="C1112" s="5" t="str">
        <f t="array" ref="C1112">IF(B1112="","",INDEX(helper!$D$3:$D3996,MOD(ROW()-2,COUNTA(helper!$D$3:$D3996))+1))</f>
        <v>Vglobal</v>
      </c>
      <c r="D1112" s="3" t="str">
        <f t="array" ref="D1112">IF(B1112="","",INDEX(helper!$E$3:$E3996,MOD(ROW()-2,COUNTA(helper!$D$3:$D3996))+1))</f>
        <v>CS 012</v>
      </c>
      <c r="E1112" s="3">
        <f t="array" ref="E1112">IF(B1112="","",INDEX(helper!$F$3:$F3996,MOD(ROW()-2,COUNTA(helper!$D$3:$D3996))+1))</f>
        <v>12</v>
      </c>
      <c r="F1112" s="3">
        <f>IF(B1112="","",SUMIFS('inventory ledger'!$H:$H,'inventory ledger'!$C:$C,C1112,'inventory ledger'!$D:$D,D1112,'inventory ledger'!$E:$E,E1112,'inventory ledger'!$A:$A,"&lt;="&amp;B1112+TIME(23,59,59))-SUMIFS('inventory ledger'!$I:$I,'inventory ledger'!$C:$C,C1112,'inventory ledger'!$D:$D,D1112,'inventory ledger'!$E:$E,E1112,'inventory ledger'!$A:$A,"&lt;="&amp;B1112+TIME(23,59,59)))</f>
        <v>0</v>
      </c>
      <c r="G1112" s="3">
        <f>IFERROR(__xludf.DUMMYFUNCTION("IF(F1112&lt;=0,0,IFERROR(ROUNDUP(F1112/INDEX(FILTER('warehouse config'!$D:$D,('warehouse config'!$B:$B=C1112)*('warehouse config'!$C:$C=D1112)*('warehouse config'!$G:$G&lt;=B1112)*(('warehouse config'!$H:$H&gt;=B1112)+ISBLANK('warehouse config'!$H:$H))),1)),0))"),0.0)</f>
        <v>0</v>
      </c>
      <c r="H1112" s="3">
        <f>IFERROR(__xludf.DUMMYFUNCTION("IFERROR(INDEX(FILTER('cost master'!$E:$E,('cost master'!$B:$B=C1112)*('cost master'!$D:$D=""Storage cost per pallet / week"")*('cost master'!$G:$G&lt;=B1112)*(('cost master'!$H:$H&gt;=B1112)+ISBLANK('cost master'!$H:$H))),1),0)"),2.6)</f>
        <v>2.6</v>
      </c>
      <c r="I1112" s="3">
        <f t="shared" si="4"/>
        <v>0</v>
      </c>
      <c r="J1112" s="27">
        <f t="shared" si="5"/>
        <v>45885</v>
      </c>
      <c r="K1112" s="27">
        <f t="shared" si="6"/>
        <v>45915</v>
      </c>
    </row>
    <row r="1113" hidden="1">
      <c r="A1113" s="3" t="str">
        <f t="shared" si="3"/>
        <v>SL-20250818-Vglobal-CS-CDS-001-3</v>
      </c>
      <c r="B1113" s="2">
        <f t="array" ref="B1113">INDEX(helper!$A$3:$A3996,ROUNDUP((ROW()-1)/COUNTA(helper!$D$3:$D3996),0))</f>
        <v>45887</v>
      </c>
      <c r="C1113" s="5" t="str">
        <f t="array" ref="C1113">IF(B1113="","",INDEX(helper!$D$3:$D3996,MOD(ROW()-2,COUNTA(helper!$D$3:$D3996))+1))</f>
        <v>Vglobal</v>
      </c>
      <c r="D1113" s="3" t="str">
        <f t="array" ref="D1113">IF(B1113="","",INDEX(helper!$E$3:$E3996,MOD(ROW()-2,COUNTA(helper!$D$3:$D3996))+1))</f>
        <v>CS-CDS-001</v>
      </c>
      <c r="E1113" s="3">
        <f t="array" ref="E1113">IF(B1113="","",INDEX(helper!$F$3:$F3996,MOD(ROW()-2,COUNTA(helper!$D$3:$D3996))+1))</f>
        <v>3</v>
      </c>
      <c r="F1113" s="3">
        <f>IF(B1113="","",SUMIFS('inventory ledger'!$H:$H,'inventory ledger'!$C:$C,C1113,'inventory ledger'!$D:$D,D1113,'inventory ledger'!$E:$E,E1113,'inventory ledger'!$A:$A,"&lt;="&amp;B1113+TIME(23,59,59))-SUMIFS('inventory ledger'!$I:$I,'inventory ledger'!$C:$C,C1113,'inventory ledger'!$D:$D,D1113,'inventory ledger'!$E:$E,E1113,'inventory ledger'!$A:$A,"&lt;="&amp;B1113+TIME(23,59,59)))</f>
        <v>1</v>
      </c>
      <c r="G1113" s="3">
        <f>IFERROR(__xludf.DUMMYFUNCTION("IF(F1113&lt;=0,0,IFERROR(ROUNDUP(F1113/INDEX(FILTER('warehouse config'!$D:$D,('warehouse config'!$B:$B=C1113)*('warehouse config'!$C:$C=D1113)*('warehouse config'!$G:$G&lt;=B1113)*(('warehouse config'!$H:$H&gt;=B1113)+ISBLANK('warehouse config'!$H:$H))),1)),0))"),1.0)</f>
        <v>1</v>
      </c>
      <c r="H1113" s="3">
        <f>IFERROR(__xludf.DUMMYFUNCTION("IFERROR(INDEX(FILTER('cost master'!$E:$E,('cost master'!$B:$B=C1113)*('cost master'!$D:$D=""Storage cost per pallet / week"")*('cost master'!$G:$G&lt;=B1113)*(('cost master'!$H:$H&gt;=B1113)+ISBLANK('cost master'!$H:$H))),1),0)"),2.6)</f>
        <v>2.6</v>
      </c>
      <c r="I1113" s="3">
        <f t="shared" si="4"/>
        <v>2.6</v>
      </c>
      <c r="J1113" s="27">
        <f t="shared" si="5"/>
        <v>45885</v>
      </c>
      <c r="K1113" s="27">
        <f t="shared" si="6"/>
        <v>45915</v>
      </c>
    </row>
    <row r="1114" hidden="1">
      <c r="A1114" s="3" t="str">
        <f t="shared" si="3"/>
        <v>SL-20250818-Vglobal-CS-CDS-002-3</v>
      </c>
      <c r="B1114" s="2">
        <f t="array" ref="B1114">INDEX(helper!$A$3:$A3996,ROUNDUP((ROW()-1)/COUNTA(helper!$D$3:$D3996),0))</f>
        <v>45887</v>
      </c>
      <c r="C1114" s="5" t="str">
        <f t="array" ref="C1114">IF(B1114="","",INDEX(helper!$D$3:$D3996,MOD(ROW()-2,COUNTA(helper!$D$3:$D3996))+1))</f>
        <v>Vglobal</v>
      </c>
      <c r="D1114" s="3" t="str">
        <f t="array" ref="D1114">IF(B1114="","",INDEX(helper!$E$3:$E3996,MOD(ROW()-2,COUNTA(helper!$D$3:$D3996))+1))</f>
        <v>CS-CDS-002</v>
      </c>
      <c r="E1114" s="3">
        <f t="array" ref="E1114">IF(B1114="","",INDEX(helper!$F$3:$F3996,MOD(ROW()-2,COUNTA(helper!$D$3:$D3996))+1))</f>
        <v>3</v>
      </c>
      <c r="F1114" s="3">
        <f>IF(B1114="","",SUMIFS('inventory ledger'!$H:$H,'inventory ledger'!$C:$C,C1114,'inventory ledger'!$D:$D,D1114,'inventory ledger'!$E:$E,E1114,'inventory ledger'!$A:$A,"&lt;="&amp;B1114+TIME(23,59,59))-SUMIFS('inventory ledger'!$I:$I,'inventory ledger'!$C:$C,C1114,'inventory ledger'!$D:$D,D1114,'inventory ledger'!$E:$E,E1114,'inventory ledger'!$A:$A,"&lt;="&amp;B1114+TIME(23,59,59)))</f>
        <v>0</v>
      </c>
      <c r="G1114" s="3">
        <f>IFERROR(__xludf.DUMMYFUNCTION("IF(F1114&lt;=0,0,IFERROR(ROUNDUP(F1114/INDEX(FILTER('warehouse config'!$D:$D,('warehouse config'!$B:$B=C1114)*('warehouse config'!$C:$C=D1114)*('warehouse config'!$G:$G&lt;=B1114)*(('warehouse config'!$H:$H&gt;=B1114)+ISBLANK('warehouse config'!$H:$H))),1)),0))"),0.0)</f>
        <v>0</v>
      </c>
      <c r="H1114" s="3">
        <f>IFERROR(__xludf.DUMMYFUNCTION("IFERROR(INDEX(FILTER('cost master'!$E:$E,('cost master'!$B:$B=C1114)*('cost master'!$D:$D=""Storage cost per pallet / week"")*('cost master'!$G:$G&lt;=B1114)*(('cost master'!$H:$H&gt;=B1114)+ISBLANK('cost master'!$H:$H))),1),0)"),2.6)</f>
        <v>2.6</v>
      </c>
      <c r="I1114" s="3">
        <f t="shared" si="4"/>
        <v>0</v>
      </c>
      <c r="J1114" s="27">
        <f t="shared" si="5"/>
        <v>45885</v>
      </c>
      <c r="K1114" s="27">
        <f t="shared" si="6"/>
        <v>45915</v>
      </c>
    </row>
    <row r="1115" hidden="1">
      <c r="A1115" s="3" t="str">
        <f t="shared" si="3"/>
        <v>SL-20250818-4as-CS-CDS-001-4</v>
      </c>
      <c r="B1115" s="2">
        <f t="array" ref="B1115">INDEX(helper!$A$3:$A3996,ROUNDUP((ROW()-1)/COUNTA(helper!$D$3:$D3996),0))</f>
        <v>45887</v>
      </c>
      <c r="C1115" s="5" t="str">
        <f t="array" ref="C1115">IF(B1115="","",INDEX(helper!$D$3:$D3996,MOD(ROW()-2,COUNTA(helper!$D$3:$D3996))+1))</f>
        <v>4as</v>
      </c>
      <c r="D1115" s="3" t="str">
        <f t="array" ref="D1115">IF(B1115="","",INDEX(helper!$E$3:$E3996,MOD(ROW()-2,COUNTA(helper!$D$3:$D3996))+1))</f>
        <v>CS-CDS-001</v>
      </c>
      <c r="E1115" s="3">
        <f t="array" ref="E1115">IF(B1115="","",INDEX(helper!$F$3:$F3996,MOD(ROW()-2,COUNTA(helper!$D$3:$D3996))+1))</f>
        <v>4</v>
      </c>
      <c r="F1115" s="3">
        <f>IF(B1115="","",SUMIFS('inventory ledger'!$H:$H,'inventory ledger'!$C:$C,C1115,'inventory ledger'!$D:$D,D1115,'inventory ledger'!$E:$E,E1115,'inventory ledger'!$A:$A,"&lt;="&amp;B1115+TIME(23,59,59))-SUMIFS('inventory ledger'!$I:$I,'inventory ledger'!$C:$C,C1115,'inventory ledger'!$D:$D,D1115,'inventory ledger'!$E:$E,E1115,'inventory ledger'!$A:$A,"&lt;="&amp;B1115+TIME(23,59,59)))</f>
        <v>0</v>
      </c>
      <c r="G1115" s="3">
        <f>IFERROR(__xludf.DUMMYFUNCTION("IF(F1115&lt;=0,0,IFERROR(ROUNDUP(F1115/INDEX(FILTER('warehouse config'!$D:$D,('warehouse config'!$B:$B=C1115)*('warehouse config'!$C:$C=D1115)*('warehouse config'!$G:$G&lt;=B1115)*(('warehouse config'!$H:$H&gt;=B1115)+ISBLANK('warehouse config'!$H:$H))),1)),0))"),0.0)</f>
        <v>0</v>
      </c>
      <c r="H1115" s="3">
        <f>IFERROR(__xludf.DUMMYFUNCTION("IFERROR(INDEX(FILTER('cost master'!$E:$E,('cost master'!$B:$B=C1115)*('cost master'!$D:$D=""Storage cost per pallet / week"")*('cost master'!$G:$G&lt;=B1115)*(('cost master'!$H:$H&gt;=B1115)+ISBLANK('cost master'!$H:$H))),1),0)"),9.0)</f>
        <v>9</v>
      </c>
      <c r="I1115" s="3">
        <f t="shared" si="4"/>
        <v>0</v>
      </c>
      <c r="J1115" s="27">
        <f t="shared" si="5"/>
        <v>45885</v>
      </c>
      <c r="K1115" s="27">
        <f t="shared" si="6"/>
        <v>45915</v>
      </c>
    </row>
    <row r="1116" hidden="1">
      <c r="A1116" s="3" t="str">
        <f t="shared" si="3"/>
        <v>SL-20250818-4as-CS-CDS-002-4</v>
      </c>
      <c r="B1116" s="2">
        <f t="array" ref="B1116">INDEX(helper!$A$3:$A3996,ROUNDUP((ROW()-1)/COUNTA(helper!$D$3:$D3996),0))</f>
        <v>45887</v>
      </c>
      <c r="C1116" s="5" t="str">
        <f t="array" ref="C1116">IF(B1116="","",INDEX(helper!$D$3:$D3996,MOD(ROW()-2,COUNTA(helper!$D$3:$D3996))+1))</f>
        <v>4as</v>
      </c>
      <c r="D1116" s="3" t="str">
        <f t="array" ref="D1116">IF(B1116="","",INDEX(helper!$E$3:$E3996,MOD(ROW()-2,COUNTA(helper!$D$3:$D3996))+1))</f>
        <v>CS-CDS-002</v>
      </c>
      <c r="E1116" s="3">
        <f t="array" ref="E1116">IF(B1116="","",INDEX(helper!$F$3:$F3996,MOD(ROW()-2,COUNTA(helper!$D$3:$D3996))+1))</f>
        <v>4</v>
      </c>
      <c r="F1116" s="3">
        <f>IF(B1116="","",SUMIFS('inventory ledger'!$H:$H,'inventory ledger'!$C:$C,C1116,'inventory ledger'!$D:$D,D1116,'inventory ledger'!$E:$E,E1116,'inventory ledger'!$A:$A,"&lt;="&amp;B1116+TIME(23,59,59))-SUMIFS('inventory ledger'!$I:$I,'inventory ledger'!$C:$C,C1116,'inventory ledger'!$D:$D,D1116,'inventory ledger'!$E:$E,E1116,'inventory ledger'!$A:$A,"&lt;="&amp;B1116+TIME(23,59,59)))</f>
        <v>0</v>
      </c>
      <c r="G1116" s="3">
        <f>IFERROR(__xludf.DUMMYFUNCTION("IF(F1116&lt;=0,0,IFERROR(ROUNDUP(F1116/INDEX(FILTER('warehouse config'!$D:$D,('warehouse config'!$B:$B=C1116)*('warehouse config'!$C:$C=D1116)*('warehouse config'!$G:$G&lt;=B1116)*(('warehouse config'!$H:$H&gt;=B1116)+ISBLANK('warehouse config'!$H:$H))),1)),0))"),0.0)</f>
        <v>0</v>
      </c>
      <c r="H1116" s="3">
        <f>IFERROR(__xludf.DUMMYFUNCTION("IFERROR(INDEX(FILTER('cost master'!$E:$E,('cost master'!$B:$B=C1116)*('cost master'!$D:$D=""Storage cost per pallet / week"")*('cost master'!$G:$G&lt;=B1116)*(('cost master'!$H:$H&gt;=B1116)+ISBLANK('cost master'!$H:$H))),1),0)"),9.0)</f>
        <v>9</v>
      </c>
      <c r="I1116" s="3">
        <f t="shared" si="4"/>
        <v>0</v>
      </c>
      <c r="J1116" s="27">
        <f t="shared" si="5"/>
        <v>45885</v>
      </c>
      <c r="K1116" s="27">
        <f t="shared" si="6"/>
        <v>45915</v>
      </c>
    </row>
    <row r="1117" hidden="1">
      <c r="A1117" s="3" t="str">
        <f t="shared" si="3"/>
        <v>SL-20250818-Vglobal-CS 007-13</v>
      </c>
      <c r="B1117" s="2">
        <f t="array" ref="B1117">INDEX(helper!$A$3:$A3996,ROUNDUP((ROW()-1)/COUNTA(helper!$D$3:$D3996),0))</f>
        <v>45887</v>
      </c>
      <c r="C1117" s="5" t="str">
        <f t="array" ref="C1117">IF(B1117="","",INDEX(helper!$D$3:$D3996,MOD(ROW()-2,COUNTA(helper!$D$3:$D3996))+1))</f>
        <v>Vglobal</v>
      </c>
      <c r="D1117" s="3" t="str">
        <f t="array" ref="D1117">IF(B1117="","",INDEX(helper!$E$3:$E3996,MOD(ROW()-2,COUNTA(helper!$D$3:$D3996))+1))</f>
        <v>CS 007</v>
      </c>
      <c r="E1117" s="3">
        <f t="array" ref="E1117">IF(B1117="","",INDEX(helper!$F$3:$F3996,MOD(ROW()-2,COUNTA(helper!$D$3:$D3996))+1))</f>
        <v>13</v>
      </c>
      <c r="F1117" s="3">
        <f>IF(B1117="","",SUMIFS('inventory ledger'!$H:$H,'inventory ledger'!$C:$C,C1117,'inventory ledger'!$D:$D,D1117,'inventory ledger'!$E:$E,E1117,'inventory ledger'!$A:$A,"&lt;="&amp;B1117+TIME(23,59,59))-SUMIFS('inventory ledger'!$I:$I,'inventory ledger'!$C:$C,C1117,'inventory ledger'!$D:$D,D1117,'inventory ledger'!$E:$E,E1117,'inventory ledger'!$A:$A,"&lt;="&amp;B1117+TIME(23,59,59)))</f>
        <v>45</v>
      </c>
      <c r="G1117" s="3">
        <f>IFERROR(__xludf.DUMMYFUNCTION("IF(F1117&lt;=0,0,IFERROR(ROUNDUP(F1117/INDEX(FILTER('warehouse config'!$D:$D,('warehouse config'!$B:$B=C1117)*('warehouse config'!$C:$C=D1117)*('warehouse config'!$G:$G&lt;=B1117)*(('warehouse config'!$H:$H&gt;=B1117)+ISBLANK('warehouse config'!$H:$H))),1)),0))"),3.0)</f>
        <v>3</v>
      </c>
      <c r="H1117" s="3">
        <f>IFERROR(__xludf.DUMMYFUNCTION("IFERROR(INDEX(FILTER('cost master'!$E:$E,('cost master'!$B:$B=C1117)*('cost master'!$D:$D=""Storage cost per pallet / week"")*('cost master'!$G:$G&lt;=B1117)*(('cost master'!$H:$H&gt;=B1117)+ISBLANK('cost master'!$H:$H))),1),0)"),2.6)</f>
        <v>2.6</v>
      </c>
      <c r="I1117" s="3">
        <f t="shared" si="4"/>
        <v>7.8</v>
      </c>
      <c r="J1117" s="27">
        <f t="shared" si="5"/>
        <v>45885</v>
      </c>
      <c r="K1117" s="27">
        <f t="shared" si="6"/>
        <v>45915</v>
      </c>
    </row>
    <row r="1118" hidden="1">
      <c r="A1118" s="3" t="str">
        <f t="shared" si="3"/>
        <v>SL-20250818-Vglobal-CS 011-13</v>
      </c>
      <c r="B1118" s="2">
        <f t="array" ref="B1118">INDEX(helper!$A$3:$A3996,ROUNDUP((ROW()-1)/COUNTA(helper!$D$3:$D3996),0))</f>
        <v>45887</v>
      </c>
      <c r="C1118" s="5" t="str">
        <f t="array" ref="C1118">IF(B1118="","",INDEX(helper!$D$3:$D3996,MOD(ROW()-2,COUNTA(helper!$D$3:$D3996))+1))</f>
        <v>Vglobal</v>
      </c>
      <c r="D1118" s="3" t="str">
        <f t="array" ref="D1118">IF(B1118="","",INDEX(helper!$E$3:$E3996,MOD(ROW()-2,COUNTA(helper!$D$3:$D3996))+1))</f>
        <v>CS 011</v>
      </c>
      <c r="E1118" s="3">
        <f t="array" ref="E1118">IF(B1118="","",INDEX(helper!$F$3:$F3996,MOD(ROW()-2,COUNTA(helper!$D$3:$D3996))+1))</f>
        <v>13</v>
      </c>
      <c r="F1118" s="3">
        <f>IF(B1118="","",SUMIFS('inventory ledger'!$H:$H,'inventory ledger'!$C:$C,C1118,'inventory ledger'!$D:$D,D1118,'inventory ledger'!$E:$E,E1118,'inventory ledger'!$A:$A,"&lt;="&amp;B1118+TIME(23,59,59))-SUMIFS('inventory ledger'!$I:$I,'inventory ledger'!$C:$C,C1118,'inventory ledger'!$D:$D,D1118,'inventory ledger'!$E:$E,E1118,'inventory ledger'!$A:$A,"&lt;="&amp;B1118+TIME(23,59,59)))</f>
        <v>0</v>
      </c>
      <c r="G1118" s="3">
        <f>IFERROR(__xludf.DUMMYFUNCTION("IF(F1118&lt;=0,0,IFERROR(ROUNDUP(F1118/INDEX(FILTER('warehouse config'!$D:$D,('warehouse config'!$B:$B=C1118)*('warehouse config'!$C:$C=D1118)*('warehouse config'!$G:$G&lt;=B1118)*(('warehouse config'!$H:$H&gt;=B1118)+ISBLANK('warehouse config'!$H:$H))),1)),0))"),0.0)</f>
        <v>0</v>
      </c>
      <c r="H1118" s="3">
        <f>IFERROR(__xludf.DUMMYFUNCTION("IFERROR(INDEX(FILTER('cost master'!$E:$E,('cost master'!$B:$B=C1118)*('cost master'!$D:$D=""Storage cost per pallet / week"")*('cost master'!$G:$G&lt;=B1118)*(('cost master'!$H:$H&gt;=B1118)+ISBLANK('cost master'!$H:$H))),1),0)"),2.6)</f>
        <v>2.6</v>
      </c>
      <c r="I1118" s="3">
        <f t="shared" si="4"/>
        <v>0</v>
      </c>
      <c r="J1118" s="27">
        <f t="shared" si="5"/>
        <v>45885</v>
      </c>
      <c r="K1118" s="27">
        <f t="shared" si="6"/>
        <v>45915</v>
      </c>
    </row>
    <row r="1119" hidden="1">
      <c r="A1119" s="3" t="str">
        <f t="shared" si="3"/>
        <v>SL-20250818-Vglobal-CS 008-13</v>
      </c>
      <c r="B1119" s="2">
        <f t="array" ref="B1119">INDEX(helper!$A$3:$A3996,ROUNDUP((ROW()-1)/COUNTA(helper!$D$3:$D3996),0))</f>
        <v>45887</v>
      </c>
      <c r="C1119" s="5" t="str">
        <f t="array" ref="C1119">IF(B1119="","",INDEX(helper!$D$3:$D3996,MOD(ROW()-2,COUNTA(helper!$D$3:$D3996))+1))</f>
        <v>Vglobal</v>
      </c>
      <c r="D1119" s="3" t="str">
        <f t="array" ref="D1119">IF(B1119="","",INDEX(helper!$E$3:$E3996,MOD(ROW()-2,COUNTA(helper!$D$3:$D3996))+1))</f>
        <v>CS 008</v>
      </c>
      <c r="E1119" s="3">
        <f t="array" ref="E1119">IF(B1119="","",INDEX(helper!$F$3:$F3996,MOD(ROW()-2,COUNTA(helper!$D$3:$D3996))+1))</f>
        <v>13</v>
      </c>
      <c r="F1119" s="3">
        <f>IF(B1119="","",SUMIFS('inventory ledger'!$H:$H,'inventory ledger'!$C:$C,C1119,'inventory ledger'!$D:$D,D1119,'inventory ledger'!$E:$E,E1119,'inventory ledger'!$A:$A,"&lt;="&amp;B1119+TIME(23,59,59))-SUMIFS('inventory ledger'!$I:$I,'inventory ledger'!$C:$C,C1119,'inventory ledger'!$D:$D,D1119,'inventory ledger'!$E:$E,E1119,'inventory ledger'!$A:$A,"&lt;="&amp;B1119+TIME(23,59,59)))</f>
        <v>20</v>
      </c>
      <c r="G1119" s="3">
        <f>IFERROR(__xludf.DUMMYFUNCTION("IF(F1119&lt;=0,0,IFERROR(ROUNDUP(F1119/INDEX(FILTER('warehouse config'!$D:$D,('warehouse config'!$B:$B=C1119)*('warehouse config'!$C:$C=D1119)*('warehouse config'!$G:$G&lt;=B1119)*(('warehouse config'!$H:$H&gt;=B1119)+ISBLANK('warehouse config'!$H:$H))),1)),0))"),1.0)</f>
        <v>1</v>
      </c>
      <c r="H1119" s="3">
        <f>IFERROR(__xludf.DUMMYFUNCTION("IFERROR(INDEX(FILTER('cost master'!$E:$E,('cost master'!$B:$B=C1119)*('cost master'!$D:$D=""Storage cost per pallet / week"")*('cost master'!$G:$G&lt;=B1119)*(('cost master'!$H:$H&gt;=B1119)+ISBLANK('cost master'!$H:$H))),1),0)"),2.6)</f>
        <v>2.6</v>
      </c>
      <c r="I1119" s="3">
        <f t="shared" si="4"/>
        <v>2.6</v>
      </c>
      <c r="J1119" s="27">
        <f t="shared" si="5"/>
        <v>45885</v>
      </c>
      <c r="K1119" s="27">
        <f t="shared" si="6"/>
        <v>45915</v>
      </c>
    </row>
    <row r="1120" hidden="1">
      <c r="A1120" s="3" t="str">
        <f t="shared" si="3"/>
        <v>SL-20250818-Vglobal-CS 010-13</v>
      </c>
      <c r="B1120" s="2">
        <f t="array" ref="B1120">INDEX(helper!$A$3:$A3996,ROUNDUP((ROW()-1)/COUNTA(helper!$D$3:$D3996),0))</f>
        <v>45887</v>
      </c>
      <c r="C1120" s="5" t="str">
        <f t="array" ref="C1120">IF(B1120="","",INDEX(helper!$D$3:$D3996,MOD(ROW()-2,COUNTA(helper!$D$3:$D3996))+1))</f>
        <v>Vglobal</v>
      </c>
      <c r="D1120" s="3" t="str">
        <f t="array" ref="D1120">IF(B1120="","",INDEX(helper!$E$3:$E3996,MOD(ROW()-2,COUNTA(helper!$D$3:$D3996))+1))</f>
        <v>CS 010</v>
      </c>
      <c r="E1120" s="3">
        <f t="array" ref="E1120">IF(B1120="","",INDEX(helper!$F$3:$F3996,MOD(ROW()-2,COUNTA(helper!$D$3:$D3996))+1))</f>
        <v>13</v>
      </c>
      <c r="F1120" s="3">
        <f>IF(B1120="","",SUMIFS('inventory ledger'!$H:$H,'inventory ledger'!$C:$C,C1120,'inventory ledger'!$D:$D,D1120,'inventory ledger'!$E:$E,E1120,'inventory ledger'!$A:$A,"&lt;="&amp;B1120+TIME(23,59,59))-SUMIFS('inventory ledger'!$I:$I,'inventory ledger'!$C:$C,C1120,'inventory ledger'!$D:$D,D1120,'inventory ledger'!$E:$E,E1120,'inventory ledger'!$A:$A,"&lt;="&amp;B1120+TIME(23,59,59)))</f>
        <v>80</v>
      </c>
      <c r="G1120" s="3">
        <f>IFERROR(__xludf.DUMMYFUNCTION("IF(F1120&lt;=0,0,IFERROR(ROUNDUP(F1120/INDEX(FILTER('warehouse config'!$D:$D,('warehouse config'!$B:$B=C1120)*('warehouse config'!$C:$C=D1120)*('warehouse config'!$G:$G&lt;=B1120)*(('warehouse config'!$H:$H&gt;=B1120)+ISBLANK('warehouse config'!$H:$H))),1)),0))"),4.0)</f>
        <v>4</v>
      </c>
      <c r="H1120" s="3">
        <f>IFERROR(__xludf.DUMMYFUNCTION("IFERROR(INDEX(FILTER('cost master'!$E:$E,('cost master'!$B:$B=C1120)*('cost master'!$D:$D=""Storage cost per pallet / week"")*('cost master'!$G:$G&lt;=B1120)*(('cost master'!$H:$H&gt;=B1120)+ISBLANK('cost master'!$H:$H))),1),0)"),2.6)</f>
        <v>2.6</v>
      </c>
      <c r="I1120" s="3">
        <f t="shared" si="4"/>
        <v>10.4</v>
      </c>
      <c r="J1120" s="27">
        <f t="shared" si="5"/>
        <v>45885</v>
      </c>
      <c r="K1120" s="27">
        <f t="shared" si="6"/>
        <v>45915</v>
      </c>
    </row>
    <row r="1121" hidden="1">
      <c r="A1121" s="3" t="str">
        <f t="shared" si="3"/>
        <v>SL-20250818-Vglobal-CS 009-13</v>
      </c>
      <c r="B1121" s="2">
        <f t="array" ref="B1121">INDEX(helper!$A$3:$A3996,ROUNDUP((ROW()-1)/COUNTA(helper!$D$3:$D3996),0))</f>
        <v>45887</v>
      </c>
      <c r="C1121" s="5" t="str">
        <f t="array" ref="C1121">IF(B1121="","",INDEX(helper!$D$3:$D3996,MOD(ROW()-2,COUNTA(helper!$D$3:$D3996))+1))</f>
        <v>Vglobal</v>
      </c>
      <c r="D1121" s="3" t="str">
        <f t="array" ref="D1121">IF(B1121="","",INDEX(helper!$E$3:$E3996,MOD(ROW()-2,COUNTA(helper!$D$3:$D3996))+1))</f>
        <v>CS 009</v>
      </c>
      <c r="E1121" s="3">
        <f t="array" ref="E1121">IF(B1121="","",INDEX(helper!$F$3:$F3996,MOD(ROW()-2,COUNTA(helper!$D$3:$D3996))+1))</f>
        <v>13</v>
      </c>
      <c r="F1121" s="3">
        <f>IF(B1121="","",SUMIFS('inventory ledger'!$H:$H,'inventory ledger'!$C:$C,C1121,'inventory ledger'!$D:$D,D1121,'inventory ledger'!$E:$E,E1121,'inventory ledger'!$A:$A,"&lt;="&amp;B1121+TIME(23,59,59))-SUMIFS('inventory ledger'!$I:$I,'inventory ledger'!$C:$C,C1121,'inventory ledger'!$D:$D,D1121,'inventory ledger'!$E:$E,E1121,'inventory ledger'!$A:$A,"&lt;="&amp;B1121+TIME(23,59,59)))</f>
        <v>0</v>
      </c>
      <c r="G1121" s="3">
        <f>IFERROR(__xludf.DUMMYFUNCTION("IF(F1121&lt;=0,0,IFERROR(ROUNDUP(F1121/INDEX(FILTER('warehouse config'!$D:$D,('warehouse config'!$B:$B=C1121)*('warehouse config'!$C:$C=D1121)*('warehouse config'!$G:$G&lt;=B1121)*(('warehouse config'!$H:$H&gt;=B1121)+ISBLANK('warehouse config'!$H:$H))),1)),0))"),0.0)</f>
        <v>0</v>
      </c>
      <c r="H1121" s="3">
        <f>IFERROR(__xludf.DUMMYFUNCTION("IFERROR(INDEX(FILTER('cost master'!$E:$E,('cost master'!$B:$B=C1121)*('cost master'!$D:$D=""Storage cost per pallet / week"")*('cost master'!$G:$G&lt;=B1121)*(('cost master'!$H:$H&gt;=B1121)+ISBLANK('cost master'!$H:$H))),1),0)"),2.6)</f>
        <v>2.6</v>
      </c>
      <c r="I1121" s="3">
        <f t="shared" si="4"/>
        <v>0</v>
      </c>
      <c r="J1121" s="27">
        <f t="shared" si="5"/>
        <v>45885</v>
      </c>
      <c r="K1121" s="27">
        <f t="shared" si="6"/>
        <v>45915</v>
      </c>
    </row>
    <row r="1122" hidden="1">
      <c r="A1122" s="3" t="str">
        <f t="shared" si="3"/>
        <v>SL-20250818-Vglobal-CS 012-13</v>
      </c>
      <c r="B1122" s="2">
        <f t="array" ref="B1122">INDEX(helper!$A$3:$A3996,ROUNDUP((ROW()-1)/COUNTA(helper!$D$3:$D3996),0))</f>
        <v>45887</v>
      </c>
      <c r="C1122" s="5" t="str">
        <f t="array" ref="C1122">IF(B1122="","",INDEX(helper!$D$3:$D3996,MOD(ROW()-2,COUNTA(helper!$D$3:$D3996))+1))</f>
        <v>Vglobal</v>
      </c>
      <c r="D1122" s="3" t="str">
        <f t="array" ref="D1122">IF(B1122="","",INDEX(helper!$E$3:$E3996,MOD(ROW()-2,COUNTA(helper!$D$3:$D3996))+1))</f>
        <v>CS 012</v>
      </c>
      <c r="E1122" s="3">
        <f t="array" ref="E1122">IF(B1122="","",INDEX(helper!$F$3:$F3996,MOD(ROW()-2,COUNTA(helper!$D$3:$D3996))+1))</f>
        <v>13</v>
      </c>
      <c r="F1122" s="3">
        <f>IF(B1122="","",SUMIFS('inventory ledger'!$H:$H,'inventory ledger'!$C:$C,C1122,'inventory ledger'!$D:$D,D1122,'inventory ledger'!$E:$E,E1122,'inventory ledger'!$A:$A,"&lt;="&amp;B1122+TIME(23,59,59))-SUMIFS('inventory ledger'!$I:$I,'inventory ledger'!$C:$C,C1122,'inventory ledger'!$D:$D,D1122,'inventory ledger'!$E:$E,E1122,'inventory ledger'!$A:$A,"&lt;="&amp;B1122+TIME(23,59,59)))</f>
        <v>0</v>
      </c>
      <c r="G1122" s="3">
        <f>IFERROR(__xludf.DUMMYFUNCTION("IF(F1122&lt;=0,0,IFERROR(ROUNDUP(F1122/INDEX(FILTER('warehouse config'!$D:$D,('warehouse config'!$B:$B=C1122)*('warehouse config'!$C:$C=D1122)*('warehouse config'!$G:$G&lt;=B1122)*(('warehouse config'!$H:$H&gt;=B1122)+ISBLANK('warehouse config'!$H:$H))),1)),0))"),0.0)</f>
        <v>0</v>
      </c>
      <c r="H1122" s="3">
        <f>IFERROR(__xludf.DUMMYFUNCTION("IFERROR(INDEX(FILTER('cost master'!$E:$E,('cost master'!$B:$B=C1122)*('cost master'!$D:$D=""Storage cost per pallet / week"")*('cost master'!$G:$G&lt;=B1122)*(('cost master'!$H:$H&gt;=B1122)+ISBLANK('cost master'!$H:$H))),1),0)"),2.6)</f>
        <v>2.6</v>
      </c>
      <c r="I1122" s="3">
        <f t="shared" si="4"/>
        <v>0</v>
      </c>
      <c r="J1122" s="27">
        <f t="shared" si="5"/>
        <v>45885</v>
      </c>
      <c r="K1122" s="27">
        <f t="shared" si="6"/>
        <v>45915</v>
      </c>
    </row>
    <row r="1123">
      <c r="A1123" s="3" t="str">
        <f t="shared" si="3"/>
        <v>SL-20250818-FMC-CS 008-11</v>
      </c>
      <c r="B1123" s="2">
        <f t="array" ref="B1123">INDEX(helper!$A$3:$A3996,ROUNDUP((ROW()-1)/COUNTA(helper!$D$3:$D3996),0))</f>
        <v>45887</v>
      </c>
      <c r="C1123" s="5" t="str">
        <f t="array" ref="C1123">IF(B1123="","",INDEX(helper!$D$3:$D3996,MOD(ROW()-2,COUNTA(helper!$D$3:$D3996))+1))</f>
        <v>FMC</v>
      </c>
      <c r="D1123" s="3" t="str">
        <f t="array" ref="D1123">IF(B1123="","",INDEX(helper!$E$3:$E3996,MOD(ROW()-2,COUNTA(helper!$D$3:$D3996))+1))</f>
        <v>CS 008</v>
      </c>
      <c r="E1123" s="3">
        <f t="array" ref="E1123">IF(B1123="","",INDEX(helper!$F$3:$F3996,MOD(ROW()-2,COUNTA(helper!$D$3:$D3996))+1))</f>
        <v>11</v>
      </c>
      <c r="F1123" s="3">
        <f>IF(B1123="","",SUMIFS('inventory ledger'!$H:$H,'inventory ledger'!$C:$C,C1123,'inventory ledger'!$D:$D,D1123,'inventory ledger'!$E:$E,E1123,'inventory ledger'!$A:$A,"&lt;="&amp;B1123+TIME(23,59,59))-SUMIFS('inventory ledger'!$I:$I,'inventory ledger'!$C:$C,C1123,'inventory ledger'!$D:$D,D1123,'inventory ledger'!$E:$E,E1123,'inventory ledger'!$A:$A,"&lt;="&amp;B1123+TIME(23,59,59)))</f>
        <v>-2</v>
      </c>
      <c r="G1123" s="3">
        <f>IFERROR(__xludf.DUMMYFUNCTION("IF(F1123&lt;=0,0,IFERROR(ROUNDUP(F1123/INDEX(FILTER('warehouse config'!$D:$D,('warehouse config'!$B:$B=C1123)*('warehouse config'!$C:$C=D1123)*('warehouse config'!$G:$G&lt;=B1123)*(('warehouse config'!$H:$H&gt;=B1123)+ISBLANK('warehouse config'!$H:$H))),1)),0))"),0.0)</f>
        <v>0</v>
      </c>
      <c r="H1123" s="3">
        <f>IFERROR(__xludf.DUMMYFUNCTION("IFERROR(INDEX(FILTER('cost master'!$E:$E,('cost master'!$B:$B=C1123)*('cost master'!$D:$D=""Storage cost per pallet / week"")*('cost master'!$G:$G&lt;=B1123)*(('cost master'!$H:$H&gt;=B1123)+ISBLANK('cost master'!$H:$H))),1),0)"),3.9)</f>
        <v>3.9</v>
      </c>
      <c r="I1123" s="3">
        <f t="shared" si="4"/>
        <v>0</v>
      </c>
      <c r="J1123" s="27">
        <f t="shared" si="5"/>
        <v>45885</v>
      </c>
      <c r="K1123" s="27">
        <f t="shared" si="6"/>
        <v>45915</v>
      </c>
    </row>
    <row r="1124" hidden="1">
      <c r="A1124" s="3" t="str">
        <f t="shared" si="3"/>
        <v>SL-20250825-FMC-CS 007-8</v>
      </c>
      <c r="B1124" s="2">
        <f t="array" ref="B1124">INDEX(helper!$A$3:$A3996,ROUNDUP((ROW()-1)/COUNTA(helper!$D$3:$D3996),0))</f>
        <v>45894</v>
      </c>
      <c r="C1124" s="5" t="str">
        <f t="array" ref="C1124">IF(B1124="","",INDEX(helper!$D$3:$D3996,MOD(ROW()-2,COUNTA(helper!$D$3:$D3996))+1))</f>
        <v>FMC</v>
      </c>
      <c r="D1124" s="3" t="str">
        <f t="array" ref="D1124">IF(B1124="","",INDEX(helper!$E$3:$E3996,MOD(ROW()-2,COUNTA(helper!$D$3:$D3996))+1))</f>
        <v>CS 007</v>
      </c>
      <c r="E1124" s="3">
        <f t="array" ref="E1124">IF(B1124="","",INDEX(helper!$F$3:$F3996,MOD(ROW()-2,COUNTA(helper!$D$3:$D3996))+1))</f>
        <v>8</v>
      </c>
      <c r="F1124" s="3">
        <f>IF(B1124="","",SUMIFS('inventory ledger'!$H:$H,'inventory ledger'!$C:$C,C1124,'inventory ledger'!$D:$D,D1124,'inventory ledger'!$E:$E,E1124,'inventory ledger'!$A:$A,"&lt;="&amp;B1124+TIME(23,59,59))-SUMIFS('inventory ledger'!$I:$I,'inventory ledger'!$C:$C,C1124,'inventory ledger'!$D:$D,D1124,'inventory ledger'!$E:$E,E1124,'inventory ledger'!$A:$A,"&lt;="&amp;B1124+TIME(23,59,59)))</f>
        <v>0</v>
      </c>
      <c r="G1124" s="3">
        <f>IFERROR(__xludf.DUMMYFUNCTION("IF(F1124&lt;=0,0,IFERROR(ROUNDUP(F1124/INDEX(FILTER('warehouse config'!$D:$D,('warehouse config'!$B:$B=C1124)*('warehouse config'!$C:$C=D1124)*('warehouse config'!$G:$G&lt;=B1124)*(('warehouse config'!$H:$H&gt;=B1124)+ISBLANK('warehouse config'!$H:$H))),1)),0))"),0.0)</f>
        <v>0</v>
      </c>
      <c r="H1124" s="3">
        <f>IFERROR(__xludf.DUMMYFUNCTION("IFERROR(INDEX(FILTER('cost master'!$E:$E,('cost master'!$B:$B=C1124)*('cost master'!$D:$D=""Storage cost per pallet / week"")*('cost master'!$G:$G&lt;=B1124)*(('cost master'!$H:$H&gt;=B1124)+ISBLANK('cost master'!$H:$H))),1),0)"),3.9)</f>
        <v>3.9</v>
      </c>
      <c r="I1124" s="3">
        <f t="shared" si="4"/>
        <v>0</v>
      </c>
      <c r="J1124" s="27">
        <f t="shared" si="5"/>
        <v>45885</v>
      </c>
      <c r="K1124" s="27">
        <f t="shared" si="6"/>
        <v>45915</v>
      </c>
    </row>
    <row r="1125" hidden="1">
      <c r="A1125" s="3" t="str">
        <f t="shared" si="3"/>
        <v>SL-20250825-FMC-CS 008-8</v>
      </c>
      <c r="B1125" s="2">
        <f t="array" ref="B1125">INDEX(helper!$A$3:$A3996,ROUNDUP((ROW()-1)/COUNTA(helper!$D$3:$D3996),0))</f>
        <v>45894</v>
      </c>
      <c r="C1125" s="5" t="str">
        <f t="array" ref="C1125">IF(B1125="","",INDEX(helper!$D$3:$D3996,MOD(ROW()-2,COUNTA(helper!$D$3:$D3996))+1))</f>
        <v>FMC</v>
      </c>
      <c r="D1125" s="3" t="str">
        <f t="array" ref="D1125">IF(B1125="","",INDEX(helper!$E$3:$E3996,MOD(ROW()-2,COUNTA(helper!$D$3:$D3996))+1))</f>
        <v>CS 008</v>
      </c>
      <c r="E1125" s="3">
        <f t="array" ref="E1125">IF(B1125="","",INDEX(helper!$F$3:$F3996,MOD(ROW()-2,COUNTA(helper!$D$3:$D3996))+1))</f>
        <v>8</v>
      </c>
      <c r="F1125" s="3">
        <f>IF(B1125="","",SUMIFS('inventory ledger'!$H:$H,'inventory ledger'!$C:$C,C1125,'inventory ledger'!$D:$D,D1125,'inventory ledger'!$E:$E,E1125,'inventory ledger'!$A:$A,"&lt;="&amp;B1125+TIME(23,59,59))-SUMIFS('inventory ledger'!$I:$I,'inventory ledger'!$C:$C,C1125,'inventory ledger'!$D:$D,D1125,'inventory ledger'!$E:$E,E1125,'inventory ledger'!$A:$A,"&lt;="&amp;B1125+TIME(23,59,59)))</f>
        <v>0</v>
      </c>
      <c r="G1125" s="3">
        <f>IFERROR(__xludf.DUMMYFUNCTION("IF(F1125&lt;=0,0,IFERROR(ROUNDUP(F1125/INDEX(FILTER('warehouse config'!$D:$D,('warehouse config'!$B:$B=C1125)*('warehouse config'!$C:$C=D1125)*('warehouse config'!$G:$G&lt;=B1125)*(('warehouse config'!$H:$H&gt;=B1125)+ISBLANK('warehouse config'!$H:$H))),1)),0))"),0.0)</f>
        <v>0</v>
      </c>
      <c r="H1125" s="3">
        <f>IFERROR(__xludf.DUMMYFUNCTION("IFERROR(INDEX(FILTER('cost master'!$E:$E,('cost master'!$B:$B=C1125)*('cost master'!$D:$D=""Storage cost per pallet / week"")*('cost master'!$G:$G&lt;=B1125)*(('cost master'!$H:$H&gt;=B1125)+ISBLANK('cost master'!$H:$H))),1),0)"),3.9)</f>
        <v>3.9</v>
      </c>
      <c r="I1125" s="3">
        <f t="shared" si="4"/>
        <v>0</v>
      </c>
      <c r="J1125" s="27">
        <f t="shared" si="5"/>
        <v>45885</v>
      </c>
      <c r="K1125" s="27">
        <f t="shared" si="6"/>
        <v>45915</v>
      </c>
    </row>
    <row r="1126" hidden="1">
      <c r="A1126" s="3" t="str">
        <f t="shared" si="3"/>
        <v>SL-20250825-FMC-CS 009-8</v>
      </c>
      <c r="B1126" s="2">
        <f t="array" ref="B1126">INDEX(helper!$A$3:$A3996,ROUNDUP((ROW()-1)/COUNTA(helper!$D$3:$D3996),0))</f>
        <v>45894</v>
      </c>
      <c r="C1126" s="5" t="str">
        <f t="array" ref="C1126">IF(B1126="","",INDEX(helper!$D$3:$D3996,MOD(ROW()-2,COUNTA(helper!$D$3:$D3996))+1))</f>
        <v>FMC</v>
      </c>
      <c r="D1126" s="3" t="str">
        <f t="array" ref="D1126">IF(B1126="","",INDEX(helper!$E$3:$E3996,MOD(ROW()-2,COUNTA(helper!$D$3:$D3996))+1))</f>
        <v>CS 009</v>
      </c>
      <c r="E1126" s="3">
        <f t="array" ref="E1126">IF(B1126="","",INDEX(helper!$F$3:$F3996,MOD(ROW()-2,COUNTA(helper!$D$3:$D3996))+1))</f>
        <v>8</v>
      </c>
      <c r="F1126" s="3">
        <f>IF(B1126="","",SUMIFS('inventory ledger'!$H:$H,'inventory ledger'!$C:$C,C1126,'inventory ledger'!$D:$D,D1126,'inventory ledger'!$E:$E,E1126,'inventory ledger'!$A:$A,"&lt;="&amp;B1126+TIME(23,59,59))-SUMIFS('inventory ledger'!$I:$I,'inventory ledger'!$C:$C,C1126,'inventory ledger'!$D:$D,D1126,'inventory ledger'!$E:$E,E1126,'inventory ledger'!$A:$A,"&lt;="&amp;B1126+TIME(23,59,59)))</f>
        <v>0</v>
      </c>
      <c r="G1126" s="3">
        <f>IFERROR(__xludf.DUMMYFUNCTION("IF(F1126&lt;=0,0,IFERROR(ROUNDUP(F1126/INDEX(FILTER('warehouse config'!$D:$D,('warehouse config'!$B:$B=C1126)*('warehouse config'!$C:$C=D1126)*('warehouse config'!$G:$G&lt;=B1126)*(('warehouse config'!$H:$H&gt;=B1126)+ISBLANK('warehouse config'!$H:$H))),1)),0))"),0.0)</f>
        <v>0</v>
      </c>
      <c r="H1126" s="3">
        <f>IFERROR(__xludf.DUMMYFUNCTION("IFERROR(INDEX(FILTER('cost master'!$E:$E,('cost master'!$B:$B=C1126)*('cost master'!$D:$D=""Storage cost per pallet / week"")*('cost master'!$G:$G&lt;=B1126)*(('cost master'!$H:$H&gt;=B1126)+ISBLANK('cost master'!$H:$H))),1),0)"),3.9)</f>
        <v>3.9</v>
      </c>
      <c r="I1126" s="3">
        <f t="shared" si="4"/>
        <v>0</v>
      </c>
      <c r="J1126" s="27">
        <f t="shared" si="5"/>
        <v>45885</v>
      </c>
      <c r="K1126" s="27">
        <f t="shared" si="6"/>
        <v>45915</v>
      </c>
    </row>
    <row r="1127" hidden="1">
      <c r="A1127" s="3" t="str">
        <f t="shared" si="3"/>
        <v>SL-20250825-FMC-CS 010-8</v>
      </c>
      <c r="B1127" s="2">
        <f t="array" ref="B1127">INDEX(helper!$A$3:$A3996,ROUNDUP((ROW()-1)/COUNTA(helper!$D$3:$D3996),0))</f>
        <v>45894</v>
      </c>
      <c r="C1127" s="5" t="str">
        <f t="array" ref="C1127">IF(B1127="","",INDEX(helper!$D$3:$D3996,MOD(ROW()-2,COUNTA(helper!$D$3:$D3996))+1))</f>
        <v>FMC</v>
      </c>
      <c r="D1127" s="3" t="str">
        <f t="array" ref="D1127">IF(B1127="","",INDEX(helper!$E$3:$E3996,MOD(ROW()-2,COUNTA(helper!$D$3:$D3996))+1))</f>
        <v>CS 010</v>
      </c>
      <c r="E1127" s="3">
        <f t="array" ref="E1127">IF(B1127="","",INDEX(helper!$F$3:$F3996,MOD(ROW()-2,COUNTA(helper!$D$3:$D3996))+1))</f>
        <v>8</v>
      </c>
      <c r="F1127" s="3">
        <f>IF(B1127="","",SUMIFS('inventory ledger'!$H:$H,'inventory ledger'!$C:$C,C1127,'inventory ledger'!$D:$D,D1127,'inventory ledger'!$E:$E,E1127,'inventory ledger'!$A:$A,"&lt;="&amp;B1127+TIME(23,59,59))-SUMIFS('inventory ledger'!$I:$I,'inventory ledger'!$C:$C,C1127,'inventory ledger'!$D:$D,D1127,'inventory ledger'!$E:$E,E1127,'inventory ledger'!$A:$A,"&lt;="&amp;B1127+TIME(23,59,59)))</f>
        <v>0</v>
      </c>
      <c r="G1127" s="3">
        <f>IFERROR(__xludf.DUMMYFUNCTION("IF(F1127&lt;=0,0,IFERROR(ROUNDUP(F1127/INDEX(FILTER('warehouse config'!$D:$D,('warehouse config'!$B:$B=C1127)*('warehouse config'!$C:$C=D1127)*('warehouse config'!$G:$G&lt;=B1127)*(('warehouse config'!$H:$H&gt;=B1127)+ISBLANK('warehouse config'!$H:$H))),1)),0))"),0.0)</f>
        <v>0</v>
      </c>
      <c r="H1127" s="3">
        <f>IFERROR(__xludf.DUMMYFUNCTION("IFERROR(INDEX(FILTER('cost master'!$E:$E,('cost master'!$B:$B=C1127)*('cost master'!$D:$D=""Storage cost per pallet / week"")*('cost master'!$G:$G&lt;=B1127)*(('cost master'!$H:$H&gt;=B1127)+ISBLANK('cost master'!$H:$H))),1),0)"),3.9)</f>
        <v>3.9</v>
      </c>
      <c r="I1127" s="3">
        <f t="shared" si="4"/>
        <v>0</v>
      </c>
      <c r="J1127" s="27">
        <f t="shared" si="5"/>
        <v>45885</v>
      </c>
      <c r="K1127" s="27">
        <f t="shared" si="6"/>
        <v>45915</v>
      </c>
    </row>
    <row r="1128" hidden="1">
      <c r="A1128" s="3" t="str">
        <f t="shared" si="3"/>
        <v>SL-20250825-FMC-CS 007-9</v>
      </c>
      <c r="B1128" s="2">
        <f t="array" ref="B1128">INDEX(helper!$A$3:$A3996,ROUNDUP((ROW()-1)/COUNTA(helper!$D$3:$D3996),0))</f>
        <v>45894</v>
      </c>
      <c r="C1128" s="5" t="str">
        <f t="array" ref="C1128">IF(B1128="","",INDEX(helper!$D$3:$D3996,MOD(ROW()-2,COUNTA(helper!$D$3:$D3996))+1))</f>
        <v>FMC</v>
      </c>
      <c r="D1128" s="3" t="str">
        <f t="array" ref="D1128">IF(B1128="","",INDEX(helper!$E$3:$E3996,MOD(ROW()-2,COUNTA(helper!$D$3:$D3996))+1))</f>
        <v>CS 007</v>
      </c>
      <c r="E1128" s="3">
        <f t="array" ref="E1128">IF(B1128="","",INDEX(helper!$F$3:$F3996,MOD(ROW()-2,COUNTA(helper!$D$3:$D3996))+1))</f>
        <v>9</v>
      </c>
      <c r="F1128" s="3">
        <f>IF(B1128="","",SUMIFS('inventory ledger'!$H:$H,'inventory ledger'!$C:$C,C1128,'inventory ledger'!$D:$D,D1128,'inventory ledger'!$E:$E,E1128,'inventory ledger'!$A:$A,"&lt;="&amp;B1128+TIME(23,59,59))-SUMIFS('inventory ledger'!$I:$I,'inventory ledger'!$C:$C,C1128,'inventory ledger'!$D:$D,D1128,'inventory ledger'!$E:$E,E1128,'inventory ledger'!$A:$A,"&lt;="&amp;B1128+TIME(23,59,59)))</f>
        <v>0</v>
      </c>
      <c r="G1128" s="3">
        <f>IFERROR(__xludf.DUMMYFUNCTION("IF(F1128&lt;=0,0,IFERROR(ROUNDUP(F1128/INDEX(FILTER('warehouse config'!$D:$D,('warehouse config'!$B:$B=C1128)*('warehouse config'!$C:$C=D1128)*('warehouse config'!$G:$G&lt;=B1128)*(('warehouse config'!$H:$H&gt;=B1128)+ISBLANK('warehouse config'!$H:$H))),1)),0))"),0.0)</f>
        <v>0</v>
      </c>
      <c r="H1128" s="3">
        <f>IFERROR(__xludf.DUMMYFUNCTION("IFERROR(INDEX(FILTER('cost master'!$E:$E,('cost master'!$B:$B=C1128)*('cost master'!$D:$D=""Storage cost per pallet / week"")*('cost master'!$G:$G&lt;=B1128)*(('cost master'!$H:$H&gt;=B1128)+ISBLANK('cost master'!$H:$H))),1),0)"),3.9)</f>
        <v>3.9</v>
      </c>
      <c r="I1128" s="3">
        <f t="shared" si="4"/>
        <v>0</v>
      </c>
      <c r="J1128" s="27">
        <f t="shared" si="5"/>
        <v>45885</v>
      </c>
      <c r="K1128" s="27">
        <f t="shared" si="6"/>
        <v>45915</v>
      </c>
    </row>
    <row r="1129" hidden="1">
      <c r="A1129" s="3" t="str">
        <f t="shared" si="3"/>
        <v>SL-20250825-FMC-CS 008-9</v>
      </c>
      <c r="B1129" s="2">
        <f t="array" ref="B1129">INDEX(helper!$A$3:$A3996,ROUNDUP((ROW()-1)/COUNTA(helper!$D$3:$D3996),0))</f>
        <v>45894</v>
      </c>
      <c r="C1129" s="5" t="str">
        <f t="array" ref="C1129">IF(B1129="","",INDEX(helper!$D$3:$D3996,MOD(ROW()-2,COUNTA(helper!$D$3:$D3996))+1))</f>
        <v>FMC</v>
      </c>
      <c r="D1129" s="3" t="str">
        <f t="array" ref="D1129">IF(B1129="","",INDEX(helper!$E$3:$E3996,MOD(ROW()-2,COUNTA(helper!$D$3:$D3996))+1))</f>
        <v>CS 008</v>
      </c>
      <c r="E1129" s="3">
        <f t="array" ref="E1129">IF(B1129="","",INDEX(helper!$F$3:$F3996,MOD(ROW()-2,COUNTA(helper!$D$3:$D3996))+1))</f>
        <v>9</v>
      </c>
      <c r="F1129" s="3">
        <f>IF(B1129="","",SUMIFS('inventory ledger'!$H:$H,'inventory ledger'!$C:$C,C1129,'inventory ledger'!$D:$D,D1129,'inventory ledger'!$E:$E,E1129,'inventory ledger'!$A:$A,"&lt;="&amp;B1129+TIME(23,59,59))-SUMIFS('inventory ledger'!$I:$I,'inventory ledger'!$C:$C,C1129,'inventory ledger'!$D:$D,D1129,'inventory ledger'!$E:$E,E1129,'inventory ledger'!$A:$A,"&lt;="&amp;B1129+TIME(23,59,59)))</f>
        <v>2</v>
      </c>
      <c r="G1129" s="3">
        <f>IFERROR(__xludf.DUMMYFUNCTION("IF(F1129&lt;=0,0,IFERROR(ROUNDUP(F1129/INDEX(FILTER('warehouse config'!$D:$D,('warehouse config'!$B:$B=C1129)*('warehouse config'!$C:$C=D1129)*('warehouse config'!$G:$G&lt;=B1129)*(('warehouse config'!$H:$H&gt;=B1129)+ISBLANK('warehouse config'!$H:$H))),1)),0))"),1.0)</f>
        <v>1</v>
      </c>
      <c r="H1129" s="3">
        <f>IFERROR(__xludf.DUMMYFUNCTION("IFERROR(INDEX(FILTER('cost master'!$E:$E,('cost master'!$B:$B=C1129)*('cost master'!$D:$D=""Storage cost per pallet / week"")*('cost master'!$G:$G&lt;=B1129)*(('cost master'!$H:$H&gt;=B1129)+ISBLANK('cost master'!$H:$H))),1),0)"),3.9)</f>
        <v>3.9</v>
      </c>
      <c r="I1129" s="3">
        <f t="shared" si="4"/>
        <v>3.9</v>
      </c>
      <c r="J1129" s="27">
        <f t="shared" si="5"/>
        <v>45885</v>
      </c>
      <c r="K1129" s="27">
        <f t="shared" si="6"/>
        <v>45915</v>
      </c>
    </row>
    <row r="1130" hidden="1">
      <c r="A1130" s="3" t="str">
        <f t="shared" si="3"/>
        <v>SL-20250825-FMC-CS 009-9</v>
      </c>
      <c r="B1130" s="2">
        <f t="array" ref="B1130">INDEX(helper!$A$3:$A3996,ROUNDUP((ROW()-1)/COUNTA(helper!$D$3:$D3996),0))</f>
        <v>45894</v>
      </c>
      <c r="C1130" s="5" t="str">
        <f t="array" ref="C1130">IF(B1130="","",INDEX(helper!$D$3:$D3996,MOD(ROW()-2,COUNTA(helper!$D$3:$D3996))+1))</f>
        <v>FMC</v>
      </c>
      <c r="D1130" s="3" t="str">
        <f t="array" ref="D1130">IF(B1130="","",INDEX(helper!$E$3:$E3996,MOD(ROW()-2,COUNTA(helper!$D$3:$D3996))+1))</f>
        <v>CS 009</v>
      </c>
      <c r="E1130" s="3">
        <f t="array" ref="E1130">IF(B1130="","",INDEX(helper!$F$3:$F3996,MOD(ROW()-2,COUNTA(helper!$D$3:$D3996))+1))</f>
        <v>9</v>
      </c>
      <c r="F1130" s="3">
        <f>IF(B1130="","",SUMIFS('inventory ledger'!$H:$H,'inventory ledger'!$C:$C,C1130,'inventory ledger'!$D:$D,D1130,'inventory ledger'!$E:$E,E1130,'inventory ledger'!$A:$A,"&lt;="&amp;B1130+TIME(23,59,59))-SUMIFS('inventory ledger'!$I:$I,'inventory ledger'!$C:$C,C1130,'inventory ledger'!$D:$D,D1130,'inventory ledger'!$E:$E,E1130,'inventory ledger'!$A:$A,"&lt;="&amp;B1130+TIME(23,59,59)))</f>
        <v>0</v>
      </c>
      <c r="G1130" s="3">
        <f>IFERROR(__xludf.DUMMYFUNCTION("IF(F1130&lt;=0,0,IFERROR(ROUNDUP(F1130/INDEX(FILTER('warehouse config'!$D:$D,('warehouse config'!$B:$B=C1130)*('warehouse config'!$C:$C=D1130)*('warehouse config'!$G:$G&lt;=B1130)*(('warehouse config'!$H:$H&gt;=B1130)+ISBLANK('warehouse config'!$H:$H))),1)),0))"),0.0)</f>
        <v>0</v>
      </c>
      <c r="H1130" s="3">
        <f>IFERROR(__xludf.DUMMYFUNCTION("IFERROR(INDEX(FILTER('cost master'!$E:$E,('cost master'!$B:$B=C1130)*('cost master'!$D:$D=""Storage cost per pallet / week"")*('cost master'!$G:$G&lt;=B1130)*(('cost master'!$H:$H&gt;=B1130)+ISBLANK('cost master'!$H:$H))),1),0)"),3.9)</f>
        <v>3.9</v>
      </c>
      <c r="I1130" s="3">
        <f t="shared" si="4"/>
        <v>0</v>
      </c>
      <c r="J1130" s="27">
        <f t="shared" si="5"/>
        <v>45885</v>
      </c>
      <c r="K1130" s="27">
        <f t="shared" si="6"/>
        <v>45915</v>
      </c>
    </row>
    <row r="1131" hidden="1">
      <c r="A1131" s="3" t="str">
        <f t="shared" si="3"/>
        <v>SL-20250825-FMC-CS 010-9</v>
      </c>
      <c r="B1131" s="2">
        <f t="array" ref="B1131">INDEX(helper!$A$3:$A3996,ROUNDUP((ROW()-1)/COUNTA(helper!$D$3:$D3996),0))</f>
        <v>45894</v>
      </c>
      <c r="C1131" s="5" t="str">
        <f t="array" ref="C1131">IF(B1131="","",INDEX(helper!$D$3:$D3996,MOD(ROW()-2,COUNTA(helper!$D$3:$D3996))+1))</f>
        <v>FMC</v>
      </c>
      <c r="D1131" s="3" t="str">
        <f t="array" ref="D1131">IF(B1131="","",INDEX(helper!$E$3:$E3996,MOD(ROW()-2,COUNTA(helper!$D$3:$D3996))+1))</f>
        <v>CS 010</v>
      </c>
      <c r="E1131" s="3">
        <f t="array" ref="E1131">IF(B1131="","",INDEX(helper!$F$3:$F3996,MOD(ROW()-2,COUNTA(helper!$D$3:$D3996))+1))</f>
        <v>9</v>
      </c>
      <c r="F1131" s="3">
        <f>IF(B1131="","",SUMIFS('inventory ledger'!$H:$H,'inventory ledger'!$C:$C,C1131,'inventory ledger'!$D:$D,D1131,'inventory ledger'!$E:$E,E1131,'inventory ledger'!$A:$A,"&lt;="&amp;B1131+TIME(23,59,59))-SUMIFS('inventory ledger'!$I:$I,'inventory ledger'!$C:$C,C1131,'inventory ledger'!$D:$D,D1131,'inventory ledger'!$E:$E,E1131,'inventory ledger'!$A:$A,"&lt;="&amp;B1131+TIME(23,59,59)))</f>
        <v>0</v>
      </c>
      <c r="G1131" s="3">
        <f>IFERROR(__xludf.DUMMYFUNCTION("IF(F1131&lt;=0,0,IFERROR(ROUNDUP(F1131/INDEX(FILTER('warehouse config'!$D:$D,('warehouse config'!$B:$B=C1131)*('warehouse config'!$C:$C=D1131)*('warehouse config'!$G:$G&lt;=B1131)*(('warehouse config'!$H:$H&gt;=B1131)+ISBLANK('warehouse config'!$H:$H))),1)),0))"),0.0)</f>
        <v>0</v>
      </c>
      <c r="H1131" s="3">
        <f>IFERROR(__xludf.DUMMYFUNCTION("IFERROR(INDEX(FILTER('cost master'!$E:$E,('cost master'!$B:$B=C1131)*('cost master'!$D:$D=""Storage cost per pallet / week"")*('cost master'!$G:$G&lt;=B1131)*(('cost master'!$H:$H&gt;=B1131)+ISBLANK('cost master'!$H:$H))),1),0)"),3.9)</f>
        <v>3.9</v>
      </c>
      <c r="I1131" s="3">
        <f t="shared" si="4"/>
        <v>0</v>
      </c>
      <c r="J1131" s="27">
        <f t="shared" si="5"/>
        <v>45885</v>
      </c>
      <c r="K1131" s="27">
        <f t="shared" si="6"/>
        <v>45915</v>
      </c>
    </row>
    <row r="1132" hidden="1">
      <c r="A1132" s="3" t="str">
        <f t="shared" si="3"/>
        <v>SL-20250825-FMC-CS-CDS-001-9</v>
      </c>
      <c r="B1132" s="2">
        <f t="array" ref="B1132">INDEX(helper!$A$3:$A3996,ROUNDUP((ROW()-1)/COUNTA(helper!$D$3:$D3996),0))</f>
        <v>45894</v>
      </c>
      <c r="C1132" s="5" t="str">
        <f t="array" ref="C1132">IF(B1132="","",INDEX(helper!$D$3:$D3996,MOD(ROW()-2,COUNTA(helper!$D$3:$D3996))+1))</f>
        <v>FMC</v>
      </c>
      <c r="D1132" s="3" t="str">
        <f t="array" ref="D1132">IF(B1132="","",INDEX(helper!$E$3:$E3996,MOD(ROW()-2,COUNTA(helper!$D$3:$D3996))+1))</f>
        <v>CS-CDS-001</v>
      </c>
      <c r="E1132" s="3">
        <f t="array" ref="E1132">IF(B1132="","",INDEX(helper!$F$3:$F3996,MOD(ROW()-2,COUNTA(helper!$D$3:$D3996))+1))</f>
        <v>9</v>
      </c>
      <c r="F1132" s="3">
        <f>IF(B1132="","",SUMIFS('inventory ledger'!$H:$H,'inventory ledger'!$C:$C,C1132,'inventory ledger'!$D:$D,D1132,'inventory ledger'!$E:$E,E1132,'inventory ledger'!$A:$A,"&lt;="&amp;B1132+TIME(23,59,59))-SUMIFS('inventory ledger'!$I:$I,'inventory ledger'!$C:$C,C1132,'inventory ledger'!$D:$D,D1132,'inventory ledger'!$E:$E,E1132,'inventory ledger'!$A:$A,"&lt;="&amp;B1132+TIME(23,59,59)))</f>
        <v>0</v>
      </c>
      <c r="G1132" s="3">
        <f>IFERROR(__xludf.DUMMYFUNCTION("IF(F1132&lt;=0,0,IFERROR(ROUNDUP(F1132/INDEX(FILTER('warehouse config'!$D:$D,('warehouse config'!$B:$B=C1132)*('warehouse config'!$C:$C=D1132)*('warehouse config'!$G:$G&lt;=B1132)*(('warehouse config'!$H:$H&gt;=B1132)+ISBLANK('warehouse config'!$H:$H))),1)),0))"),0.0)</f>
        <v>0</v>
      </c>
      <c r="H1132" s="3">
        <f>IFERROR(__xludf.DUMMYFUNCTION("IFERROR(INDEX(FILTER('cost master'!$E:$E,('cost master'!$B:$B=C1132)*('cost master'!$D:$D=""Storage cost per pallet / week"")*('cost master'!$G:$G&lt;=B1132)*(('cost master'!$H:$H&gt;=B1132)+ISBLANK('cost master'!$H:$H))),1),0)"),3.9)</f>
        <v>3.9</v>
      </c>
      <c r="I1132" s="3">
        <f t="shared" si="4"/>
        <v>0</v>
      </c>
      <c r="J1132" s="27">
        <f t="shared" si="5"/>
        <v>45885</v>
      </c>
      <c r="K1132" s="27">
        <f t="shared" si="6"/>
        <v>45915</v>
      </c>
    </row>
    <row r="1133" hidden="1">
      <c r="A1133" s="3" t="str">
        <f t="shared" si="3"/>
        <v>SL-20250825-FMC-CS-CDS-002-9</v>
      </c>
      <c r="B1133" s="2">
        <f t="array" ref="B1133">INDEX(helper!$A$3:$A3996,ROUNDUP((ROW()-1)/COUNTA(helper!$D$3:$D3996),0))</f>
        <v>45894</v>
      </c>
      <c r="C1133" s="5" t="str">
        <f t="array" ref="C1133">IF(B1133="","",INDEX(helper!$D$3:$D3996,MOD(ROW()-2,COUNTA(helper!$D$3:$D3996))+1))</f>
        <v>FMC</v>
      </c>
      <c r="D1133" s="3" t="str">
        <f t="array" ref="D1133">IF(B1133="","",INDEX(helper!$E$3:$E3996,MOD(ROW()-2,COUNTA(helper!$D$3:$D3996))+1))</f>
        <v>CS-CDS-002</v>
      </c>
      <c r="E1133" s="3">
        <f t="array" ref="E1133">IF(B1133="","",INDEX(helper!$F$3:$F3996,MOD(ROW()-2,COUNTA(helper!$D$3:$D3996))+1))</f>
        <v>9</v>
      </c>
      <c r="F1133" s="3">
        <f>IF(B1133="","",SUMIFS('inventory ledger'!$H:$H,'inventory ledger'!$C:$C,C1133,'inventory ledger'!$D:$D,D1133,'inventory ledger'!$E:$E,E1133,'inventory ledger'!$A:$A,"&lt;="&amp;B1133+TIME(23,59,59))-SUMIFS('inventory ledger'!$I:$I,'inventory ledger'!$C:$C,C1133,'inventory ledger'!$D:$D,D1133,'inventory ledger'!$E:$E,E1133,'inventory ledger'!$A:$A,"&lt;="&amp;B1133+TIME(23,59,59)))</f>
        <v>0</v>
      </c>
      <c r="G1133" s="3">
        <f>IFERROR(__xludf.DUMMYFUNCTION("IF(F1133&lt;=0,0,IFERROR(ROUNDUP(F1133/INDEX(FILTER('warehouse config'!$D:$D,('warehouse config'!$B:$B=C1133)*('warehouse config'!$C:$C=D1133)*('warehouse config'!$G:$G&lt;=B1133)*(('warehouse config'!$H:$H&gt;=B1133)+ISBLANK('warehouse config'!$H:$H))),1)),0))"),0.0)</f>
        <v>0</v>
      </c>
      <c r="H1133" s="3">
        <f>IFERROR(__xludf.DUMMYFUNCTION("IFERROR(INDEX(FILTER('cost master'!$E:$E,('cost master'!$B:$B=C1133)*('cost master'!$D:$D=""Storage cost per pallet / week"")*('cost master'!$G:$G&lt;=B1133)*(('cost master'!$H:$H&gt;=B1133)+ISBLANK('cost master'!$H:$H))),1),0)"),3.9)</f>
        <v>3.9</v>
      </c>
      <c r="I1133" s="3">
        <f t="shared" si="4"/>
        <v>0</v>
      </c>
      <c r="J1133" s="27">
        <f t="shared" si="5"/>
        <v>45885</v>
      </c>
      <c r="K1133" s="27">
        <f t="shared" si="6"/>
        <v>45915</v>
      </c>
    </row>
    <row r="1134" hidden="1">
      <c r="A1134" s="3" t="str">
        <f t="shared" si="3"/>
        <v>SL-20250825-FMC-CS 007-10</v>
      </c>
      <c r="B1134" s="2">
        <f t="array" ref="B1134">INDEX(helper!$A$3:$A3996,ROUNDUP((ROW()-1)/COUNTA(helper!$D$3:$D3996),0))</f>
        <v>45894</v>
      </c>
      <c r="C1134" s="5" t="str">
        <f t="array" ref="C1134">IF(B1134="","",INDEX(helper!$D$3:$D3996,MOD(ROW()-2,COUNTA(helper!$D$3:$D3996))+1))</f>
        <v>FMC</v>
      </c>
      <c r="D1134" s="3" t="str">
        <f t="array" ref="D1134">IF(B1134="","",INDEX(helper!$E$3:$E3996,MOD(ROW()-2,COUNTA(helper!$D$3:$D3996))+1))</f>
        <v>CS 007</v>
      </c>
      <c r="E1134" s="3">
        <f t="array" ref="E1134">IF(B1134="","",INDEX(helper!$F$3:$F3996,MOD(ROW()-2,COUNTA(helper!$D$3:$D3996))+1))</f>
        <v>10</v>
      </c>
      <c r="F1134" s="3">
        <f>IF(B1134="","",SUMIFS('inventory ledger'!$H:$H,'inventory ledger'!$C:$C,C1134,'inventory ledger'!$D:$D,D1134,'inventory ledger'!$E:$E,E1134,'inventory ledger'!$A:$A,"&lt;="&amp;B1134+TIME(23,59,59))-SUMIFS('inventory ledger'!$I:$I,'inventory ledger'!$C:$C,C1134,'inventory ledger'!$D:$D,D1134,'inventory ledger'!$E:$E,E1134,'inventory ledger'!$A:$A,"&lt;="&amp;B1134+TIME(23,59,59)))</f>
        <v>0</v>
      </c>
      <c r="G1134" s="3">
        <f>IFERROR(__xludf.DUMMYFUNCTION("IF(F1134&lt;=0,0,IFERROR(ROUNDUP(F1134/INDEX(FILTER('warehouse config'!$D:$D,('warehouse config'!$B:$B=C1134)*('warehouse config'!$C:$C=D1134)*('warehouse config'!$G:$G&lt;=B1134)*(('warehouse config'!$H:$H&gt;=B1134)+ISBLANK('warehouse config'!$H:$H))),1)),0))"),0.0)</f>
        <v>0</v>
      </c>
      <c r="H1134" s="3">
        <f>IFERROR(__xludf.DUMMYFUNCTION("IFERROR(INDEX(FILTER('cost master'!$E:$E,('cost master'!$B:$B=C1134)*('cost master'!$D:$D=""Storage cost per pallet / week"")*('cost master'!$G:$G&lt;=B1134)*(('cost master'!$H:$H&gt;=B1134)+ISBLANK('cost master'!$H:$H))),1),0)"),3.9)</f>
        <v>3.9</v>
      </c>
      <c r="I1134" s="3">
        <f t="shared" si="4"/>
        <v>0</v>
      </c>
      <c r="J1134" s="27">
        <f t="shared" si="5"/>
        <v>45885</v>
      </c>
      <c r="K1134" s="27">
        <f t="shared" si="6"/>
        <v>45915</v>
      </c>
    </row>
    <row r="1135" hidden="1">
      <c r="A1135" s="3" t="str">
        <f t="shared" si="3"/>
        <v>SL-20250825-FMC-CS 009-10</v>
      </c>
      <c r="B1135" s="2">
        <f t="array" ref="B1135">INDEX(helper!$A$3:$A3996,ROUNDUP((ROW()-1)/COUNTA(helper!$D$3:$D3996),0))</f>
        <v>45894</v>
      </c>
      <c r="C1135" s="5" t="str">
        <f t="array" ref="C1135">IF(B1135="","",INDEX(helper!$D$3:$D3996,MOD(ROW()-2,COUNTA(helper!$D$3:$D3996))+1))</f>
        <v>FMC</v>
      </c>
      <c r="D1135" s="3" t="str">
        <f t="array" ref="D1135">IF(B1135="","",INDEX(helper!$E$3:$E3996,MOD(ROW()-2,COUNTA(helper!$D$3:$D3996))+1))</f>
        <v>CS 009</v>
      </c>
      <c r="E1135" s="3">
        <f t="array" ref="E1135">IF(B1135="","",INDEX(helper!$F$3:$F3996,MOD(ROW()-2,COUNTA(helper!$D$3:$D3996))+1))</f>
        <v>10</v>
      </c>
      <c r="F1135" s="3">
        <f>IF(B1135="","",SUMIFS('inventory ledger'!$H:$H,'inventory ledger'!$C:$C,C1135,'inventory ledger'!$D:$D,D1135,'inventory ledger'!$E:$E,E1135,'inventory ledger'!$A:$A,"&lt;="&amp;B1135+TIME(23,59,59))-SUMIFS('inventory ledger'!$I:$I,'inventory ledger'!$C:$C,C1135,'inventory ledger'!$D:$D,D1135,'inventory ledger'!$E:$E,E1135,'inventory ledger'!$A:$A,"&lt;="&amp;B1135+TIME(23,59,59)))</f>
        <v>0</v>
      </c>
      <c r="G1135" s="3">
        <f>IFERROR(__xludf.DUMMYFUNCTION("IF(F1135&lt;=0,0,IFERROR(ROUNDUP(F1135/INDEX(FILTER('warehouse config'!$D:$D,('warehouse config'!$B:$B=C1135)*('warehouse config'!$C:$C=D1135)*('warehouse config'!$G:$G&lt;=B1135)*(('warehouse config'!$H:$H&gt;=B1135)+ISBLANK('warehouse config'!$H:$H))),1)),0))"),0.0)</f>
        <v>0</v>
      </c>
      <c r="H1135" s="3">
        <f>IFERROR(__xludf.DUMMYFUNCTION("IFERROR(INDEX(FILTER('cost master'!$E:$E,('cost master'!$B:$B=C1135)*('cost master'!$D:$D=""Storage cost per pallet / week"")*('cost master'!$G:$G&lt;=B1135)*(('cost master'!$H:$H&gt;=B1135)+ISBLANK('cost master'!$H:$H))),1),0)"),3.9)</f>
        <v>3.9</v>
      </c>
      <c r="I1135" s="3">
        <f t="shared" si="4"/>
        <v>0</v>
      </c>
      <c r="J1135" s="27">
        <f t="shared" si="5"/>
        <v>45885</v>
      </c>
      <c r="K1135" s="27">
        <f t="shared" si="6"/>
        <v>45915</v>
      </c>
    </row>
    <row r="1136" hidden="1">
      <c r="A1136" s="3" t="str">
        <f t="shared" si="3"/>
        <v>SL-20250825-FMC-CS 010-10</v>
      </c>
      <c r="B1136" s="2">
        <f t="array" ref="B1136">INDEX(helper!$A$3:$A3996,ROUNDUP((ROW()-1)/COUNTA(helper!$D$3:$D3996),0))</f>
        <v>45894</v>
      </c>
      <c r="C1136" s="5" t="str">
        <f t="array" ref="C1136">IF(B1136="","",INDEX(helper!$D$3:$D3996,MOD(ROW()-2,COUNTA(helper!$D$3:$D3996))+1))</f>
        <v>FMC</v>
      </c>
      <c r="D1136" s="3" t="str">
        <f t="array" ref="D1136">IF(B1136="","",INDEX(helper!$E$3:$E3996,MOD(ROW()-2,COUNTA(helper!$D$3:$D3996))+1))</f>
        <v>CS 010</v>
      </c>
      <c r="E1136" s="3">
        <f t="array" ref="E1136">IF(B1136="","",INDEX(helper!$F$3:$F3996,MOD(ROW()-2,COUNTA(helper!$D$3:$D3996))+1))</f>
        <v>10</v>
      </c>
      <c r="F1136" s="3">
        <f>IF(B1136="","",SUMIFS('inventory ledger'!$H:$H,'inventory ledger'!$C:$C,C1136,'inventory ledger'!$D:$D,D1136,'inventory ledger'!$E:$E,E1136,'inventory ledger'!$A:$A,"&lt;="&amp;B1136+TIME(23,59,59))-SUMIFS('inventory ledger'!$I:$I,'inventory ledger'!$C:$C,C1136,'inventory ledger'!$D:$D,D1136,'inventory ledger'!$E:$E,E1136,'inventory ledger'!$A:$A,"&lt;="&amp;B1136+TIME(23,59,59)))</f>
        <v>13</v>
      </c>
      <c r="G1136" s="3">
        <f>IFERROR(__xludf.DUMMYFUNCTION("IF(F1136&lt;=0,0,IFERROR(ROUNDUP(F1136/INDEX(FILTER('warehouse config'!$D:$D,('warehouse config'!$B:$B=C1136)*('warehouse config'!$C:$C=D1136)*('warehouse config'!$G:$G&lt;=B1136)*(('warehouse config'!$H:$H&gt;=B1136)+ISBLANK('warehouse config'!$H:$H))),1)),0))"),1.0)</f>
        <v>1</v>
      </c>
      <c r="H1136" s="3">
        <f>IFERROR(__xludf.DUMMYFUNCTION("IFERROR(INDEX(FILTER('cost master'!$E:$E,('cost master'!$B:$B=C1136)*('cost master'!$D:$D=""Storage cost per pallet / week"")*('cost master'!$G:$G&lt;=B1136)*(('cost master'!$H:$H&gt;=B1136)+ISBLANK('cost master'!$H:$H))),1),0)"),3.9)</f>
        <v>3.9</v>
      </c>
      <c r="I1136" s="3">
        <f t="shared" si="4"/>
        <v>3.9</v>
      </c>
      <c r="J1136" s="27">
        <f t="shared" si="5"/>
        <v>45885</v>
      </c>
      <c r="K1136" s="27">
        <f t="shared" si="6"/>
        <v>45915</v>
      </c>
    </row>
    <row r="1137" hidden="1">
      <c r="A1137" s="3" t="str">
        <f t="shared" si="3"/>
        <v>SL-20250825-FMC-CS-CDS-001-10</v>
      </c>
      <c r="B1137" s="2">
        <f t="array" ref="B1137">INDEX(helper!$A$3:$A3996,ROUNDUP((ROW()-1)/COUNTA(helper!$D$3:$D3996),0))</f>
        <v>45894</v>
      </c>
      <c r="C1137" s="5" t="str">
        <f t="array" ref="C1137">IF(B1137="","",INDEX(helper!$D$3:$D3996,MOD(ROW()-2,COUNTA(helper!$D$3:$D3996))+1))</f>
        <v>FMC</v>
      </c>
      <c r="D1137" s="3" t="str">
        <f t="array" ref="D1137">IF(B1137="","",INDEX(helper!$E$3:$E3996,MOD(ROW()-2,COUNTA(helper!$D$3:$D3996))+1))</f>
        <v>CS-CDS-001</v>
      </c>
      <c r="E1137" s="3">
        <f t="array" ref="E1137">IF(B1137="","",INDEX(helper!$F$3:$F3996,MOD(ROW()-2,COUNTA(helper!$D$3:$D3996))+1))</f>
        <v>10</v>
      </c>
      <c r="F1137" s="3">
        <f>IF(B1137="","",SUMIFS('inventory ledger'!$H:$H,'inventory ledger'!$C:$C,C1137,'inventory ledger'!$D:$D,D1137,'inventory ledger'!$E:$E,E1137,'inventory ledger'!$A:$A,"&lt;="&amp;B1137+TIME(23,59,59))-SUMIFS('inventory ledger'!$I:$I,'inventory ledger'!$C:$C,C1137,'inventory ledger'!$D:$D,D1137,'inventory ledger'!$E:$E,E1137,'inventory ledger'!$A:$A,"&lt;="&amp;B1137+TIME(23,59,59)))</f>
        <v>0</v>
      </c>
      <c r="G1137" s="3">
        <f>IFERROR(__xludf.DUMMYFUNCTION("IF(F1137&lt;=0,0,IFERROR(ROUNDUP(F1137/INDEX(FILTER('warehouse config'!$D:$D,('warehouse config'!$B:$B=C1137)*('warehouse config'!$C:$C=D1137)*('warehouse config'!$G:$G&lt;=B1137)*(('warehouse config'!$H:$H&gt;=B1137)+ISBLANK('warehouse config'!$H:$H))),1)),0))"),0.0)</f>
        <v>0</v>
      </c>
      <c r="H1137" s="3">
        <f>IFERROR(__xludf.DUMMYFUNCTION("IFERROR(INDEX(FILTER('cost master'!$E:$E,('cost master'!$B:$B=C1137)*('cost master'!$D:$D=""Storage cost per pallet / week"")*('cost master'!$G:$G&lt;=B1137)*(('cost master'!$H:$H&gt;=B1137)+ISBLANK('cost master'!$H:$H))),1),0)"),3.9)</f>
        <v>3.9</v>
      </c>
      <c r="I1137" s="3">
        <f t="shared" si="4"/>
        <v>0</v>
      </c>
      <c r="J1137" s="27">
        <f t="shared" si="5"/>
        <v>45885</v>
      </c>
      <c r="K1137" s="27">
        <f t="shared" si="6"/>
        <v>45915</v>
      </c>
    </row>
    <row r="1138">
      <c r="A1138" s="3" t="str">
        <f t="shared" si="3"/>
        <v>SL-20250825-FMC-CS 007-11</v>
      </c>
      <c r="B1138" s="2">
        <f t="array" ref="B1138">INDEX(helper!$A$3:$A3996,ROUNDUP((ROW()-1)/COUNTA(helper!$D$3:$D3996),0))</f>
        <v>45894</v>
      </c>
      <c r="C1138" s="5" t="str">
        <f t="array" ref="C1138">IF(B1138="","",INDEX(helper!$D$3:$D3996,MOD(ROW()-2,COUNTA(helper!$D$3:$D3996))+1))</f>
        <v>FMC</v>
      </c>
      <c r="D1138" s="3" t="str">
        <f t="array" ref="D1138">IF(B1138="","",INDEX(helper!$E$3:$E3996,MOD(ROW()-2,COUNTA(helper!$D$3:$D3996))+1))</f>
        <v>CS 007</v>
      </c>
      <c r="E1138" s="3">
        <f t="array" ref="E1138">IF(B1138="","",INDEX(helper!$F$3:$F3996,MOD(ROW()-2,COUNTA(helper!$D$3:$D3996))+1))</f>
        <v>11</v>
      </c>
      <c r="F1138" s="3">
        <f>IF(B1138="","",SUMIFS('inventory ledger'!$H:$H,'inventory ledger'!$C:$C,C1138,'inventory ledger'!$D:$D,D1138,'inventory ledger'!$E:$E,E1138,'inventory ledger'!$A:$A,"&lt;="&amp;B1138+TIME(23,59,59))-SUMIFS('inventory ledger'!$I:$I,'inventory ledger'!$C:$C,C1138,'inventory ledger'!$D:$D,D1138,'inventory ledger'!$E:$E,E1138,'inventory ledger'!$A:$A,"&lt;="&amp;B1138+TIME(23,59,59)))</f>
        <v>-1</v>
      </c>
      <c r="G1138" s="3">
        <f>IFERROR(__xludf.DUMMYFUNCTION("IF(F1138&lt;=0,0,IFERROR(ROUNDUP(F1138/INDEX(FILTER('warehouse config'!$D:$D,('warehouse config'!$B:$B=C1138)*('warehouse config'!$C:$C=D1138)*('warehouse config'!$G:$G&lt;=B1138)*(('warehouse config'!$H:$H&gt;=B1138)+ISBLANK('warehouse config'!$H:$H))),1)),0))"),0.0)</f>
        <v>0</v>
      </c>
      <c r="H1138" s="3">
        <f>IFERROR(__xludf.DUMMYFUNCTION("IFERROR(INDEX(FILTER('cost master'!$E:$E,('cost master'!$B:$B=C1138)*('cost master'!$D:$D=""Storage cost per pallet / week"")*('cost master'!$G:$G&lt;=B1138)*(('cost master'!$H:$H&gt;=B1138)+ISBLANK('cost master'!$H:$H))),1),0)"),3.9)</f>
        <v>3.9</v>
      </c>
      <c r="I1138" s="3">
        <f t="shared" si="4"/>
        <v>0</v>
      </c>
      <c r="J1138" s="27">
        <f t="shared" si="5"/>
        <v>45885</v>
      </c>
      <c r="K1138" s="27">
        <f t="shared" si="6"/>
        <v>45915</v>
      </c>
    </row>
    <row r="1139" hidden="1">
      <c r="A1139" s="3" t="str">
        <f t="shared" si="3"/>
        <v>SL-20250825-FMC-CS 009-11</v>
      </c>
      <c r="B1139" s="2">
        <f t="array" ref="B1139">INDEX(helper!$A$3:$A3996,ROUNDUP((ROW()-1)/COUNTA(helper!$D$3:$D3996),0))</f>
        <v>45894</v>
      </c>
      <c r="C1139" s="5" t="str">
        <f t="array" ref="C1139">IF(B1139="","",INDEX(helper!$D$3:$D3996,MOD(ROW()-2,COUNTA(helper!$D$3:$D3996))+1))</f>
        <v>FMC</v>
      </c>
      <c r="D1139" s="3" t="str">
        <f t="array" ref="D1139">IF(B1139="","",INDEX(helper!$E$3:$E3996,MOD(ROW()-2,COUNTA(helper!$D$3:$D3996))+1))</f>
        <v>CS 009</v>
      </c>
      <c r="E1139" s="3">
        <f t="array" ref="E1139">IF(B1139="","",INDEX(helper!$F$3:$F3996,MOD(ROW()-2,COUNTA(helper!$D$3:$D3996))+1))</f>
        <v>11</v>
      </c>
      <c r="F1139" s="3">
        <f>IF(B1139="","",SUMIFS('inventory ledger'!$H:$H,'inventory ledger'!$C:$C,C1139,'inventory ledger'!$D:$D,D1139,'inventory ledger'!$E:$E,E1139,'inventory ledger'!$A:$A,"&lt;="&amp;B1139+TIME(23,59,59))-SUMIFS('inventory ledger'!$I:$I,'inventory ledger'!$C:$C,C1139,'inventory ledger'!$D:$D,D1139,'inventory ledger'!$E:$E,E1139,'inventory ledger'!$A:$A,"&lt;="&amp;B1139+TIME(23,59,59)))</f>
        <v>0</v>
      </c>
      <c r="G1139" s="3">
        <f>IFERROR(__xludf.DUMMYFUNCTION("IF(F1139&lt;=0,0,IFERROR(ROUNDUP(F1139/INDEX(FILTER('warehouse config'!$D:$D,('warehouse config'!$B:$B=C1139)*('warehouse config'!$C:$C=D1139)*('warehouse config'!$G:$G&lt;=B1139)*(('warehouse config'!$H:$H&gt;=B1139)+ISBLANK('warehouse config'!$H:$H))),1)),0))"),0.0)</f>
        <v>0</v>
      </c>
      <c r="H1139" s="3">
        <f>IFERROR(__xludf.DUMMYFUNCTION("IFERROR(INDEX(FILTER('cost master'!$E:$E,('cost master'!$B:$B=C1139)*('cost master'!$D:$D=""Storage cost per pallet / week"")*('cost master'!$G:$G&lt;=B1139)*(('cost master'!$H:$H&gt;=B1139)+ISBLANK('cost master'!$H:$H))),1),0)"),3.9)</f>
        <v>3.9</v>
      </c>
      <c r="I1139" s="3">
        <f t="shared" si="4"/>
        <v>0</v>
      </c>
      <c r="J1139" s="27">
        <f t="shared" si="5"/>
        <v>45885</v>
      </c>
      <c r="K1139" s="27">
        <f t="shared" si="6"/>
        <v>45915</v>
      </c>
    </row>
    <row r="1140" hidden="1">
      <c r="A1140" s="3" t="str">
        <f t="shared" si="3"/>
        <v>SL-20250825-FMC-CS 010-11</v>
      </c>
      <c r="B1140" s="2">
        <f t="array" ref="B1140">INDEX(helper!$A$3:$A3996,ROUNDUP((ROW()-1)/COUNTA(helper!$D$3:$D3996),0))</f>
        <v>45894</v>
      </c>
      <c r="C1140" s="5" t="str">
        <f t="array" ref="C1140">IF(B1140="","",INDEX(helper!$D$3:$D3996,MOD(ROW()-2,COUNTA(helper!$D$3:$D3996))+1))</f>
        <v>FMC</v>
      </c>
      <c r="D1140" s="3" t="str">
        <f t="array" ref="D1140">IF(B1140="","",INDEX(helper!$E$3:$E3996,MOD(ROW()-2,COUNTA(helper!$D$3:$D3996))+1))</f>
        <v>CS 010</v>
      </c>
      <c r="E1140" s="3">
        <f t="array" ref="E1140">IF(B1140="","",INDEX(helper!$F$3:$F3996,MOD(ROW()-2,COUNTA(helper!$D$3:$D3996))+1))</f>
        <v>11</v>
      </c>
      <c r="F1140" s="3">
        <f>IF(B1140="","",SUMIFS('inventory ledger'!$H:$H,'inventory ledger'!$C:$C,C1140,'inventory ledger'!$D:$D,D1140,'inventory ledger'!$E:$E,E1140,'inventory ledger'!$A:$A,"&lt;="&amp;B1140+TIME(23,59,59))-SUMIFS('inventory ledger'!$I:$I,'inventory ledger'!$C:$C,C1140,'inventory ledger'!$D:$D,D1140,'inventory ledger'!$E:$E,E1140,'inventory ledger'!$A:$A,"&lt;="&amp;B1140+TIME(23,59,59)))</f>
        <v>6</v>
      </c>
      <c r="G1140" s="3">
        <f>IFERROR(__xludf.DUMMYFUNCTION("IF(F1140&lt;=0,0,IFERROR(ROUNDUP(F1140/INDEX(FILTER('warehouse config'!$D:$D,('warehouse config'!$B:$B=C1140)*('warehouse config'!$C:$C=D1140)*('warehouse config'!$G:$G&lt;=B1140)*(('warehouse config'!$H:$H&gt;=B1140)+ISBLANK('warehouse config'!$H:$H))),1)),0))"),1.0)</f>
        <v>1</v>
      </c>
      <c r="H1140" s="3">
        <f>IFERROR(__xludf.DUMMYFUNCTION("IFERROR(INDEX(FILTER('cost master'!$E:$E,('cost master'!$B:$B=C1140)*('cost master'!$D:$D=""Storage cost per pallet / week"")*('cost master'!$G:$G&lt;=B1140)*(('cost master'!$H:$H&gt;=B1140)+ISBLANK('cost master'!$H:$H))),1),0)"),3.9)</f>
        <v>3.9</v>
      </c>
      <c r="I1140" s="3">
        <f t="shared" si="4"/>
        <v>3.9</v>
      </c>
      <c r="J1140" s="27">
        <f t="shared" si="5"/>
        <v>45885</v>
      </c>
      <c r="K1140" s="27">
        <f t="shared" si="6"/>
        <v>45915</v>
      </c>
    </row>
    <row r="1141" hidden="1">
      <c r="A1141" s="3" t="str">
        <f t="shared" si="3"/>
        <v>SL-20250825-Vglobal-CS 007-12</v>
      </c>
      <c r="B1141" s="2">
        <f t="array" ref="B1141">INDEX(helper!$A$3:$A3996,ROUNDUP((ROW()-1)/COUNTA(helper!$D$3:$D3996),0))</f>
        <v>45894</v>
      </c>
      <c r="C1141" s="5" t="str">
        <f t="array" ref="C1141">IF(B1141="","",INDEX(helper!$D$3:$D3996,MOD(ROW()-2,COUNTA(helper!$D$3:$D3996))+1))</f>
        <v>Vglobal</v>
      </c>
      <c r="D1141" s="3" t="str">
        <f t="array" ref="D1141">IF(B1141="","",INDEX(helper!$E$3:$E3996,MOD(ROW()-2,COUNTA(helper!$D$3:$D3996))+1))</f>
        <v>CS 007</v>
      </c>
      <c r="E1141" s="3">
        <f t="array" ref="E1141">IF(B1141="","",INDEX(helper!$F$3:$F3996,MOD(ROW()-2,COUNTA(helper!$D$3:$D3996))+1))</f>
        <v>12</v>
      </c>
      <c r="F1141" s="3">
        <f>IF(B1141="","",SUMIFS('inventory ledger'!$H:$H,'inventory ledger'!$C:$C,C1141,'inventory ledger'!$D:$D,D1141,'inventory ledger'!$E:$E,E1141,'inventory ledger'!$A:$A,"&lt;="&amp;B1141+TIME(23,59,59))-SUMIFS('inventory ledger'!$I:$I,'inventory ledger'!$C:$C,C1141,'inventory ledger'!$D:$D,D1141,'inventory ledger'!$E:$E,E1141,'inventory ledger'!$A:$A,"&lt;="&amp;B1141+TIME(23,59,59)))</f>
        <v>0</v>
      </c>
      <c r="G1141" s="3">
        <f>IFERROR(__xludf.DUMMYFUNCTION("IF(F1141&lt;=0,0,IFERROR(ROUNDUP(F1141/INDEX(FILTER('warehouse config'!$D:$D,('warehouse config'!$B:$B=C1141)*('warehouse config'!$C:$C=D1141)*('warehouse config'!$G:$G&lt;=B1141)*(('warehouse config'!$H:$H&gt;=B1141)+ISBLANK('warehouse config'!$H:$H))),1)),0))"),0.0)</f>
        <v>0</v>
      </c>
      <c r="H1141" s="3">
        <f>IFERROR(__xludf.DUMMYFUNCTION("IFERROR(INDEX(FILTER('cost master'!$E:$E,('cost master'!$B:$B=C1141)*('cost master'!$D:$D=""Storage cost per pallet / week"")*('cost master'!$G:$G&lt;=B1141)*(('cost master'!$H:$H&gt;=B1141)+ISBLANK('cost master'!$H:$H))),1),0)"),2.6)</f>
        <v>2.6</v>
      </c>
      <c r="I1141" s="3">
        <f t="shared" si="4"/>
        <v>0</v>
      </c>
      <c r="J1141" s="27">
        <f t="shared" si="5"/>
        <v>45885</v>
      </c>
      <c r="K1141" s="27">
        <f t="shared" si="6"/>
        <v>45915</v>
      </c>
    </row>
    <row r="1142" hidden="1">
      <c r="A1142" s="3" t="str">
        <f t="shared" si="3"/>
        <v>SL-20250825-Vglobal-CS 011-12</v>
      </c>
      <c r="B1142" s="2">
        <f t="array" ref="B1142">INDEX(helper!$A$3:$A3996,ROUNDUP((ROW()-1)/COUNTA(helper!$D$3:$D3996),0))</f>
        <v>45894</v>
      </c>
      <c r="C1142" s="5" t="str">
        <f t="array" ref="C1142">IF(B1142="","",INDEX(helper!$D$3:$D3996,MOD(ROW()-2,COUNTA(helper!$D$3:$D3996))+1))</f>
        <v>Vglobal</v>
      </c>
      <c r="D1142" s="3" t="str">
        <f t="array" ref="D1142">IF(B1142="","",INDEX(helper!$E$3:$E3996,MOD(ROW()-2,COUNTA(helper!$D$3:$D3996))+1))</f>
        <v>CS 011</v>
      </c>
      <c r="E1142" s="3">
        <f t="array" ref="E1142">IF(B1142="","",INDEX(helper!$F$3:$F3996,MOD(ROW()-2,COUNTA(helper!$D$3:$D3996))+1))</f>
        <v>12</v>
      </c>
      <c r="F1142" s="3">
        <f>IF(B1142="","",SUMIFS('inventory ledger'!$H:$H,'inventory ledger'!$C:$C,C1142,'inventory ledger'!$D:$D,D1142,'inventory ledger'!$E:$E,E1142,'inventory ledger'!$A:$A,"&lt;="&amp;B1142+TIME(23,59,59))-SUMIFS('inventory ledger'!$I:$I,'inventory ledger'!$C:$C,C1142,'inventory ledger'!$D:$D,D1142,'inventory ledger'!$E:$E,E1142,'inventory ledger'!$A:$A,"&lt;="&amp;B1142+TIME(23,59,59)))</f>
        <v>0</v>
      </c>
      <c r="G1142" s="3">
        <f>IFERROR(__xludf.DUMMYFUNCTION("IF(F1142&lt;=0,0,IFERROR(ROUNDUP(F1142/INDEX(FILTER('warehouse config'!$D:$D,('warehouse config'!$B:$B=C1142)*('warehouse config'!$C:$C=D1142)*('warehouse config'!$G:$G&lt;=B1142)*(('warehouse config'!$H:$H&gt;=B1142)+ISBLANK('warehouse config'!$H:$H))),1)),0))"),0.0)</f>
        <v>0</v>
      </c>
      <c r="H1142" s="3">
        <f>IFERROR(__xludf.DUMMYFUNCTION("IFERROR(INDEX(FILTER('cost master'!$E:$E,('cost master'!$B:$B=C1142)*('cost master'!$D:$D=""Storage cost per pallet / week"")*('cost master'!$G:$G&lt;=B1142)*(('cost master'!$H:$H&gt;=B1142)+ISBLANK('cost master'!$H:$H))),1),0)"),2.6)</f>
        <v>2.6</v>
      </c>
      <c r="I1142" s="3">
        <f t="shared" si="4"/>
        <v>0</v>
      </c>
      <c r="J1142" s="27">
        <f t="shared" si="5"/>
        <v>45885</v>
      </c>
      <c r="K1142" s="27">
        <f t="shared" si="6"/>
        <v>45915</v>
      </c>
    </row>
    <row r="1143" hidden="1">
      <c r="A1143" s="3" t="str">
        <f t="shared" si="3"/>
        <v>SL-20250825-Vglobal-CS 008-12</v>
      </c>
      <c r="B1143" s="2">
        <f t="array" ref="B1143">INDEX(helper!$A$3:$A3996,ROUNDUP((ROW()-1)/COUNTA(helper!$D$3:$D3996),0))</f>
        <v>45894</v>
      </c>
      <c r="C1143" s="5" t="str">
        <f t="array" ref="C1143">IF(B1143="","",INDEX(helper!$D$3:$D3996,MOD(ROW()-2,COUNTA(helper!$D$3:$D3996))+1))</f>
        <v>Vglobal</v>
      </c>
      <c r="D1143" s="3" t="str">
        <f t="array" ref="D1143">IF(B1143="","",INDEX(helper!$E$3:$E3996,MOD(ROW()-2,COUNTA(helper!$D$3:$D3996))+1))</f>
        <v>CS 008</v>
      </c>
      <c r="E1143" s="3">
        <f t="array" ref="E1143">IF(B1143="","",INDEX(helper!$F$3:$F3996,MOD(ROW()-2,COUNTA(helper!$D$3:$D3996))+1))</f>
        <v>12</v>
      </c>
      <c r="F1143" s="3">
        <f>IF(B1143="","",SUMIFS('inventory ledger'!$H:$H,'inventory ledger'!$C:$C,C1143,'inventory ledger'!$D:$D,D1143,'inventory ledger'!$E:$E,E1143,'inventory ledger'!$A:$A,"&lt;="&amp;B1143+TIME(23,59,59))-SUMIFS('inventory ledger'!$I:$I,'inventory ledger'!$C:$C,C1143,'inventory ledger'!$D:$D,D1143,'inventory ledger'!$E:$E,E1143,'inventory ledger'!$A:$A,"&lt;="&amp;B1143+TIME(23,59,59)))</f>
        <v>0</v>
      </c>
      <c r="G1143" s="3">
        <f>IFERROR(__xludf.DUMMYFUNCTION("IF(F1143&lt;=0,0,IFERROR(ROUNDUP(F1143/INDEX(FILTER('warehouse config'!$D:$D,('warehouse config'!$B:$B=C1143)*('warehouse config'!$C:$C=D1143)*('warehouse config'!$G:$G&lt;=B1143)*(('warehouse config'!$H:$H&gt;=B1143)+ISBLANK('warehouse config'!$H:$H))),1)),0))"),0.0)</f>
        <v>0</v>
      </c>
      <c r="H1143" s="3">
        <f>IFERROR(__xludf.DUMMYFUNCTION("IFERROR(INDEX(FILTER('cost master'!$E:$E,('cost master'!$B:$B=C1143)*('cost master'!$D:$D=""Storage cost per pallet / week"")*('cost master'!$G:$G&lt;=B1143)*(('cost master'!$H:$H&gt;=B1143)+ISBLANK('cost master'!$H:$H))),1),0)"),2.6)</f>
        <v>2.6</v>
      </c>
      <c r="I1143" s="3">
        <f t="shared" si="4"/>
        <v>0</v>
      </c>
      <c r="J1143" s="27">
        <f t="shared" si="5"/>
        <v>45885</v>
      </c>
      <c r="K1143" s="27">
        <f t="shared" si="6"/>
        <v>45915</v>
      </c>
    </row>
    <row r="1144" hidden="1">
      <c r="A1144" s="3" t="str">
        <f t="shared" si="3"/>
        <v>SL-20250825-Vglobal-CS 010-12</v>
      </c>
      <c r="B1144" s="2">
        <f t="array" ref="B1144">INDEX(helper!$A$3:$A3996,ROUNDUP((ROW()-1)/COUNTA(helper!$D$3:$D3996),0))</f>
        <v>45894</v>
      </c>
      <c r="C1144" s="5" t="str">
        <f t="array" ref="C1144">IF(B1144="","",INDEX(helper!$D$3:$D3996,MOD(ROW()-2,COUNTA(helper!$D$3:$D3996))+1))</f>
        <v>Vglobal</v>
      </c>
      <c r="D1144" s="3" t="str">
        <f t="array" ref="D1144">IF(B1144="","",INDEX(helper!$E$3:$E3996,MOD(ROW()-2,COUNTA(helper!$D$3:$D3996))+1))</f>
        <v>CS 010</v>
      </c>
      <c r="E1144" s="3">
        <f t="array" ref="E1144">IF(B1144="","",INDEX(helper!$F$3:$F3996,MOD(ROW()-2,COUNTA(helper!$D$3:$D3996))+1))</f>
        <v>12</v>
      </c>
      <c r="F1144" s="3">
        <f>IF(B1144="","",SUMIFS('inventory ledger'!$H:$H,'inventory ledger'!$C:$C,C1144,'inventory ledger'!$D:$D,D1144,'inventory ledger'!$E:$E,E1144,'inventory ledger'!$A:$A,"&lt;="&amp;B1144+TIME(23,59,59))-SUMIFS('inventory ledger'!$I:$I,'inventory ledger'!$C:$C,C1144,'inventory ledger'!$D:$D,D1144,'inventory ledger'!$E:$E,E1144,'inventory ledger'!$A:$A,"&lt;="&amp;B1144+TIME(23,59,59)))</f>
        <v>70</v>
      </c>
      <c r="G1144" s="3">
        <f>IFERROR(__xludf.DUMMYFUNCTION("IF(F1144&lt;=0,0,IFERROR(ROUNDUP(F1144/INDEX(FILTER('warehouse config'!$D:$D,('warehouse config'!$B:$B=C1144)*('warehouse config'!$C:$C=D1144)*('warehouse config'!$G:$G&lt;=B1144)*(('warehouse config'!$H:$H&gt;=B1144)+ISBLANK('warehouse config'!$H:$H))),1)),0))"),3.0)</f>
        <v>3</v>
      </c>
      <c r="H1144" s="3">
        <f>IFERROR(__xludf.DUMMYFUNCTION("IFERROR(INDEX(FILTER('cost master'!$E:$E,('cost master'!$B:$B=C1144)*('cost master'!$D:$D=""Storage cost per pallet / week"")*('cost master'!$G:$G&lt;=B1144)*(('cost master'!$H:$H&gt;=B1144)+ISBLANK('cost master'!$H:$H))),1),0)"),2.6)</f>
        <v>2.6</v>
      </c>
      <c r="I1144" s="3">
        <f t="shared" si="4"/>
        <v>7.8</v>
      </c>
      <c r="J1144" s="27">
        <f t="shared" si="5"/>
        <v>45885</v>
      </c>
      <c r="K1144" s="27">
        <f t="shared" si="6"/>
        <v>45915</v>
      </c>
    </row>
    <row r="1145" hidden="1">
      <c r="A1145" s="3" t="str">
        <f t="shared" si="3"/>
        <v>SL-20250825-Vglobal-CS 009-12</v>
      </c>
      <c r="B1145" s="2">
        <f t="array" ref="B1145">INDEX(helper!$A$3:$A3996,ROUNDUP((ROW()-1)/COUNTA(helper!$D$3:$D3996),0))</f>
        <v>45894</v>
      </c>
      <c r="C1145" s="5" t="str">
        <f t="array" ref="C1145">IF(B1145="","",INDEX(helper!$D$3:$D3996,MOD(ROW()-2,COUNTA(helper!$D$3:$D3996))+1))</f>
        <v>Vglobal</v>
      </c>
      <c r="D1145" s="3" t="str">
        <f t="array" ref="D1145">IF(B1145="","",INDEX(helper!$E$3:$E3996,MOD(ROW()-2,COUNTA(helper!$D$3:$D3996))+1))</f>
        <v>CS 009</v>
      </c>
      <c r="E1145" s="3">
        <f t="array" ref="E1145">IF(B1145="","",INDEX(helper!$F$3:$F3996,MOD(ROW()-2,COUNTA(helper!$D$3:$D3996))+1))</f>
        <v>12</v>
      </c>
      <c r="F1145" s="3">
        <f>IF(B1145="","",SUMIFS('inventory ledger'!$H:$H,'inventory ledger'!$C:$C,C1145,'inventory ledger'!$D:$D,D1145,'inventory ledger'!$E:$E,E1145,'inventory ledger'!$A:$A,"&lt;="&amp;B1145+TIME(23,59,59))-SUMIFS('inventory ledger'!$I:$I,'inventory ledger'!$C:$C,C1145,'inventory ledger'!$D:$D,D1145,'inventory ledger'!$E:$E,E1145,'inventory ledger'!$A:$A,"&lt;="&amp;B1145+TIME(23,59,59)))</f>
        <v>0</v>
      </c>
      <c r="G1145" s="3">
        <f>IFERROR(__xludf.DUMMYFUNCTION("IF(F1145&lt;=0,0,IFERROR(ROUNDUP(F1145/INDEX(FILTER('warehouse config'!$D:$D,('warehouse config'!$B:$B=C1145)*('warehouse config'!$C:$C=D1145)*('warehouse config'!$G:$G&lt;=B1145)*(('warehouse config'!$H:$H&gt;=B1145)+ISBLANK('warehouse config'!$H:$H))),1)),0))"),0.0)</f>
        <v>0</v>
      </c>
      <c r="H1145" s="3">
        <f>IFERROR(__xludf.DUMMYFUNCTION("IFERROR(INDEX(FILTER('cost master'!$E:$E,('cost master'!$B:$B=C1145)*('cost master'!$D:$D=""Storage cost per pallet / week"")*('cost master'!$G:$G&lt;=B1145)*(('cost master'!$H:$H&gt;=B1145)+ISBLANK('cost master'!$H:$H))),1),0)"),2.6)</f>
        <v>2.6</v>
      </c>
      <c r="I1145" s="3">
        <f t="shared" si="4"/>
        <v>0</v>
      </c>
      <c r="J1145" s="27">
        <f t="shared" si="5"/>
        <v>45885</v>
      </c>
      <c r="K1145" s="27">
        <f t="shared" si="6"/>
        <v>45915</v>
      </c>
    </row>
    <row r="1146" hidden="1">
      <c r="A1146" s="3" t="str">
        <f t="shared" si="3"/>
        <v>SL-20250825-Vglobal-CS 012-12</v>
      </c>
      <c r="B1146" s="2">
        <f t="array" ref="B1146">INDEX(helper!$A$3:$A3996,ROUNDUP((ROW()-1)/COUNTA(helper!$D$3:$D3996),0))</f>
        <v>45894</v>
      </c>
      <c r="C1146" s="5" t="str">
        <f t="array" ref="C1146">IF(B1146="","",INDEX(helper!$D$3:$D3996,MOD(ROW()-2,COUNTA(helper!$D$3:$D3996))+1))</f>
        <v>Vglobal</v>
      </c>
      <c r="D1146" s="3" t="str">
        <f t="array" ref="D1146">IF(B1146="","",INDEX(helper!$E$3:$E3996,MOD(ROW()-2,COUNTA(helper!$D$3:$D3996))+1))</f>
        <v>CS 012</v>
      </c>
      <c r="E1146" s="3">
        <f t="array" ref="E1146">IF(B1146="","",INDEX(helper!$F$3:$F3996,MOD(ROW()-2,COUNTA(helper!$D$3:$D3996))+1))</f>
        <v>12</v>
      </c>
      <c r="F1146" s="3">
        <f>IF(B1146="","",SUMIFS('inventory ledger'!$H:$H,'inventory ledger'!$C:$C,C1146,'inventory ledger'!$D:$D,D1146,'inventory ledger'!$E:$E,E1146,'inventory ledger'!$A:$A,"&lt;="&amp;B1146+TIME(23,59,59))-SUMIFS('inventory ledger'!$I:$I,'inventory ledger'!$C:$C,C1146,'inventory ledger'!$D:$D,D1146,'inventory ledger'!$E:$E,E1146,'inventory ledger'!$A:$A,"&lt;="&amp;B1146+TIME(23,59,59)))</f>
        <v>0</v>
      </c>
      <c r="G1146" s="3">
        <f>IFERROR(__xludf.DUMMYFUNCTION("IF(F1146&lt;=0,0,IFERROR(ROUNDUP(F1146/INDEX(FILTER('warehouse config'!$D:$D,('warehouse config'!$B:$B=C1146)*('warehouse config'!$C:$C=D1146)*('warehouse config'!$G:$G&lt;=B1146)*(('warehouse config'!$H:$H&gt;=B1146)+ISBLANK('warehouse config'!$H:$H))),1)),0))"),0.0)</f>
        <v>0</v>
      </c>
      <c r="H1146" s="3">
        <f>IFERROR(__xludf.DUMMYFUNCTION("IFERROR(INDEX(FILTER('cost master'!$E:$E,('cost master'!$B:$B=C1146)*('cost master'!$D:$D=""Storage cost per pallet / week"")*('cost master'!$G:$G&lt;=B1146)*(('cost master'!$H:$H&gt;=B1146)+ISBLANK('cost master'!$H:$H))),1),0)"),2.6)</f>
        <v>2.6</v>
      </c>
      <c r="I1146" s="3">
        <f t="shared" si="4"/>
        <v>0</v>
      </c>
      <c r="J1146" s="27">
        <f t="shared" si="5"/>
        <v>45885</v>
      </c>
      <c r="K1146" s="27">
        <f t="shared" si="6"/>
        <v>45915</v>
      </c>
    </row>
    <row r="1147" hidden="1">
      <c r="A1147" s="3" t="str">
        <f t="shared" si="3"/>
        <v>SL-20250825-Vglobal-CS-CDS-001-3</v>
      </c>
      <c r="B1147" s="2">
        <f t="array" ref="B1147">INDEX(helper!$A$3:$A3996,ROUNDUP((ROW()-1)/COUNTA(helper!$D$3:$D3996),0))</f>
        <v>45894</v>
      </c>
      <c r="C1147" s="5" t="str">
        <f t="array" ref="C1147">IF(B1147="","",INDEX(helper!$D$3:$D3996,MOD(ROW()-2,COUNTA(helper!$D$3:$D3996))+1))</f>
        <v>Vglobal</v>
      </c>
      <c r="D1147" s="3" t="str">
        <f t="array" ref="D1147">IF(B1147="","",INDEX(helper!$E$3:$E3996,MOD(ROW()-2,COUNTA(helper!$D$3:$D3996))+1))</f>
        <v>CS-CDS-001</v>
      </c>
      <c r="E1147" s="3">
        <f t="array" ref="E1147">IF(B1147="","",INDEX(helper!$F$3:$F3996,MOD(ROW()-2,COUNTA(helper!$D$3:$D3996))+1))</f>
        <v>3</v>
      </c>
      <c r="F1147" s="3">
        <f>IF(B1147="","",SUMIFS('inventory ledger'!$H:$H,'inventory ledger'!$C:$C,C1147,'inventory ledger'!$D:$D,D1147,'inventory ledger'!$E:$E,E1147,'inventory ledger'!$A:$A,"&lt;="&amp;B1147+TIME(23,59,59))-SUMIFS('inventory ledger'!$I:$I,'inventory ledger'!$C:$C,C1147,'inventory ledger'!$D:$D,D1147,'inventory ledger'!$E:$E,E1147,'inventory ledger'!$A:$A,"&lt;="&amp;B1147+TIME(23,59,59)))</f>
        <v>1</v>
      </c>
      <c r="G1147" s="3">
        <f>IFERROR(__xludf.DUMMYFUNCTION("IF(F1147&lt;=0,0,IFERROR(ROUNDUP(F1147/INDEX(FILTER('warehouse config'!$D:$D,('warehouse config'!$B:$B=C1147)*('warehouse config'!$C:$C=D1147)*('warehouse config'!$G:$G&lt;=B1147)*(('warehouse config'!$H:$H&gt;=B1147)+ISBLANK('warehouse config'!$H:$H))),1)),0))"),1.0)</f>
        <v>1</v>
      </c>
      <c r="H1147" s="3">
        <f>IFERROR(__xludf.DUMMYFUNCTION("IFERROR(INDEX(FILTER('cost master'!$E:$E,('cost master'!$B:$B=C1147)*('cost master'!$D:$D=""Storage cost per pallet / week"")*('cost master'!$G:$G&lt;=B1147)*(('cost master'!$H:$H&gt;=B1147)+ISBLANK('cost master'!$H:$H))),1),0)"),2.6)</f>
        <v>2.6</v>
      </c>
      <c r="I1147" s="3">
        <f t="shared" si="4"/>
        <v>2.6</v>
      </c>
      <c r="J1147" s="27">
        <f t="shared" si="5"/>
        <v>45885</v>
      </c>
      <c r="K1147" s="27">
        <f t="shared" si="6"/>
        <v>45915</v>
      </c>
    </row>
    <row r="1148" hidden="1">
      <c r="A1148" s="3" t="str">
        <f t="shared" si="3"/>
        <v>SL-20250825-Vglobal-CS-CDS-002-3</v>
      </c>
      <c r="B1148" s="2">
        <f t="array" ref="B1148">INDEX(helper!$A$3:$A3996,ROUNDUP((ROW()-1)/COUNTA(helper!$D$3:$D3996),0))</f>
        <v>45894</v>
      </c>
      <c r="C1148" s="5" t="str">
        <f t="array" ref="C1148">IF(B1148="","",INDEX(helper!$D$3:$D3996,MOD(ROW()-2,COUNTA(helper!$D$3:$D3996))+1))</f>
        <v>Vglobal</v>
      </c>
      <c r="D1148" s="3" t="str">
        <f t="array" ref="D1148">IF(B1148="","",INDEX(helper!$E$3:$E3996,MOD(ROW()-2,COUNTA(helper!$D$3:$D3996))+1))</f>
        <v>CS-CDS-002</v>
      </c>
      <c r="E1148" s="3">
        <f t="array" ref="E1148">IF(B1148="","",INDEX(helper!$F$3:$F3996,MOD(ROW()-2,COUNTA(helper!$D$3:$D3996))+1))</f>
        <v>3</v>
      </c>
      <c r="F1148" s="3">
        <f>IF(B1148="","",SUMIFS('inventory ledger'!$H:$H,'inventory ledger'!$C:$C,C1148,'inventory ledger'!$D:$D,D1148,'inventory ledger'!$E:$E,E1148,'inventory ledger'!$A:$A,"&lt;="&amp;B1148+TIME(23,59,59))-SUMIFS('inventory ledger'!$I:$I,'inventory ledger'!$C:$C,C1148,'inventory ledger'!$D:$D,D1148,'inventory ledger'!$E:$E,E1148,'inventory ledger'!$A:$A,"&lt;="&amp;B1148+TIME(23,59,59)))</f>
        <v>0</v>
      </c>
      <c r="G1148" s="3">
        <f>IFERROR(__xludf.DUMMYFUNCTION("IF(F1148&lt;=0,0,IFERROR(ROUNDUP(F1148/INDEX(FILTER('warehouse config'!$D:$D,('warehouse config'!$B:$B=C1148)*('warehouse config'!$C:$C=D1148)*('warehouse config'!$G:$G&lt;=B1148)*(('warehouse config'!$H:$H&gt;=B1148)+ISBLANK('warehouse config'!$H:$H))),1)),0))"),0.0)</f>
        <v>0</v>
      </c>
      <c r="H1148" s="3">
        <f>IFERROR(__xludf.DUMMYFUNCTION("IFERROR(INDEX(FILTER('cost master'!$E:$E,('cost master'!$B:$B=C1148)*('cost master'!$D:$D=""Storage cost per pallet / week"")*('cost master'!$G:$G&lt;=B1148)*(('cost master'!$H:$H&gt;=B1148)+ISBLANK('cost master'!$H:$H))),1),0)"),2.6)</f>
        <v>2.6</v>
      </c>
      <c r="I1148" s="3">
        <f t="shared" si="4"/>
        <v>0</v>
      </c>
      <c r="J1148" s="27">
        <f t="shared" si="5"/>
        <v>45885</v>
      </c>
      <c r="K1148" s="27">
        <f t="shared" si="6"/>
        <v>45915</v>
      </c>
    </row>
    <row r="1149" hidden="1">
      <c r="A1149" s="3" t="str">
        <f t="shared" si="3"/>
        <v>SL-20250825-4as-CS-CDS-001-4</v>
      </c>
      <c r="B1149" s="2">
        <f t="array" ref="B1149">INDEX(helper!$A$3:$A3996,ROUNDUP((ROW()-1)/COUNTA(helper!$D$3:$D3996),0))</f>
        <v>45894</v>
      </c>
      <c r="C1149" s="5" t="str">
        <f t="array" ref="C1149">IF(B1149="","",INDEX(helper!$D$3:$D3996,MOD(ROW()-2,COUNTA(helper!$D$3:$D3996))+1))</f>
        <v>4as</v>
      </c>
      <c r="D1149" s="3" t="str">
        <f t="array" ref="D1149">IF(B1149="","",INDEX(helper!$E$3:$E3996,MOD(ROW()-2,COUNTA(helper!$D$3:$D3996))+1))</f>
        <v>CS-CDS-001</v>
      </c>
      <c r="E1149" s="3">
        <f t="array" ref="E1149">IF(B1149="","",INDEX(helper!$F$3:$F3996,MOD(ROW()-2,COUNTA(helper!$D$3:$D3996))+1))</f>
        <v>4</v>
      </c>
      <c r="F1149" s="3">
        <f>IF(B1149="","",SUMIFS('inventory ledger'!$H:$H,'inventory ledger'!$C:$C,C1149,'inventory ledger'!$D:$D,D1149,'inventory ledger'!$E:$E,E1149,'inventory ledger'!$A:$A,"&lt;="&amp;B1149+TIME(23,59,59))-SUMIFS('inventory ledger'!$I:$I,'inventory ledger'!$C:$C,C1149,'inventory ledger'!$D:$D,D1149,'inventory ledger'!$E:$E,E1149,'inventory ledger'!$A:$A,"&lt;="&amp;B1149+TIME(23,59,59)))</f>
        <v>0</v>
      </c>
      <c r="G1149" s="3">
        <f>IFERROR(__xludf.DUMMYFUNCTION("IF(F1149&lt;=0,0,IFERROR(ROUNDUP(F1149/INDEX(FILTER('warehouse config'!$D:$D,('warehouse config'!$B:$B=C1149)*('warehouse config'!$C:$C=D1149)*('warehouse config'!$G:$G&lt;=B1149)*(('warehouse config'!$H:$H&gt;=B1149)+ISBLANK('warehouse config'!$H:$H))),1)),0))"),0.0)</f>
        <v>0</v>
      </c>
      <c r="H1149" s="3">
        <f>IFERROR(__xludf.DUMMYFUNCTION("IFERROR(INDEX(FILTER('cost master'!$E:$E,('cost master'!$B:$B=C1149)*('cost master'!$D:$D=""Storage cost per pallet / week"")*('cost master'!$G:$G&lt;=B1149)*(('cost master'!$H:$H&gt;=B1149)+ISBLANK('cost master'!$H:$H))),1),0)"),9.0)</f>
        <v>9</v>
      </c>
      <c r="I1149" s="3">
        <f t="shared" si="4"/>
        <v>0</v>
      </c>
      <c r="J1149" s="27">
        <f t="shared" si="5"/>
        <v>45885</v>
      </c>
      <c r="K1149" s="27">
        <f t="shared" si="6"/>
        <v>45915</v>
      </c>
    </row>
    <row r="1150" hidden="1">
      <c r="A1150" s="3" t="str">
        <f t="shared" si="3"/>
        <v>SL-20250825-4as-CS-CDS-002-4</v>
      </c>
      <c r="B1150" s="2">
        <f t="array" ref="B1150">INDEX(helper!$A$3:$A3996,ROUNDUP((ROW()-1)/COUNTA(helper!$D$3:$D3996),0))</f>
        <v>45894</v>
      </c>
      <c r="C1150" s="5" t="str">
        <f t="array" ref="C1150">IF(B1150="","",INDEX(helper!$D$3:$D3996,MOD(ROW()-2,COUNTA(helper!$D$3:$D3996))+1))</f>
        <v>4as</v>
      </c>
      <c r="D1150" s="3" t="str">
        <f t="array" ref="D1150">IF(B1150="","",INDEX(helper!$E$3:$E3996,MOD(ROW()-2,COUNTA(helper!$D$3:$D3996))+1))</f>
        <v>CS-CDS-002</v>
      </c>
      <c r="E1150" s="3">
        <f t="array" ref="E1150">IF(B1150="","",INDEX(helper!$F$3:$F3996,MOD(ROW()-2,COUNTA(helper!$D$3:$D3996))+1))</f>
        <v>4</v>
      </c>
      <c r="F1150" s="3">
        <f>IF(B1150="","",SUMIFS('inventory ledger'!$H:$H,'inventory ledger'!$C:$C,C1150,'inventory ledger'!$D:$D,D1150,'inventory ledger'!$E:$E,E1150,'inventory ledger'!$A:$A,"&lt;="&amp;B1150+TIME(23,59,59))-SUMIFS('inventory ledger'!$I:$I,'inventory ledger'!$C:$C,C1150,'inventory ledger'!$D:$D,D1150,'inventory ledger'!$E:$E,E1150,'inventory ledger'!$A:$A,"&lt;="&amp;B1150+TIME(23,59,59)))</f>
        <v>0</v>
      </c>
      <c r="G1150" s="3">
        <f>IFERROR(__xludf.DUMMYFUNCTION("IF(F1150&lt;=0,0,IFERROR(ROUNDUP(F1150/INDEX(FILTER('warehouse config'!$D:$D,('warehouse config'!$B:$B=C1150)*('warehouse config'!$C:$C=D1150)*('warehouse config'!$G:$G&lt;=B1150)*(('warehouse config'!$H:$H&gt;=B1150)+ISBLANK('warehouse config'!$H:$H))),1)),0))"),0.0)</f>
        <v>0</v>
      </c>
      <c r="H1150" s="3">
        <f>IFERROR(__xludf.DUMMYFUNCTION("IFERROR(INDEX(FILTER('cost master'!$E:$E,('cost master'!$B:$B=C1150)*('cost master'!$D:$D=""Storage cost per pallet / week"")*('cost master'!$G:$G&lt;=B1150)*(('cost master'!$H:$H&gt;=B1150)+ISBLANK('cost master'!$H:$H))),1),0)"),9.0)</f>
        <v>9</v>
      </c>
      <c r="I1150" s="3">
        <f t="shared" si="4"/>
        <v>0</v>
      </c>
      <c r="J1150" s="27">
        <f t="shared" si="5"/>
        <v>45885</v>
      </c>
      <c r="K1150" s="27">
        <f t="shared" si="6"/>
        <v>45915</v>
      </c>
    </row>
    <row r="1151" hidden="1">
      <c r="A1151" s="3" t="str">
        <f t="shared" si="3"/>
        <v>SL-20250825-Vglobal-CS 007-13</v>
      </c>
      <c r="B1151" s="2">
        <f t="array" ref="B1151">INDEX(helper!$A$3:$A3996,ROUNDUP((ROW()-1)/COUNTA(helper!$D$3:$D3996),0))</f>
        <v>45894</v>
      </c>
      <c r="C1151" s="5" t="str">
        <f t="array" ref="C1151">IF(B1151="","",INDEX(helper!$D$3:$D3996,MOD(ROW()-2,COUNTA(helper!$D$3:$D3996))+1))</f>
        <v>Vglobal</v>
      </c>
      <c r="D1151" s="3" t="str">
        <f t="array" ref="D1151">IF(B1151="","",INDEX(helper!$E$3:$E3996,MOD(ROW()-2,COUNTA(helper!$D$3:$D3996))+1))</f>
        <v>CS 007</v>
      </c>
      <c r="E1151" s="3">
        <f t="array" ref="E1151">IF(B1151="","",INDEX(helper!$F$3:$F3996,MOD(ROW()-2,COUNTA(helper!$D$3:$D3996))+1))</f>
        <v>13</v>
      </c>
      <c r="F1151" s="3">
        <f>IF(B1151="","",SUMIFS('inventory ledger'!$H:$H,'inventory ledger'!$C:$C,C1151,'inventory ledger'!$D:$D,D1151,'inventory ledger'!$E:$E,E1151,'inventory ledger'!$A:$A,"&lt;="&amp;B1151+TIME(23,59,59))-SUMIFS('inventory ledger'!$I:$I,'inventory ledger'!$C:$C,C1151,'inventory ledger'!$D:$D,D1151,'inventory ledger'!$E:$E,E1151,'inventory ledger'!$A:$A,"&lt;="&amp;B1151+TIME(23,59,59)))</f>
        <v>45</v>
      </c>
      <c r="G1151" s="3">
        <f>IFERROR(__xludf.DUMMYFUNCTION("IF(F1151&lt;=0,0,IFERROR(ROUNDUP(F1151/INDEX(FILTER('warehouse config'!$D:$D,('warehouse config'!$B:$B=C1151)*('warehouse config'!$C:$C=D1151)*('warehouse config'!$G:$G&lt;=B1151)*(('warehouse config'!$H:$H&gt;=B1151)+ISBLANK('warehouse config'!$H:$H))),1)),0))"),3.0)</f>
        <v>3</v>
      </c>
      <c r="H1151" s="3">
        <f>IFERROR(__xludf.DUMMYFUNCTION("IFERROR(INDEX(FILTER('cost master'!$E:$E,('cost master'!$B:$B=C1151)*('cost master'!$D:$D=""Storage cost per pallet / week"")*('cost master'!$G:$G&lt;=B1151)*(('cost master'!$H:$H&gt;=B1151)+ISBLANK('cost master'!$H:$H))),1),0)"),2.6)</f>
        <v>2.6</v>
      </c>
      <c r="I1151" s="3">
        <f t="shared" si="4"/>
        <v>7.8</v>
      </c>
      <c r="J1151" s="27">
        <f t="shared" si="5"/>
        <v>45885</v>
      </c>
      <c r="K1151" s="27">
        <f t="shared" si="6"/>
        <v>45915</v>
      </c>
    </row>
    <row r="1152" hidden="1">
      <c r="A1152" s="3" t="str">
        <f t="shared" si="3"/>
        <v>SL-20250825-Vglobal-CS 011-13</v>
      </c>
      <c r="B1152" s="2">
        <f t="array" ref="B1152">INDEX(helper!$A$3:$A3996,ROUNDUP((ROW()-1)/COUNTA(helper!$D$3:$D3996),0))</f>
        <v>45894</v>
      </c>
      <c r="C1152" s="5" t="str">
        <f t="array" ref="C1152">IF(B1152="","",INDEX(helper!$D$3:$D3996,MOD(ROW()-2,COUNTA(helper!$D$3:$D3996))+1))</f>
        <v>Vglobal</v>
      </c>
      <c r="D1152" s="3" t="str">
        <f t="array" ref="D1152">IF(B1152="","",INDEX(helper!$E$3:$E3996,MOD(ROW()-2,COUNTA(helper!$D$3:$D3996))+1))</f>
        <v>CS 011</v>
      </c>
      <c r="E1152" s="3">
        <f t="array" ref="E1152">IF(B1152="","",INDEX(helper!$F$3:$F3996,MOD(ROW()-2,COUNTA(helper!$D$3:$D3996))+1))</f>
        <v>13</v>
      </c>
      <c r="F1152" s="3">
        <f>IF(B1152="","",SUMIFS('inventory ledger'!$H:$H,'inventory ledger'!$C:$C,C1152,'inventory ledger'!$D:$D,D1152,'inventory ledger'!$E:$E,E1152,'inventory ledger'!$A:$A,"&lt;="&amp;B1152+TIME(23,59,59))-SUMIFS('inventory ledger'!$I:$I,'inventory ledger'!$C:$C,C1152,'inventory ledger'!$D:$D,D1152,'inventory ledger'!$E:$E,E1152,'inventory ledger'!$A:$A,"&lt;="&amp;B1152+TIME(23,59,59)))</f>
        <v>0</v>
      </c>
      <c r="G1152" s="3">
        <f>IFERROR(__xludf.DUMMYFUNCTION("IF(F1152&lt;=0,0,IFERROR(ROUNDUP(F1152/INDEX(FILTER('warehouse config'!$D:$D,('warehouse config'!$B:$B=C1152)*('warehouse config'!$C:$C=D1152)*('warehouse config'!$G:$G&lt;=B1152)*(('warehouse config'!$H:$H&gt;=B1152)+ISBLANK('warehouse config'!$H:$H))),1)),0))"),0.0)</f>
        <v>0</v>
      </c>
      <c r="H1152" s="3">
        <f>IFERROR(__xludf.DUMMYFUNCTION("IFERROR(INDEX(FILTER('cost master'!$E:$E,('cost master'!$B:$B=C1152)*('cost master'!$D:$D=""Storage cost per pallet / week"")*('cost master'!$G:$G&lt;=B1152)*(('cost master'!$H:$H&gt;=B1152)+ISBLANK('cost master'!$H:$H))),1),0)"),2.6)</f>
        <v>2.6</v>
      </c>
      <c r="I1152" s="3">
        <f t="shared" si="4"/>
        <v>0</v>
      </c>
      <c r="J1152" s="27">
        <f t="shared" si="5"/>
        <v>45885</v>
      </c>
      <c r="K1152" s="27">
        <f t="shared" si="6"/>
        <v>45915</v>
      </c>
    </row>
    <row r="1153" hidden="1">
      <c r="A1153" s="3" t="str">
        <f t="shared" si="3"/>
        <v>SL-20250825-Vglobal-CS 008-13</v>
      </c>
      <c r="B1153" s="2">
        <f t="array" ref="B1153">INDEX(helper!$A$3:$A3996,ROUNDUP((ROW()-1)/COUNTA(helper!$D$3:$D3996),0))</f>
        <v>45894</v>
      </c>
      <c r="C1153" s="5" t="str">
        <f t="array" ref="C1153">IF(B1153="","",INDEX(helper!$D$3:$D3996,MOD(ROW()-2,COUNTA(helper!$D$3:$D3996))+1))</f>
        <v>Vglobal</v>
      </c>
      <c r="D1153" s="3" t="str">
        <f t="array" ref="D1153">IF(B1153="","",INDEX(helper!$E$3:$E3996,MOD(ROW()-2,COUNTA(helper!$D$3:$D3996))+1))</f>
        <v>CS 008</v>
      </c>
      <c r="E1153" s="3">
        <f t="array" ref="E1153">IF(B1153="","",INDEX(helper!$F$3:$F3996,MOD(ROW()-2,COUNTA(helper!$D$3:$D3996))+1))</f>
        <v>13</v>
      </c>
      <c r="F1153" s="3">
        <f>IF(B1153="","",SUMIFS('inventory ledger'!$H:$H,'inventory ledger'!$C:$C,C1153,'inventory ledger'!$D:$D,D1153,'inventory ledger'!$E:$E,E1153,'inventory ledger'!$A:$A,"&lt;="&amp;B1153+TIME(23,59,59))-SUMIFS('inventory ledger'!$I:$I,'inventory ledger'!$C:$C,C1153,'inventory ledger'!$D:$D,D1153,'inventory ledger'!$E:$E,E1153,'inventory ledger'!$A:$A,"&lt;="&amp;B1153+TIME(23,59,59)))</f>
        <v>20</v>
      </c>
      <c r="G1153" s="3">
        <f>IFERROR(__xludf.DUMMYFUNCTION("IF(F1153&lt;=0,0,IFERROR(ROUNDUP(F1153/INDEX(FILTER('warehouse config'!$D:$D,('warehouse config'!$B:$B=C1153)*('warehouse config'!$C:$C=D1153)*('warehouse config'!$G:$G&lt;=B1153)*(('warehouse config'!$H:$H&gt;=B1153)+ISBLANK('warehouse config'!$H:$H))),1)),0))"),1.0)</f>
        <v>1</v>
      </c>
      <c r="H1153" s="3">
        <f>IFERROR(__xludf.DUMMYFUNCTION("IFERROR(INDEX(FILTER('cost master'!$E:$E,('cost master'!$B:$B=C1153)*('cost master'!$D:$D=""Storage cost per pallet / week"")*('cost master'!$G:$G&lt;=B1153)*(('cost master'!$H:$H&gt;=B1153)+ISBLANK('cost master'!$H:$H))),1),0)"),2.6)</f>
        <v>2.6</v>
      </c>
      <c r="I1153" s="3">
        <f t="shared" si="4"/>
        <v>2.6</v>
      </c>
      <c r="J1153" s="27">
        <f t="shared" si="5"/>
        <v>45885</v>
      </c>
      <c r="K1153" s="27">
        <f t="shared" si="6"/>
        <v>45915</v>
      </c>
    </row>
    <row r="1154" hidden="1">
      <c r="A1154" s="3" t="str">
        <f t="shared" si="3"/>
        <v>SL-20250825-Vglobal-CS 010-13</v>
      </c>
      <c r="B1154" s="2">
        <f t="array" ref="B1154">INDEX(helper!$A$3:$A3996,ROUNDUP((ROW()-1)/COUNTA(helper!$D$3:$D3996),0))</f>
        <v>45894</v>
      </c>
      <c r="C1154" s="5" t="str">
        <f t="array" ref="C1154">IF(B1154="","",INDEX(helper!$D$3:$D3996,MOD(ROW()-2,COUNTA(helper!$D$3:$D3996))+1))</f>
        <v>Vglobal</v>
      </c>
      <c r="D1154" s="3" t="str">
        <f t="array" ref="D1154">IF(B1154="","",INDEX(helper!$E$3:$E3996,MOD(ROW()-2,COUNTA(helper!$D$3:$D3996))+1))</f>
        <v>CS 010</v>
      </c>
      <c r="E1154" s="3">
        <f t="array" ref="E1154">IF(B1154="","",INDEX(helper!$F$3:$F3996,MOD(ROW()-2,COUNTA(helper!$D$3:$D3996))+1))</f>
        <v>13</v>
      </c>
      <c r="F1154" s="3">
        <f>IF(B1154="","",SUMIFS('inventory ledger'!$H:$H,'inventory ledger'!$C:$C,C1154,'inventory ledger'!$D:$D,D1154,'inventory ledger'!$E:$E,E1154,'inventory ledger'!$A:$A,"&lt;="&amp;B1154+TIME(23,59,59))-SUMIFS('inventory ledger'!$I:$I,'inventory ledger'!$C:$C,C1154,'inventory ledger'!$D:$D,D1154,'inventory ledger'!$E:$E,E1154,'inventory ledger'!$A:$A,"&lt;="&amp;B1154+TIME(23,59,59)))</f>
        <v>80</v>
      </c>
      <c r="G1154" s="3">
        <f>IFERROR(__xludf.DUMMYFUNCTION("IF(F1154&lt;=0,0,IFERROR(ROUNDUP(F1154/INDEX(FILTER('warehouse config'!$D:$D,('warehouse config'!$B:$B=C1154)*('warehouse config'!$C:$C=D1154)*('warehouse config'!$G:$G&lt;=B1154)*(('warehouse config'!$H:$H&gt;=B1154)+ISBLANK('warehouse config'!$H:$H))),1)),0))"),4.0)</f>
        <v>4</v>
      </c>
      <c r="H1154" s="3">
        <f>IFERROR(__xludf.DUMMYFUNCTION("IFERROR(INDEX(FILTER('cost master'!$E:$E,('cost master'!$B:$B=C1154)*('cost master'!$D:$D=""Storage cost per pallet / week"")*('cost master'!$G:$G&lt;=B1154)*(('cost master'!$H:$H&gt;=B1154)+ISBLANK('cost master'!$H:$H))),1),0)"),2.6)</f>
        <v>2.6</v>
      </c>
      <c r="I1154" s="3">
        <f t="shared" si="4"/>
        <v>10.4</v>
      </c>
      <c r="J1154" s="27">
        <f t="shared" si="5"/>
        <v>45885</v>
      </c>
      <c r="K1154" s="27">
        <f t="shared" si="6"/>
        <v>45915</v>
      </c>
    </row>
    <row r="1155" hidden="1">
      <c r="A1155" s="3" t="str">
        <f t="shared" si="3"/>
        <v>SL-20250825-Vglobal-CS 009-13</v>
      </c>
      <c r="B1155" s="2">
        <f t="array" ref="B1155">INDEX(helper!$A$3:$A3996,ROUNDUP((ROW()-1)/COUNTA(helper!$D$3:$D3996),0))</f>
        <v>45894</v>
      </c>
      <c r="C1155" s="5" t="str">
        <f t="array" ref="C1155">IF(B1155="","",INDEX(helper!$D$3:$D3996,MOD(ROW()-2,COUNTA(helper!$D$3:$D3996))+1))</f>
        <v>Vglobal</v>
      </c>
      <c r="D1155" s="3" t="str">
        <f t="array" ref="D1155">IF(B1155="","",INDEX(helper!$E$3:$E3996,MOD(ROW()-2,COUNTA(helper!$D$3:$D3996))+1))</f>
        <v>CS 009</v>
      </c>
      <c r="E1155" s="3">
        <f t="array" ref="E1155">IF(B1155="","",INDEX(helper!$F$3:$F3996,MOD(ROW()-2,COUNTA(helper!$D$3:$D3996))+1))</f>
        <v>13</v>
      </c>
      <c r="F1155" s="3">
        <f>IF(B1155="","",SUMIFS('inventory ledger'!$H:$H,'inventory ledger'!$C:$C,C1155,'inventory ledger'!$D:$D,D1155,'inventory ledger'!$E:$E,E1155,'inventory ledger'!$A:$A,"&lt;="&amp;B1155+TIME(23,59,59))-SUMIFS('inventory ledger'!$I:$I,'inventory ledger'!$C:$C,C1155,'inventory ledger'!$D:$D,D1155,'inventory ledger'!$E:$E,E1155,'inventory ledger'!$A:$A,"&lt;="&amp;B1155+TIME(23,59,59)))</f>
        <v>0</v>
      </c>
      <c r="G1155" s="3">
        <f>IFERROR(__xludf.DUMMYFUNCTION("IF(F1155&lt;=0,0,IFERROR(ROUNDUP(F1155/INDEX(FILTER('warehouse config'!$D:$D,('warehouse config'!$B:$B=C1155)*('warehouse config'!$C:$C=D1155)*('warehouse config'!$G:$G&lt;=B1155)*(('warehouse config'!$H:$H&gt;=B1155)+ISBLANK('warehouse config'!$H:$H))),1)),0))"),0.0)</f>
        <v>0</v>
      </c>
      <c r="H1155" s="3">
        <f>IFERROR(__xludf.DUMMYFUNCTION("IFERROR(INDEX(FILTER('cost master'!$E:$E,('cost master'!$B:$B=C1155)*('cost master'!$D:$D=""Storage cost per pallet / week"")*('cost master'!$G:$G&lt;=B1155)*(('cost master'!$H:$H&gt;=B1155)+ISBLANK('cost master'!$H:$H))),1),0)"),2.6)</f>
        <v>2.6</v>
      </c>
      <c r="I1155" s="3">
        <f t="shared" si="4"/>
        <v>0</v>
      </c>
      <c r="J1155" s="27">
        <f t="shared" si="5"/>
        <v>45885</v>
      </c>
      <c r="K1155" s="27">
        <f t="shared" si="6"/>
        <v>45915</v>
      </c>
    </row>
    <row r="1156" hidden="1">
      <c r="A1156" s="3" t="str">
        <f t="shared" si="3"/>
        <v>SL-20250825-Vglobal-CS 012-13</v>
      </c>
      <c r="B1156" s="2">
        <f t="array" ref="B1156">INDEX(helper!$A$3:$A3996,ROUNDUP((ROW()-1)/COUNTA(helper!$D$3:$D3996),0))</f>
        <v>45894</v>
      </c>
      <c r="C1156" s="5" t="str">
        <f t="array" ref="C1156">IF(B1156="","",INDEX(helper!$D$3:$D3996,MOD(ROW()-2,COUNTA(helper!$D$3:$D3996))+1))</f>
        <v>Vglobal</v>
      </c>
      <c r="D1156" s="3" t="str">
        <f t="array" ref="D1156">IF(B1156="","",INDEX(helper!$E$3:$E3996,MOD(ROW()-2,COUNTA(helper!$D$3:$D3996))+1))</f>
        <v>CS 012</v>
      </c>
      <c r="E1156" s="3">
        <f t="array" ref="E1156">IF(B1156="","",INDEX(helper!$F$3:$F3996,MOD(ROW()-2,COUNTA(helper!$D$3:$D3996))+1))</f>
        <v>13</v>
      </c>
      <c r="F1156" s="3">
        <f>IF(B1156="","",SUMIFS('inventory ledger'!$H:$H,'inventory ledger'!$C:$C,C1156,'inventory ledger'!$D:$D,D1156,'inventory ledger'!$E:$E,E1156,'inventory ledger'!$A:$A,"&lt;="&amp;B1156+TIME(23,59,59))-SUMIFS('inventory ledger'!$I:$I,'inventory ledger'!$C:$C,C1156,'inventory ledger'!$D:$D,D1156,'inventory ledger'!$E:$E,E1156,'inventory ledger'!$A:$A,"&lt;="&amp;B1156+TIME(23,59,59)))</f>
        <v>0</v>
      </c>
      <c r="G1156" s="3">
        <f>IFERROR(__xludf.DUMMYFUNCTION("IF(F1156&lt;=0,0,IFERROR(ROUNDUP(F1156/INDEX(FILTER('warehouse config'!$D:$D,('warehouse config'!$B:$B=C1156)*('warehouse config'!$C:$C=D1156)*('warehouse config'!$G:$G&lt;=B1156)*(('warehouse config'!$H:$H&gt;=B1156)+ISBLANK('warehouse config'!$H:$H))),1)),0))"),0.0)</f>
        <v>0</v>
      </c>
      <c r="H1156" s="3">
        <f>IFERROR(__xludf.DUMMYFUNCTION("IFERROR(INDEX(FILTER('cost master'!$E:$E,('cost master'!$B:$B=C1156)*('cost master'!$D:$D=""Storage cost per pallet / week"")*('cost master'!$G:$G&lt;=B1156)*(('cost master'!$H:$H&gt;=B1156)+ISBLANK('cost master'!$H:$H))),1),0)"),2.6)</f>
        <v>2.6</v>
      </c>
      <c r="I1156" s="3">
        <f t="shared" si="4"/>
        <v>0</v>
      </c>
      <c r="J1156" s="27">
        <f t="shared" si="5"/>
        <v>45885</v>
      </c>
      <c r="K1156" s="27">
        <f t="shared" si="6"/>
        <v>45915</v>
      </c>
    </row>
    <row r="1157">
      <c r="A1157" s="3" t="str">
        <f t="shared" si="3"/>
        <v>SL-20250825-FMC-CS 008-11</v>
      </c>
      <c r="B1157" s="2">
        <f t="array" ref="B1157">INDEX(helper!$A$3:$A3996,ROUNDUP((ROW()-1)/COUNTA(helper!$D$3:$D3996),0))</f>
        <v>45894</v>
      </c>
      <c r="C1157" s="5" t="str">
        <f t="array" ref="C1157">IF(B1157="","",INDEX(helper!$D$3:$D3996,MOD(ROW()-2,COUNTA(helper!$D$3:$D3996))+1))</f>
        <v>FMC</v>
      </c>
      <c r="D1157" s="3" t="str">
        <f t="array" ref="D1157">IF(B1157="","",INDEX(helper!$E$3:$E3996,MOD(ROW()-2,COUNTA(helper!$D$3:$D3996))+1))</f>
        <v>CS 008</v>
      </c>
      <c r="E1157" s="3">
        <f t="array" ref="E1157">IF(B1157="","",INDEX(helper!$F$3:$F3996,MOD(ROW()-2,COUNTA(helper!$D$3:$D3996))+1))</f>
        <v>11</v>
      </c>
      <c r="F1157" s="3">
        <f>IF(B1157="","",SUMIFS('inventory ledger'!$H:$H,'inventory ledger'!$C:$C,C1157,'inventory ledger'!$D:$D,D1157,'inventory ledger'!$E:$E,E1157,'inventory ledger'!$A:$A,"&lt;="&amp;B1157+TIME(23,59,59))-SUMIFS('inventory ledger'!$I:$I,'inventory ledger'!$C:$C,C1157,'inventory ledger'!$D:$D,D1157,'inventory ledger'!$E:$E,E1157,'inventory ledger'!$A:$A,"&lt;="&amp;B1157+TIME(23,59,59)))</f>
        <v>-2</v>
      </c>
      <c r="G1157" s="3">
        <f>IFERROR(__xludf.DUMMYFUNCTION("IF(F1157&lt;=0,0,IFERROR(ROUNDUP(F1157/INDEX(FILTER('warehouse config'!$D:$D,('warehouse config'!$B:$B=C1157)*('warehouse config'!$C:$C=D1157)*('warehouse config'!$G:$G&lt;=B1157)*(('warehouse config'!$H:$H&gt;=B1157)+ISBLANK('warehouse config'!$H:$H))),1)),0))"),0.0)</f>
        <v>0</v>
      </c>
      <c r="H1157" s="3">
        <f>IFERROR(__xludf.DUMMYFUNCTION("IFERROR(INDEX(FILTER('cost master'!$E:$E,('cost master'!$B:$B=C1157)*('cost master'!$D:$D=""Storage cost per pallet / week"")*('cost master'!$G:$G&lt;=B1157)*(('cost master'!$H:$H&gt;=B1157)+ISBLANK('cost master'!$H:$H))),1),0)"),3.9)</f>
        <v>3.9</v>
      </c>
      <c r="I1157" s="3">
        <f t="shared" si="4"/>
        <v>0</v>
      </c>
      <c r="J1157" s="27">
        <f t="shared" si="5"/>
        <v>45885</v>
      </c>
      <c r="K1157" s="27">
        <f t="shared" si="6"/>
        <v>45915</v>
      </c>
    </row>
    <row r="1158" hidden="1">
      <c r="A1158" s="3" t="str">
        <f t="shared" si="3"/>
        <v>SL-20250901-FMC-CS 007-8</v>
      </c>
      <c r="B1158" s="2">
        <f t="array" ref="B1158">INDEX(helper!$A$3:$A3996,ROUNDUP((ROW()-1)/COUNTA(helper!$D$3:$D3996),0))</f>
        <v>45901</v>
      </c>
      <c r="C1158" s="5" t="str">
        <f t="array" ref="C1158">IF(B1158="","",INDEX(helper!$D$3:$D3996,MOD(ROW()-2,COUNTA(helper!$D$3:$D3996))+1))</f>
        <v>FMC</v>
      </c>
      <c r="D1158" s="3" t="str">
        <f t="array" ref="D1158">IF(B1158="","",INDEX(helper!$E$3:$E3996,MOD(ROW()-2,COUNTA(helper!$D$3:$D3996))+1))</f>
        <v>CS 007</v>
      </c>
      <c r="E1158" s="3">
        <f t="array" ref="E1158">IF(B1158="","",INDEX(helper!$F$3:$F3996,MOD(ROW()-2,COUNTA(helper!$D$3:$D3996))+1))</f>
        <v>8</v>
      </c>
      <c r="F1158" s="3">
        <f>IF(B1158="","",SUMIFS('inventory ledger'!$H:$H,'inventory ledger'!$C:$C,C1158,'inventory ledger'!$D:$D,D1158,'inventory ledger'!$E:$E,E1158,'inventory ledger'!$A:$A,"&lt;="&amp;B1158+TIME(23,59,59))-SUMIFS('inventory ledger'!$I:$I,'inventory ledger'!$C:$C,C1158,'inventory ledger'!$D:$D,D1158,'inventory ledger'!$E:$E,E1158,'inventory ledger'!$A:$A,"&lt;="&amp;B1158+TIME(23,59,59)))</f>
        <v>0</v>
      </c>
      <c r="G1158" s="3">
        <f>IFERROR(__xludf.DUMMYFUNCTION("IF(F1158&lt;=0,0,IFERROR(ROUNDUP(F1158/INDEX(FILTER('warehouse config'!$D:$D,('warehouse config'!$B:$B=C1158)*('warehouse config'!$C:$C=D1158)*('warehouse config'!$G:$G&lt;=B1158)*(('warehouse config'!$H:$H&gt;=B1158)+ISBLANK('warehouse config'!$H:$H))),1)),0))"),0.0)</f>
        <v>0</v>
      </c>
      <c r="H1158" s="3">
        <f>IFERROR(__xludf.DUMMYFUNCTION("IFERROR(INDEX(FILTER('cost master'!$E:$E,('cost master'!$B:$B=C1158)*('cost master'!$D:$D=""Storage cost per pallet / week"")*('cost master'!$G:$G&lt;=B1158)*(('cost master'!$H:$H&gt;=B1158)+ISBLANK('cost master'!$H:$H))),1),0)"),3.9)</f>
        <v>3.9</v>
      </c>
      <c r="I1158" s="3">
        <f t="shared" si="4"/>
        <v>0</v>
      </c>
      <c r="J1158" s="27">
        <f t="shared" si="5"/>
        <v>45885</v>
      </c>
      <c r="K1158" s="27">
        <f t="shared" si="6"/>
        <v>45915</v>
      </c>
    </row>
    <row r="1159" hidden="1">
      <c r="A1159" s="3" t="str">
        <f t="shared" si="3"/>
        <v>SL-20250901-FMC-CS 008-8</v>
      </c>
      <c r="B1159" s="2">
        <f t="array" ref="B1159">INDEX(helper!$A$3:$A3996,ROUNDUP((ROW()-1)/COUNTA(helper!$D$3:$D3996),0))</f>
        <v>45901</v>
      </c>
      <c r="C1159" s="5" t="str">
        <f t="array" ref="C1159">IF(B1159="","",INDEX(helper!$D$3:$D3996,MOD(ROW()-2,COUNTA(helper!$D$3:$D3996))+1))</f>
        <v>FMC</v>
      </c>
      <c r="D1159" s="3" t="str">
        <f t="array" ref="D1159">IF(B1159="","",INDEX(helper!$E$3:$E3996,MOD(ROW()-2,COUNTA(helper!$D$3:$D3996))+1))</f>
        <v>CS 008</v>
      </c>
      <c r="E1159" s="3">
        <f t="array" ref="E1159">IF(B1159="","",INDEX(helper!$F$3:$F3996,MOD(ROW()-2,COUNTA(helper!$D$3:$D3996))+1))</f>
        <v>8</v>
      </c>
      <c r="F1159" s="3">
        <f>IF(B1159="","",SUMIFS('inventory ledger'!$H:$H,'inventory ledger'!$C:$C,C1159,'inventory ledger'!$D:$D,D1159,'inventory ledger'!$E:$E,E1159,'inventory ledger'!$A:$A,"&lt;="&amp;B1159+TIME(23,59,59))-SUMIFS('inventory ledger'!$I:$I,'inventory ledger'!$C:$C,C1159,'inventory ledger'!$D:$D,D1159,'inventory ledger'!$E:$E,E1159,'inventory ledger'!$A:$A,"&lt;="&amp;B1159+TIME(23,59,59)))</f>
        <v>0</v>
      </c>
      <c r="G1159" s="3">
        <f>IFERROR(__xludf.DUMMYFUNCTION("IF(F1159&lt;=0,0,IFERROR(ROUNDUP(F1159/INDEX(FILTER('warehouse config'!$D:$D,('warehouse config'!$B:$B=C1159)*('warehouse config'!$C:$C=D1159)*('warehouse config'!$G:$G&lt;=B1159)*(('warehouse config'!$H:$H&gt;=B1159)+ISBLANK('warehouse config'!$H:$H))),1)),0))"),0.0)</f>
        <v>0</v>
      </c>
      <c r="H1159" s="3">
        <f>IFERROR(__xludf.DUMMYFUNCTION("IFERROR(INDEX(FILTER('cost master'!$E:$E,('cost master'!$B:$B=C1159)*('cost master'!$D:$D=""Storage cost per pallet / week"")*('cost master'!$G:$G&lt;=B1159)*(('cost master'!$H:$H&gt;=B1159)+ISBLANK('cost master'!$H:$H))),1),0)"),3.9)</f>
        <v>3.9</v>
      </c>
      <c r="I1159" s="3">
        <f t="shared" si="4"/>
        <v>0</v>
      </c>
      <c r="J1159" s="27">
        <f t="shared" si="5"/>
        <v>45885</v>
      </c>
      <c r="K1159" s="27">
        <f t="shared" si="6"/>
        <v>45915</v>
      </c>
    </row>
    <row r="1160" hidden="1">
      <c r="A1160" s="3" t="str">
        <f t="shared" si="3"/>
        <v>SL-20250901-FMC-CS 009-8</v>
      </c>
      <c r="B1160" s="2">
        <f t="array" ref="B1160">INDEX(helper!$A$3:$A3996,ROUNDUP((ROW()-1)/COUNTA(helper!$D$3:$D3996),0))</f>
        <v>45901</v>
      </c>
      <c r="C1160" s="5" t="str">
        <f t="array" ref="C1160">IF(B1160="","",INDEX(helper!$D$3:$D3996,MOD(ROW()-2,COUNTA(helper!$D$3:$D3996))+1))</f>
        <v>FMC</v>
      </c>
      <c r="D1160" s="3" t="str">
        <f t="array" ref="D1160">IF(B1160="","",INDEX(helper!$E$3:$E3996,MOD(ROW()-2,COUNTA(helper!$D$3:$D3996))+1))</f>
        <v>CS 009</v>
      </c>
      <c r="E1160" s="3">
        <f t="array" ref="E1160">IF(B1160="","",INDEX(helper!$F$3:$F3996,MOD(ROW()-2,COUNTA(helper!$D$3:$D3996))+1))</f>
        <v>8</v>
      </c>
      <c r="F1160" s="3">
        <f>IF(B1160="","",SUMIFS('inventory ledger'!$H:$H,'inventory ledger'!$C:$C,C1160,'inventory ledger'!$D:$D,D1160,'inventory ledger'!$E:$E,E1160,'inventory ledger'!$A:$A,"&lt;="&amp;B1160+TIME(23,59,59))-SUMIFS('inventory ledger'!$I:$I,'inventory ledger'!$C:$C,C1160,'inventory ledger'!$D:$D,D1160,'inventory ledger'!$E:$E,E1160,'inventory ledger'!$A:$A,"&lt;="&amp;B1160+TIME(23,59,59)))</f>
        <v>0</v>
      </c>
      <c r="G1160" s="3">
        <f>IFERROR(__xludf.DUMMYFUNCTION("IF(F1160&lt;=0,0,IFERROR(ROUNDUP(F1160/INDEX(FILTER('warehouse config'!$D:$D,('warehouse config'!$B:$B=C1160)*('warehouse config'!$C:$C=D1160)*('warehouse config'!$G:$G&lt;=B1160)*(('warehouse config'!$H:$H&gt;=B1160)+ISBLANK('warehouse config'!$H:$H))),1)),0))"),0.0)</f>
        <v>0</v>
      </c>
      <c r="H1160" s="3">
        <f>IFERROR(__xludf.DUMMYFUNCTION("IFERROR(INDEX(FILTER('cost master'!$E:$E,('cost master'!$B:$B=C1160)*('cost master'!$D:$D=""Storage cost per pallet / week"")*('cost master'!$G:$G&lt;=B1160)*(('cost master'!$H:$H&gt;=B1160)+ISBLANK('cost master'!$H:$H))),1),0)"),3.9)</f>
        <v>3.9</v>
      </c>
      <c r="I1160" s="3">
        <f t="shared" si="4"/>
        <v>0</v>
      </c>
      <c r="J1160" s="27">
        <f t="shared" si="5"/>
        <v>45885</v>
      </c>
      <c r="K1160" s="27">
        <f t="shared" si="6"/>
        <v>45915</v>
      </c>
    </row>
    <row r="1161" hidden="1">
      <c r="A1161" s="3" t="str">
        <f t="shared" si="3"/>
        <v>SL-20250901-FMC-CS 010-8</v>
      </c>
      <c r="B1161" s="2">
        <f t="array" ref="B1161">INDEX(helper!$A$3:$A3996,ROUNDUP((ROW()-1)/COUNTA(helper!$D$3:$D3996),0))</f>
        <v>45901</v>
      </c>
      <c r="C1161" s="5" t="str">
        <f t="array" ref="C1161">IF(B1161="","",INDEX(helper!$D$3:$D3996,MOD(ROW()-2,COUNTA(helper!$D$3:$D3996))+1))</f>
        <v>FMC</v>
      </c>
      <c r="D1161" s="3" t="str">
        <f t="array" ref="D1161">IF(B1161="","",INDEX(helper!$E$3:$E3996,MOD(ROW()-2,COUNTA(helper!$D$3:$D3996))+1))</f>
        <v>CS 010</v>
      </c>
      <c r="E1161" s="3">
        <f t="array" ref="E1161">IF(B1161="","",INDEX(helper!$F$3:$F3996,MOD(ROW()-2,COUNTA(helper!$D$3:$D3996))+1))</f>
        <v>8</v>
      </c>
      <c r="F1161" s="3">
        <f>IF(B1161="","",SUMIFS('inventory ledger'!$H:$H,'inventory ledger'!$C:$C,C1161,'inventory ledger'!$D:$D,D1161,'inventory ledger'!$E:$E,E1161,'inventory ledger'!$A:$A,"&lt;="&amp;B1161+TIME(23,59,59))-SUMIFS('inventory ledger'!$I:$I,'inventory ledger'!$C:$C,C1161,'inventory ledger'!$D:$D,D1161,'inventory ledger'!$E:$E,E1161,'inventory ledger'!$A:$A,"&lt;="&amp;B1161+TIME(23,59,59)))</f>
        <v>0</v>
      </c>
      <c r="G1161" s="3">
        <f>IFERROR(__xludf.DUMMYFUNCTION("IF(F1161&lt;=0,0,IFERROR(ROUNDUP(F1161/INDEX(FILTER('warehouse config'!$D:$D,('warehouse config'!$B:$B=C1161)*('warehouse config'!$C:$C=D1161)*('warehouse config'!$G:$G&lt;=B1161)*(('warehouse config'!$H:$H&gt;=B1161)+ISBLANK('warehouse config'!$H:$H))),1)),0))"),0.0)</f>
        <v>0</v>
      </c>
      <c r="H1161" s="3">
        <f>IFERROR(__xludf.DUMMYFUNCTION("IFERROR(INDEX(FILTER('cost master'!$E:$E,('cost master'!$B:$B=C1161)*('cost master'!$D:$D=""Storage cost per pallet / week"")*('cost master'!$G:$G&lt;=B1161)*(('cost master'!$H:$H&gt;=B1161)+ISBLANK('cost master'!$H:$H))),1),0)"),3.9)</f>
        <v>3.9</v>
      </c>
      <c r="I1161" s="3">
        <f t="shared" si="4"/>
        <v>0</v>
      </c>
      <c r="J1161" s="27">
        <f t="shared" si="5"/>
        <v>45885</v>
      </c>
      <c r="K1161" s="27">
        <f t="shared" si="6"/>
        <v>45915</v>
      </c>
    </row>
    <row r="1162" hidden="1">
      <c r="A1162" s="3" t="str">
        <f t="shared" si="3"/>
        <v>SL-20250901-FMC-CS 007-9</v>
      </c>
      <c r="B1162" s="2">
        <f t="array" ref="B1162">INDEX(helper!$A$3:$A3996,ROUNDUP((ROW()-1)/COUNTA(helper!$D$3:$D3996),0))</f>
        <v>45901</v>
      </c>
      <c r="C1162" s="5" t="str">
        <f t="array" ref="C1162">IF(B1162="","",INDEX(helper!$D$3:$D3996,MOD(ROW()-2,COUNTA(helper!$D$3:$D3996))+1))</f>
        <v>FMC</v>
      </c>
      <c r="D1162" s="3" t="str">
        <f t="array" ref="D1162">IF(B1162="","",INDEX(helper!$E$3:$E3996,MOD(ROW()-2,COUNTA(helper!$D$3:$D3996))+1))</f>
        <v>CS 007</v>
      </c>
      <c r="E1162" s="3">
        <f t="array" ref="E1162">IF(B1162="","",INDEX(helper!$F$3:$F3996,MOD(ROW()-2,COUNTA(helper!$D$3:$D3996))+1))</f>
        <v>9</v>
      </c>
      <c r="F1162" s="3">
        <f>IF(B1162="","",SUMIFS('inventory ledger'!$H:$H,'inventory ledger'!$C:$C,C1162,'inventory ledger'!$D:$D,D1162,'inventory ledger'!$E:$E,E1162,'inventory ledger'!$A:$A,"&lt;="&amp;B1162+TIME(23,59,59))-SUMIFS('inventory ledger'!$I:$I,'inventory ledger'!$C:$C,C1162,'inventory ledger'!$D:$D,D1162,'inventory ledger'!$E:$E,E1162,'inventory ledger'!$A:$A,"&lt;="&amp;B1162+TIME(23,59,59)))</f>
        <v>0</v>
      </c>
      <c r="G1162" s="3">
        <f>IFERROR(__xludf.DUMMYFUNCTION("IF(F1162&lt;=0,0,IFERROR(ROUNDUP(F1162/INDEX(FILTER('warehouse config'!$D:$D,('warehouse config'!$B:$B=C1162)*('warehouse config'!$C:$C=D1162)*('warehouse config'!$G:$G&lt;=B1162)*(('warehouse config'!$H:$H&gt;=B1162)+ISBLANK('warehouse config'!$H:$H))),1)),0))"),0.0)</f>
        <v>0</v>
      </c>
      <c r="H1162" s="3">
        <f>IFERROR(__xludf.DUMMYFUNCTION("IFERROR(INDEX(FILTER('cost master'!$E:$E,('cost master'!$B:$B=C1162)*('cost master'!$D:$D=""Storage cost per pallet / week"")*('cost master'!$G:$G&lt;=B1162)*(('cost master'!$H:$H&gt;=B1162)+ISBLANK('cost master'!$H:$H))),1),0)"),3.9)</f>
        <v>3.9</v>
      </c>
      <c r="I1162" s="3">
        <f t="shared" si="4"/>
        <v>0</v>
      </c>
      <c r="J1162" s="27">
        <f t="shared" si="5"/>
        <v>45885</v>
      </c>
      <c r="K1162" s="27">
        <f t="shared" si="6"/>
        <v>45915</v>
      </c>
    </row>
    <row r="1163" hidden="1">
      <c r="A1163" s="3" t="str">
        <f t="shared" si="3"/>
        <v>SL-20250901-FMC-CS 008-9</v>
      </c>
      <c r="B1163" s="2">
        <f t="array" ref="B1163">INDEX(helper!$A$3:$A3996,ROUNDUP((ROW()-1)/COUNTA(helper!$D$3:$D3996),0))</f>
        <v>45901</v>
      </c>
      <c r="C1163" s="5" t="str">
        <f t="array" ref="C1163">IF(B1163="","",INDEX(helper!$D$3:$D3996,MOD(ROW()-2,COUNTA(helper!$D$3:$D3996))+1))</f>
        <v>FMC</v>
      </c>
      <c r="D1163" s="3" t="str">
        <f t="array" ref="D1163">IF(B1163="","",INDEX(helper!$E$3:$E3996,MOD(ROW()-2,COUNTA(helper!$D$3:$D3996))+1))</f>
        <v>CS 008</v>
      </c>
      <c r="E1163" s="3">
        <f t="array" ref="E1163">IF(B1163="","",INDEX(helper!$F$3:$F3996,MOD(ROW()-2,COUNTA(helper!$D$3:$D3996))+1))</f>
        <v>9</v>
      </c>
      <c r="F1163" s="3">
        <f>IF(B1163="","",SUMIFS('inventory ledger'!$H:$H,'inventory ledger'!$C:$C,C1163,'inventory ledger'!$D:$D,D1163,'inventory ledger'!$E:$E,E1163,'inventory ledger'!$A:$A,"&lt;="&amp;B1163+TIME(23,59,59))-SUMIFS('inventory ledger'!$I:$I,'inventory ledger'!$C:$C,C1163,'inventory ledger'!$D:$D,D1163,'inventory ledger'!$E:$E,E1163,'inventory ledger'!$A:$A,"&lt;="&amp;B1163+TIME(23,59,59)))</f>
        <v>2</v>
      </c>
      <c r="G1163" s="3">
        <f>IFERROR(__xludf.DUMMYFUNCTION("IF(F1163&lt;=0,0,IFERROR(ROUNDUP(F1163/INDEX(FILTER('warehouse config'!$D:$D,('warehouse config'!$B:$B=C1163)*('warehouse config'!$C:$C=D1163)*('warehouse config'!$G:$G&lt;=B1163)*(('warehouse config'!$H:$H&gt;=B1163)+ISBLANK('warehouse config'!$H:$H))),1)),0))"),1.0)</f>
        <v>1</v>
      </c>
      <c r="H1163" s="3">
        <f>IFERROR(__xludf.DUMMYFUNCTION("IFERROR(INDEX(FILTER('cost master'!$E:$E,('cost master'!$B:$B=C1163)*('cost master'!$D:$D=""Storage cost per pallet / week"")*('cost master'!$G:$G&lt;=B1163)*(('cost master'!$H:$H&gt;=B1163)+ISBLANK('cost master'!$H:$H))),1),0)"),3.9)</f>
        <v>3.9</v>
      </c>
      <c r="I1163" s="3">
        <f t="shared" si="4"/>
        <v>3.9</v>
      </c>
      <c r="J1163" s="27">
        <f t="shared" si="5"/>
        <v>45885</v>
      </c>
      <c r="K1163" s="27">
        <f t="shared" si="6"/>
        <v>45915</v>
      </c>
    </row>
    <row r="1164" hidden="1">
      <c r="A1164" s="3" t="str">
        <f t="shared" si="3"/>
        <v>SL-20250901-FMC-CS 009-9</v>
      </c>
      <c r="B1164" s="2">
        <f t="array" ref="B1164">INDEX(helper!$A$3:$A3996,ROUNDUP((ROW()-1)/COUNTA(helper!$D$3:$D3996),0))</f>
        <v>45901</v>
      </c>
      <c r="C1164" s="5" t="str">
        <f t="array" ref="C1164">IF(B1164="","",INDEX(helper!$D$3:$D3996,MOD(ROW()-2,COUNTA(helper!$D$3:$D3996))+1))</f>
        <v>FMC</v>
      </c>
      <c r="D1164" s="3" t="str">
        <f t="array" ref="D1164">IF(B1164="","",INDEX(helper!$E$3:$E3996,MOD(ROW()-2,COUNTA(helper!$D$3:$D3996))+1))</f>
        <v>CS 009</v>
      </c>
      <c r="E1164" s="3">
        <f t="array" ref="E1164">IF(B1164="","",INDEX(helper!$F$3:$F3996,MOD(ROW()-2,COUNTA(helper!$D$3:$D3996))+1))</f>
        <v>9</v>
      </c>
      <c r="F1164" s="3">
        <f>IF(B1164="","",SUMIFS('inventory ledger'!$H:$H,'inventory ledger'!$C:$C,C1164,'inventory ledger'!$D:$D,D1164,'inventory ledger'!$E:$E,E1164,'inventory ledger'!$A:$A,"&lt;="&amp;B1164+TIME(23,59,59))-SUMIFS('inventory ledger'!$I:$I,'inventory ledger'!$C:$C,C1164,'inventory ledger'!$D:$D,D1164,'inventory ledger'!$E:$E,E1164,'inventory ledger'!$A:$A,"&lt;="&amp;B1164+TIME(23,59,59)))</f>
        <v>0</v>
      </c>
      <c r="G1164" s="3">
        <f>IFERROR(__xludf.DUMMYFUNCTION("IF(F1164&lt;=0,0,IFERROR(ROUNDUP(F1164/INDEX(FILTER('warehouse config'!$D:$D,('warehouse config'!$B:$B=C1164)*('warehouse config'!$C:$C=D1164)*('warehouse config'!$G:$G&lt;=B1164)*(('warehouse config'!$H:$H&gt;=B1164)+ISBLANK('warehouse config'!$H:$H))),1)),0))"),0.0)</f>
        <v>0</v>
      </c>
      <c r="H1164" s="3">
        <f>IFERROR(__xludf.DUMMYFUNCTION("IFERROR(INDEX(FILTER('cost master'!$E:$E,('cost master'!$B:$B=C1164)*('cost master'!$D:$D=""Storage cost per pallet / week"")*('cost master'!$G:$G&lt;=B1164)*(('cost master'!$H:$H&gt;=B1164)+ISBLANK('cost master'!$H:$H))),1),0)"),3.9)</f>
        <v>3.9</v>
      </c>
      <c r="I1164" s="3">
        <f t="shared" si="4"/>
        <v>0</v>
      </c>
      <c r="J1164" s="27">
        <f t="shared" si="5"/>
        <v>45885</v>
      </c>
      <c r="K1164" s="27">
        <f t="shared" si="6"/>
        <v>45915</v>
      </c>
    </row>
    <row r="1165" hidden="1">
      <c r="A1165" s="3" t="str">
        <f t="shared" si="3"/>
        <v>SL-20250901-FMC-CS 010-9</v>
      </c>
      <c r="B1165" s="2">
        <f t="array" ref="B1165">INDEX(helper!$A$3:$A3996,ROUNDUP((ROW()-1)/COUNTA(helper!$D$3:$D3996),0))</f>
        <v>45901</v>
      </c>
      <c r="C1165" s="5" t="str">
        <f t="array" ref="C1165">IF(B1165="","",INDEX(helper!$D$3:$D3996,MOD(ROW()-2,COUNTA(helper!$D$3:$D3996))+1))</f>
        <v>FMC</v>
      </c>
      <c r="D1165" s="3" t="str">
        <f t="array" ref="D1165">IF(B1165="","",INDEX(helper!$E$3:$E3996,MOD(ROW()-2,COUNTA(helper!$D$3:$D3996))+1))</f>
        <v>CS 010</v>
      </c>
      <c r="E1165" s="3">
        <f t="array" ref="E1165">IF(B1165="","",INDEX(helper!$F$3:$F3996,MOD(ROW()-2,COUNTA(helper!$D$3:$D3996))+1))</f>
        <v>9</v>
      </c>
      <c r="F1165" s="3">
        <f>IF(B1165="","",SUMIFS('inventory ledger'!$H:$H,'inventory ledger'!$C:$C,C1165,'inventory ledger'!$D:$D,D1165,'inventory ledger'!$E:$E,E1165,'inventory ledger'!$A:$A,"&lt;="&amp;B1165+TIME(23,59,59))-SUMIFS('inventory ledger'!$I:$I,'inventory ledger'!$C:$C,C1165,'inventory ledger'!$D:$D,D1165,'inventory ledger'!$E:$E,E1165,'inventory ledger'!$A:$A,"&lt;="&amp;B1165+TIME(23,59,59)))</f>
        <v>0</v>
      </c>
      <c r="G1165" s="3">
        <f>IFERROR(__xludf.DUMMYFUNCTION("IF(F1165&lt;=0,0,IFERROR(ROUNDUP(F1165/INDEX(FILTER('warehouse config'!$D:$D,('warehouse config'!$B:$B=C1165)*('warehouse config'!$C:$C=D1165)*('warehouse config'!$G:$G&lt;=B1165)*(('warehouse config'!$H:$H&gt;=B1165)+ISBLANK('warehouse config'!$H:$H))),1)),0))"),0.0)</f>
        <v>0</v>
      </c>
      <c r="H1165" s="3">
        <f>IFERROR(__xludf.DUMMYFUNCTION("IFERROR(INDEX(FILTER('cost master'!$E:$E,('cost master'!$B:$B=C1165)*('cost master'!$D:$D=""Storage cost per pallet / week"")*('cost master'!$G:$G&lt;=B1165)*(('cost master'!$H:$H&gt;=B1165)+ISBLANK('cost master'!$H:$H))),1),0)"),3.9)</f>
        <v>3.9</v>
      </c>
      <c r="I1165" s="3">
        <f t="shared" si="4"/>
        <v>0</v>
      </c>
      <c r="J1165" s="27">
        <f t="shared" si="5"/>
        <v>45885</v>
      </c>
      <c r="K1165" s="27">
        <f t="shared" si="6"/>
        <v>45915</v>
      </c>
    </row>
    <row r="1166" hidden="1">
      <c r="A1166" s="3" t="str">
        <f t="shared" si="3"/>
        <v>SL-20250901-FMC-CS-CDS-001-9</v>
      </c>
      <c r="B1166" s="2">
        <f t="array" ref="B1166">INDEX(helper!$A$3:$A3996,ROUNDUP((ROW()-1)/COUNTA(helper!$D$3:$D3996),0))</f>
        <v>45901</v>
      </c>
      <c r="C1166" s="5" t="str">
        <f t="array" ref="C1166">IF(B1166="","",INDEX(helper!$D$3:$D3996,MOD(ROW()-2,COUNTA(helper!$D$3:$D3996))+1))</f>
        <v>FMC</v>
      </c>
      <c r="D1166" s="3" t="str">
        <f t="array" ref="D1166">IF(B1166="","",INDEX(helper!$E$3:$E3996,MOD(ROW()-2,COUNTA(helper!$D$3:$D3996))+1))</f>
        <v>CS-CDS-001</v>
      </c>
      <c r="E1166" s="3">
        <f t="array" ref="E1166">IF(B1166="","",INDEX(helper!$F$3:$F3996,MOD(ROW()-2,COUNTA(helper!$D$3:$D3996))+1))</f>
        <v>9</v>
      </c>
      <c r="F1166" s="3">
        <f>IF(B1166="","",SUMIFS('inventory ledger'!$H:$H,'inventory ledger'!$C:$C,C1166,'inventory ledger'!$D:$D,D1166,'inventory ledger'!$E:$E,E1166,'inventory ledger'!$A:$A,"&lt;="&amp;B1166+TIME(23,59,59))-SUMIFS('inventory ledger'!$I:$I,'inventory ledger'!$C:$C,C1166,'inventory ledger'!$D:$D,D1166,'inventory ledger'!$E:$E,E1166,'inventory ledger'!$A:$A,"&lt;="&amp;B1166+TIME(23,59,59)))</f>
        <v>0</v>
      </c>
      <c r="G1166" s="3">
        <f>IFERROR(__xludf.DUMMYFUNCTION("IF(F1166&lt;=0,0,IFERROR(ROUNDUP(F1166/INDEX(FILTER('warehouse config'!$D:$D,('warehouse config'!$B:$B=C1166)*('warehouse config'!$C:$C=D1166)*('warehouse config'!$G:$G&lt;=B1166)*(('warehouse config'!$H:$H&gt;=B1166)+ISBLANK('warehouse config'!$H:$H))),1)),0))"),0.0)</f>
        <v>0</v>
      </c>
      <c r="H1166" s="3">
        <f>IFERROR(__xludf.DUMMYFUNCTION("IFERROR(INDEX(FILTER('cost master'!$E:$E,('cost master'!$B:$B=C1166)*('cost master'!$D:$D=""Storage cost per pallet / week"")*('cost master'!$G:$G&lt;=B1166)*(('cost master'!$H:$H&gt;=B1166)+ISBLANK('cost master'!$H:$H))),1),0)"),3.9)</f>
        <v>3.9</v>
      </c>
      <c r="I1166" s="3">
        <f t="shared" si="4"/>
        <v>0</v>
      </c>
      <c r="J1166" s="27">
        <f t="shared" si="5"/>
        <v>45885</v>
      </c>
      <c r="K1166" s="27">
        <f t="shared" si="6"/>
        <v>45915</v>
      </c>
    </row>
    <row r="1167" hidden="1">
      <c r="A1167" s="3" t="str">
        <f t="shared" si="3"/>
        <v>SL-20250901-FMC-CS-CDS-002-9</v>
      </c>
      <c r="B1167" s="2">
        <f t="array" ref="B1167">INDEX(helper!$A$3:$A3996,ROUNDUP((ROW()-1)/COUNTA(helper!$D$3:$D3996),0))</f>
        <v>45901</v>
      </c>
      <c r="C1167" s="5" t="str">
        <f t="array" ref="C1167">IF(B1167="","",INDEX(helper!$D$3:$D3996,MOD(ROW()-2,COUNTA(helper!$D$3:$D3996))+1))</f>
        <v>FMC</v>
      </c>
      <c r="D1167" s="3" t="str">
        <f t="array" ref="D1167">IF(B1167="","",INDEX(helper!$E$3:$E3996,MOD(ROW()-2,COUNTA(helper!$D$3:$D3996))+1))</f>
        <v>CS-CDS-002</v>
      </c>
      <c r="E1167" s="3">
        <f t="array" ref="E1167">IF(B1167="","",INDEX(helper!$F$3:$F3996,MOD(ROW()-2,COUNTA(helper!$D$3:$D3996))+1))</f>
        <v>9</v>
      </c>
      <c r="F1167" s="3">
        <f>IF(B1167="","",SUMIFS('inventory ledger'!$H:$H,'inventory ledger'!$C:$C,C1167,'inventory ledger'!$D:$D,D1167,'inventory ledger'!$E:$E,E1167,'inventory ledger'!$A:$A,"&lt;="&amp;B1167+TIME(23,59,59))-SUMIFS('inventory ledger'!$I:$I,'inventory ledger'!$C:$C,C1167,'inventory ledger'!$D:$D,D1167,'inventory ledger'!$E:$E,E1167,'inventory ledger'!$A:$A,"&lt;="&amp;B1167+TIME(23,59,59)))</f>
        <v>0</v>
      </c>
      <c r="G1167" s="3">
        <f>IFERROR(__xludf.DUMMYFUNCTION("IF(F1167&lt;=0,0,IFERROR(ROUNDUP(F1167/INDEX(FILTER('warehouse config'!$D:$D,('warehouse config'!$B:$B=C1167)*('warehouse config'!$C:$C=D1167)*('warehouse config'!$G:$G&lt;=B1167)*(('warehouse config'!$H:$H&gt;=B1167)+ISBLANK('warehouse config'!$H:$H))),1)),0))"),0.0)</f>
        <v>0</v>
      </c>
      <c r="H1167" s="3">
        <f>IFERROR(__xludf.DUMMYFUNCTION("IFERROR(INDEX(FILTER('cost master'!$E:$E,('cost master'!$B:$B=C1167)*('cost master'!$D:$D=""Storage cost per pallet / week"")*('cost master'!$G:$G&lt;=B1167)*(('cost master'!$H:$H&gt;=B1167)+ISBLANK('cost master'!$H:$H))),1),0)"),3.9)</f>
        <v>3.9</v>
      </c>
      <c r="I1167" s="3">
        <f t="shared" si="4"/>
        <v>0</v>
      </c>
      <c r="J1167" s="27">
        <f t="shared" si="5"/>
        <v>45885</v>
      </c>
      <c r="K1167" s="27">
        <f t="shared" si="6"/>
        <v>45915</v>
      </c>
    </row>
    <row r="1168" hidden="1">
      <c r="A1168" s="3" t="str">
        <f t="shared" si="3"/>
        <v>SL-20250901-FMC-CS 007-10</v>
      </c>
      <c r="B1168" s="2">
        <f t="array" ref="B1168">INDEX(helper!$A$3:$A3996,ROUNDUP((ROW()-1)/COUNTA(helper!$D$3:$D3996),0))</f>
        <v>45901</v>
      </c>
      <c r="C1168" s="5" t="str">
        <f t="array" ref="C1168">IF(B1168="","",INDEX(helper!$D$3:$D3996,MOD(ROW()-2,COUNTA(helper!$D$3:$D3996))+1))</f>
        <v>FMC</v>
      </c>
      <c r="D1168" s="3" t="str">
        <f t="array" ref="D1168">IF(B1168="","",INDEX(helper!$E$3:$E3996,MOD(ROW()-2,COUNTA(helper!$D$3:$D3996))+1))</f>
        <v>CS 007</v>
      </c>
      <c r="E1168" s="3">
        <f t="array" ref="E1168">IF(B1168="","",INDEX(helper!$F$3:$F3996,MOD(ROW()-2,COUNTA(helper!$D$3:$D3996))+1))</f>
        <v>10</v>
      </c>
      <c r="F1168" s="3">
        <f>IF(B1168="","",SUMIFS('inventory ledger'!$H:$H,'inventory ledger'!$C:$C,C1168,'inventory ledger'!$D:$D,D1168,'inventory ledger'!$E:$E,E1168,'inventory ledger'!$A:$A,"&lt;="&amp;B1168+TIME(23,59,59))-SUMIFS('inventory ledger'!$I:$I,'inventory ledger'!$C:$C,C1168,'inventory ledger'!$D:$D,D1168,'inventory ledger'!$E:$E,E1168,'inventory ledger'!$A:$A,"&lt;="&amp;B1168+TIME(23,59,59)))</f>
        <v>0</v>
      </c>
      <c r="G1168" s="3">
        <f>IFERROR(__xludf.DUMMYFUNCTION("IF(F1168&lt;=0,0,IFERROR(ROUNDUP(F1168/INDEX(FILTER('warehouse config'!$D:$D,('warehouse config'!$B:$B=C1168)*('warehouse config'!$C:$C=D1168)*('warehouse config'!$G:$G&lt;=B1168)*(('warehouse config'!$H:$H&gt;=B1168)+ISBLANK('warehouse config'!$H:$H))),1)),0))"),0.0)</f>
        <v>0</v>
      </c>
      <c r="H1168" s="3">
        <f>IFERROR(__xludf.DUMMYFUNCTION("IFERROR(INDEX(FILTER('cost master'!$E:$E,('cost master'!$B:$B=C1168)*('cost master'!$D:$D=""Storage cost per pallet / week"")*('cost master'!$G:$G&lt;=B1168)*(('cost master'!$H:$H&gt;=B1168)+ISBLANK('cost master'!$H:$H))),1),0)"),3.9)</f>
        <v>3.9</v>
      </c>
      <c r="I1168" s="3">
        <f t="shared" si="4"/>
        <v>0</v>
      </c>
      <c r="J1168" s="27">
        <f t="shared" si="5"/>
        <v>45885</v>
      </c>
      <c r="K1168" s="27">
        <f t="shared" si="6"/>
        <v>45915</v>
      </c>
    </row>
    <row r="1169" hidden="1">
      <c r="A1169" s="3" t="str">
        <f t="shared" si="3"/>
        <v>SL-20250901-FMC-CS 009-10</v>
      </c>
      <c r="B1169" s="2">
        <f t="array" ref="B1169">INDEX(helper!$A$3:$A3996,ROUNDUP((ROW()-1)/COUNTA(helper!$D$3:$D3996),0))</f>
        <v>45901</v>
      </c>
      <c r="C1169" s="5" t="str">
        <f t="array" ref="C1169">IF(B1169="","",INDEX(helper!$D$3:$D3996,MOD(ROW()-2,COUNTA(helper!$D$3:$D3996))+1))</f>
        <v>FMC</v>
      </c>
      <c r="D1169" s="3" t="str">
        <f t="array" ref="D1169">IF(B1169="","",INDEX(helper!$E$3:$E3996,MOD(ROW()-2,COUNTA(helper!$D$3:$D3996))+1))</f>
        <v>CS 009</v>
      </c>
      <c r="E1169" s="3">
        <f t="array" ref="E1169">IF(B1169="","",INDEX(helper!$F$3:$F3996,MOD(ROW()-2,COUNTA(helper!$D$3:$D3996))+1))</f>
        <v>10</v>
      </c>
      <c r="F1169" s="3">
        <f>IF(B1169="","",SUMIFS('inventory ledger'!$H:$H,'inventory ledger'!$C:$C,C1169,'inventory ledger'!$D:$D,D1169,'inventory ledger'!$E:$E,E1169,'inventory ledger'!$A:$A,"&lt;="&amp;B1169+TIME(23,59,59))-SUMIFS('inventory ledger'!$I:$I,'inventory ledger'!$C:$C,C1169,'inventory ledger'!$D:$D,D1169,'inventory ledger'!$E:$E,E1169,'inventory ledger'!$A:$A,"&lt;="&amp;B1169+TIME(23,59,59)))</f>
        <v>0</v>
      </c>
      <c r="G1169" s="3">
        <f>IFERROR(__xludf.DUMMYFUNCTION("IF(F1169&lt;=0,0,IFERROR(ROUNDUP(F1169/INDEX(FILTER('warehouse config'!$D:$D,('warehouse config'!$B:$B=C1169)*('warehouse config'!$C:$C=D1169)*('warehouse config'!$G:$G&lt;=B1169)*(('warehouse config'!$H:$H&gt;=B1169)+ISBLANK('warehouse config'!$H:$H))),1)),0))"),0.0)</f>
        <v>0</v>
      </c>
      <c r="H1169" s="3">
        <f>IFERROR(__xludf.DUMMYFUNCTION("IFERROR(INDEX(FILTER('cost master'!$E:$E,('cost master'!$B:$B=C1169)*('cost master'!$D:$D=""Storage cost per pallet / week"")*('cost master'!$G:$G&lt;=B1169)*(('cost master'!$H:$H&gt;=B1169)+ISBLANK('cost master'!$H:$H))),1),0)"),3.9)</f>
        <v>3.9</v>
      </c>
      <c r="I1169" s="3">
        <f t="shared" si="4"/>
        <v>0</v>
      </c>
      <c r="J1169" s="27">
        <f t="shared" si="5"/>
        <v>45885</v>
      </c>
      <c r="K1169" s="27">
        <f t="shared" si="6"/>
        <v>45915</v>
      </c>
    </row>
    <row r="1170" hidden="1">
      <c r="A1170" s="3" t="str">
        <f t="shared" si="3"/>
        <v>SL-20250901-FMC-CS 010-10</v>
      </c>
      <c r="B1170" s="2">
        <f t="array" ref="B1170">INDEX(helper!$A$3:$A3996,ROUNDUP((ROW()-1)/COUNTA(helper!$D$3:$D3996),0))</f>
        <v>45901</v>
      </c>
      <c r="C1170" s="5" t="str">
        <f t="array" ref="C1170">IF(B1170="","",INDEX(helper!$D$3:$D3996,MOD(ROW()-2,COUNTA(helper!$D$3:$D3996))+1))</f>
        <v>FMC</v>
      </c>
      <c r="D1170" s="3" t="str">
        <f t="array" ref="D1170">IF(B1170="","",INDEX(helper!$E$3:$E3996,MOD(ROW()-2,COUNTA(helper!$D$3:$D3996))+1))</f>
        <v>CS 010</v>
      </c>
      <c r="E1170" s="3">
        <f t="array" ref="E1170">IF(B1170="","",INDEX(helper!$F$3:$F3996,MOD(ROW()-2,COUNTA(helper!$D$3:$D3996))+1))</f>
        <v>10</v>
      </c>
      <c r="F1170" s="3">
        <f>IF(B1170="","",SUMIFS('inventory ledger'!$H:$H,'inventory ledger'!$C:$C,C1170,'inventory ledger'!$D:$D,D1170,'inventory ledger'!$E:$E,E1170,'inventory ledger'!$A:$A,"&lt;="&amp;B1170+TIME(23,59,59))-SUMIFS('inventory ledger'!$I:$I,'inventory ledger'!$C:$C,C1170,'inventory ledger'!$D:$D,D1170,'inventory ledger'!$E:$E,E1170,'inventory ledger'!$A:$A,"&lt;="&amp;B1170+TIME(23,59,59)))</f>
        <v>13</v>
      </c>
      <c r="G1170" s="3">
        <f>IFERROR(__xludf.DUMMYFUNCTION("IF(F1170&lt;=0,0,IFERROR(ROUNDUP(F1170/INDEX(FILTER('warehouse config'!$D:$D,('warehouse config'!$B:$B=C1170)*('warehouse config'!$C:$C=D1170)*('warehouse config'!$G:$G&lt;=B1170)*(('warehouse config'!$H:$H&gt;=B1170)+ISBLANK('warehouse config'!$H:$H))),1)),0))"),1.0)</f>
        <v>1</v>
      </c>
      <c r="H1170" s="3">
        <f>IFERROR(__xludf.DUMMYFUNCTION("IFERROR(INDEX(FILTER('cost master'!$E:$E,('cost master'!$B:$B=C1170)*('cost master'!$D:$D=""Storage cost per pallet / week"")*('cost master'!$G:$G&lt;=B1170)*(('cost master'!$H:$H&gt;=B1170)+ISBLANK('cost master'!$H:$H))),1),0)"),3.9)</f>
        <v>3.9</v>
      </c>
      <c r="I1170" s="3">
        <f t="shared" si="4"/>
        <v>3.9</v>
      </c>
      <c r="J1170" s="27">
        <f t="shared" si="5"/>
        <v>45885</v>
      </c>
      <c r="K1170" s="27">
        <f t="shared" si="6"/>
        <v>45915</v>
      </c>
    </row>
    <row r="1171" hidden="1">
      <c r="A1171" s="3" t="str">
        <f t="shared" si="3"/>
        <v>SL-20250901-FMC-CS-CDS-001-10</v>
      </c>
      <c r="B1171" s="2">
        <f t="array" ref="B1171">INDEX(helper!$A$3:$A3996,ROUNDUP((ROW()-1)/COUNTA(helper!$D$3:$D3996),0))</f>
        <v>45901</v>
      </c>
      <c r="C1171" s="5" t="str">
        <f t="array" ref="C1171">IF(B1171="","",INDEX(helper!$D$3:$D3996,MOD(ROW()-2,COUNTA(helper!$D$3:$D3996))+1))</f>
        <v>FMC</v>
      </c>
      <c r="D1171" s="3" t="str">
        <f t="array" ref="D1171">IF(B1171="","",INDEX(helper!$E$3:$E3996,MOD(ROW()-2,COUNTA(helper!$D$3:$D3996))+1))</f>
        <v>CS-CDS-001</v>
      </c>
      <c r="E1171" s="3">
        <f t="array" ref="E1171">IF(B1171="","",INDEX(helper!$F$3:$F3996,MOD(ROW()-2,COUNTA(helper!$D$3:$D3996))+1))</f>
        <v>10</v>
      </c>
      <c r="F1171" s="3">
        <f>IF(B1171="","",SUMIFS('inventory ledger'!$H:$H,'inventory ledger'!$C:$C,C1171,'inventory ledger'!$D:$D,D1171,'inventory ledger'!$E:$E,E1171,'inventory ledger'!$A:$A,"&lt;="&amp;B1171+TIME(23,59,59))-SUMIFS('inventory ledger'!$I:$I,'inventory ledger'!$C:$C,C1171,'inventory ledger'!$D:$D,D1171,'inventory ledger'!$E:$E,E1171,'inventory ledger'!$A:$A,"&lt;="&amp;B1171+TIME(23,59,59)))</f>
        <v>0</v>
      </c>
      <c r="G1171" s="3">
        <f>IFERROR(__xludf.DUMMYFUNCTION("IF(F1171&lt;=0,0,IFERROR(ROUNDUP(F1171/INDEX(FILTER('warehouse config'!$D:$D,('warehouse config'!$B:$B=C1171)*('warehouse config'!$C:$C=D1171)*('warehouse config'!$G:$G&lt;=B1171)*(('warehouse config'!$H:$H&gt;=B1171)+ISBLANK('warehouse config'!$H:$H))),1)),0))"),0.0)</f>
        <v>0</v>
      </c>
      <c r="H1171" s="3">
        <f>IFERROR(__xludf.DUMMYFUNCTION("IFERROR(INDEX(FILTER('cost master'!$E:$E,('cost master'!$B:$B=C1171)*('cost master'!$D:$D=""Storage cost per pallet / week"")*('cost master'!$G:$G&lt;=B1171)*(('cost master'!$H:$H&gt;=B1171)+ISBLANK('cost master'!$H:$H))),1),0)"),3.9)</f>
        <v>3.9</v>
      </c>
      <c r="I1171" s="3">
        <f t="shared" si="4"/>
        <v>0</v>
      </c>
      <c r="J1171" s="27">
        <f t="shared" si="5"/>
        <v>45885</v>
      </c>
      <c r="K1171" s="27">
        <f t="shared" si="6"/>
        <v>45915</v>
      </c>
    </row>
    <row r="1172">
      <c r="A1172" s="3" t="str">
        <f t="shared" si="3"/>
        <v>SL-20250901-FMC-CS 007-11</v>
      </c>
      <c r="B1172" s="2">
        <f t="array" ref="B1172">INDEX(helper!$A$3:$A3996,ROUNDUP((ROW()-1)/COUNTA(helper!$D$3:$D3996),0))</f>
        <v>45901</v>
      </c>
      <c r="C1172" s="5" t="str">
        <f t="array" ref="C1172">IF(B1172="","",INDEX(helper!$D$3:$D3996,MOD(ROW()-2,COUNTA(helper!$D$3:$D3996))+1))</f>
        <v>FMC</v>
      </c>
      <c r="D1172" s="3" t="str">
        <f t="array" ref="D1172">IF(B1172="","",INDEX(helper!$E$3:$E3996,MOD(ROW()-2,COUNTA(helper!$D$3:$D3996))+1))</f>
        <v>CS 007</v>
      </c>
      <c r="E1172" s="3">
        <f t="array" ref="E1172">IF(B1172="","",INDEX(helper!$F$3:$F3996,MOD(ROW()-2,COUNTA(helper!$D$3:$D3996))+1))</f>
        <v>11</v>
      </c>
      <c r="F1172" s="3">
        <f>IF(B1172="","",SUMIFS('inventory ledger'!$H:$H,'inventory ledger'!$C:$C,C1172,'inventory ledger'!$D:$D,D1172,'inventory ledger'!$E:$E,E1172,'inventory ledger'!$A:$A,"&lt;="&amp;B1172+TIME(23,59,59))-SUMIFS('inventory ledger'!$I:$I,'inventory ledger'!$C:$C,C1172,'inventory ledger'!$D:$D,D1172,'inventory ledger'!$E:$E,E1172,'inventory ledger'!$A:$A,"&lt;="&amp;B1172+TIME(23,59,59)))</f>
        <v>-1</v>
      </c>
      <c r="G1172" s="3">
        <f>IFERROR(__xludf.DUMMYFUNCTION("IF(F1172&lt;=0,0,IFERROR(ROUNDUP(F1172/INDEX(FILTER('warehouse config'!$D:$D,('warehouse config'!$B:$B=C1172)*('warehouse config'!$C:$C=D1172)*('warehouse config'!$G:$G&lt;=B1172)*(('warehouse config'!$H:$H&gt;=B1172)+ISBLANK('warehouse config'!$H:$H))),1)),0))"),0.0)</f>
        <v>0</v>
      </c>
      <c r="H1172" s="3">
        <f>IFERROR(__xludf.DUMMYFUNCTION("IFERROR(INDEX(FILTER('cost master'!$E:$E,('cost master'!$B:$B=C1172)*('cost master'!$D:$D=""Storage cost per pallet / week"")*('cost master'!$G:$G&lt;=B1172)*(('cost master'!$H:$H&gt;=B1172)+ISBLANK('cost master'!$H:$H))),1),0)"),3.9)</f>
        <v>3.9</v>
      </c>
      <c r="I1172" s="3">
        <f t="shared" si="4"/>
        <v>0</v>
      </c>
      <c r="J1172" s="27">
        <f t="shared" si="5"/>
        <v>45885</v>
      </c>
      <c r="K1172" s="27">
        <f t="shared" si="6"/>
        <v>45915</v>
      </c>
    </row>
    <row r="1173" hidden="1">
      <c r="A1173" s="3" t="str">
        <f t="shared" si="3"/>
        <v>SL-20250901-FMC-CS 009-11</v>
      </c>
      <c r="B1173" s="2">
        <f t="array" ref="B1173">INDEX(helper!$A$3:$A3996,ROUNDUP((ROW()-1)/COUNTA(helper!$D$3:$D3996),0))</f>
        <v>45901</v>
      </c>
      <c r="C1173" s="5" t="str">
        <f t="array" ref="C1173">IF(B1173="","",INDEX(helper!$D$3:$D3996,MOD(ROW()-2,COUNTA(helper!$D$3:$D3996))+1))</f>
        <v>FMC</v>
      </c>
      <c r="D1173" s="3" t="str">
        <f t="array" ref="D1173">IF(B1173="","",INDEX(helper!$E$3:$E3996,MOD(ROW()-2,COUNTA(helper!$D$3:$D3996))+1))</f>
        <v>CS 009</v>
      </c>
      <c r="E1173" s="3">
        <f t="array" ref="E1173">IF(B1173="","",INDEX(helper!$F$3:$F3996,MOD(ROW()-2,COUNTA(helper!$D$3:$D3996))+1))</f>
        <v>11</v>
      </c>
      <c r="F1173" s="3">
        <f>IF(B1173="","",SUMIFS('inventory ledger'!$H:$H,'inventory ledger'!$C:$C,C1173,'inventory ledger'!$D:$D,D1173,'inventory ledger'!$E:$E,E1173,'inventory ledger'!$A:$A,"&lt;="&amp;B1173+TIME(23,59,59))-SUMIFS('inventory ledger'!$I:$I,'inventory ledger'!$C:$C,C1173,'inventory ledger'!$D:$D,D1173,'inventory ledger'!$E:$E,E1173,'inventory ledger'!$A:$A,"&lt;="&amp;B1173+TIME(23,59,59)))</f>
        <v>0</v>
      </c>
      <c r="G1173" s="3">
        <f>IFERROR(__xludf.DUMMYFUNCTION("IF(F1173&lt;=0,0,IFERROR(ROUNDUP(F1173/INDEX(FILTER('warehouse config'!$D:$D,('warehouse config'!$B:$B=C1173)*('warehouse config'!$C:$C=D1173)*('warehouse config'!$G:$G&lt;=B1173)*(('warehouse config'!$H:$H&gt;=B1173)+ISBLANK('warehouse config'!$H:$H))),1)),0))"),0.0)</f>
        <v>0</v>
      </c>
      <c r="H1173" s="3">
        <f>IFERROR(__xludf.DUMMYFUNCTION("IFERROR(INDEX(FILTER('cost master'!$E:$E,('cost master'!$B:$B=C1173)*('cost master'!$D:$D=""Storage cost per pallet / week"")*('cost master'!$G:$G&lt;=B1173)*(('cost master'!$H:$H&gt;=B1173)+ISBLANK('cost master'!$H:$H))),1),0)"),3.9)</f>
        <v>3.9</v>
      </c>
      <c r="I1173" s="3">
        <f t="shared" si="4"/>
        <v>0</v>
      </c>
      <c r="J1173" s="27">
        <f t="shared" si="5"/>
        <v>45885</v>
      </c>
      <c r="K1173" s="27">
        <f t="shared" si="6"/>
        <v>45915</v>
      </c>
    </row>
    <row r="1174" hidden="1">
      <c r="A1174" s="3" t="str">
        <f t="shared" si="3"/>
        <v>SL-20250901-FMC-CS 010-11</v>
      </c>
      <c r="B1174" s="2">
        <f t="array" ref="B1174">INDEX(helper!$A$3:$A3996,ROUNDUP((ROW()-1)/COUNTA(helper!$D$3:$D3996),0))</f>
        <v>45901</v>
      </c>
      <c r="C1174" s="5" t="str">
        <f t="array" ref="C1174">IF(B1174="","",INDEX(helper!$D$3:$D3996,MOD(ROW()-2,COUNTA(helper!$D$3:$D3996))+1))</f>
        <v>FMC</v>
      </c>
      <c r="D1174" s="3" t="str">
        <f t="array" ref="D1174">IF(B1174="","",INDEX(helper!$E$3:$E3996,MOD(ROW()-2,COUNTA(helper!$D$3:$D3996))+1))</f>
        <v>CS 010</v>
      </c>
      <c r="E1174" s="3">
        <f t="array" ref="E1174">IF(B1174="","",INDEX(helper!$F$3:$F3996,MOD(ROW()-2,COUNTA(helper!$D$3:$D3996))+1))</f>
        <v>11</v>
      </c>
      <c r="F1174" s="3">
        <f>IF(B1174="","",SUMIFS('inventory ledger'!$H:$H,'inventory ledger'!$C:$C,C1174,'inventory ledger'!$D:$D,D1174,'inventory ledger'!$E:$E,E1174,'inventory ledger'!$A:$A,"&lt;="&amp;B1174+TIME(23,59,59))-SUMIFS('inventory ledger'!$I:$I,'inventory ledger'!$C:$C,C1174,'inventory ledger'!$D:$D,D1174,'inventory ledger'!$E:$E,E1174,'inventory ledger'!$A:$A,"&lt;="&amp;B1174+TIME(23,59,59)))</f>
        <v>6</v>
      </c>
      <c r="G1174" s="3">
        <f>IFERROR(__xludf.DUMMYFUNCTION("IF(F1174&lt;=0,0,IFERROR(ROUNDUP(F1174/INDEX(FILTER('warehouse config'!$D:$D,('warehouse config'!$B:$B=C1174)*('warehouse config'!$C:$C=D1174)*('warehouse config'!$G:$G&lt;=B1174)*(('warehouse config'!$H:$H&gt;=B1174)+ISBLANK('warehouse config'!$H:$H))),1)),0))"),1.0)</f>
        <v>1</v>
      </c>
      <c r="H1174" s="3">
        <f>IFERROR(__xludf.DUMMYFUNCTION("IFERROR(INDEX(FILTER('cost master'!$E:$E,('cost master'!$B:$B=C1174)*('cost master'!$D:$D=""Storage cost per pallet / week"")*('cost master'!$G:$G&lt;=B1174)*(('cost master'!$H:$H&gt;=B1174)+ISBLANK('cost master'!$H:$H))),1),0)"),3.9)</f>
        <v>3.9</v>
      </c>
      <c r="I1174" s="3">
        <f t="shared" si="4"/>
        <v>3.9</v>
      </c>
      <c r="J1174" s="27">
        <f t="shared" si="5"/>
        <v>45885</v>
      </c>
      <c r="K1174" s="27">
        <f t="shared" si="6"/>
        <v>45915</v>
      </c>
    </row>
    <row r="1175" hidden="1">
      <c r="A1175" s="3" t="str">
        <f t="shared" si="3"/>
        <v>SL-20250901-Vglobal-CS 007-12</v>
      </c>
      <c r="B1175" s="2">
        <f t="array" ref="B1175">INDEX(helper!$A$3:$A3996,ROUNDUP((ROW()-1)/COUNTA(helper!$D$3:$D3996),0))</f>
        <v>45901</v>
      </c>
      <c r="C1175" s="5" t="str">
        <f t="array" ref="C1175">IF(B1175="","",INDEX(helper!$D$3:$D3996,MOD(ROW()-2,COUNTA(helper!$D$3:$D3996))+1))</f>
        <v>Vglobal</v>
      </c>
      <c r="D1175" s="3" t="str">
        <f t="array" ref="D1175">IF(B1175="","",INDEX(helper!$E$3:$E3996,MOD(ROW()-2,COUNTA(helper!$D$3:$D3996))+1))</f>
        <v>CS 007</v>
      </c>
      <c r="E1175" s="3">
        <f t="array" ref="E1175">IF(B1175="","",INDEX(helper!$F$3:$F3996,MOD(ROW()-2,COUNTA(helper!$D$3:$D3996))+1))</f>
        <v>12</v>
      </c>
      <c r="F1175" s="3">
        <f>IF(B1175="","",SUMIFS('inventory ledger'!$H:$H,'inventory ledger'!$C:$C,C1175,'inventory ledger'!$D:$D,D1175,'inventory ledger'!$E:$E,E1175,'inventory ledger'!$A:$A,"&lt;="&amp;B1175+TIME(23,59,59))-SUMIFS('inventory ledger'!$I:$I,'inventory ledger'!$C:$C,C1175,'inventory ledger'!$D:$D,D1175,'inventory ledger'!$E:$E,E1175,'inventory ledger'!$A:$A,"&lt;="&amp;B1175+TIME(23,59,59)))</f>
        <v>0</v>
      </c>
      <c r="G1175" s="3">
        <f>IFERROR(__xludf.DUMMYFUNCTION("IF(F1175&lt;=0,0,IFERROR(ROUNDUP(F1175/INDEX(FILTER('warehouse config'!$D:$D,('warehouse config'!$B:$B=C1175)*('warehouse config'!$C:$C=D1175)*('warehouse config'!$G:$G&lt;=B1175)*(('warehouse config'!$H:$H&gt;=B1175)+ISBLANK('warehouse config'!$H:$H))),1)),0))"),0.0)</f>
        <v>0</v>
      </c>
      <c r="H1175" s="3">
        <f>IFERROR(__xludf.DUMMYFUNCTION("IFERROR(INDEX(FILTER('cost master'!$E:$E,('cost master'!$B:$B=C1175)*('cost master'!$D:$D=""Storage cost per pallet / week"")*('cost master'!$G:$G&lt;=B1175)*(('cost master'!$H:$H&gt;=B1175)+ISBLANK('cost master'!$H:$H))),1),0)"),2.6)</f>
        <v>2.6</v>
      </c>
      <c r="I1175" s="3">
        <f t="shared" si="4"/>
        <v>0</v>
      </c>
      <c r="J1175" s="27">
        <f t="shared" si="5"/>
        <v>45885</v>
      </c>
      <c r="K1175" s="27">
        <f t="shared" si="6"/>
        <v>45915</v>
      </c>
    </row>
    <row r="1176" hidden="1">
      <c r="A1176" s="3" t="str">
        <f t="shared" si="3"/>
        <v>SL-20250901-Vglobal-CS 011-12</v>
      </c>
      <c r="B1176" s="2">
        <f t="array" ref="B1176">INDEX(helper!$A$3:$A3996,ROUNDUP((ROW()-1)/COUNTA(helper!$D$3:$D3996),0))</f>
        <v>45901</v>
      </c>
      <c r="C1176" s="5" t="str">
        <f t="array" ref="C1176">IF(B1176="","",INDEX(helper!$D$3:$D3996,MOD(ROW()-2,COUNTA(helper!$D$3:$D3996))+1))</f>
        <v>Vglobal</v>
      </c>
      <c r="D1176" s="3" t="str">
        <f t="array" ref="D1176">IF(B1176="","",INDEX(helper!$E$3:$E3996,MOD(ROW()-2,COUNTA(helper!$D$3:$D3996))+1))</f>
        <v>CS 011</v>
      </c>
      <c r="E1176" s="3">
        <f t="array" ref="E1176">IF(B1176="","",INDEX(helper!$F$3:$F3996,MOD(ROW()-2,COUNTA(helper!$D$3:$D3996))+1))</f>
        <v>12</v>
      </c>
      <c r="F1176" s="3">
        <f>IF(B1176="","",SUMIFS('inventory ledger'!$H:$H,'inventory ledger'!$C:$C,C1176,'inventory ledger'!$D:$D,D1176,'inventory ledger'!$E:$E,E1176,'inventory ledger'!$A:$A,"&lt;="&amp;B1176+TIME(23,59,59))-SUMIFS('inventory ledger'!$I:$I,'inventory ledger'!$C:$C,C1176,'inventory ledger'!$D:$D,D1176,'inventory ledger'!$E:$E,E1176,'inventory ledger'!$A:$A,"&lt;="&amp;B1176+TIME(23,59,59)))</f>
        <v>0</v>
      </c>
      <c r="G1176" s="3">
        <f>IFERROR(__xludf.DUMMYFUNCTION("IF(F1176&lt;=0,0,IFERROR(ROUNDUP(F1176/INDEX(FILTER('warehouse config'!$D:$D,('warehouse config'!$B:$B=C1176)*('warehouse config'!$C:$C=D1176)*('warehouse config'!$G:$G&lt;=B1176)*(('warehouse config'!$H:$H&gt;=B1176)+ISBLANK('warehouse config'!$H:$H))),1)),0))"),0.0)</f>
        <v>0</v>
      </c>
      <c r="H1176" s="3">
        <f>IFERROR(__xludf.DUMMYFUNCTION("IFERROR(INDEX(FILTER('cost master'!$E:$E,('cost master'!$B:$B=C1176)*('cost master'!$D:$D=""Storage cost per pallet / week"")*('cost master'!$G:$G&lt;=B1176)*(('cost master'!$H:$H&gt;=B1176)+ISBLANK('cost master'!$H:$H))),1),0)"),2.6)</f>
        <v>2.6</v>
      </c>
      <c r="I1176" s="3">
        <f t="shared" si="4"/>
        <v>0</v>
      </c>
      <c r="J1176" s="27">
        <f t="shared" si="5"/>
        <v>45885</v>
      </c>
      <c r="K1176" s="27">
        <f t="shared" si="6"/>
        <v>45915</v>
      </c>
    </row>
    <row r="1177" hidden="1">
      <c r="A1177" s="3" t="str">
        <f t="shared" si="3"/>
        <v>SL-20250901-Vglobal-CS 008-12</v>
      </c>
      <c r="B1177" s="2">
        <f t="array" ref="B1177">INDEX(helper!$A$3:$A3996,ROUNDUP((ROW()-1)/COUNTA(helper!$D$3:$D3996),0))</f>
        <v>45901</v>
      </c>
      <c r="C1177" s="5" t="str">
        <f t="array" ref="C1177">IF(B1177="","",INDEX(helper!$D$3:$D3996,MOD(ROW()-2,COUNTA(helper!$D$3:$D3996))+1))</f>
        <v>Vglobal</v>
      </c>
      <c r="D1177" s="3" t="str">
        <f t="array" ref="D1177">IF(B1177="","",INDEX(helper!$E$3:$E3996,MOD(ROW()-2,COUNTA(helper!$D$3:$D3996))+1))</f>
        <v>CS 008</v>
      </c>
      <c r="E1177" s="3">
        <f t="array" ref="E1177">IF(B1177="","",INDEX(helper!$F$3:$F3996,MOD(ROW()-2,COUNTA(helper!$D$3:$D3996))+1))</f>
        <v>12</v>
      </c>
      <c r="F1177" s="3">
        <f>IF(B1177="","",SUMIFS('inventory ledger'!$H:$H,'inventory ledger'!$C:$C,C1177,'inventory ledger'!$D:$D,D1177,'inventory ledger'!$E:$E,E1177,'inventory ledger'!$A:$A,"&lt;="&amp;B1177+TIME(23,59,59))-SUMIFS('inventory ledger'!$I:$I,'inventory ledger'!$C:$C,C1177,'inventory ledger'!$D:$D,D1177,'inventory ledger'!$E:$E,E1177,'inventory ledger'!$A:$A,"&lt;="&amp;B1177+TIME(23,59,59)))</f>
        <v>0</v>
      </c>
      <c r="G1177" s="3">
        <f>IFERROR(__xludf.DUMMYFUNCTION("IF(F1177&lt;=0,0,IFERROR(ROUNDUP(F1177/INDEX(FILTER('warehouse config'!$D:$D,('warehouse config'!$B:$B=C1177)*('warehouse config'!$C:$C=D1177)*('warehouse config'!$G:$G&lt;=B1177)*(('warehouse config'!$H:$H&gt;=B1177)+ISBLANK('warehouse config'!$H:$H))),1)),0))"),0.0)</f>
        <v>0</v>
      </c>
      <c r="H1177" s="3">
        <f>IFERROR(__xludf.DUMMYFUNCTION("IFERROR(INDEX(FILTER('cost master'!$E:$E,('cost master'!$B:$B=C1177)*('cost master'!$D:$D=""Storage cost per pallet / week"")*('cost master'!$G:$G&lt;=B1177)*(('cost master'!$H:$H&gt;=B1177)+ISBLANK('cost master'!$H:$H))),1),0)"),2.6)</f>
        <v>2.6</v>
      </c>
      <c r="I1177" s="3">
        <f t="shared" si="4"/>
        <v>0</v>
      </c>
      <c r="J1177" s="27">
        <f t="shared" si="5"/>
        <v>45885</v>
      </c>
      <c r="K1177" s="27">
        <f t="shared" si="6"/>
        <v>45915</v>
      </c>
    </row>
    <row r="1178" hidden="1">
      <c r="A1178" s="3" t="str">
        <f t="shared" si="3"/>
        <v>SL-20250901-Vglobal-CS 010-12</v>
      </c>
      <c r="B1178" s="2">
        <f t="array" ref="B1178">INDEX(helper!$A$3:$A3996,ROUNDUP((ROW()-1)/COUNTA(helper!$D$3:$D3996),0))</f>
        <v>45901</v>
      </c>
      <c r="C1178" s="5" t="str">
        <f t="array" ref="C1178">IF(B1178="","",INDEX(helper!$D$3:$D3996,MOD(ROW()-2,COUNTA(helper!$D$3:$D3996))+1))</f>
        <v>Vglobal</v>
      </c>
      <c r="D1178" s="3" t="str">
        <f t="array" ref="D1178">IF(B1178="","",INDEX(helper!$E$3:$E3996,MOD(ROW()-2,COUNTA(helper!$D$3:$D3996))+1))</f>
        <v>CS 010</v>
      </c>
      <c r="E1178" s="3">
        <f t="array" ref="E1178">IF(B1178="","",INDEX(helper!$F$3:$F3996,MOD(ROW()-2,COUNTA(helper!$D$3:$D3996))+1))</f>
        <v>12</v>
      </c>
      <c r="F1178" s="3">
        <f>IF(B1178="","",SUMIFS('inventory ledger'!$H:$H,'inventory ledger'!$C:$C,C1178,'inventory ledger'!$D:$D,D1178,'inventory ledger'!$E:$E,E1178,'inventory ledger'!$A:$A,"&lt;="&amp;B1178+TIME(23,59,59))-SUMIFS('inventory ledger'!$I:$I,'inventory ledger'!$C:$C,C1178,'inventory ledger'!$D:$D,D1178,'inventory ledger'!$E:$E,E1178,'inventory ledger'!$A:$A,"&lt;="&amp;B1178+TIME(23,59,59)))</f>
        <v>70</v>
      </c>
      <c r="G1178" s="3">
        <f>IFERROR(__xludf.DUMMYFUNCTION("IF(F1178&lt;=0,0,IFERROR(ROUNDUP(F1178/INDEX(FILTER('warehouse config'!$D:$D,('warehouse config'!$B:$B=C1178)*('warehouse config'!$C:$C=D1178)*('warehouse config'!$G:$G&lt;=B1178)*(('warehouse config'!$H:$H&gt;=B1178)+ISBLANK('warehouse config'!$H:$H))),1)),0))"),3.0)</f>
        <v>3</v>
      </c>
      <c r="H1178" s="3">
        <f>IFERROR(__xludf.DUMMYFUNCTION("IFERROR(INDEX(FILTER('cost master'!$E:$E,('cost master'!$B:$B=C1178)*('cost master'!$D:$D=""Storage cost per pallet / week"")*('cost master'!$G:$G&lt;=B1178)*(('cost master'!$H:$H&gt;=B1178)+ISBLANK('cost master'!$H:$H))),1),0)"),2.6)</f>
        <v>2.6</v>
      </c>
      <c r="I1178" s="3">
        <f t="shared" si="4"/>
        <v>7.8</v>
      </c>
      <c r="J1178" s="27">
        <f t="shared" si="5"/>
        <v>45885</v>
      </c>
      <c r="K1178" s="27">
        <f t="shared" si="6"/>
        <v>45915</v>
      </c>
    </row>
    <row r="1179" hidden="1">
      <c r="A1179" s="3" t="str">
        <f t="shared" si="3"/>
        <v>SL-20250901-Vglobal-CS 009-12</v>
      </c>
      <c r="B1179" s="2">
        <f t="array" ref="B1179">INDEX(helper!$A$3:$A3996,ROUNDUP((ROW()-1)/COUNTA(helper!$D$3:$D3996),0))</f>
        <v>45901</v>
      </c>
      <c r="C1179" s="5" t="str">
        <f t="array" ref="C1179">IF(B1179="","",INDEX(helper!$D$3:$D3996,MOD(ROW()-2,COUNTA(helper!$D$3:$D3996))+1))</f>
        <v>Vglobal</v>
      </c>
      <c r="D1179" s="3" t="str">
        <f t="array" ref="D1179">IF(B1179="","",INDEX(helper!$E$3:$E3996,MOD(ROW()-2,COUNTA(helper!$D$3:$D3996))+1))</f>
        <v>CS 009</v>
      </c>
      <c r="E1179" s="3">
        <f t="array" ref="E1179">IF(B1179="","",INDEX(helper!$F$3:$F3996,MOD(ROW()-2,COUNTA(helper!$D$3:$D3996))+1))</f>
        <v>12</v>
      </c>
      <c r="F1179" s="3">
        <f>IF(B1179="","",SUMIFS('inventory ledger'!$H:$H,'inventory ledger'!$C:$C,C1179,'inventory ledger'!$D:$D,D1179,'inventory ledger'!$E:$E,E1179,'inventory ledger'!$A:$A,"&lt;="&amp;B1179+TIME(23,59,59))-SUMIFS('inventory ledger'!$I:$I,'inventory ledger'!$C:$C,C1179,'inventory ledger'!$D:$D,D1179,'inventory ledger'!$E:$E,E1179,'inventory ledger'!$A:$A,"&lt;="&amp;B1179+TIME(23,59,59)))</f>
        <v>0</v>
      </c>
      <c r="G1179" s="3">
        <f>IFERROR(__xludf.DUMMYFUNCTION("IF(F1179&lt;=0,0,IFERROR(ROUNDUP(F1179/INDEX(FILTER('warehouse config'!$D:$D,('warehouse config'!$B:$B=C1179)*('warehouse config'!$C:$C=D1179)*('warehouse config'!$G:$G&lt;=B1179)*(('warehouse config'!$H:$H&gt;=B1179)+ISBLANK('warehouse config'!$H:$H))),1)),0))"),0.0)</f>
        <v>0</v>
      </c>
      <c r="H1179" s="3">
        <f>IFERROR(__xludf.DUMMYFUNCTION("IFERROR(INDEX(FILTER('cost master'!$E:$E,('cost master'!$B:$B=C1179)*('cost master'!$D:$D=""Storage cost per pallet / week"")*('cost master'!$G:$G&lt;=B1179)*(('cost master'!$H:$H&gt;=B1179)+ISBLANK('cost master'!$H:$H))),1),0)"),2.6)</f>
        <v>2.6</v>
      </c>
      <c r="I1179" s="3">
        <f t="shared" si="4"/>
        <v>0</v>
      </c>
      <c r="J1179" s="27">
        <f t="shared" si="5"/>
        <v>45885</v>
      </c>
      <c r="K1179" s="27">
        <f t="shared" si="6"/>
        <v>45915</v>
      </c>
    </row>
    <row r="1180" hidden="1">
      <c r="A1180" s="3" t="str">
        <f t="shared" si="3"/>
        <v>SL-20250901-Vglobal-CS 012-12</v>
      </c>
      <c r="B1180" s="2">
        <f t="array" ref="B1180">INDEX(helper!$A$3:$A3996,ROUNDUP((ROW()-1)/COUNTA(helper!$D$3:$D3996),0))</f>
        <v>45901</v>
      </c>
      <c r="C1180" s="5" t="str">
        <f t="array" ref="C1180">IF(B1180="","",INDEX(helper!$D$3:$D3996,MOD(ROW()-2,COUNTA(helper!$D$3:$D3996))+1))</f>
        <v>Vglobal</v>
      </c>
      <c r="D1180" s="3" t="str">
        <f t="array" ref="D1180">IF(B1180="","",INDEX(helper!$E$3:$E3996,MOD(ROW()-2,COUNTA(helper!$D$3:$D3996))+1))</f>
        <v>CS 012</v>
      </c>
      <c r="E1180" s="3">
        <f t="array" ref="E1180">IF(B1180="","",INDEX(helper!$F$3:$F3996,MOD(ROW()-2,COUNTA(helper!$D$3:$D3996))+1))</f>
        <v>12</v>
      </c>
      <c r="F1180" s="3">
        <f>IF(B1180="","",SUMIFS('inventory ledger'!$H:$H,'inventory ledger'!$C:$C,C1180,'inventory ledger'!$D:$D,D1180,'inventory ledger'!$E:$E,E1180,'inventory ledger'!$A:$A,"&lt;="&amp;B1180+TIME(23,59,59))-SUMIFS('inventory ledger'!$I:$I,'inventory ledger'!$C:$C,C1180,'inventory ledger'!$D:$D,D1180,'inventory ledger'!$E:$E,E1180,'inventory ledger'!$A:$A,"&lt;="&amp;B1180+TIME(23,59,59)))</f>
        <v>0</v>
      </c>
      <c r="G1180" s="3">
        <f>IFERROR(__xludf.DUMMYFUNCTION("IF(F1180&lt;=0,0,IFERROR(ROUNDUP(F1180/INDEX(FILTER('warehouse config'!$D:$D,('warehouse config'!$B:$B=C1180)*('warehouse config'!$C:$C=D1180)*('warehouse config'!$G:$G&lt;=B1180)*(('warehouse config'!$H:$H&gt;=B1180)+ISBLANK('warehouse config'!$H:$H))),1)),0))"),0.0)</f>
        <v>0</v>
      </c>
      <c r="H1180" s="3">
        <f>IFERROR(__xludf.DUMMYFUNCTION("IFERROR(INDEX(FILTER('cost master'!$E:$E,('cost master'!$B:$B=C1180)*('cost master'!$D:$D=""Storage cost per pallet / week"")*('cost master'!$G:$G&lt;=B1180)*(('cost master'!$H:$H&gt;=B1180)+ISBLANK('cost master'!$H:$H))),1),0)"),2.6)</f>
        <v>2.6</v>
      </c>
      <c r="I1180" s="3">
        <f t="shared" si="4"/>
        <v>0</v>
      </c>
      <c r="J1180" s="27">
        <f t="shared" si="5"/>
        <v>45885</v>
      </c>
      <c r="K1180" s="27">
        <f t="shared" si="6"/>
        <v>45915</v>
      </c>
    </row>
    <row r="1181" hidden="1">
      <c r="A1181" s="3" t="str">
        <f t="shared" si="3"/>
        <v>SL-20250901-Vglobal-CS-CDS-001-3</v>
      </c>
      <c r="B1181" s="2">
        <f t="array" ref="B1181">INDEX(helper!$A$3:$A3996,ROUNDUP((ROW()-1)/COUNTA(helper!$D$3:$D3996),0))</f>
        <v>45901</v>
      </c>
      <c r="C1181" s="5" t="str">
        <f t="array" ref="C1181">IF(B1181="","",INDEX(helper!$D$3:$D3996,MOD(ROW()-2,COUNTA(helper!$D$3:$D3996))+1))</f>
        <v>Vglobal</v>
      </c>
      <c r="D1181" s="3" t="str">
        <f t="array" ref="D1181">IF(B1181="","",INDEX(helper!$E$3:$E3996,MOD(ROW()-2,COUNTA(helper!$D$3:$D3996))+1))</f>
        <v>CS-CDS-001</v>
      </c>
      <c r="E1181" s="3">
        <f t="array" ref="E1181">IF(B1181="","",INDEX(helper!$F$3:$F3996,MOD(ROW()-2,COUNTA(helper!$D$3:$D3996))+1))</f>
        <v>3</v>
      </c>
      <c r="F1181" s="3">
        <f>IF(B1181="","",SUMIFS('inventory ledger'!$H:$H,'inventory ledger'!$C:$C,C1181,'inventory ledger'!$D:$D,D1181,'inventory ledger'!$E:$E,E1181,'inventory ledger'!$A:$A,"&lt;="&amp;B1181+TIME(23,59,59))-SUMIFS('inventory ledger'!$I:$I,'inventory ledger'!$C:$C,C1181,'inventory ledger'!$D:$D,D1181,'inventory ledger'!$E:$E,E1181,'inventory ledger'!$A:$A,"&lt;="&amp;B1181+TIME(23,59,59)))</f>
        <v>1</v>
      </c>
      <c r="G1181" s="3">
        <f>IFERROR(__xludf.DUMMYFUNCTION("IF(F1181&lt;=0,0,IFERROR(ROUNDUP(F1181/INDEX(FILTER('warehouse config'!$D:$D,('warehouse config'!$B:$B=C1181)*('warehouse config'!$C:$C=D1181)*('warehouse config'!$G:$G&lt;=B1181)*(('warehouse config'!$H:$H&gt;=B1181)+ISBLANK('warehouse config'!$H:$H))),1)),0))"),1.0)</f>
        <v>1</v>
      </c>
      <c r="H1181" s="3">
        <f>IFERROR(__xludf.DUMMYFUNCTION("IFERROR(INDEX(FILTER('cost master'!$E:$E,('cost master'!$B:$B=C1181)*('cost master'!$D:$D=""Storage cost per pallet / week"")*('cost master'!$G:$G&lt;=B1181)*(('cost master'!$H:$H&gt;=B1181)+ISBLANK('cost master'!$H:$H))),1),0)"),2.6)</f>
        <v>2.6</v>
      </c>
      <c r="I1181" s="3">
        <f t="shared" si="4"/>
        <v>2.6</v>
      </c>
      <c r="J1181" s="27">
        <f t="shared" si="5"/>
        <v>45885</v>
      </c>
      <c r="K1181" s="27">
        <f t="shared" si="6"/>
        <v>45915</v>
      </c>
    </row>
    <row r="1182" hidden="1">
      <c r="A1182" s="3" t="str">
        <f t="shared" si="3"/>
        <v>SL-20250901-Vglobal-CS-CDS-002-3</v>
      </c>
      <c r="B1182" s="2">
        <f t="array" ref="B1182">INDEX(helper!$A$3:$A3996,ROUNDUP((ROW()-1)/COUNTA(helper!$D$3:$D3996),0))</f>
        <v>45901</v>
      </c>
      <c r="C1182" s="5" t="str">
        <f t="array" ref="C1182">IF(B1182="","",INDEX(helper!$D$3:$D3996,MOD(ROW()-2,COUNTA(helper!$D$3:$D3996))+1))</f>
        <v>Vglobal</v>
      </c>
      <c r="D1182" s="3" t="str">
        <f t="array" ref="D1182">IF(B1182="","",INDEX(helper!$E$3:$E3996,MOD(ROW()-2,COUNTA(helper!$D$3:$D3996))+1))</f>
        <v>CS-CDS-002</v>
      </c>
      <c r="E1182" s="3">
        <f t="array" ref="E1182">IF(B1182="","",INDEX(helper!$F$3:$F3996,MOD(ROW()-2,COUNTA(helper!$D$3:$D3996))+1))</f>
        <v>3</v>
      </c>
      <c r="F1182" s="3">
        <f>IF(B1182="","",SUMIFS('inventory ledger'!$H:$H,'inventory ledger'!$C:$C,C1182,'inventory ledger'!$D:$D,D1182,'inventory ledger'!$E:$E,E1182,'inventory ledger'!$A:$A,"&lt;="&amp;B1182+TIME(23,59,59))-SUMIFS('inventory ledger'!$I:$I,'inventory ledger'!$C:$C,C1182,'inventory ledger'!$D:$D,D1182,'inventory ledger'!$E:$E,E1182,'inventory ledger'!$A:$A,"&lt;="&amp;B1182+TIME(23,59,59)))</f>
        <v>0</v>
      </c>
      <c r="G1182" s="3">
        <f>IFERROR(__xludf.DUMMYFUNCTION("IF(F1182&lt;=0,0,IFERROR(ROUNDUP(F1182/INDEX(FILTER('warehouse config'!$D:$D,('warehouse config'!$B:$B=C1182)*('warehouse config'!$C:$C=D1182)*('warehouse config'!$G:$G&lt;=B1182)*(('warehouse config'!$H:$H&gt;=B1182)+ISBLANK('warehouse config'!$H:$H))),1)),0))"),0.0)</f>
        <v>0</v>
      </c>
      <c r="H1182" s="3">
        <f>IFERROR(__xludf.DUMMYFUNCTION("IFERROR(INDEX(FILTER('cost master'!$E:$E,('cost master'!$B:$B=C1182)*('cost master'!$D:$D=""Storage cost per pallet / week"")*('cost master'!$G:$G&lt;=B1182)*(('cost master'!$H:$H&gt;=B1182)+ISBLANK('cost master'!$H:$H))),1),0)"),2.6)</f>
        <v>2.6</v>
      </c>
      <c r="I1182" s="3">
        <f t="shared" si="4"/>
        <v>0</v>
      </c>
      <c r="J1182" s="27">
        <f t="shared" si="5"/>
        <v>45885</v>
      </c>
      <c r="K1182" s="27">
        <f t="shared" si="6"/>
        <v>45915</v>
      </c>
    </row>
    <row r="1183" hidden="1">
      <c r="A1183" s="3" t="str">
        <f t="shared" si="3"/>
        <v>SL-20250901-4as-CS-CDS-001-4</v>
      </c>
      <c r="B1183" s="2">
        <f t="array" ref="B1183">INDEX(helper!$A$3:$A3996,ROUNDUP((ROW()-1)/COUNTA(helper!$D$3:$D3996),0))</f>
        <v>45901</v>
      </c>
      <c r="C1183" s="5" t="str">
        <f t="array" ref="C1183">IF(B1183="","",INDEX(helper!$D$3:$D3996,MOD(ROW()-2,COUNTA(helper!$D$3:$D3996))+1))</f>
        <v>4as</v>
      </c>
      <c r="D1183" s="3" t="str">
        <f t="array" ref="D1183">IF(B1183="","",INDEX(helper!$E$3:$E3996,MOD(ROW()-2,COUNTA(helper!$D$3:$D3996))+1))</f>
        <v>CS-CDS-001</v>
      </c>
      <c r="E1183" s="3">
        <f t="array" ref="E1183">IF(B1183="","",INDEX(helper!$F$3:$F3996,MOD(ROW()-2,COUNTA(helper!$D$3:$D3996))+1))</f>
        <v>4</v>
      </c>
      <c r="F1183" s="3">
        <f>IF(B1183="","",SUMIFS('inventory ledger'!$H:$H,'inventory ledger'!$C:$C,C1183,'inventory ledger'!$D:$D,D1183,'inventory ledger'!$E:$E,E1183,'inventory ledger'!$A:$A,"&lt;="&amp;B1183+TIME(23,59,59))-SUMIFS('inventory ledger'!$I:$I,'inventory ledger'!$C:$C,C1183,'inventory ledger'!$D:$D,D1183,'inventory ledger'!$E:$E,E1183,'inventory ledger'!$A:$A,"&lt;="&amp;B1183+TIME(23,59,59)))</f>
        <v>0</v>
      </c>
      <c r="G1183" s="3">
        <f>IFERROR(__xludf.DUMMYFUNCTION("IF(F1183&lt;=0,0,IFERROR(ROUNDUP(F1183/INDEX(FILTER('warehouse config'!$D:$D,('warehouse config'!$B:$B=C1183)*('warehouse config'!$C:$C=D1183)*('warehouse config'!$G:$G&lt;=B1183)*(('warehouse config'!$H:$H&gt;=B1183)+ISBLANK('warehouse config'!$H:$H))),1)),0))"),0.0)</f>
        <v>0</v>
      </c>
      <c r="H1183" s="3">
        <f>IFERROR(__xludf.DUMMYFUNCTION("IFERROR(INDEX(FILTER('cost master'!$E:$E,('cost master'!$B:$B=C1183)*('cost master'!$D:$D=""Storage cost per pallet / week"")*('cost master'!$G:$G&lt;=B1183)*(('cost master'!$H:$H&gt;=B1183)+ISBLANK('cost master'!$H:$H))),1),0)"),9.0)</f>
        <v>9</v>
      </c>
      <c r="I1183" s="3">
        <f t="shared" si="4"/>
        <v>0</v>
      </c>
      <c r="J1183" s="27">
        <f t="shared" si="5"/>
        <v>45885</v>
      </c>
      <c r="K1183" s="27">
        <f t="shared" si="6"/>
        <v>45915</v>
      </c>
    </row>
    <row r="1184" hidden="1">
      <c r="A1184" s="3" t="str">
        <f t="shared" si="3"/>
        <v>SL-20250901-4as-CS-CDS-002-4</v>
      </c>
      <c r="B1184" s="2">
        <f t="array" ref="B1184">INDEX(helper!$A$3:$A3996,ROUNDUP((ROW()-1)/COUNTA(helper!$D$3:$D3996),0))</f>
        <v>45901</v>
      </c>
      <c r="C1184" s="5" t="str">
        <f t="array" ref="C1184">IF(B1184="","",INDEX(helper!$D$3:$D3996,MOD(ROW()-2,COUNTA(helper!$D$3:$D3996))+1))</f>
        <v>4as</v>
      </c>
      <c r="D1184" s="3" t="str">
        <f t="array" ref="D1184">IF(B1184="","",INDEX(helper!$E$3:$E3996,MOD(ROW()-2,COUNTA(helper!$D$3:$D3996))+1))</f>
        <v>CS-CDS-002</v>
      </c>
      <c r="E1184" s="3">
        <f t="array" ref="E1184">IF(B1184="","",INDEX(helper!$F$3:$F3996,MOD(ROW()-2,COUNTA(helper!$D$3:$D3996))+1))</f>
        <v>4</v>
      </c>
      <c r="F1184" s="3">
        <f>IF(B1184="","",SUMIFS('inventory ledger'!$H:$H,'inventory ledger'!$C:$C,C1184,'inventory ledger'!$D:$D,D1184,'inventory ledger'!$E:$E,E1184,'inventory ledger'!$A:$A,"&lt;="&amp;B1184+TIME(23,59,59))-SUMIFS('inventory ledger'!$I:$I,'inventory ledger'!$C:$C,C1184,'inventory ledger'!$D:$D,D1184,'inventory ledger'!$E:$E,E1184,'inventory ledger'!$A:$A,"&lt;="&amp;B1184+TIME(23,59,59)))</f>
        <v>0</v>
      </c>
      <c r="G1184" s="3">
        <f>IFERROR(__xludf.DUMMYFUNCTION("IF(F1184&lt;=0,0,IFERROR(ROUNDUP(F1184/INDEX(FILTER('warehouse config'!$D:$D,('warehouse config'!$B:$B=C1184)*('warehouse config'!$C:$C=D1184)*('warehouse config'!$G:$G&lt;=B1184)*(('warehouse config'!$H:$H&gt;=B1184)+ISBLANK('warehouse config'!$H:$H))),1)),0))"),0.0)</f>
        <v>0</v>
      </c>
      <c r="H1184" s="3">
        <f>IFERROR(__xludf.DUMMYFUNCTION("IFERROR(INDEX(FILTER('cost master'!$E:$E,('cost master'!$B:$B=C1184)*('cost master'!$D:$D=""Storage cost per pallet / week"")*('cost master'!$G:$G&lt;=B1184)*(('cost master'!$H:$H&gt;=B1184)+ISBLANK('cost master'!$H:$H))),1),0)"),9.0)</f>
        <v>9</v>
      </c>
      <c r="I1184" s="3">
        <f t="shared" si="4"/>
        <v>0</v>
      </c>
      <c r="J1184" s="27">
        <f t="shared" si="5"/>
        <v>45885</v>
      </c>
      <c r="K1184" s="27">
        <f t="shared" si="6"/>
        <v>45915</v>
      </c>
    </row>
    <row r="1185" hidden="1">
      <c r="A1185" s="3" t="str">
        <f t="shared" si="3"/>
        <v>SL-20250901-Vglobal-CS 007-13</v>
      </c>
      <c r="B1185" s="2">
        <f t="array" ref="B1185">INDEX(helper!$A$3:$A3996,ROUNDUP((ROW()-1)/COUNTA(helper!$D$3:$D3996),0))</f>
        <v>45901</v>
      </c>
      <c r="C1185" s="5" t="str">
        <f t="array" ref="C1185">IF(B1185="","",INDEX(helper!$D$3:$D3996,MOD(ROW()-2,COUNTA(helper!$D$3:$D3996))+1))</f>
        <v>Vglobal</v>
      </c>
      <c r="D1185" s="3" t="str">
        <f t="array" ref="D1185">IF(B1185="","",INDEX(helper!$E$3:$E3996,MOD(ROW()-2,COUNTA(helper!$D$3:$D3996))+1))</f>
        <v>CS 007</v>
      </c>
      <c r="E1185" s="3">
        <f t="array" ref="E1185">IF(B1185="","",INDEX(helper!$F$3:$F3996,MOD(ROW()-2,COUNTA(helper!$D$3:$D3996))+1))</f>
        <v>13</v>
      </c>
      <c r="F1185" s="3">
        <f>IF(B1185="","",SUMIFS('inventory ledger'!$H:$H,'inventory ledger'!$C:$C,C1185,'inventory ledger'!$D:$D,D1185,'inventory ledger'!$E:$E,E1185,'inventory ledger'!$A:$A,"&lt;="&amp;B1185+TIME(23,59,59))-SUMIFS('inventory ledger'!$I:$I,'inventory ledger'!$C:$C,C1185,'inventory ledger'!$D:$D,D1185,'inventory ledger'!$E:$E,E1185,'inventory ledger'!$A:$A,"&lt;="&amp;B1185+TIME(23,59,59)))</f>
        <v>45</v>
      </c>
      <c r="G1185" s="3">
        <f>IFERROR(__xludf.DUMMYFUNCTION("IF(F1185&lt;=0,0,IFERROR(ROUNDUP(F1185/INDEX(FILTER('warehouse config'!$D:$D,('warehouse config'!$B:$B=C1185)*('warehouse config'!$C:$C=D1185)*('warehouse config'!$G:$G&lt;=B1185)*(('warehouse config'!$H:$H&gt;=B1185)+ISBLANK('warehouse config'!$H:$H))),1)),0))"),3.0)</f>
        <v>3</v>
      </c>
      <c r="H1185" s="3">
        <f>IFERROR(__xludf.DUMMYFUNCTION("IFERROR(INDEX(FILTER('cost master'!$E:$E,('cost master'!$B:$B=C1185)*('cost master'!$D:$D=""Storage cost per pallet / week"")*('cost master'!$G:$G&lt;=B1185)*(('cost master'!$H:$H&gt;=B1185)+ISBLANK('cost master'!$H:$H))),1),0)"),2.6)</f>
        <v>2.6</v>
      </c>
      <c r="I1185" s="3">
        <f t="shared" si="4"/>
        <v>7.8</v>
      </c>
      <c r="J1185" s="27">
        <f t="shared" si="5"/>
        <v>45885</v>
      </c>
      <c r="K1185" s="27">
        <f t="shared" si="6"/>
        <v>45915</v>
      </c>
    </row>
    <row r="1186" hidden="1">
      <c r="A1186" s="3" t="str">
        <f t="shared" si="3"/>
        <v>SL-20250901-Vglobal-CS 011-13</v>
      </c>
      <c r="B1186" s="2">
        <f t="array" ref="B1186">INDEX(helper!$A$3:$A3996,ROUNDUP((ROW()-1)/COUNTA(helper!$D$3:$D3996),0))</f>
        <v>45901</v>
      </c>
      <c r="C1186" s="5" t="str">
        <f t="array" ref="C1186">IF(B1186="","",INDEX(helper!$D$3:$D3996,MOD(ROW()-2,COUNTA(helper!$D$3:$D3996))+1))</f>
        <v>Vglobal</v>
      </c>
      <c r="D1186" s="3" t="str">
        <f t="array" ref="D1186">IF(B1186="","",INDEX(helper!$E$3:$E3996,MOD(ROW()-2,COUNTA(helper!$D$3:$D3996))+1))</f>
        <v>CS 011</v>
      </c>
      <c r="E1186" s="3">
        <f t="array" ref="E1186">IF(B1186="","",INDEX(helper!$F$3:$F3996,MOD(ROW()-2,COUNTA(helper!$D$3:$D3996))+1))</f>
        <v>13</v>
      </c>
      <c r="F1186" s="3">
        <f>IF(B1186="","",SUMIFS('inventory ledger'!$H:$H,'inventory ledger'!$C:$C,C1186,'inventory ledger'!$D:$D,D1186,'inventory ledger'!$E:$E,E1186,'inventory ledger'!$A:$A,"&lt;="&amp;B1186+TIME(23,59,59))-SUMIFS('inventory ledger'!$I:$I,'inventory ledger'!$C:$C,C1186,'inventory ledger'!$D:$D,D1186,'inventory ledger'!$E:$E,E1186,'inventory ledger'!$A:$A,"&lt;="&amp;B1186+TIME(23,59,59)))</f>
        <v>0</v>
      </c>
      <c r="G1186" s="3">
        <f>IFERROR(__xludf.DUMMYFUNCTION("IF(F1186&lt;=0,0,IFERROR(ROUNDUP(F1186/INDEX(FILTER('warehouse config'!$D:$D,('warehouse config'!$B:$B=C1186)*('warehouse config'!$C:$C=D1186)*('warehouse config'!$G:$G&lt;=B1186)*(('warehouse config'!$H:$H&gt;=B1186)+ISBLANK('warehouse config'!$H:$H))),1)),0))"),0.0)</f>
        <v>0</v>
      </c>
      <c r="H1186" s="3">
        <f>IFERROR(__xludf.DUMMYFUNCTION("IFERROR(INDEX(FILTER('cost master'!$E:$E,('cost master'!$B:$B=C1186)*('cost master'!$D:$D=""Storage cost per pallet / week"")*('cost master'!$G:$G&lt;=B1186)*(('cost master'!$H:$H&gt;=B1186)+ISBLANK('cost master'!$H:$H))),1),0)"),2.6)</f>
        <v>2.6</v>
      </c>
      <c r="I1186" s="3">
        <f t="shared" si="4"/>
        <v>0</v>
      </c>
      <c r="J1186" s="27">
        <f t="shared" si="5"/>
        <v>45885</v>
      </c>
      <c r="K1186" s="27">
        <f t="shared" si="6"/>
        <v>45915</v>
      </c>
    </row>
    <row r="1187" hidden="1">
      <c r="A1187" s="3" t="str">
        <f t="shared" si="3"/>
        <v>SL-20250901-Vglobal-CS 008-13</v>
      </c>
      <c r="B1187" s="2">
        <f t="array" ref="B1187">INDEX(helper!$A$3:$A3996,ROUNDUP((ROW()-1)/COUNTA(helper!$D$3:$D3996),0))</f>
        <v>45901</v>
      </c>
      <c r="C1187" s="5" t="str">
        <f t="array" ref="C1187">IF(B1187="","",INDEX(helper!$D$3:$D3996,MOD(ROW()-2,COUNTA(helper!$D$3:$D3996))+1))</f>
        <v>Vglobal</v>
      </c>
      <c r="D1187" s="3" t="str">
        <f t="array" ref="D1187">IF(B1187="","",INDEX(helper!$E$3:$E3996,MOD(ROW()-2,COUNTA(helper!$D$3:$D3996))+1))</f>
        <v>CS 008</v>
      </c>
      <c r="E1187" s="3">
        <f t="array" ref="E1187">IF(B1187="","",INDEX(helper!$F$3:$F3996,MOD(ROW()-2,COUNTA(helper!$D$3:$D3996))+1))</f>
        <v>13</v>
      </c>
      <c r="F1187" s="3">
        <f>IF(B1187="","",SUMIFS('inventory ledger'!$H:$H,'inventory ledger'!$C:$C,C1187,'inventory ledger'!$D:$D,D1187,'inventory ledger'!$E:$E,E1187,'inventory ledger'!$A:$A,"&lt;="&amp;B1187+TIME(23,59,59))-SUMIFS('inventory ledger'!$I:$I,'inventory ledger'!$C:$C,C1187,'inventory ledger'!$D:$D,D1187,'inventory ledger'!$E:$E,E1187,'inventory ledger'!$A:$A,"&lt;="&amp;B1187+TIME(23,59,59)))</f>
        <v>20</v>
      </c>
      <c r="G1187" s="3">
        <f>IFERROR(__xludf.DUMMYFUNCTION("IF(F1187&lt;=0,0,IFERROR(ROUNDUP(F1187/INDEX(FILTER('warehouse config'!$D:$D,('warehouse config'!$B:$B=C1187)*('warehouse config'!$C:$C=D1187)*('warehouse config'!$G:$G&lt;=B1187)*(('warehouse config'!$H:$H&gt;=B1187)+ISBLANK('warehouse config'!$H:$H))),1)),0))"),1.0)</f>
        <v>1</v>
      </c>
      <c r="H1187" s="3">
        <f>IFERROR(__xludf.DUMMYFUNCTION("IFERROR(INDEX(FILTER('cost master'!$E:$E,('cost master'!$B:$B=C1187)*('cost master'!$D:$D=""Storage cost per pallet / week"")*('cost master'!$G:$G&lt;=B1187)*(('cost master'!$H:$H&gt;=B1187)+ISBLANK('cost master'!$H:$H))),1),0)"),2.6)</f>
        <v>2.6</v>
      </c>
      <c r="I1187" s="3">
        <f t="shared" si="4"/>
        <v>2.6</v>
      </c>
      <c r="J1187" s="27">
        <f t="shared" si="5"/>
        <v>45885</v>
      </c>
      <c r="K1187" s="27">
        <f t="shared" si="6"/>
        <v>45915</v>
      </c>
    </row>
    <row r="1188" hidden="1">
      <c r="A1188" s="3" t="str">
        <f t="shared" si="3"/>
        <v>SL-20250901-Vglobal-CS 010-13</v>
      </c>
      <c r="B1188" s="2">
        <f t="array" ref="B1188">INDEX(helper!$A$3:$A3996,ROUNDUP((ROW()-1)/COUNTA(helper!$D$3:$D3996),0))</f>
        <v>45901</v>
      </c>
      <c r="C1188" s="5" t="str">
        <f t="array" ref="C1188">IF(B1188="","",INDEX(helper!$D$3:$D3996,MOD(ROW()-2,COUNTA(helper!$D$3:$D3996))+1))</f>
        <v>Vglobal</v>
      </c>
      <c r="D1188" s="3" t="str">
        <f t="array" ref="D1188">IF(B1188="","",INDEX(helper!$E$3:$E3996,MOD(ROW()-2,COUNTA(helper!$D$3:$D3996))+1))</f>
        <v>CS 010</v>
      </c>
      <c r="E1188" s="3">
        <f t="array" ref="E1188">IF(B1188="","",INDEX(helper!$F$3:$F3996,MOD(ROW()-2,COUNTA(helper!$D$3:$D3996))+1))</f>
        <v>13</v>
      </c>
      <c r="F1188" s="3">
        <f>IF(B1188="","",SUMIFS('inventory ledger'!$H:$H,'inventory ledger'!$C:$C,C1188,'inventory ledger'!$D:$D,D1188,'inventory ledger'!$E:$E,E1188,'inventory ledger'!$A:$A,"&lt;="&amp;B1188+TIME(23,59,59))-SUMIFS('inventory ledger'!$I:$I,'inventory ledger'!$C:$C,C1188,'inventory ledger'!$D:$D,D1188,'inventory ledger'!$E:$E,E1188,'inventory ledger'!$A:$A,"&lt;="&amp;B1188+TIME(23,59,59)))</f>
        <v>80</v>
      </c>
      <c r="G1188" s="3">
        <f>IFERROR(__xludf.DUMMYFUNCTION("IF(F1188&lt;=0,0,IFERROR(ROUNDUP(F1188/INDEX(FILTER('warehouse config'!$D:$D,('warehouse config'!$B:$B=C1188)*('warehouse config'!$C:$C=D1188)*('warehouse config'!$G:$G&lt;=B1188)*(('warehouse config'!$H:$H&gt;=B1188)+ISBLANK('warehouse config'!$H:$H))),1)),0))"),4.0)</f>
        <v>4</v>
      </c>
      <c r="H1188" s="3">
        <f>IFERROR(__xludf.DUMMYFUNCTION("IFERROR(INDEX(FILTER('cost master'!$E:$E,('cost master'!$B:$B=C1188)*('cost master'!$D:$D=""Storage cost per pallet / week"")*('cost master'!$G:$G&lt;=B1188)*(('cost master'!$H:$H&gt;=B1188)+ISBLANK('cost master'!$H:$H))),1),0)"),2.6)</f>
        <v>2.6</v>
      </c>
      <c r="I1188" s="3">
        <f t="shared" si="4"/>
        <v>10.4</v>
      </c>
      <c r="J1188" s="27">
        <f t="shared" si="5"/>
        <v>45885</v>
      </c>
      <c r="K1188" s="27">
        <f t="shared" si="6"/>
        <v>45915</v>
      </c>
    </row>
    <row r="1189" hidden="1">
      <c r="A1189" s="3" t="str">
        <f t="shared" si="3"/>
        <v>SL-20250901-Vglobal-CS 009-13</v>
      </c>
      <c r="B1189" s="2">
        <f t="array" ref="B1189">INDEX(helper!$A$3:$A3996,ROUNDUP((ROW()-1)/COUNTA(helper!$D$3:$D3996),0))</f>
        <v>45901</v>
      </c>
      <c r="C1189" s="5" t="str">
        <f t="array" ref="C1189">IF(B1189="","",INDEX(helper!$D$3:$D3996,MOD(ROW()-2,COUNTA(helper!$D$3:$D3996))+1))</f>
        <v>Vglobal</v>
      </c>
      <c r="D1189" s="3" t="str">
        <f t="array" ref="D1189">IF(B1189="","",INDEX(helper!$E$3:$E3996,MOD(ROW()-2,COUNTA(helper!$D$3:$D3996))+1))</f>
        <v>CS 009</v>
      </c>
      <c r="E1189" s="3">
        <f t="array" ref="E1189">IF(B1189="","",INDEX(helper!$F$3:$F3996,MOD(ROW()-2,COUNTA(helper!$D$3:$D3996))+1))</f>
        <v>13</v>
      </c>
      <c r="F1189" s="3">
        <f>IF(B1189="","",SUMIFS('inventory ledger'!$H:$H,'inventory ledger'!$C:$C,C1189,'inventory ledger'!$D:$D,D1189,'inventory ledger'!$E:$E,E1189,'inventory ledger'!$A:$A,"&lt;="&amp;B1189+TIME(23,59,59))-SUMIFS('inventory ledger'!$I:$I,'inventory ledger'!$C:$C,C1189,'inventory ledger'!$D:$D,D1189,'inventory ledger'!$E:$E,E1189,'inventory ledger'!$A:$A,"&lt;="&amp;B1189+TIME(23,59,59)))</f>
        <v>0</v>
      </c>
      <c r="G1189" s="3">
        <f>IFERROR(__xludf.DUMMYFUNCTION("IF(F1189&lt;=0,0,IFERROR(ROUNDUP(F1189/INDEX(FILTER('warehouse config'!$D:$D,('warehouse config'!$B:$B=C1189)*('warehouse config'!$C:$C=D1189)*('warehouse config'!$G:$G&lt;=B1189)*(('warehouse config'!$H:$H&gt;=B1189)+ISBLANK('warehouse config'!$H:$H))),1)),0))"),0.0)</f>
        <v>0</v>
      </c>
      <c r="H1189" s="3">
        <f>IFERROR(__xludf.DUMMYFUNCTION("IFERROR(INDEX(FILTER('cost master'!$E:$E,('cost master'!$B:$B=C1189)*('cost master'!$D:$D=""Storage cost per pallet / week"")*('cost master'!$G:$G&lt;=B1189)*(('cost master'!$H:$H&gt;=B1189)+ISBLANK('cost master'!$H:$H))),1),0)"),2.6)</f>
        <v>2.6</v>
      </c>
      <c r="I1189" s="3">
        <f t="shared" si="4"/>
        <v>0</v>
      </c>
      <c r="J1189" s="27">
        <f t="shared" si="5"/>
        <v>45885</v>
      </c>
      <c r="K1189" s="27">
        <f t="shared" si="6"/>
        <v>45915</v>
      </c>
    </row>
    <row r="1190" hidden="1">
      <c r="A1190" s="3" t="str">
        <f t="shared" si="3"/>
        <v>SL-20250901-Vglobal-CS 012-13</v>
      </c>
      <c r="B1190" s="2">
        <f t="array" ref="B1190">INDEX(helper!$A$3:$A3996,ROUNDUP((ROW()-1)/COUNTA(helper!$D$3:$D3996),0))</f>
        <v>45901</v>
      </c>
      <c r="C1190" s="5" t="str">
        <f t="array" ref="C1190">IF(B1190="","",INDEX(helper!$D$3:$D3996,MOD(ROW()-2,COUNTA(helper!$D$3:$D3996))+1))</f>
        <v>Vglobal</v>
      </c>
      <c r="D1190" s="3" t="str">
        <f t="array" ref="D1190">IF(B1190="","",INDEX(helper!$E$3:$E3996,MOD(ROW()-2,COUNTA(helper!$D$3:$D3996))+1))</f>
        <v>CS 012</v>
      </c>
      <c r="E1190" s="3">
        <f t="array" ref="E1190">IF(B1190="","",INDEX(helper!$F$3:$F3996,MOD(ROW()-2,COUNTA(helper!$D$3:$D3996))+1))</f>
        <v>13</v>
      </c>
      <c r="F1190" s="3">
        <f>IF(B1190="","",SUMIFS('inventory ledger'!$H:$H,'inventory ledger'!$C:$C,C1190,'inventory ledger'!$D:$D,D1190,'inventory ledger'!$E:$E,E1190,'inventory ledger'!$A:$A,"&lt;="&amp;B1190+TIME(23,59,59))-SUMIFS('inventory ledger'!$I:$I,'inventory ledger'!$C:$C,C1190,'inventory ledger'!$D:$D,D1190,'inventory ledger'!$E:$E,E1190,'inventory ledger'!$A:$A,"&lt;="&amp;B1190+TIME(23,59,59)))</f>
        <v>0</v>
      </c>
      <c r="G1190" s="3">
        <f>IFERROR(__xludf.DUMMYFUNCTION("IF(F1190&lt;=0,0,IFERROR(ROUNDUP(F1190/INDEX(FILTER('warehouse config'!$D:$D,('warehouse config'!$B:$B=C1190)*('warehouse config'!$C:$C=D1190)*('warehouse config'!$G:$G&lt;=B1190)*(('warehouse config'!$H:$H&gt;=B1190)+ISBLANK('warehouse config'!$H:$H))),1)),0))"),0.0)</f>
        <v>0</v>
      </c>
      <c r="H1190" s="3">
        <f>IFERROR(__xludf.DUMMYFUNCTION("IFERROR(INDEX(FILTER('cost master'!$E:$E,('cost master'!$B:$B=C1190)*('cost master'!$D:$D=""Storage cost per pallet / week"")*('cost master'!$G:$G&lt;=B1190)*(('cost master'!$H:$H&gt;=B1190)+ISBLANK('cost master'!$H:$H))),1),0)"),2.6)</f>
        <v>2.6</v>
      </c>
      <c r="I1190" s="3">
        <f t="shared" si="4"/>
        <v>0</v>
      </c>
      <c r="J1190" s="27">
        <f t="shared" si="5"/>
        <v>45885</v>
      </c>
      <c r="K1190" s="27">
        <f t="shared" si="6"/>
        <v>45915</v>
      </c>
    </row>
    <row r="1191">
      <c r="A1191" s="3" t="str">
        <f t="shared" si="3"/>
        <v>SL-20250901-FMC-CS 008-11</v>
      </c>
      <c r="B1191" s="2">
        <f t="array" ref="B1191">INDEX(helper!$A$3:$A3996,ROUNDUP((ROW()-1)/COUNTA(helper!$D$3:$D3996),0))</f>
        <v>45901</v>
      </c>
      <c r="C1191" s="5" t="str">
        <f t="array" ref="C1191">IF(B1191="","",INDEX(helper!$D$3:$D3996,MOD(ROW()-2,COUNTA(helper!$D$3:$D3996))+1))</f>
        <v>FMC</v>
      </c>
      <c r="D1191" s="3" t="str">
        <f t="array" ref="D1191">IF(B1191="","",INDEX(helper!$E$3:$E3996,MOD(ROW()-2,COUNTA(helper!$D$3:$D3996))+1))</f>
        <v>CS 008</v>
      </c>
      <c r="E1191" s="3">
        <f t="array" ref="E1191">IF(B1191="","",INDEX(helper!$F$3:$F3996,MOD(ROW()-2,COUNTA(helper!$D$3:$D3996))+1))</f>
        <v>11</v>
      </c>
      <c r="F1191" s="3">
        <f>IF(B1191="","",SUMIFS('inventory ledger'!$H:$H,'inventory ledger'!$C:$C,C1191,'inventory ledger'!$D:$D,D1191,'inventory ledger'!$E:$E,E1191,'inventory ledger'!$A:$A,"&lt;="&amp;B1191+TIME(23,59,59))-SUMIFS('inventory ledger'!$I:$I,'inventory ledger'!$C:$C,C1191,'inventory ledger'!$D:$D,D1191,'inventory ledger'!$E:$E,E1191,'inventory ledger'!$A:$A,"&lt;="&amp;B1191+TIME(23,59,59)))</f>
        <v>-2</v>
      </c>
      <c r="G1191" s="3">
        <f>IFERROR(__xludf.DUMMYFUNCTION("IF(F1191&lt;=0,0,IFERROR(ROUNDUP(F1191/INDEX(FILTER('warehouse config'!$D:$D,('warehouse config'!$B:$B=C1191)*('warehouse config'!$C:$C=D1191)*('warehouse config'!$G:$G&lt;=B1191)*(('warehouse config'!$H:$H&gt;=B1191)+ISBLANK('warehouse config'!$H:$H))),1)),0))"),0.0)</f>
        <v>0</v>
      </c>
      <c r="H1191" s="3">
        <f>IFERROR(__xludf.DUMMYFUNCTION("IFERROR(INDEX(FILTER('cost master'!$E:$E,('cost master'!$B:$B=C1191)*('cost master'!$D:$D=""Storage cost per pallet / week"")*('cost master'!$G:$G&lt;=B1191)*(('cost master'!$H:$H&gt;=B1191)+ISBLANK('cost master'!$H:$H))),1),0)"),3.9)</f>
        <v>3.9</v>
      </c>
      <c r="I1191" s="3">
        <f t="shared" si="4"/>
        <v>0</v>
      </c>
      <c r="J1191" s="27">
        <f t="shared" si="5"/>
        <v>45885</v>
      </c>
      <c r="K1191" s="27">
        <f t="shared" si="6"/>
        <v>45915</v>
      </c>
    </row>
    <row r="1192" hidden="1">
      <c r="A1192" s="3" t="str">
        <f t="shared" si="3"/>
        <v>SL-20250908-FMC-CS 007-8</v>
      </c>
      <c r="B1192" s="2">
        <f t="array" ref="B1192">INDEX(helper!$A$3:$A3996,ROUNDUP((ROW()-1)/COUNTA(helper!$D$3:$D3996),0))</f>
        <v>45908</v>
      </c>
      <c r="C1192" s="5" t="str">
        <f t="array" ref="C1192">IF(B1192="","",INDEX(helper!$D$3:$D3996,MOD(ROW()-2,COUNTA(helper!$D$3:$D3996))+1))</f>
        <v>FMC</v>
      </c>
      <c r="D1192" s="3" t="str">
        <f t="array" ref="D1192">IF(B1192="","",INDEX(helper!$E$3:$E3996,MOD(ROW()-2,COUNTA(helper!$D$3:$D3996))+1))</f>
        <v>CS 007</v>
      </c>
      <c r="E1192" s="3">
        <f t="array" ref="E1192">IF(B1192="","",INDEX(helper!$F$3:$F3996,MOD(ROW()-2,COUNTA(helper!$D$3:$D3996))+1))</f>
        <v>8</v>
      </c>
      <c r="F1192" s="3">
        <f>IF(B1192="","",SUMIFS('inventory ledger'!$H:$H,'inventory ledger'!$C:$C,C1192,'inventory ledger'!$D:$D,D1192,'inventory ledger'!$E:$E,E1192,'inventory ledger'!$A:$A,"&lt;="&amp;B1192+TIME(23,59,59))-SUMIFS('inventory ledger'!$I:$I,'inventory ledger'!$C:$C,C1192,'inventory ledger'!$D:$D,D1192,'inventory ledger'!$E:$E,E1192,'inventory ledger'!$A:$A,"&lt;="&amp;B1192+TIME(23,59,59)))</f>
        <v>0</v>
      </c>
      <c r="G1192" s="3">
        <f>IFERROR(__xludf.DUMMYFUNCTION("IF(F1192&lt;=0,0,IFERROR(ROUNDUP(F1192/INDEX(FILTER('warehouse config'!$D:$D,('warehouse config'!$B:$B=C1192)*('warehouse config'!$C:$C=D1192)*('warehouse config'!$G:$G&lt;=B1192)*(('warehouse config'!$H:$H&gt;=B1192)+ISBLANK('warehouse config'!$H:$H))),1)),0))"),0.0)</f>
        <v>0</v>
      </c>
      <c r="H1192" s="3">
        <f>IFERROR(__xludf.DUMMYFUNCTION("IFERROR(INDEX(FILTER('cost master'!$E:$E,('cost master'!$B:$B=C1192)*('cost master'!$D:$D=""Storage cost per pallet / week"")*('cost master'!$G:$G&lt;=B1192)*(('cost master'!$H:$H&gt;=B1192)+ISBLANK('cost master'!$H:$H))),1),0)"),3.9)</f>
        <v>3.9</v>
      </c>
      <c r="I1192" s="3">
        <f t="shared" si="4"/>
        <v>0</v>
      </c>
      <c r="J1192" s="27">
        <f t="shared" si="5"/>
        <v>45885</v>
      </c>
      <c r="K1192" s="27">
        <f t="shared" si="6"/>
        <v>45915</v>
      </c>
    </row>
    <row r="1193" hidden="1">
      <c r="A1193" s="3" t="str">
        <f t="shared" si="3"/>
        <v>SL-20250908-FMC-CS 008-8</v>
      </c>
      <c r="B1193" s="2">
        <f t="array" ref="B1193">INDEX(helper!$A$3:$A3996,ROUNDUP((ROW()-1)/COUNTA(helper!$D$3:$D3996),0))</f>
        <v>45908</v>
      </c>
      <c r="C1193" s="5" t="str">
        <f t="array" ref="C1193">IF(B1193="","",INDEX(helper!$D$3:$D3996,MOD(ROW()-2,COUNTA(helper!$D$3:$D3996))+1))</f>
        <v>FMC</v>
      </c>
      <c r="D1193" s="3" t="str">
        <f t="array" ref="D1193">IF(B1193="","",INDEX(helper!$E$3:$E3996,MOD(ROW()-2,COUNTA(helper!$D$3:$D3996))+1))</f>
        <v>CS 008</v>
      </c>
      <c r="E1193" s="3">
        <f t="array" ref="E1193">IF(B1193="","",INDEX(helper!$F$3:$F3996,MOD(ROW()-2,COUNTA(helper!$D$3:$D3996))+1))</f>
        <v>8</v>
      </c>
      <c r="F1193" s="3">
        <f>IF(B1193="","",SUMIFS('inventory ledger'!$H:$H,'inventory ledger'!$C:$C,C1193,'inventory ledger'!$D:$D,D1193,'inventory ledger'!$E:$E,E1193,'inventory ledger'!$A:$A,"&lt;="&amp;B1193+TIME(23,59,59))-SUMIFS('inventory ledger'!$I:$I,'inventory ledger'!$C:$C,C1193,'inventory ledger'!$D:$D,D1193,'inventory ledger'!$E:$E,E1193,'inventory ledger'!$A:$A,"&lt;="&amp;B1193+TIME(23,59,59)))</f>
        <v>0</v>
      </c>
      <c r="G1193" s="3">
        <f>IFERROR(__xludf.DUMMYFUNCTION("IF(F1193&lt;=0,0,IFERROR(ROUNDUP(F1193/INDEX(FILTER('warehouse config'!$D:$D,('warehouse config'!$B:$B=C1193)*('warehouse config'!$C:$C=D1193)*('warehouse config'!$G:$G&lt;=B1193)*(('warehouse config'!$H:$H&gt;=B1193)+ISBLANK('warehouse config'!$H:$H))),1)),0))"),0.0)</f>
        <v>0</v>
      </c>
      <c r="H1193" s="3">
        <f>IFERROR(__xludf.DUMMYFUNCTION("IFERROR(INDEX(FILTER('cost master'!$E:$E,('cost master'!$B:$B=C1193)*('cost master'!$D:$D=""Storage cost per pallet / week"")*('cost master'!$G:$G&lt;=B1193)*(('cost master'!$H:$H&gt;=B1193)+ISBLANK('cost master'!$H:$H))),1),0)"),3.9)</f>
        <v>3.9</v>
      </c>
      <c r="I1193" s="3">
        <f t="shared" si="4"/>
        <v>0</v>
      </c>
      <c r="J1193" s="27">
        <f t="shared" si="5"/>
        <v>45885</v>
      </c>
      <c r="K1193" s="27">
        <f t="shared" si="6"/>
        <v>45915</v>
      </c>
    </row>
    <row r="1194" hidden="1">
      <c r="A1194" s="3" t="str">
        <f t="shared" si="3"/>
        <v>SL-20250908-FMC-CS 009-8</v>
      </c>
      <c r="B1194" s="2">
        <f t="array" ref="B1194">INDEX(helper!$A$3:$A3996,ROUNDUP((ROW()-1)/COUNTA(helper!$D$3:$D3996),0))</f>
        <v>45908</v>
      </c>
      <c r="C1194" s="5" t="str">
        <f t="array" ref="C1194">IF(B1194="","",INDEX(helper!$D$3:$D3996,MOD(ROW()-2,COUNTA(helper!$D$3:$D3996))+1))</f>
        <v>FMC</v>
      </c>
      <c r="D1194" s="3" t="str">
        <f t="array" ref="D1194">IF(B1194="","",INDEX(helper!$E$3:$E3996,MOD(ROW()-2,COUNTA(helper!$D$3:$D3996))+1))</f>
        <v>CS 009</v>
      </c>
      <c r="E1194" s="3">
        <f t="array" ref="E1194">IF(B1194="","",INDEX(helper!$F$3:$F3996,MOD(ROW()-2,COUNTA(helper!$D$3:$D3996))+1))</f>
        <v>8</v>
      </c>
      <c r="F1194" s="3">
        <f>IF(B1194="","",SUMIFS('inventory ledger'!$H:$H,'inventory ledger'!$C:$C,C1194,'inventory ledger'!$D:$D,D1194,'inventory ledger'!$E:$E,E1194,'inventory ledger'!$A:$A,"&lt;="&amp;B1194+TIME(23,59,59))-SUMIFS('inventory ledger'!$I:$I,'inventory ledger'!$C:$C,C1194,'inventory ledger'!$D:$D,D1194,'inventory ledger'!$E:$E,E1194,'inventory ledger'!$A:$A,"&lt;="&amp;B1194+TIME(23,59,59)))</f>
        <v>0</v>
      </c>
      <c r="G1194" s="3">
        <f>IFERROR(__xludf.DUMMYFUNCTION("IF(F1194&lt;=0,0,IFERROR(ROUNDUP(F1194/INDEX(FILTER('warehouse config'!$D:$D,('warehouse config'!$B:$B=C1194)*('warehouse config'!$C:$C=D1194)*('warehouse config'!$G:$G&lt;=B1194)*(('warehouse config'!$H:$H&gt;=B1194)+ISBLANK('warehouse config'!$H:$H))),1)),0))"),0.0)</f>
        <v>0</v>
      </c>
      <c r="H1194" s="3">
        <f>IFERROR(__xludf.DUMMYFUNCTION("IFERROR(INDEX(FILTER('cost master'!$E:$E,('cost master'!$B:$B=C1194)*('cost master'!$D:$D=""Storage cost per pallet / week"")*('cost master'!$G:$G&lt;=B1194)*(('cost master'!$H:$H&gt;=B1194)+ISBLANK('cost master'!$H:$H))),1),0)"),3.9)</f>
        <v>3.9</v>
      </c>
      <c r="I1194" s="3">
        <f t="shared" si="4"/>
        <v>0</v>
      </c>
      <c r="J1194" s="27">
        <f t="shared" si="5"/>
        <v>45885</v>
      </c>
      <c r="K1194" s="27">
        <f t="shared" si="6"/>
        <v>45915</v>
      </c>
    </row>
    <row r="1195" hidden="1">
      <c r="A1195" s="3" t="str">
        <f t="shared" si="3"/>
        <v>SL-20250908-FMC-CS 010-8</v>
      </c>
      <c r="B1195" s="2">
        <f t="array" ref="B1195">INDEX(helper!$A$3:$A3996,ROUNDUP((ROW()-1)/COUNTA(helper!$D$3:$D3996),0))</f>
        <v>45908</v>
      </c>
      <c r="C1195" s="5" t="str">
        <f t="array" ref="C1195">IF(B1195="","",INDEX(helper!$D$3:$D3996,MOD(ROW()-2,COUNTA(helper!$D$3:$D3996))+1))</f>
        <v>FMC</v>
      </c>
      <c r="D1195" s="3" t="str">
        <f t="array" ref="D1195">IF(B1195="","",INDEX(helper!$E$3:$E3996,MOD(ROW()-2,COUNTA(helper!$D$3:$D3996))+1))</f>
        <v>CS 010</v>
      </c>
      <c r="E1195" s="3">
        <f t="array" ref="E1195">IF(B1195="","",INDEX(helper!$F$3:$F3996,MOD(ROW()-2,COUNTA(helper!$D$3:$D3996))+1))</f>
        <v>8</v>
      </c>
      <c r="F1195" s="3">
        <f>IF(B1195="","",SUMIFS('inventory ledger'!$H:$H,'inventory ledger'!$C:$C,C1195,'inventory ledger'!$D:$D,D1195,'inventory ledger'!$E:$E,E1195,'inventory ledger'!$A:$A,"&lt;="&amp;B1195+TIME(23,59,59))-SUMIFS('inventory ledger'!$I:$I,'inventory ledger'!$C:$C,C1195,'inventory ledger'!$D:$D,D1195,'inventory ledger'!$E:$E,E1195,'inventory ledger'!$A:$A,"&lt;="&amp;B1195+TIME(23,59,59)))</f>
        <v>0</v>
      </c>
      <c r="G1195" s="3">
        <f>IFERROR(__xludf.DUMMYFUNCTION("IF(F1195&lt;=0,0,IFERROR(ROUNDUP(F1195/INDEX(FILTER('warehouse config'!$D:$D,('warehouse config'!$B:$B=C1195)*('warehouse config'!$C:$C=D1195)*('warehouse config'!$G:$G&lt;=B1195)*(('warehouse config'!$H:$H&gt;=B1195)+ISBLANK('warehouse config'!$H:$H))),1)),0))"),0.0)</f>
        <v>0</v>
      </c>
      <c r="H1195" s="3">
        <f>IFERROR(__xludf.DUMMYFUNCTION("IFERROR(INDEX(FILTER('cost master'!$E:$E,('cost master'!$B:$B=C1195)*('cost master'!$D:$D=""Storage cost per pallet / week"")*('cost master'!$G:$G&lt;=B1195)*(('cost master'!$H:$H&gt;=B1195)+ISBLANK('cost master'!$H:$H))),1),0)"),3.9)</f>
        <v>3.9</v>
      </c>
      <c r="I1195" s="3">
        <f t="shared" si="4"/>
        <v>0</v>
      </c>
      <c r="J1195" s="27">
        <f t="shared" si="5"/>
        <v>45885</v>
      </c>
      <c r="K1195" s="27">
        <f t="shared" si="6"/>
        <v>45915</v>
      </c>
    </row>
    <row r="1196" hidden="1">
      <c r="A1196" s="3" t="str">
        <f t="shared" si="3"/>
        <v>SL-20250908-FMC-CS 007-9</v>
      </c>
      <c r="B1196" s="2">
        <f t="array" ref="B1196">INDEX(helper!$A$3:$A3996,ROUNDUP((ROW()-1)/COUNTA(helper!$D$3:$D3996),0))</f>
        <v>45908</v>
      </c>
      <c r="C1196" s="5" t="str">
        <f t="array" ref="C1196">IF(B1196="","",INDEX(helper!$D$3:$D3996,MOD(ROW()-2,COUNTA(helper!$D$3:$D3996))+1))</f>
        <v>FMC</v>
      </c>
      <c r="D1196" s="3" t="str">
        <f t="array" ref="D1196">IF(B1196="","",INDEX(helper!$E$3:$E3996,MOD(ROW()-2,COUNTA(helper!$D$3:$D3996))+1))</f>
        <v>CS 007</v>
      </c>
      <c r="E1196" s="3">
        <f t="array" ref="E1196">IF(B1196="","",INDEX(helper!$F$3:$F3996,MOD(ROW()-2,COUNTA(helper!$D$3:$D3996))+1))</f>
        <v>9</v>
      </c>
      <c r="F1196" s="3">
        <f>IF(B1196="","",SUMIFS('inventory ledger'!$H:$H,'inventory ledger'!$C:$C,C1196,'inventory ledger'!$D:$D,D1196,'inventory ledger'!$E:$E,E1196,'inventory ledger'!$A:$A,"&lt;="&amp;B1196+TIME(23,59,59))-SUMIFS('inventory ledger'!$I:$I,'inventory ledger'!$C:$C,C1196,'inventory ledger'!$D:$D,D1196,'inventory ledger'!$E:$E,E1196,'inventory ledger'!$A:$A,"&lt;="&amp;B1196+TIME(23,59,59)))</f>
        <v>0</v>
      </c>
      <c r="G1196" s="3">
        <f>IFERROR(__xludf.DUMMYFUNCTION("IF(F1196&lt;=0,0,IFERROR(ROUNDUP(F1196/INDEX(FILTER('warehouse config'!$D:$D,('warehouse config'!$B:$B=C1196)*('warehouse config'!$C:$C=D1196)*('warehouse config'!$G:$G&lt;=B1196)*(('warehouse config'!$H:$H&gt;=B1196)+ISBLANK('warehouse config'!$H:$H))),1)),0))"),0.0)</f>
        <v>0</v>
      </c>
      <c r="H1196" s="3">
        <f>IFERROR(__xludf.DUMMYFUNCTION("IFERROR(INDEX(FILTER('cost master'!$E:$E,('cost master'!$B:$B=C1196)*('cost master'!$D:$D=""Storage cost per pallet / week"")*('cost master'!$G:$G&lt;=B1196)*(('cost master'!$H:$H&gt;=B1196)+ISBLANK('cost master'!$H:$H))),1),0)"),3.9)</f>
        <v>3.9</v>
      </c>
      <c r="I1196" s="3">
        <f t="shared" si="4"/>
        <v>0</v>
      </c>
      <c r="J1196" s="27">
        <f t="shared" si="5"/>
        <v>45885</v>
      </c>
      <c r="K1196" s="27">
        <f t="shared" si="6"/>
        <v>45915</v>
      </c>
    </row>
    <row r="1197" hidden="1">
      <c r="A1197" s="3" t="str">
        <f t="shared" si="3"/>
        <v>SL-20250908-FMC-CS 008-9</v>
      </c>
      <c r="B1197" s="2">
        <f t="array" ref="B1197">INDEX(helper!$A$3:$A3996,ROUNDUP((ROW()-1)/COUNTA(helper!$D$3:$D3996),0))</f>
        <v>45908</v>
      </c>
      <c r="C1197" s="5" t="str">
        <f t="array" ref="C1197">IF(B1197="","",INDEX(helper!$D$3:$D3996,MOD(ROW()-2,COUNTA(helper!$D$3:$D3996))+1))</f>
        <v>FMC</v>
      </c>
      <c r="D1197" s="3" t="str">
        <f t="array" ref="D1197">IF(B1197="","",INDEX(helper!$E$3:$E3996,MOD(ROW()-2,COUNTA(helper!$D$3:$D3996))+1))</f>
        <v>CS 008</v>
      </c>
      <c r="E1197" s="3">
        <f t="array" ref="E1197">IF(B1197="","",INDEX(helper!$F$3:$F3996,MOD(ROW()-2,COUNTA(helper!$D$3:$D3996))+1))</f>
        <v>9</v>
      </c>
      <c r="F1197" s="3">
        <f>IF(B1197="","",SUMIFS('inventory ledger'!$H:$H,'inventory ledger'!$C:$C,C1197,'inventory ledger'!$D:$D,D1197,'inventory ledger'!$E:$E,E1197,'inventory ledger'!$A:$A,"&lt;="&amp;B1197+TIME(23,59,59))-SUMIFS('inventory ledger'!$I:$I,'inventory ledger'!$C:$C,C1197,'inventory ledger'!$D:$D,D1197,'inventory ledger'!$E:$E,E1197,'inventory ledger'!$A:$A,"&lt;="&amp;B1197+TIME(23,59,59)))</f>
        <v>2</v>
      </c>
      <c r="G1197" s="3">
        <f>IFERROR(__xludf.DUMMYFUNCTION("IF(F1197&lt;=0,0,IFERROR(ROUNDUP(F1197/INDEX(FILTER('warehouse config'!$D:$D,('warehouse config'!$B:$B=C1197)*('warehouse config'!$C:$C=D1197)*('warehouse config'!$G:$G&lt;=B1197)*(('warehouse config'!$H:$H&gt;=B1197)+ISBLANK('warehouse config'!$H:$H))),1)),0))"),1.0)</f>
        <v>1</v>
      </c>
      <c r="H1197" s="3">
        <f>IFERROR(__xludf.DUMMYFUNCTION("IFERROR(INDEX(FILTER('cost master'!$E:$E,('cost master'!$B:$B=C1197)*('cost master'!$D:$D=""Storage cost per pallet / week"")*('cost master'!$G:$G&lt;=B1197)*(('cost master'!$H:$H&gt;=B1197)+ISBLANK('cost master'!$H:$H))),1),0)"),3.9)</f>
        <v>3.9</v>
      </c>
      <c r="I1197" s="3">
        <f t="shared" si="4"/>
        <v>3.9</v>
      </c>
      <c r="J1197" s="27">
        <f t="shared" si="5"/>
        <v>45885</v>
      </c>
      <c r="K1197" s="27">
        <f t="shared" si="6"/>
        <v>45915</v>
      </c>
    </row>
    <row r="1198" hidden="1">
      <c r="A1198" s="3" t="str">
        <f t="shared" si="3"/>
        <v>SL-20250908-FMC-CS 009-9</v>
      </c>
      <c r="B1198" s="2">
        <f t="array" ref="B1198">INDEX(helper!$A$3:$A3996,ROUNDUP((ROW()-1)/COUNTA(helper!$D$3:$D3996),0))</f>
        <v>45908</v>
      </c>
      <c r="C1198" s="5" t="str">
        <f t="array" ref="C1198">IF(B1198="","",INDEX(helper!$D$3:$D3996,MOD(ROW()-2,COUNTA(helper!$D$3:$D3996))+1))</f>
        <v>FMC</v>
      </c>
      <c r="D1198" s="3" t="str">
        <f t="array" ref="D1198">IF(B1198="","",INDEX(helper!$E$3:$E3996,MOD(ROW()-2,COUNTA(helper!$D$3:$D3996))+1))</f>
        <v>CS 009</v>
      </c>
      <c r="E1198" s="3">
        <f t="array" ref="E1198">IF(B1198="","",INDEX(helper!$F$3:$F3996,MOD(ROW()-2,COUNTA(helper!$D$3:$D3996))+1))</f>
        <v>9</v>
      </c>
      <c r="F1198" s="3">
        <f>IF(B1198="","",SUMIFS('inventory ledger'!$H:$H,'inventory ledger'!$C:$C,C1198,'inventory ledger'!$D:$D,D1198,'inventory ledger'!$E:$E,E1198,'inventory ledger'!$A:$A,"&lt;="&amp;B1198+TIME(23,59,59))-SUMIFS('inventory ledger'!$I:$I,'inventory ledger'!$C:$C,C1198,'inventory ledger'!$D:$D,D1198,'inventory ledger'!$E:$E,E1198,'inventory ledger'!$A:$A,"&lt;="&amp;B1198+TIME(23,59,59)))</f>
        <v>0</v>
      </c>
      <c r="G1198" s="3">
        <f>IFERROR(__xludf.DUMMYFUNCTION("IF(F1198&lt;=0,0,IFERROR(ROUNDUP(F1198/INDEX(FILTER('warehouse config'!$D:$D,('warehouse config'!$B:$B=C1198)*('warehouse config'!$C:$C=D1198)*('warehouse config'!$G:$G&lt;=B1198)*(('warehouse config'!$H:$H&gt;=B1198)+ISBLANK('warehouse config'!$H:$H))),1)),0))"),0.0)</f>
        <v>0</v>
      </c>
      <c r="H1198" s="3">
        <f>IFERROR(__xludf.DUMMYFUNCTION("IFERROR(INDEX(FILTER('cost master'!$E:$E,('cost master'!$B:$B=C1198)*('cost master'!$D:$D=""Storage cost per pallet / week"")*('cost master'!$G:$G&lt;=B1198)*(('cost master'!$H:$H&gt;=B1198)+ISBLANK('cost master'!$H:$H))),1),0)"),3.9)</f>
        <v>3.9</v>
      </c>
      <c r="I1198" s="3">
        <f t="shared" si="4"/>
        <v>0</v>
      </c>
      <c r="J1198" s="27">
        <f t="shared" si="5"/>
        <v>45885</v>
      </c>
      <c r="K1198" s="27">
        <f t="shared" si="6"/>
        <v>45915</v>
      </c>
    </row>
    <row r="1199" hidden="1">
      <c r="A1199" s="3" t="str">
        <f t="shared" si="3"/>
        <v>SL-20250908-FMC-CS 010-9</v>
      </c>
      <c r="B1199" s="2">
        <f t="array" ref="B1199">INDEX(helper!$A$3:$A3996,ROUNDUP((ROW()-1)/COUNTA(helper!$D$3:$D3996),0))</f>
        <v>45908</v>
      </c>
      <c r="C1199" s="5" t="str">
        <f t="array" ref="C1199">IF(B1199="","",INDEX(helper!$D$3:$D3996,MOD(ROW()-2,COUNTA(helper!$D$3:$D3996))+1))</f>
        <v>FMC</v>
      </c>
      <c r="D1199" s="3" t="str">
        <f t="array" ref="D1199">IF(B1199="","",INDEX(helper!$E$3:$E3996,MOD(ROW()-2,COUNTA(helper!$D$3:$D3996))+1))</f>
        <v>CS 010</v>
      </c>
      <c r="E1199" s="3">
        <f t="array" ref="E1199">IF(B1199="","",INDEX(helper!$F$3:$F3996,MOD(ROW()-2,COUNTA(helper!$D$3:$D3996))+1))</f>
        <v>9</v>
      </c>
      <c r="F1199" s="3">
        <f>IF(B1199="","",SUMIFS('inventory ledger'!$H:$H,'inventory ledger'!$C:$C,C1199,'inventory ledger'!$D:$D,D1199,'inventory ledger'!$E:$E,E1199,'inventory ledger'!$A:$A,"&lt;="&amp;B1199+TIME(23,59,59))-SUMIFS('inventory ledger'!$I:$I,'inventory ledger'!$C:$C,C1199,'inventory ledger'!$D:$D,D1199,'inventory ledger'!$E:$E,E1199,'inventory ledger'!$A:$A,"&lt;="&amp;B1199+TIME(23,59,59)))</f>
        <v>0</v>
      </c>
      <c r="G1199" s="3">
        <f>IFERROR(__xludf.DUMMYFUNCTION("IF(F1199&lt;=0,0,IFERROR(ROUNDUP(F1199/INDEX(FILTER('warehouse config'!$D:$D,('warehouse config'!$B:$B=C1199)*('warehouse config'!$C:$C=D1199)*('warehouse config'!$G:$G&lt;=B1199)*(('warehouse config'!$H:$H&gt;=B1199)+ISBLANK('warehouse config'!$H:$H))),1)),0))"),0.0)</f>
        <v>0</v>
      </c>
      <c r="H1199" s="3">
        <f>IFERROR(__xludf.DUMMYFUNCTION("IFERROR(INDEX(FILTER('cost master'!$E:$E,('cost master'!$B:$B=C1199)*('cost master'!$D:$D=""Storage cost per pallet / week"")*('cost master'!$G:$G&lt;=B1199)*(('cost master'!$H:$H&gt;=B1199)+ISBLANK('cost master'!$H:$H))),1),0)"),3.9)</f>
        <v>3.9</v>
      </c>
      <c r="I1199" s="3">
        <f t="shared" si="4"/>
        <v>0</v>
      </c>
      <c r="J1199" s="27">
        <f t="shared" si="5"/>
        <v>45885</v>
      </c>
      <c r="K1199" s="27">
        <f t="shared" si="6"/>
        <v>45915</v>
      </c>
    </row>
    <row r="1200" hidden="1">
      <c r="A1200" s="3" t="str">
        <f t="shared" si="3"/>
        <v>SL-20250908-FMC-CS-CDS-001-9</v>
      </c>
      <c r="B1200" s="2">
        <f t="array" ref="B1200">INDEX(helper!$A$3:$A3996,ROUNDUP((ROW()-1)/COUNTA(helper!$D$3:$D3996),0))</f>
        <v>45908</v>
      </c>
      <c r="C1200" s="5" t="str">
        <f t="array" ref="C1200">IF(B1200="","",INDEX(helper!$D$3:$D3996,MOD(ROW()-2,COUNTA(helper!$D$3:$D3996))+1))</f>
        <v>FMC</v>
      </c>
      <c r="D1200" s="3" t="str">
        <f t="array" ref="D1200">IF(B1200="","",INDEX(helper!$E$3:$E3996,MOD(ROW()-2,COUNTA(helper!$D$3:$D3996))+1))</f>
        <v>CS-CDS-001</v>
      </c>
      <c r="E1200" s="3">
        <f t="array" ref="E1200">IF(B1200="","",INDEX(helper!$F$3:$F3996,MOD(ROW()-2,COUNTA(helper!$D$3:$D3996))+1))</f>
        <v>9</v>
      </c>
      <c r="F1200" s="3">
        <f>IF(B1200="","",SUMIFS('inventory ledger'!$H:$H,'inventory ledger'!$C:$C,C1200,'inventory ledger'!$D:$D,D1200,'inventory ledger'!$E:$E,E1200,'inventory ledger'!$A:$A,"&lt;="&amp;B1200+TIME(23,59,59))-SUMIFS('inventory ledger'!$I:$I,'inventory ledger'!$C:$C,C1200,'inventory ledger'!$D:$D,D1200,'inventory ledger'!$E:$E,E1200,'inventory ledger'!$A:$A,"&lt;="&amp;B1200+TIME(23,59,59)))</f>
        <v>0</v>
      </c>
      <c r="G1200" s="3">
        <f>IFERROR(__xludf.DUMMYFUNCTION("IF(F1200&lt;=0,0,IFERROR(ROUNDUP(F1200/INDEX(FILTER('warehouse config'!$D:$D,('warehouse config'!$B:$B=C1200)*('warehouse config'!$C:$C=D1200)*('warehouse config'!$G:$G&lt;=B1200)*(('warehouse config'!$H:$H&gt;=B1200)+ISBLANK('warehouse config'!$H:$H))),1)),0))"),0.0)</f>
        <v>0</v>
      </c>
      <c r="H1200" s="3">
        <f>IFERROR(__xludf.DUMMYFUNCTION("IFERROR(INDEX(FILTER('cost master'!$E:$E,('cost master'!$B:$B=C1200)*('cost master'!$D:$D=""Storage cost per pallet / week"")*('cost master'!$G:$G&lt;=B1200)*(('cost master'!$H:$H&gt;=B1200)+ISBLANK('cost master'!$H:$H))),1),0)"),3.9)</f>
        <v>3.9</v>
      </c>
      <c r="I1200" s="3">
        <f t="shared" si="4"/>
        <v>0</v>
      </c>
      <c r="J1200" s="27">
        <f t="shared" si="5"/>
        <v>45885</v>
      </c>
      <c r="K1200" s="27">
        <f t="shared" si="6"/>
        <v>45915</v>
      </c>
    </row>
    <row r="1201" hidden="1">
      <c r="A1201" s="3" t="str">
        <f t="shared" si="3"/>
        <v>SL-20250908-FMC-CS-CDS-002-9</v>
      </c>
      <c r="B1201" s="2">
        <f t="array" ref="B1201">INDEX(helper!$A$3:$A3996,ROUNDUP((ROW()-1)/COUNTA(helper!$D$3:$D3996),0))</f>
        <v>45908</v>
      </c>
      <c r="C1201" s="5" t="str">
        <f t="array" ref="C1201">IF(B1201="","",INDEX(helper!$D$3:$D3996,MOD(ROW()-2,COUNTA(helper!$D$3:$D3996))+1))</f>
        <v>FMC</v>
      </c>
      <c r="D1201" s="3" t="str">
        <f t="array" ref="D1201">IF(B1201="","",INDEX(helper!$E$3:$E3996,MOD(ROW()-2,COUNTA(helper!$D$3:$D3996))+1))</f>
        <v>CS-CDS-002</v>
      </c>
      <c r="E1201" s="3">
        <f t="array" ref="E1201">IF(B1201="","",INDEX(helper!$F$3:$F3996,MOD(ROW()-2,COUNTA(helper!$D$3:$D3996))+1))</f>
        <v>9</v>
      </c>
      <c r="F1201" s="3">
        <f>IF(B1201="","",SUMIFS('inventory ledger'!$H:$H,'inventory ledger'!$C:$C,C1201,'inventory ledger'!$D:$D,D1201,'inventory ledger'!$E:$E,E1201,'inventory ledger'!$A:$A,"&lt;="&amp;B1201+TIME(23,59,59))-SUMIFS('inventory ledger'!$I:$I,'inventory ledger'!$C:$C,C1201,'inventory ledger'!$D:$D,D1201,'inventory ledger'!$E:$E,E1201,'inventory ledger'!$A:$A,"&lt;="&amp;B1201+TIME(23,59,59)))</f>
        <v>0</v>
      </c>
      <c r="G1201" s="3">
        <f>IFERROR(__xludf.DUMMYFUNCTION("IF(F1201&lt;=0,0,IFERROR(ROUNDUP(F1201/INDEX(FILTER('warehouse config'!$D:$D,('warehouse config'!$B:$B=C1201)*('warehouse config'!$C:$C=D1201)*('warehouse config'!$G:$G&lt;=B1201)*(('warehouse config'!$H:$H&gt;=B1201)+ISBLANK('warehouse config'!$H:$H))),1)),0))"),0.0)</f>
        <v>0</v>
      </c>
      <c r="H1201" s="3">
        <f>IFERROR(__xludf.DUMMYFUNCTION("IFERROR(INDEX(FILTER('cost master'!$E:$E,('cost master'!$B:$B=C1201)*('cost master'!$D:$D=""Storage cost per pallet / week"")*('cost master'!$G:$G&lt;=B1201)*(('cost master'!$H:$H&gt;=B1201)+ISBLANK('cost master'!$H:$H))),1),0)"),3.9)</f>
        <v>3.9</v>
      </c>
      <c r="I1201" s="3">
        <f t="shared" si="4"/>
        <v>0</v>
      </c>
      <c r="J1201" s="27">
        <f t="shared" si="5"/>
        <v>45885</v>
      </c>
      <c r="K1201" s="27">
        <f t="shared" si="6"/>
        <v>45915</v>
      </c>
    </row>
    <row r="1202" hidden="1">
      <c r="A1202" s="3" t="str">
        <f t="shared" si="3"/>
        <v>SL-20250908-FMC-CS 007-10</v>
      </c>
      <c r="B1202" s="2">
        <f t="array" ref="B1202">INDEX(helper!$A$3:$A3996,ROUNDUP((ROW()-1)/COUNTA(helper!$D$3:$D3996),0))</f>
        <v>45908</v>
      </c>
      <c r="C1202" s="5" t="str">
        <f t="array" ref="C1202">IF(B1202="","",INDEX(helper!$D$3:$D3996,MOD(ROW()-2,COUNTA(helper!$D$3:$D3996))+1))</f>
        <v>FMC</v>
      </c>
      <c r="D1202" s="3" t="str">
        <f t="array" ref="D1202">IF(B1202="","",INDEX(helper!$E$3:$E3996,MOD(ROW()-2,COUNTA(helper!$D$3:$D3996))+1))</f>
        <v>CS 007</v>
      </c>
      <c r="E1202" s="3">
        <f t="array" ref="E1202">IF(B1202="","",INDEX(helper!$F$3:$F3996,MOD(ROW()-2,COUNTA(helper!$D$3:$D3996))+1))</f>
        <v>10</v>
      </c>
      <c r="F1202" s="3">
        <f>IF(B1202="","",SUMIFS('inventory ledger'!$H:$H,'inventory ledger'!$C:$C,C1202,'inventory ledger'!$D:$D,D1202,'inventory ledger'!$E:$E,E1202,'inventory ledger'!$A:$A,"&lt;="&amp;B1202+TIME(23,59,59))-SUMIFS('inventory ledger'!$I:$I,'inventory ledger'!$C:$C,C1202,'inventory ledger'!$D:$D,D1202,'inventory ledger'!$E:$E,E1202,'inventory ledger'!$A:$A,"&lt;="&amp;B1202+TIME(23,59,59)))</f>
        <v>0</v>
      </c>
      <c r="G1202" s="3">
        <f>IFERROR(__xludf.DUMMYFUNCTION("IF(F1202&lt;=0,0,IFERROR(ROUNDUP(F1202/INDEX(FILTER('warehouse config'!$D:$D,('warehouse config'!$B:$B=C1202)*('warehouse config'!$C:$C=D1202)*('warehouse config'!$G:$G&lt;=B1202)*(('warehouse config'!$H:$H&gt;=B1202)+ISBLANK('warehouse config'!$H:$H))),1)),0))"),0.0)</f>
        <v>0</v>
      </c>
      <c r="H1202" s="3">
        <f>IFERROR(__xludf.DUMMYFUNCTION("IFERROR(INDEX(FILTER('cost master'!$E:$E,('cost master'!$B:$B=C1202)*('cost master'!$D:$D=""Storage cost per pallet / week"")*('cost master'!$G:$G&lt;=B1202)*(('cost master'!$H:$H&gt;=B1202)+ISBLANK('cost master'!$H:$H))),1),0)"),3.9)</f>
        <v>3.9</v>
      </c>
      <c r="I1202" s="3">
        <f t="shared" si="4"/>
        <v>0</v>
      </c>
      <c r="J1202" s="27">
        <f t="shared" si="5"/>
        <v>45885</v>
      </c>
      <c r="K1202" s="27">
        <f t="shared" si="6"/>
        <v>45915</v>
      </c>
    </row>
    <row r="1203" hidden="1">
      <c r="A1203" s="3" t="str">
        <f t="shared" si="3"/>
        <v>SL-20250908-FMC-CS 009-10</v>
      </c>
      <c r="B1203" s="2">
        <f t="array" ref="B1203">INDEX(helper!$A$3:$A3996,ROUNDUP((ROW()-1)/COUNTA(helper!$D$3:$D3996),0))</f>
        <v>45908</v>
      </c>
      <c r="C1203" s="5" t="str">
        <f t="array" ref="C1203">IF(B1203="","",INDEX(helper!$D$3:$D3996,MOD(ROW()-2,COUNTA(helper!$D$3:$D3996))+1))</f>
        <v>FMC</v>
      </c>
      <c r="D1203" s="3" t="str">
        <f t="array" ref="D1203">IF(B1203="","",INDEX(helper!$E$3:$E3996,MOD(ROW()-2,COUNTA(helper!$D$3:$D3996))+1))</f>
        <v>CS 009</v>
      </c>
      <c r="E1203" s="3">
        <f t="array" ref="E1203">IF(B1203="","",INDEX(helper!$F$3:$F3996,MOD(ROW()-2,COUNTA(helper!$D$3:$D3996))+1))</f>
        <v>10</v>
      </c>
      <c r="F1203" s="3">
        <f>IF(B1203="","",SUMIFS('inventory ledger'!$H:$H,'inventory ledger'!$C:$C,C1203,'inventory ledger'!$D:$D,D1203,'inventory ledger'!$E:$E,E1203,'inventory ledger'!$A:$A,"&lt;="&amp;B1203+TIME(23,59,59))-SUMIFS('inventory ledger'!$I:$I,'inventory ledger'!$C:$C,C1203,'inventory ledger'!$D:$D,D1203,'inventory ledger'!$E:$E,E1203,'inventory ledger'!$A:$A,"&lt;="&amp;B1203+TIME(23,59,59)))</f>
        <v>0</v>
      </c>
      <c r="G1203" s="3">
        <f>IFERROR(__xludf.DUMMYFUNCTION("IF(F1203&lt;=0,0,IFERROR(ROUNDUP(F1203/INDEX(FILTER('warehouse config'!$D:$D,('warehouse config'!$B:$B=C1203)*('warehouse config'!$C:$C=D1203)*('warehouse config'!$G:$G&lt;=B1203)*(('warehouse config'!$H:$H&gt;=B1203)+ISBLANK('warehouse config'!$H:$H))),1)),0))"),0.0)</f>
        <v>0</v>
      </c>
      <c r="H1203" s="3">
        <f>IFERROR(__xludf.DUMMYFUNCTION("IFERROR(INDEX(FILTER('cost master'!$E:$E,('cost master'!$B:$B=C1203)*('cost master'!$D:$D=""Storage cost per pallet / week"")*('cost master'!$G:$G&lt;=B1203)*(('cost master'!$H:$H&gt;=B1203)+ISBLANK('cost master'!$H:$H))),1),0)"),3.9)</f>
        <v>3.9</v>
      </c>
      <c r="I1203" s="3">
        <f t="shared" si="4"/>
        <v>0</v>
      </c>
      <c r="J1203" s="27">
        <f t="shared" si="5"/>
        <v>45885</v>
      </c>
      <c r="K1203" s="27">
        <f t="shared" si="6"/>
        <v>45915</v>
      </c>
    </row>
    <row r="1204" hidden="1">
      <c r="A1204" s="3" t="str">
        <f t="shared" si="3"/>
        <v>SL-20250908-FMC-CS 010-10</v>
      </c>
      <c r="B1204" s="2">
        <f t="array" ref="B1204">INDEX(helper!$A$3:$A3996,ROUNDUP((ROW()-1)/COUNTA(helper!$D$3:$D3996),0))</f>
        <v>45908</v>
      </c>
      <c r="C1204" s="5" t="str">
        <f t="array" ref="C1204">IF(B1204="","",INDEX(helper!$D$3:$D3996,MOD(ROW()-2,COUNTA(helper!$D$3:$D3996))+1))</f>
        <v>FMC</v>
      </c>
      <c r="D1204" s="3" t="str">
        <f t="array" ref="D1204">IF(B1204="","",INDEX(helper!$E$3:$E3996,MOD(ROW()-2,COUNTA(helper!$D$3:$D3996))+1))</f>
        <v>CS 010</v>
      </c>
      <c r="E1204" s="3">
        <f t="array" ref="E1204">IF(B1204="","",INDEX(helper!$F$3:$F3996,MOD(ROW()-2,COUNTA(helper!$D$3:$D3996))+1))</f>
        <v>10</v>
      </c>
      <c r="F1204" s="3">
        <f>IF(B1204="","",SUMIFS('inventory ledger'!$H:$H,'inventory ledger'!$C:$C,C1204,'inventory ledger'!$D:$D,D1204,'inventory ledger'!$E:$E,E1204,'inventory ledger'!$A:$A,"&lt;="&amp;B1204+TIME(23,59,59))-SUMIFS('inventory ledger'!$I:$I,'inventory ledger'!$C:$C,C1204,'inventory ledger'!$D:$D,D1204,'inventory ledger'!$E:$E,E1204,'inventory ledger'!$A:$A,"&lt;="&amp;B1204+TIME(23,59,59)))</f>
        <v>13</v>
      </c>
      <c r="G1204" s="3">
        <f>IFERROR(__xludf.DUMMYFUNCTION("IF(F1204&lt;=0,0,IFERROR(ROUNDUP(F1204/INDEX(FILTER('warehouse config'!$D:$D,('warehouse config'!$B:$B=C1204)*('warehouse config'!$C:$C=D1204)*('warehouse config'!$G:$G&lt;=B1204)*(('warehouse config'!$H:$H&gt;=B1204)+ISBLANK('warehouse config'!$H:$H))),1)),0))"),1.0)</f>
        <v>1</v>
      </c>
      <c r="H1204" s="3">
        <f>IFERROR(__xludf.DUMMYFUNCTION("IFERROR(INDEX(FILTER('cost master'!$E:$E,('cost master'!$B:$B=C1204)*('cost master'!$D:$D=""Storage cost per pallet / week"")*('cost master'!$G:$G&lt;=B1204)*(('cost master'!$H:$H&gt;=B1204)+ISBLANK('cost master'!$H:$H))),1),0)"),3.9)</f>
        <v>3.9</v>
      </c>
      <c r="I1204" s="3">
        <f t="shared" si="4"/>
        <v>3.9</v>
      </c>
      <c r="J1204" s="27">
        <f t="shared" si="5"/>
        <v>45885</v>
      </c>
      <c r="K1204" s="27">
        <f t="shared" si="6"/>
        <v>45915</v>
      </c>
    </row>
    <row r="1205" hidden="1">
      <c r="A1205" s="3" t="str">
        <f t="shared" si="3"/>
        <v>SL-20250908-FMC-CS-CDS-001-10</v>
      </c>
      <c r="B1205" s="2">
        <f t="array" ref="B1205">INDEX(helper!$A$3:$A3996,ROUNDUP((ROW()-1)/COUNTA(helper!$D$3:$D3996),0))</f>
        <v>45908</v>
      </c>
      <c r="C1205" s="5" t="str">
        <f t="array" ref="C1205">IF(B1205="","",INDEX(helper!$D$3:$D3996,MOD(ROW()-2,COUNTA(helper!$D$3:$D3996))+1))</f>
        <v>FMC</v>
      </c>
      <c r="D1205" s="3" t="str">
        <f t="array" ref="D1205">IF(B1205="","",INDEX(helper!$E$3:$E3996,MOD(ROW()-2,COUNTA(helper!$D$3:$D3996))+1))</f>
        <v>CS-CDS-001</v>
      </c>
      <c r="E1205" s="3">
        <f t="array" ref="E1205">IF(B1205="","",INDEX(helper!$F$3:$F3996,MOD(ROW()-2,COUNTA(helper!$D$3:$D3996))+1))</f>
        <v>10</v>
      </c>
      <c r="F1205" s="3">
        <f>IF(B1205="","",SUMIFS('inventory ledger'!$H:$H,'inventory ledger'!$C:$C,C1205,'inventory ledger'!$D:$D,D1205,'inventory ledger'!$E:$E,E1205,'inventory ledger'!$A:$A,"&lt;="&amp;B1205+TIME(23,59,59))-SUMIFS('inventory ledger'!$I:$I,'inventory ledger'!$C:$C,C1205,'inventory ledger'!$D:$D,D1205,'inventory ledger'!$E:$E,E1205,'inventory ledger'!$A:$A,"&lt;="&amp;B1205+TIME(23,59,59)))</f>
        <v>0</v>
      </c>
      <c r="G1205" s="3">
        <f>IFERROR(__xludf.DUMMYFUNCTION("IF(F1205&lt;=0,0,IFERROR(ROUNDUP(F1205/INDEX(FILTER('warehouse config'!$D:$D,('warehouse config'!$B:$B=C1205)*('warehouse config'!$C:$C=D1205)*('warehouse config'!$G:$G&lt;=B1205)*(('warehouse config'!$H:$H&gt;=B1205)+ISBLANK('warehouse config'!$H:$H))),1)),0))"),0.0)</f>
        <v>0</v>
      </c>
      <c r="H1205" s="3">
        <f>IFERROR(__xludf.DUMMYFUNCTION("IFERROR(INDEX(FILTER('cost master'!$E:$E,('cost master'!$B:$B=C1205)*('cost master'!$D:$D=""Storage cost per pallet / week"")*('cost master'!$G:$G&lt;=B1205)*(('cost master'!$H:$H&gt;=B1205)+ISBLANK('cost master'!$H:$H))),1),0)"),3.9)</f>
        <v>3.9</v>
      </c>
      <c r="I1205" s="3">
        <f t="shared" si="4"/>
        <v>0</v>
      </c>
      <c r="J1205" s="27">
        <f t="shared" si="5"/>
        <v>45885</v>
      </c>
      <c r="K1205" s="27">
        <f t="shared" si="6"/>
        <v>45915</v>
      </c>
    </row>
    <row r="1206">
      <c r="A1206" s="3" t="str">
        <f t="shared" si="3"/>
        <v>SL-20250908-FMC-CS 007-11</v>
      </c>
      <c r="B1206" s="2">
        <f t="array" ref="B1206">INDEX(helper!$A$3:$A3996,ROUNDUP((ROW()-1)/COUNTA(helper!$D$3:$D3996),0))</f>
        <v>45908</v>
      </c>
      <c r="C1206" s="5" t="str">
        <f t="array" ref="C1206">IF(B1206="","",INDEX(helper!$D$3:$D3996,MOD(ROW()-2,COUNTA(helper!$D$3:$D3996))+1))</f>
        <v>FMC</v>
      </c>
      <c r="D1206" s="3" t="str">
        <f t="array" ref="D1206">IF(B1206="","",INDEX(helper!$E$3:$E3996,MOD(ROW()-2,COUNTA(helper!$D$3:$D3996))+1))</f>
        <v>CS 007</v>
      </c>
      <c r="E1206" s="3">
        <f t="array" ref="E1206">IF(B1206="","",INDEX(helper!$F$3:$F3996,MOD(ROW()-2,COUNTA(helper!$D$3:$D3996))+1))</f>
        <v>11</v>
      </c>
      <c r="F1206" s="3">
        <f>IF(B1206="","",SUMIFS('inventory ledger'!$H:$H,'inventory ledger'!$C:$C,C1206,'inventory ledger'!$D:$D,D1206,'inventory ledger'!$E:$E,E1206,'inventory ledger'!$A:$A,"&lt;="&amp;B1206+TIME(23,59,59))-SUMIFS('inventory ledger'!$I:$I,'inventory ledger'!$C:$C,C1206,'inventory ledger'!$D:$D,D1206,'inventory ledger'!$E:$E,E1206,'inventory ledger'!$A:$A,"&lt;="&amp;B1206+TIME(23,59,59)))</f>
        <v>-1</v>
      </c>
      <c r="G1206" s="3">
        <f>IFERROR(__xludf.DUMMYFUNCTION("IF(F1206&lt;=0,0,IFERROR(ROUNDUP(F1206/INDEX(FILTER('warehouse config'!$D:$D,('warehouse config'!$B:$B=C1206)*('warehouse config'!$C:$C=D1206)*('warehouse config'!$G:$G&lt;=B1206)*(('warehouse config'!$H:$H&gt;=B1206)+ISBLANK('warehouse config'!$H:$H))),1)),0))"),0.0)</f>
        <v>0</v>
      </c>
      <c r="H1206" s="3">
        <f>IFERROR(__xludf.DUMMYFUNCTION("IFERROR(INDEX(FILTER('cost master'!$E:$E,('cost master'!$B:$B=C1206)*('cost master'!$D:$D=""Storage cost per pallet / week"")*('cost master'!$G:$G&lt;=B1206)*(('cost master'!$H:$H&gt;=B1206)+ISBLANK('cost master'!$H:$H))),1),0)"),3.9)</f>
        <v>3.9</v>
      </c>
      <c r="I1206" s="3">
        <f t="shared" si="4"/>
        <v>0</v>
      </c>
      <c r="J1206" s="27">
        <f t="shared" si="5"/>
        <v>45885</v>
      </c>
      <c r="K1206" s="27">
        <f t="shared" si="6"/>
        <v>45915</v>
      </c>
    </row>
    <row r="1207" hidden="1">
      <c r="A1207" s="3" t="str">
        <f t="shared" si="3"/>
        <v>SL-20250908-FMC-CS 009-11</v>
      </c>
      <c r="B1207" s="2">
        <f t="array" ref="B1207">INDEX(helper!$A$3:$A3996,ROUNDUP((ROW()-1)/COUNTA(helper!$D$3:$D3996),0))</f>
        <v>45908</v>
      </c>
      <c r="C1207" s="5" t="str">
        <f t="array" ref="C1207">IF(B1207="","",INDEX(helper!$D$3:$D3996,MOD(ROW()-2,COUNTA(helper!$D$3:$D3996))+1))</f>
        <v>FMC</v>
      </c>
      <c r="D1207" s="3" t="str">
        <f t="array" ref="D1207">IF(B1207="","",INDEX(helper!$E$3:$E3996,MOD(ROW()-2,COUNTA(helper!$D$3:$D3996))+1))</f>
        <v>CS 009</v>
      </c>
      <c r="E1207" s="3">
        <f t="array" ref="E1207">IF(B1207="","",INDEX(helper!$F$3:$F3996,MOD(ROW()-2,COUNTA(helper!$D$3:$D3996))+1))</f>
        <v>11</v>
      </c>
      <c r="F1207" s="3">
        <f>IF(B1207="","",SUMIFS('inventory ledger'!$H:$H,'inventory ledger'!$C:$C,C1207,'inventory ledger'!$D:$D,D1207,'inventory ledger'!$E:$E,E1207,'inventory ledger'!$A:$A,"&lt;="&amp;B1207+TIME(23,59,59))-SUMIFS('inventory ledger'!$I:$I,'inventory ledger'!$C:$C,C1207,'inventory ledger'!$D:$D,D1207,'inventory ledger'!$E:$E,E1207,'inventory ledger'!$A:$A,"&lt;="&amp;B1207+TIME(23,59,59)))</f>
        <v>0</v>
      </c>
      <c r="G1207" s="3">
        <f>IFERROR(__xludf.DUMMYFUNCTION("IF(F1207&lt;=0,0,IFERROR(ROUNDUP(F1207/INDEX(FILTER('warehouse config'!$D:$D,('warehouse config'!$B:$B=C1207)*('warehouse config'!$C:$C=D1207)*('warehouse config'!$G:$G&lt;=B1207)*(('warehouse config'!$H:$H&gt;=B1207)+ISBLANK('warehouse config'!$H:$H))),1)),0))"),0.0)</f>
        <v>0</v>
      </c>
      <c r="H1207" s="3">
        <f>IFERROR(__xludf.DUMMYFUNCTION("IFERROR(INDEX(FILTER('cost master'!$E:$E,('cost master'!$B:$B=C1207)*('cost master'!$D:$D=""Storage cost per pallet / week"")*('cost master'!$G:$G&lt;=B1207)*(('cost master'!$H:$H&gt;=B1207)+ISBLANK('cost master'!$H:$H))),1),0)"),3.9)</f>
        <v>3.9</v>
      </c>
      <c r="I1207" s="3">
        <f t="shared" si="4"/>
        <v>0</v>
      </c>
      <c r="J1207" s="27">
        <f t="shared" si="5"/>
        <v>45885</v>
      </c>
      <c r="K1207" s="27">
        <f t="shared" si="6"/>
        <v>45915</v>
      </c>
    </row>
    <row r="1208" hidden="1">
      <c r="A1208" s="3" t="str">
        <f t="shared" si="3"/>
        <v>SL-20250908-FMC-CS 010-11</v>
      </c>
      <c r="B1208" s="2">
        <f t="array" ref="B1208">INDEX(helper!$A$3:$A3996,ROUNDUP((ROW()-1)/COUNTA(helper!$D$3:$D3996),0))</f>
        <v>45908</v>
      </c>
      <c r="C1208" s="5" t="str">
        <f t="array" ref="C1208">IF(B1208="","",INDEX(helper!$D$3:$D3996,MOD(ROW()-2,COUNTA(helper!$D$3:$D3996))+1))</f>
        <v>FMC</v>
      </c>
      <c r="D1208" s="3" t="str">
        <f t="array" ref="D1208">IF(B1208="","",INDEX(helper!$E$3:$E3996,MOD(ROW()-2,COUNTA(helper!$D$3:$D3996))+1))</f>
        <v>CS 010</v>
      </c>
      <c r="E1208" s="3">
        <f t="array" ref="E1208">IF(B1208="","",INDEX(helper!$F$3:$F3996,MOD(ROW()-2,COUNTA(helper!$D$3:$D3996))+1))</f>
        <v>11</v>
      </c>
      <c r="F1208" s="3">
        <f>IF(B1208="","",SUMIFS('inventory ledger'!$H:$H,'inventory ledger'!$C:$C,C1208,'inventory ledger'!$D:$D,D1208,'inventory ledger'!$E:$E,E1208,'inventory ledger'!$A:$A,"&lt;="&amp;B1208+TIME(23,59,59))-SUMIFS('inventory ledger'!$I:$I,'inventory ledger'!$C:$C,C1208,'inventory ledger'!$D:$D,D1208,'inventory ledger'!$E:$E,E1208,'inventory ledger'!$A:$A,"&lt;="&amp;B1208+TIME(23,59,59)))</f>
        <v>6</v>
      </c>
      <c r="G1208" s="3">
        <f>IFERROR(__xludf.DUMMYFUNCTION("IF(F1208&lt;=0,0,IFERROR(ROUNDUP(F1208/INDEX(FILTER('warehouse config'!$D:$D,('warehouse config'!$B:$B=C1208)*('warehouse config'!$C:$C=D1208)*('warehouse config'!$G:$G&lt;=B1208)*(('warehouse config'!$H:$H&gt;=B1208)+ISBLANK('warehouse config'!$H:$H))),1)),0))"),1.0)</f>
        <v>1</v>
      </c>
      <c r="H1208" s="3">
        <f>IFERROR(__xludf.DUMMYFUNCTION("IFERROR(INDEX(FILTER('cost master'!$E:$E,('cost master'!$B:$B=C1208)*('cost master'!$D:$D=""Storage cost per pallet / week"")*('cost master'!$G:$G&lt;=B1208)*(('cost master'!$H:$H&gt;=B1208)+ISBLANK('cost master'!$H:$H))),1),0)"),3.9)</f>
        <v>3.9</v>
      </c>
      <c r="I1208" s="3">
        <f t="shared" si="4"/>
        <v>3.9</v>
      </c>
      <c r="J1208" s="27">
        <f t="shared" si="5"/>
        <v>45885</v>
      </c>
      <c r="K1208" s="27">
        <f t="shared" si="6"/>
        <v>45915</v>
      </c>
    </row>
    <row r="1209" hidden="1">
      <c r="A1209" s="3" t="str">
        <f t="shared" si="3"/>
        <v>SL-20250908-Vglobal-CS 007-12</v>
      </c>
      <c r="B1209" s="2">
        <f t="array" ref="B1209">INDEX(helper!$A$3:$A3996,ROUNDUP((ROW()-1)/COUNTA(helper!$D$3:$D3996),0))</f>
        <v>45908</v>
      </c>
      <c r="C1209" s="5" t="str">
        <f t="array" ref="C1209">IF(B1209="","",INDEX(helper!$D$3:$D3996,MOD(ROW()-2,COUNTA(helper!$D$3:$D3996))+1))</f>
        <v>Vglobal</v>
      </c>
      <c r="D1209" s="3" t="str">
        <f t="array" ref="D1209">IF(B1209="","",INDEX(helper!$E$3:$E3996,MOD(ROW()-2,COUNTA(helper!$D$3:$D3996))+1))</f>
        <v>CS 007</v>
      </c>
      <c r="E1209" s="3">
        <f t="array" ref="E1209">IF(B1209="","",INDEX(helper!$F$3:$F3996,MOD(ROW()-2,COUNTA(helper!$D$3:$D3996))+1))</f>
        <v>12</v>
      </c>
      <c r="F1209" s="3">
        <f>IF(B1209="","",SUMIFS('inventory ledger'!$H:$H,'inventory ledger'!$C:$C,C1209,'inventory ledger'!$D:$D,D1209,'inventory ledger'!$E:$E,E1209,'inventory ledger'!$A:$A,"&lt;="&amp;B1209+TIME(23,59,59))-SUMIFS('inventory ledger'!$I:$I,'inventory ledger'!$C:$C,C1209,'inventory ledger'!$D:$D,D1209,'inventory ledger'!$E:$E,E1209,'inventory ledger'!$A:$A,"&lt;="&amp;B1209+TIME(23,59,59)))</f>
        <v>0</v>
      </c>
      <c r="G1209" s="3">
        <f>IFERROR(__xludf.DUMMYFUNCTION("IF(F1209&lt;=0,0,IFERROR(ROUNDUP(F1209/INDEX(FILTER('warehouse config'!$D:$D,('warehouse config'!$B:$B=C1209)*('warehouse config'!$C:$C=D1209)*('warehouse config'!$G:$G&lt;=B1209)*(('warehouse config'!$H:$H&gt;=B1209)+ISBLANK('warehouse config'!$H:$H))),1)),0))"),0.0)</f>
        <v>0</v>
      </c>
      <c r="H1209" s="3">
        <f>IFERROR(__xludf.DUMMYFUNCTION("IFERROR(INDEX(FILTER('cost master'!$E:$E,('cost master'!$B:$B=C1209)*('cost master'!$D:$D=""Storage cost per pallet / week"")*('cost master'!$G:$G&lt;=B1209)*(('cost master'!$H:$H&gt;=B1209)+ISBLANK('cost master'!$H:$H))),1),0)"),2.6)</f>
        <v>2.6</v>
      </c>
      <c r="I1209" s="3">
        <f t="shared" si="4"/>
        <v>0</v>
      </c>
      <c r="J1209" s="27">
        <f t="shared" si="5"/>
        <v>45885</v>
      </c>
      <c r="K1209" s="27">
        <f t="shared" si="6"/>
        <v>45915</v>
      </c>
    </row>
    <row r="1210" hidden="1">
      <c r="A1210" s="3" t="str">
        <f t="shared" si="3"/>
        <v>SL-20250908-Vglobal-CS 011-12</v>
      </c>
      <c r="B1210" s="2">
        <f t="array" ref="B1210">INDEX(helper!$A$3:$A3996,ROUNDUP((ROW()-1)/COUNTA(helper!$D$3:$D3996),0))</f>
        <v>45908</v>
      </c>
      <c r="C1210" s="5" t="str">
        <f t="array" ref="C1210">IF(B1210="","",INDEX(helper!$D$3:$D3996,MOD(ROW()-2,COUNTA(helper!$D$3:$D3996))+1))</f>
        <v>Vglobal</v>
      </c>
      <c r="D1210" s="3" t="str">
        <f t="array" ref="D1210">IF(B1210="","",INDEX(helper!$E$3:$E3996,MOD(ROW()-2,COUNTA(helper!$D$3:$D3996))+1))</f>
        <v>CS 011</v>
      </c>
      <c r="E1210" s="3">
        <f t="array" ref="E1210">IF(B1210="","",INDEX(helper!$F$3:$F3996,MOD(ROW()-2,COUNTA(helper!$D$3:$D3996))+1))</f>
        <v>12</v>
      </c>
      <c r="F1210" s="3">
        <f>IF(B1210="","",SUMIFS('inventory ledger'!$H:$H,'inventory ledger'!$C:$C,C1210,'inventory ledger'!$D:$D,D1210,'inventory ledger'!$E:$E,E1210,'inventory ledger'!$A:$A,"&lt;="&amp;B1210+TIME(23,59,59))-SUMIFS('inventory ledger'!$I:$I,'inventory ledger'!$C:$C,C1210,'inventory ledger'!$D:$D,D1210,'inventory ledger'!$E:$E,E1210,'inventory ledger'!$A:$A,"&lt;="&amp;B1210+TIME(23,59,59)))</f>
        <v>0</v>
      </c>
      <c r="G1210" s="3">
        <f>IFERROR(__xludf.DUMMYFUNCTION("IF(F1210&lt;=0,0,IFERROR(ROUNDUP(F1210/INDEX(FILTER('warehouse config'!$D:$D,('warehouse config'!$B:$B=C1210)*('warehouse config'!$C:$C=D1210)*('warehouse config'!$G:$G&lt;=B1210)*(('warehouse config'!$H:$H&gt;=B1210)+ISBLANK('warehouse config'!$H:$H))),1)),0))"),0.0)</f>
        <v>0</v>
      </c>
      <c r="H1210" s="3">
        <f>IFERROR(__xludf.DUMMYFUNCTION("IFERROR(INDEX(FILTER('cost master'!$E:$E,('cost master'!$B:$B=C1210)*('cost master'!$D:$D=""Storage cost per pallet / week"")*('cost master'!$G:$G&lt;=B1210)*(('cost master'!$H:$H&gt;=B1210)+ISBLANK('cost master'!$H:$H))),1),0)"),2.6)</f>
        <v>2.6</v>
      </c>
      <c r="I1210" s="3">
        <f t="shared" si="4"/>
        <v>0</v>
      </c>
      <c r="J1210" s="27">
        <f t="shared" si="5"/>
        <v>45885</v>
      </c>
      <c r="K1210" s="27">
        <f t="shared" si="6"/>
        <v>45915</v>
      </c>
    </row>
    <row r="1211" hidden="1">
      <c r="A1211" s="3" t="str">
        <f t="shared" si="3"/>
        <v>SL-20250908-Vglobal-CS 008-12</v>
      </c>
      <c r="B1211" s="2">
        <f t="array" ref="B1211">INDEX(helper!$A$3:$A3996,ROUNDUP((ROW()-1)/COUNTA(helper!$D$3:$D3996),0))</f>
        <v>45908</v>
      </c>
      <c r="C1211" s="5" t="str">
        <f t="array" ref="C1211">IF(B1211="","",INDEX(helper!$D$3:$D3996,MOD(ROW()-2,COUNTA(helper!$D$3:$D3996))+1))</f>
        <v>Vglobal</v>
      </c>
      <c r="D1211" s="3" t="str">
        <f t="array" ref="D1211">IF(B1211="","",INDEX(helper!$E$3:$E3996,MOD(ROW()-2,COUNTA(helper!$D$3:$D3996))+1))</f>
        <v>CS 008</v>
      </c>
      <c r="E1211" s="3">
        <f t="array" ref="E1211">IF(B1211="","",INDEX(helper!$F$3:$F3996,MOD(ROW()-2,COUNTA(helper!$D$3:$D3996))+1))</f>
        <v>12</v>
      </c>
      <c r="F1211" s="3">
        <f>IF(B1211="","",SUMIFS('inventory ledger'!$H:$H,'inventory ledger'!$C:$C,C1211,'inventory ledger'!$D:$D,D1211,'inventory ledger'!$E:$E,E1211,'inventory ledger'!$A:$A,"&lt;="&amp;B1211+TIME(23,59,59))-SUMIFS('inventory ledger'!$I:$I,'inventory ledger'!$C:$C,C1211,'inventory ledger'!$D:$D,D1211,'inventory ledger'!$E:$E,E1211,'inventory ledger'!$A:$A,"&lt;="&amp;B1211+TIME(23,59,59)))</f>
        <v>0</v>
      </c>
      <c r="G1211" s="3">
        <f>IFERROR(__xludf.DUMMYFUNCTION("IF(F1211&lt;=0,0,IFERROR(ROUNDUP(F1211/INDEX(FILTER('warehouse config'!$D:$D,('warehouse config'!$B:$B=C1211)*('warehouse config'!$C:$C=D1211)*('warehouse config'!$G:$G&lt;=B1211)*(('warehouse config'!$H:$H&gt;=B1211)+ISBLANK('warehouse config'!$H:$H))),1)),0))"),0.0)</f>
        <v>0</v>
      </c>
      <c r="H1211" s="3">
        <f>IFERROR(__xludf.DUMMYFUNCTION("IFERROR(INDEX(FILTER('cost master'!$E:$E,('cost master'!$B:$B=C1211)*('cost master'!$D:$D=""Storage cost per pallet / week"")*('cost master'!$G:$G&lt;=B1211)*(('cost master'!$H:$H&gt;=B1211)+ISBLANK('cost master'!$H:$H))),1),0)"),2.6)</f>
        <v>2.6</v>
      </c>
      <c r="I1211" s="3">
        <f t="shared" si="4"/>
        <v>0</v>
      </c>
      <c r="J1211" s="27">
        <f t="shared" si="5"/>
        <v>45885</v>
      </c>
      <c r="K1211" s="27">
        <f t="shared" si="6"/>
        <v>45915</v>
      </c>
    </row>
    <row r="1212" hidden="1">
      <c r="A1212" s="3" t="str">
        <f t="shared" si="3"/>
        <v>SL-20250908-Vglobal-CS 010-12</v>
      </c>
      <c r="B1212" s="2">
        <f t="array" ref="B1212">INDEX(helper!$A$3:$A3996,ROUNDUP((ROW()-1)/COUNTA(helper!$D$3:$D3996),0))</f>
        <v>45908</v>
      </c>
      <c r="C1212" s="5" t="str">
        <f t="array" ref="C1212">IF(B1212="","",INDEX(helper!$D$3:$D3996,MOD(ROW()-2,COUNTA(helper!$D$3:$D3996))+1))</f>
        <v>Vglobal</v>
      </c>
      <c r="D1212" s="3" t="str">
        <f t="array" ref="D1212">IF(B1212="","",INDEX(helper!$E$3:$E3996,MOD(ROW()-2,COUNTA(helper!$D$3:$D3996))+1))</f>
        <v>CS 010</v>
      </c>
      <c r="E1212" s="3">
        <f t="array" ref="E1212">IF(B1212="","",INDEX(helper!$F$3:$F3996,MOD(ROW()-2,COUNTA(helper!$D$3:$D3996))+1))</f>
        <v>12</v>
      </c>
      <c r="F1212" s="3">
        <f>IF(B1212="","",SUMIFS('inventory ledger'!$H:$H,'inventory ledger'!$C:$C,C1212,'inventory ledger'!$D:$D,D1212,'inventory ledger'!$E:$E,E1212,'inventory ledger'!$A:$A,"&lt;="&amp;B1212+TIME(23,59,59))-SUMIFS('inventory ledger'!$I:$I,'inventory ledger'!$C:$C,C1212,'inventory ledger'!$D:$D,D1212,'inventory ledger'!$E:$E,E1212,'inventory ledger'!$A:$A,"&lt;="&amp;B1212+TIME(23,59,59)))</f>
        <v>70</v>
      </c>
      <c r="G1212" s="3">
        <f>IFERROR(__xludf.DUMMYFUNCTION("IF(F1212&lt;=0,0,IFERROR(ROUNDUP(F1212/INDEX(FILTER('warehouse config'!$D:$D,('warehouse config'!$B:$B=C1212)*('warehouse config'!$C:$C=D1212)*('warehouse config'!$G:$G&lt;=B1212)*(('warehouse config'!$H:$H&gt;=B1212)+ISBLANK('warehouse config'!$H:$H))),1)),0))"),3.0)</f>
        <v>3</v>
      </c>
      <c r="H1212" s="3">
        <f>IFERROR(__xludf.DUMMYFUNCTION("IFERROR(INDEX(FILTER('cost master'!$E:$E,('cost master'!$B:$B=C1212)*('cost master'!$D:$D=""Storage cost per pallet / week"")*('cost master'!$G:$G&lt;=B1212)*(('cost master'!$H:$H&gt;=B1212)+ISBLANK('cost master'!$H:$H))),1),0)"),2.6)</f>
        <v>2.6</v>
      </c>
      <c r="I1212" s="3">
        <f t="shared" si="4"/>
        <v>7.8</v>
      </c>
      <c r="J1212" s="27">
        <f t="shared" si="5"/>
        <v>45885</v>
      </c>
      <c r="K1212" s="27">
        <f t="shared" si="6"/>
        <v>45915</v>
      </c>
    </row>
    <row r="1213" hidden="1">
      <c r="A1213" s="3" t="str">
        <f t="shared" si="3"/>
        <v>SL-20250908-Vglobal-CS 009-12</v>
      </c>
      <c r="B1213" s="2">
        <f t="array" ref="B1213">INDEX(helper!$A$3:$A3996,ROUNDUP((ROW()-1)/COUNTA(helper!$D$3:$D3996),0))</f>
        <v>45908</v>
      </c>
      <c r="C1213" s="5" t="str">
        <f t="array" ref="C1213">IF(B1213="","",INDEX(helper!$D$3:$D3996,MOD(ROW()-2,COUNTA(helper!$D$3:$D3996))+1))</f>
        <v>Vglobal</v>
      </c>
      <c r="D1213" s="3" t="str">
        <f t="array" ref="D1213">IF(B1213="","",INDEX(helper!$E$3:$E3996,MOD(ROW()-2,COUNTA(helper!$D$3:$D3996))+1))</f>
        <v>CS 009</v>
      </c>
      <c r="E1213" s="3">
        <f t="array" ref="E1213">IF(B1213="","",INDEX(helper!$F$3:$F3996,MOD(ROW()-2,COUNTA(helper!$D$3:$D3996))+1))</f>
        <v>12</v>
      </c>
      <c r="F1213" s="3">
        <f>IF(B1213="","",SUMIFS('inventory ledger'!$H:$H,'inventory ledger'!$C:$C,C1213,'inventory ledger'!$D:$D,D1213,'inventory ledger'!$E:$E,E1213,'inventory ledger'!$A:$A,"&lt;="&amp;B1213+TIME(23,59,59))-SUMIFS('inventory ledger'!$I:$I,'inventory ledger'!$C:$C,C1213,'inventory ledger'!$D:$D,D1213,'inventory ledger'!$E:$E,E1213,'inventory ledger'!$A:$A,"&lt;="&amp;B1213+TIME(23,59,59)))</f>
        <v>0</v>
      </c>
      <c r="G1213" s="3">
        <f>IFERROR(__xludf.DUMMYFUNCTION("IF(F1213&lt;=0,0,IFERROR(ROUNDUP(F1213/INDEX(FILTER('warehouse config'!$D:$D,('warehouse config'!$B:$B=C1213)*('warehouse config'!$C:$C=D1213)*('warehouse config'!$G:$G&lt;=B1213)*(('warehouse config'!$H:$H&gt;=B1213)+ISBLANK('warehouse config'!$H:$H))),1)),0))"),0.0)</f>
        <v>0</v>
      </c>
      <c r="H1213" s="3">
        <f>IFERROR(__xludf.DUMMYFUNCTION("IFERROR(INDEX(FILTER('cost master'!$E:$E,('cost master'!$B:$B=C1213)*('cost master'!$D:$D=""Storage cost per pallet / week"")*('cost master'!$G:$G&lt;=B1213)*(('cost master'!$H:$H&gt;=B1213)+ISBLANK('cost master'!$H:$H))),1),0)"),2.6)</f>
        <v>2.6</v>
      </c>
      <c r="I1213" s="3">
        <f t="shared" si="4"/>
        <v>0</v>
      </c>
      <c r="J1213" s="27">
        <f t="shared" si="5"/>
        <v>45885</v>
      </c>
      <c r="K1213" s="27">
        <f t="shared" si="6"/>
        <v>45915</v>
      </c>
    </row>
    <row r="1214" hidden="1">
      <c r="A1214" s="3" t="str">
        <f t="shared" si="3"/>
        <v>SL-20250908-Vglobal-CS 012-12</v>
      </c>
      <c r="B1214" s="2">
        <f t="array" ref="B1214">INDEX(helper!$A$3:$A3996,ROUNDUP((ROW()-1)/COUNTA(helper!$D$3:$D3996),0))</f>
        <v>45908</v>
      </c>
      <c r="C1214" s="5" t="str">
        <f t="array" ref="C1214">IF(B1214="","",INDEX(helper!$D$3:$D3996,MOD(ROW()-2,COUNTA(helper!$D$3:$D3996))+1))</f>
        <v>Vglobal</v>
      </c>
      <c r="D1214" s="3" t="str">
        <f t="array" ref="D1214">IF(B1214="","",INDEX(helper!$E$3:$E3996,MOD(ROW()-2,COUNTA(helper!$D$3:$D3996))+1))</f>
        <v>CS 012</v>
      </c>
      <c r="E1214" s="3">
        <f t="array" ref="E1214">IF(B1214="","",INDEX(helper!$F$3:$F3996,MOD(ROW()-2,COUNTA(helper!$D$3:$D3996))+1))</f>
        <v>12</v>
      </c>
      <c r="F1214" s="3">
        <f>IF(B1214="","",SUMIFS('inventory ledger'!$H:$H,'inventory ledger'!$C:$C,C1214,'inventory ledger'!$D:$D,D1214,'inventory ledger'!$E:$E,E1214,'inventory ledger'!$A:$A,"&lt;="&amp;B1214+TIME(23,59,59))-SUMIFS('inventory ledger'!$I:$I,'inventory ledger'!$C:$C,C1214,'inventory ledger'!$D:$D,D1214,'inventory ledger'!$E:$E,E1214,'inventory ledger'!$A:$A,"&lt;="&amp;B1214+TIME(23,59,59)))</f>
        <v>0</v>
      </c>
      <c r="G1214" s="3">
        <f>IFERROR(__xludf.DUMMYFUNCTION("IF(F1214&lt;=0,0,IFERROR(ROUNDUP(F1214/INDEX(FILTER('warehouse config'!$D:$D,('warehouse config'!$B:$B=C1214)*('warehouse config'!$C:$C=D1214)*('warehouse config'!$G:$G&lt;=B1214)*(('warehouse config'!$H:$H&gt;=B1214)+ISBLANK('warehouse config'!$H:$H))),1)),0))"),0.0)</f>
        <v>0</v>
      </c>
      <c r="H1214" s="3">
        <f>IFERROR(__xludf.DUMMYFUNCTION("IFERROR(INDEX(FILTER('cost master'!$E:$E,('cost master'!$B:$B=C1214)*('cost master'!$D:$D=""Storage cost per pallet / week"")*('cost master'!$G:$G&lt;=B1214)*(('cost master'!$H:$H&gt;=B1214)+ISBLANK('cost master'!$H:$H))),1),0)"),2.6)</f>
        <v>2.6</v>
      </c>
      <c r="I1214" s="3">
        <f t="shared" si="4"/>
        <v>0</v>
      </c>
      <c r="J1214" s="27">
        <f t="shared" si="5"/>
        <v>45885</v>
      </c>
      <c r="K1214" s="27">
        <f t="shared" si="6"/>
        <v>45915</v>
      </c>
    </row>
    <row r="1215" hidden="1">
      <c r="A1215" s="3" t="str">
        <f t="shared" si="3"/>
        <v>SL-20250908-Vglobal-CS-CDS-001-3</v>
      </c>
      <c r="B1215" s="2">
        <f t="array" ref="B1215">INDEX(helper!$A$3:$A3996,ROUNDUP((ROW()-1)/COUNTA(helper!$D$3:$D3996),0))</f>
        <v>45908</v>
      </c>
      <c r="C1215" s="5" t="str">
        <f t="array" ref="C1215">IF(B1215="","",INDEX(helper!$D$3:$D3996,MOD(ROW()-2,COUNTA(helper!$D$3:$D3996))+1))</f>
        <v>Vglobal</v>
      </c>
      <c r="D1215" s="3" t="str">
        <f t="array" ref="D1215">IF(B1215="","",INDEX(helper!$E$3:$E3996,MOD(ROW()-2,COUNTA(helper!$D$3:$D3996))+1))</f>
        <v>CS-CDS-001</v>
      </c>
      <c r="E1215" s="3">
        <f t="array" ref="E1215">IF(B1215="","",INDEX(helper!$F$3:$F3996,MOD(ROW()-2,COUNTA(helper!$D$3:$D3996))+1))</f>
        <v>3</v>
      </c>
      <c r="F1215" s="3">
        <f>IF(B1215="","",SUMIFS('inventory ledger'!$H:$H,'inventory ledger'!$C:$C,C1215,'inventory ledger'!$D:$D,D1215,'inventory ledger'!$E:$E,E1215,'inventory ledger'!$A:$A,"&lt;="&amp;B1215+TIME(23,59,59))-SUMIFS('inventory ledger'!$I:$I,'inventory ledger'!$C:$C,C1215,'inventory ledger'!$D:$D,D1215,'inventory ledger'!$E:$E,E1215,'inventory ledger'!$A:$A,"&lt;="&amp;B1215+TIME(23,59,59)))</f>
        <v>1</v>
      </c>
      <c r="G1215" s="3">
        <f>IFERROR(__xludf.DUMMYFUNCTION("IF(F1215&lt;=0,0,IFERROR(ROUNDUP(F1215/INDEX(FILTER('warehouse config'!$D:$D,('warehouse config'!$B:$B=C1215)*('warehouse config'!$C:$C=D1215)*('warehouse config'!$G:$G&lt;=B1215)*(('warehouse config'!$H:$H&gt;=B1215)+ISBLANK('warehouse config'!$H:$H))),1)),0))"),1.0)</f>
        <v>1</v>
      </c>
      <c r="H1215" s="3">
        <f>IFERROR(__xludf.DUMMYFUNCTION("IFERROR(INDEX(FILTER('cost master'!$E:$E,('cost master'!$B:$B=C1215)*('cost master'!$D:$D=""Storage cost per pallet / week"")*('cost master'!$G:$G&lt;=B1215)*(('cost master'!$H:$H&gt;=B1215)+ISBLANK('cost master'!$H:$H))),1),0)"),2.6)</f>
        <v>2.6</v>
      </c>
      <c r="I1215" s="3">
        <f t="shared" si="4"/>
        <v>2.6</v>
      </c>
      <c r="J1215" s="27">
        <f t="shared" si="5"/>
        <v>45885</v>
      </c>
      <c r="K1215" s="27">
        <f t="shared" si="6"/>
        <v>45915</v>
      </c>
    </row>
    <row r="1216" hidden="1">
      <c r="A1216" s="3" t="str">
        <f t="shared" si="3"/>
        <v>SL-20250908-Vglobal-CS-CDS-002-3</v>
      </c>
      <c r="B1216" s="2">
        <f t="array" ref="B1216">INDEX(helper!$A$3:$A3996,ROUNDUP((ROW()-1)/COUNTA(helper!$D$3:$D3996),0))</f>
        <v>45908</v>
      </c>
      <c r="C1216" s="5" t="str">
        <f t="array" ref="C1216">IF(B1216="","",INDEX(helper!$D$3:$D3996,MOD(ROW()-2,COUNTA(helper!$D$3:$D3996))+1))</f>
        <v>Vglobal</v>
      </c>
      <c r="D1216" s="3" t="str">
        <f t="array" ref="D1216">IF(B1216="","",INDEX(helper!$E$3:$E3996,MOD(ROW()-2,COUNTA(helper!$D$3:$D3996))+1))</f>
        <v>CS-CDS-002</v>
      </c>
      <c r="E1216" s="3">
        <f t="array" ref="E1216">IF(B1216="","",INDEX(helper!$F$3:$F3996,MOD(ROW()-2,COUNTA(helper!$D$3:$D3996))+1))</f>
        <v>3</v>
      </c>
      <c r="F1216" s="3">
        <f>IF(B1216="","",SUMIFS('inventory ledger'!$H:$H,'inventory ledger'!$C:$C,C1216,'inventory ledger'!$D:$D,D1216,'inventory ledger'!$E:$E,E1216,'inventory ledger'!$A:$A,"&lt;="&amp;B1216+TIME(23,59,59))-SUMIFS('inventory ledger'!$I:$I,'inventory ledger'!$C:$C,C1216,'inventory ledger'!$D:$D,D1216,'inventory ledger'!$E:$E,E1216,'inventory ledger'!$A:$A,"&lt;="&amp;B1216+TIME(23,59,59)))</f>
        <v>0</v>
      </c>
      <c r="G1216" s="3">
        <f>IFERROR(__xludf.DUMMYFUNCTION("IF(F1216&lt;=0,0,IFERROR(ROUNDUP(F1216/INDEX(FILTER('warehouse config'!$D:$D,('warehouse config'!$B:$B=C1216)*('warehouse config'!$C:$C=D1216)*('warehouse config'!$G:$G&lt;=B1216)*(('warehouse config'!$H:$H&gt;=B1216)+ISBLANK('warehouse config'!$H:$H))),1)),0))"),0.0)</f>
        <v>0</v>
      </c>
      <c r="H1216" s="3">
        <f>IFERROR(__xludf.DUMMYFUNCTION("IFERROR(INDEX(FILTER('cost master'!$E:$E,('cost master'!$B:$B=C1216)*('cost master'!$D:$D=""Storage cost per pallet / week"")*('cost master'!$G:$G&lt;=B1216)*(('cost master'!$H:$H&gt;=B1216)+ISBLANK('cost master'!$H:$H))),1),0)"),2.6)</f>
        <v>2.6</v>
      </c>
      <c r="I1216" s="3">
        <f t="shared" si="4"/>
        <v>0</v>
      </c>
      <c r="J1216" s="27">
        <f t="shared" si="5"/>
        <v>45885</v>
      </c>
      <c r="K1216" s="27">
        <f t="shared" si="6"/>
        <v>45915</v>
      </c>
    </row>
    <row r="1217" hidden="1">
      <c r="A1217" s="3" t="str">
        <f t="shared" si="3"/>
        <v>SL-20250908-4as-CS-CDS-001-4</v>
      </c>
      <c r="B1217" s="2">
        <f t="array" ref="B1217">INDEX(helper!$A$3:$A3996,ROUNDUP((ROW()-1)/COUNTA(helper!$D$3:$D3996),0))</f>
        <v>45908</v>
      </c>
      <c r="C1217" s="5" t="str">
        <f t="array" ref="C1217">IF(B1217="","",INDEX(helper!$D$3:$D3996,MOD(ROW()-2,COUNTA(helper!$D$3:$D3996))+1))</f>
        <v>4as</v>
      </c>
      <c r="D1217" s="3" t="str">
        <f t="array" ref="D1217">IF(B1217="","",INDEX(helper!$E$3:$E3996,MOD(ROW()-2,COUNTA(helper!$D$3:$D3996))+1))</f>
        <v>CS-CDS-001</v>
      </c>
      <c r="E1217" s="3">
        <f t="array" ref="E1217">IF(B1217="","",INDEX(helper!$F$3:$F3996,MOD(ROW()-2,COUNTA(helper!$D$3:$D3996))+1))</f>
        <v>4</v>
      </c>
      <c r="F1217" s="3">
        <f>IF(B1217="","",SUMIFS('inventory ledger'!$H:$H,'inventory ledger'!$C:$C,C1217,'inventory ledger'!$D:$D,D1217,'inventory ledger'!$E:$E,E1217,'inventory ledger'!$A:$A,"&lt;="&amp;B1217+TIME(23,59,59))-SUMIFS('inventory ledger'!$I:$I,'inventory ledger'!$C:$C,C1217,'inventory ledger'!$D:$D,D1217,'inventory ledger'!$E:$E,E1217,'inventory ledger'!$A:$A,"&lt;="&amp;B1217+TIME(23,59,59)))</f>
        <v>0</v>
      </c>
      <c r="G1217" s="3">
        <f>IFERROR(__xludf.DUMMYFUNCTION("IF(F1217&lt;=0,0,IFERROR(ROUNDUP(F1217/INDEX(FILTER('warehouse config'!$D:$D,('warehouse config'!$B:$B=C1217)*('warehouse config'!$C:$C=D1217)*('warehouse config'!$G:$G&lt;=B1217)*(('warehouse config'!$H:$H&gt;=B1217)+ISBLANK('warehouse config'!$H:$H))),1)),0))"),0.0)</f>
        <v>0</v>
      </c>
      <c r="H1217" s="3">
        <f>IFERROR(__xludf.DUMMYFUNCTION("IFERROR(INDEX(FILTER('cost master'!$E:$E,('cost master'!$B:$B=C1217)*('cost master'!$D:$D=""Storage cost per pallet / week"")*('cost master'!$G:$G&lt;=B1217)*(('cost master'!$H:$H&gt;=B1217)+ISBLANK('cost master'!$H:$H))),1),0)"),9.0)</f>
        <v>9</v>
      </c>
      <c r="I1217" s="3">
        <f t="shared" si="4"/>
        <v>0</v>
      </c>
      <c r="J1217" s="27">
        <f t="shared" si="5"/>
        <v>45885</v>
      </c>
      <c r="K1217" s="27">
        <f t="shared" si="6"/>
        <v>45915</v>
      </c>
    </row>
    <row r="1218" hidden="1">
      <c r="A1218" s="3" t="str">
        <f t="shared" si="3"/>
        <v>SL-20250908-4as-CS-CDS-002-4</v>
      </c>
      <c r="B1218" s="2">
        <f t="array" ref="B1218">INDEX(helper!$A$3:$A3996,ROUNDUP((ROW()-1)/COUNTA(helper!$D$3:$D3996),0))</f>
        <v>45908</v>
      </c>
      <c r="C1218" s="5" t="str">
        <f t="array" ref="C1218">IF(B1218="","",INDEX(helper!$D$3:$D3996,MOD(ROW()-2,COUNTA(helper!$D$3:$D3996))+1))</f>
        <v>4as</v>
      </c>
      <c r="D1218" s="3" t="str">
        <f t="array" ref="D1218">IF(B1218="","",INDEX(helper!$E$3:$E3996,MOD(ROW()-2,COUNTA(helper!$D$3:$D3996))+1))</f>
        <v>CS-CDS-002</v>
      </c>
      <c r="E1218" s="3">
        <f t="array" ref="E1218">IF(B1218="","",INDEX(helper!$F$3:$F3996,MOD(ROW()-2,COUNTA(helper!$D$3:$D3996))+1))</f>
        <v>4</v>
      </c>
      <c r="F1218" s="3">
        <f>IF(B1218="","",SUMIFS('inventory ledger'!$H:$H,'inventory ledger'!$C:$C,C1218,'inventory ledger'!$D:$D,D1218,'inventory ledger'!$E:$E,E1218,'inventory ledger'!$A:$A,"&lt;="&amp;B1218+TIME(23,59,59))-SUMIFS('inventory ledger'!$I:$I,'inventory ledger'!$C:$C,C1218,'inventory ledger'!$D:$D,D1218,'inventory ledger'!$E:$E,E1218,'inventory ledger'!$A:$A,"&lt;="&amp;B1218+TIME(23,59,59)))</f>
        <v>0</v>
      </c>
      <c r="G1218" s="3">
        <f>IFERROR(__xludf.DUMMYFUNCTION("IF(F1218&lt;=0,0,IFERROR(ROUNDUP(F1218/INDEX(FILTER('warehouse config'!$D:$D,('warehouse config'!$B:$B=C1218)*('warehouse config'!$C:$C=D1218)*('warehouse config'!$G:$G&lt;=B1218)*(('warehouse config'!$H:$H&gt;=B1218)+ISBLANK('warehouse config'!$H:$H))),1)),0))"),0.0)</f>
        <v>0</v>
      </c>
      <c r="H1218" s="3">
        <f>IFERROR(__xludf.DUMMYFUNCTION("IFERROR(INDEX(FILTER('cost master'!$E:$E,('cost master'!$B:$B=C1218)*('cost master'!$D:$D=""Storage cost per pallet / week"")*('cost master'!$G:$G&lt;=B1218)*(('cost master'!$H:$H&gt;=B1218)+ISBLANK('cost master'!$H:$H))),1),0)"),9.0)</f>
        <v>9</v>
      </c>
      <c r="I1218" s="3">
        <f t="shared" si="4"/>
        <v>0</v>
      </c>
      <c r="J1218" s="27">
        <f t="shared" si="5"/>
        <v>45885</v>
      </c>
      <c r="K1218" s="27">
        <f t="shared" si="6"/>
        <v>45915</v>
      </c>
    </row>
    <row r="1219" hidden="1">
      <c r="A1219" s="3" t="str">
        <f t="shared" si="3"/>
        <v>SL-20250908-Vglobal-CS 007-13</v>
      </c>
      <c r="B1219" s="2">
        <f t="array" ref="B1219">INDEX(helper!$A$3:$A3996,ROUNDUP((ROW()-1)/COUNTA(helper!$D$3:$D3996),0))</f>
        <v>45908</v>
      </c>
      <c r="C1219" s="5" t="str">
        <f t="array" ref="C1219">IF(B1219="","",INDEX(helper!$D$3:$D3996,MOD(ROW()-2,COUNTA(helper!$D$3:$D3996))+1))</f>
        <v>Vglobal</v>
      </c>
      <c r="D1219" s="3" t="str">
        <f t="array" ref="D1219">IF(B1219="","",INDEX(helper!$E$3:$E3996,MOD(ROW()-2,COUNTA(helper!$D$3:$D3996))+1))</f>
        <v>CS 007</v>
      </c>
      <c r="E1219" s="3">
        <f t="array" ref="E1219">IF(B1219="","",INDEX(helper!$F$3:$F3996,MOD(ROW()-2,COUNTA(helper!$D$3:$D3996))+1))</f>
        <v>13</v>
      </c>
      <c r="F1219" s="3">
        <f>IF(B1219="","",SUMIFS('inventory ledger'!$H:$H,'inventory ledger'!$C:$C,C1219,'inventory ledger'!$D:$D,D1219,'inventory ledger'!$E:$E,E1219,'inventory ledger'!$A:$A,"&lt;="&amp;B1219+TIME(23,59,59))-SUMIFS('inventory ledger'!$I:$I,'inventory ledger'!$C:$C,C1219,'inventory ledger'!$D:$D,D1219,'inventory ledger'!$E:$E,E1219,'inventory ledger'!$A:$A,"&lt;="&amp;B1219+TIME(23,59,59)))</f>
        <v>45</v>
      </c>
      <c r="G1219" s="3">
        <f>IFERROR(__xludf.DUMMYFUNCTION("IF(F1219&lt;=0,0,IFERROR(ROUNDUP(F1219/INDEX(FILTER('warehouse config'!$D:$D,('warehouse config'!$B:$B=C1219)*('warehouse config'!$C:$C=D1219)*('warehouse config'!$G:$G&lt;=B1219)*(('warehouse config'!$H:$H&gt;=B1219)+ISBLANK('warehouse config'!$H:$H))),1)),0))"),3.0)</f>
        <v>3</v>
      </c>
      <c r="H1219" s="3">
        <f>IFERROR(__xludf.DUMMYFUNCTION("IFERROR(INDEX(FILTER('cost master'!$E:$E,('cost master'!$B:$B=C1219)*('cost master'!$D:$D=""Storage cost per pallet / week"")*('cost master'!$G:$G&lt;=B1219)*(('cost master'!$H:$H&gt;=B1219)+ISBLANK('cost master'!$H:$H))),1),0)"),2.6)</f>
        <v>2.6</v>
      </c>
      <c r="I1219" s="3">
        <f t="shared" si="4"/>
        <v>7.8</v>
      </c>
      <c r="J1219" s="27">
        <f t="shared" si="5"/>
        <v>45885</v>
      </c>
      <c r="K1219" s="27">
        <f t="shared" si="6"/>
        <v>45915</v>
      </c>
    </row>
    <row r="1220" hidden="1">
      <c r="A1220" s="3" t="str">
        <f t="shared" si="3"/>
        <v>SL-20250908-Vglobal-CS 011-13</v>
      </c>
      <c r="B1220" s="2">
        <f t="array" ref="B1220">INDEX(helper!$A$3:$A3996,ROUNDUP((ROW()-1)/COUNTA(helper!$D$3:$D3996),0))</f>
        <v>45908</v>
      </c>
      <c r="C1220" s="5" t="str">
        <f t="array" ref="C1220">IF(B1220="","",INDEX(helper!$D$3:$D3996,MOD(ROW()-2,COUNTA(helper!$D$3:$D3996))+1))</f>
        <v>Vglobal</v>
      </c>
      <c r="D1220" s="3" t="str">
        <f t="array" ref="D1220">IF(B1220="","",INDEX(helper!$E$3:$E3996,MOD(ROW()-2,COUNTA(helper!$D$3:$D3996))+1))</f>
        <v>CS 011</v>
      </c>
      <c r="E1220" s="3">
        <f t="array" ref="E1220">IF(B1220="","",INDEX(helper!$F$3:$F3996,MOD(ROW()-2,COUNTA(helper!$D$3:$D3996))+1))</f>
        <v>13</v>
      </c>
      <c r="F1220" s="3">
        <f>IF(B1220="","",SUMIFS('inventory ledger'!$H:$H,'inventory ledger'!$C:$C,C1220,'inventory ledger'!$D:$D,D1220,'inventory ledger'!$E:$E,E1220,'inventory ledger'!$A:$A,"&lt;="&amp;B1220+TIME(23,59,59))-SUMIFS('inventory ledger'!$I:$I,'inventory ledger'!$C:$C,C1220,'inventory ledger'!$D:$D,D1220,'inventory ledger'!$E:$E,E1220,'inventory ledger'!$A:$A,"&lt;="&amp;B1220+TIME(23,59,59)))</f>
        <v>0</v>
      </c>
      <c r="G1220" s="3">
        <f>IFERROR(__xludf.DUMMYFUNCTION("IF(F1220&lt;=0,0,IFERROR(ROUNDUP(F1220/INDEX(FILTER('warehouse config'!$D:$D,('warehouse config'!$B:$B=C1220)*('warehouse config'!$C:$C=D1220)*('warehouse config'!$G:$G&lt;=B1220)*(('warehouse config'!$H:$H&gt;=B1220)+ISBLANK('warehouse config'!$H:$H))),1)),0))"),0.0)</f>
        <v>0</v>
      </c>
      <c r="H1220" s="3">
        <f>IFERROR(__xludf.DUMMYFUNCTION("IFERROR(INDEX(FILTER('cost master'!$E:$E,('cost master'!$B:$B=C1220)*('cost master'!$D:$D=""Storage cost per pallet / week"")*('cost master'!$G:$G&lt;=B1220)*(('cost master'!$H:$H&gt;=B1220)+ISBLANK('cost master'!$H:$H))),1),0)"),2.6)</f>
        <v>2.6</v>
      </c>
      <c r="I1220" s="3">
        <f t="shared" si="4"/>
        <v>0</v>
      </c>
      <c r="J1220" s="27">
        <f t="shared" si="5"/>
        <v>45885</v>
      </c>
      <c r="K1220" s="27">
        <f t="shared" si="6"/>
        <v>45915</v>
      </c>
    </row>
    <row r="1221" hidden="1">
      <c r="A1221" s="3" t="str">
        <f t="shared" si="3"/>
        <v>SL-20250908-Vglobal-CS 008-13</v>
      </c>
      <c r="B1221" s="2">
        <f t="array" ref="B1221">INDEX(helper!$A$3:$A3996,ROUNDUP((ROW()-1)/COUNTA(helper!$D$3:$D3996),0))</f>
        <v>45908</v>
      </c>
      <c r="C1221" s="5" t="str">
        <f t="array" ref="C1221">IF(B1221="","",INDEX(helper!$D$3:$D3996,MOD(ROW()-2,COUNTA(helper!$D$3:$D3996))+1))</f>
        <v>Vglobal</v>
      </c>
      <c r="D1221" s="3" t="str">
        <f t="array" ref="D1221">IF(B1221="","",INDEX(helper!$E$3:$E3996,MOD(ROW()-2,COUNTA(helper!$D$3:$D3996))+1))</f>
        <v>CS 008</v>
      </c>
      <c r="E1221" s="3">
        <f t="array" ref="E1221">IF(B1221="","",INDEX(helper!$F$3:$F3996,MOD(ROW()-2,COUNTA(helper!$D$3:$D3996))+1))</f>
        <v>13</v>
      </c>
      <c r="F1221" s="3">
        <f>IF(B1221="","",SUMIFS('inventory ledger'!$H:$H,'inventory ledger'!$C:$C,C1221,'inventory ledger'!$D:$D,D1221,'inventory ledger'!$E:$E,E1221,'inventory ledger'!$A:$A,"&lt;="&amp;B1221+TIME(23,59,59))-SUMIFS('inventory ledger'!$I:$I,'inventory ledger'!$C:$C,C1221,'inventory ledger'!$D:$D,D1221,'inventory ledger'!$E:$E,E1221,'inventory ledger'!$A:$A,"&lt;="&amp;B1221+TIME(23,59,59)))</f>
        <v>20</v>
      </c>
      <c r="G1221" s="3">
        <f>IFERROR(__xludf.DUMMYFUNCTION("IF(F1221&lt;=0,0,IFERROR(ROUNDUP(F1221/INDEX(FILTER('warehouse config'!$D:$D,('warehouse config'!$B:$B=C1221)*('warehouse config'!$C:$C=D1221)*('warehouse config'!$G:$G&lt;=B1221)*(('warehouse config'!$H:$H&gt;=B1221)+ISBLANK('warehouse config'!$H:$H))),1)),0))"),1.0)</f>
        <v>1</v>
      </c>
      <c r="H1221" s="3">
        <f>IFERROR(__xludf.DUMMYFUNCTION("IFERROR(INDEX(FILTER('cost master'!$E:$E,('cost master'!$B:$B=C1221)*('cost master'!$D:$D=""Storage cost per pallet / week"")*('cost master'!$G:$G&lt;=B1221)*(('cost master'!$H:$H&gt;=B1221)+ISBLANK('cost master'!$H:$H))),1),0)"),2.6)</f>
        <v>2.6</v>
      </c>
      <c r="I1221" s="3">
        <f t="shared" si="4"/>
        <v>2.6</v>
      </c>
      <c r="J1221" s="27">
        <f t="shared" si="5"/>
        <v>45885</v>
      </c>
      <c r="K1221" s="27">
        <f t="shared" si="6"/>
        <v>45915</v>
      </c>
    </row>
    <row r="1222" hidden="1">
      <c r="A1222" s="3" t="str">
        <f t="shared" si="3"/>
        <v>SL-20250908-Vglobal-CS 010-13</v>
      </c>
      <c r="B1222" s="2">
        <f t="array" ref="B1222">INDEX(helper!$A$3:$A3996,ROUNDUP((ROW()-1)/COUNTA(helper!$D$3:$D3996),0))</f>
        <v>45908</v>
      </c>
      <c r="C1222" s="5" t="str">
        <f t="array" ref="C1222">IF(B1222="","",INDEX(helper!$D$3:$D3996,MOD(ROW()-2,COUNTA(helper!$D$3:$D3996))+1))</f>
        <v>Vglobal</v>
      </c>
      <c r="D1222" s="3" t="str">
        <f t="array" ref="D1222">IF(B1222="","",INDEX(helper!$E$3:$E3996,MOD(ROW()-2,COUNTA(helper!$D$3:$D3996))+1))</f>
        <v>CS 010</v>
      </c>
      <c r="E1222" s="3">
        <f t="array" ref="E1222">IF(B1222="","",INDEX(helper!$F$3:$F3996,MOD(ROW()-2,COUNTA(helper!$D$3:$D3996))+1))</f>
        <v>13</v>
      </c>
      <c r="F1222" s="3">
        <f>IF(B1222="","",SUMIFS('inventory ledger'!$H:$H,'inventory ledger'!$C:$C,C1222,'inventory ledger'!$D:$D,D1222,'inventory ledger'!$E:$E,E1222,'inventory ledger'!$A:$A,"&lt;="&amp;B1222+TIME(23,59,59))-SUMIFS('inventory ledger'!$I:$I,'inventory ledger'!$C:$C,C1222,'inventory ledger'!$D:$D,D1222,'inventory ledger'!$E:$E,E1222,'inventory ledger'!$A:$A,"&lt;="&amp;B1222+TIME(23,59,59)))</f>
        <v>80</v>
      </c>
      <c r="G1222" s="3">
        <f>IFERROR(__xludf.DUMMYFUNCTION("IF(F1222&lt;=0,0,IFERROR(ROUNDUP(F1222/INDEX(FILTER('warehouse config'!$D:$D,('warehouse config'!$B:$B=C1222)*('warehouse config'!$C:$C=D1222)*('warehouse config'!$G:$G&lt;=B1222)*(('warehouse config'!$H:$H&gt;=B1222)+ISBLANK('warehouse config'!$H:$H))),1)),0))"),4.0)</f>
        <v>4</v>
      </c>
      <c r="H1222" s="3">
        <f>IFERROR(__xludf.DUMMYFUNCTION("IFERROR(INDEX(FILTER('cost master'!$E:$E,('cost master'!$B:$B=C1222)*('cost master'!$D:$D=""Storage cost per pallet / week"")*('cost master'!$G:$G&lt;=B1222)*(('cost master'!$H:$H&gt;=B1222)+ISBLANK('cost master'!$H:$H))),1),0)"),2.6)</f>
        <v>2.6</v>
      </c>
      <c r="I1222" s="3">
        <f t="shared" si="4"/>
        <v>10.4</v>
      </c>
      <c r="J1222" s="27">
        <f t="shared" si="5"/>
        <v>45885</v>
      </c>
      <c r="K1222" s="27">
        <f t="shared" si="6"/>
        <v>45915</v>
      </c>
    </row>
    <row r="1223" hidden="1">
      <c r="A1223" s="3" t="str">
        <f t="shared" si="3"/>
        <v>SL-20250908-Vglobal-CS 009-13</v>
      </c>
      <c r="B1223" s="2">
        <f t="array" ref="B1223">INDEX(helper!$A$3:$A3996,ROUNDUP((ROW()-1)/COUNTA(helper!$D$3:$D3996),0))</f>
        <v>45908</v>
      </c>
      <c r="C1223" s="5" t="str">
        <f t="array" ref="C1223">IF(B1223="","",INDEX(helper!$D$3:$D3996,MOD(ROW()-2,COUNTA(helper!$D$3:$D3996))+1))</f>
        <v>Vglobal</v>
      </c>
      <c r="D1223" s="3" t="str">
        <f t="array" ref="D1223">IF(B1223="","",INDEX(helper!$E$3:$E3996,MOD(ROW()-2,COUNTA(helper!$D$3:$D3996))+1))</f>
        <v>CS 009</v>
      </c>
      <c r="E1223" s="3">
        <f t="array" ref="E1223">IF(B1223="","",INDEX(helper!$F$3:$F3996,MOD(ROW()-2,COUNTA(helper!$D$3:$D3996))+1))</f>
        <v>13</v>
      </c>
      <c r="F1223" s="3">
        <f>IF(B1223="","",SUMIFS('inventory ledger'!$H:$H,'inventory ledger'!$C:$C,C1223,'inventory ledger'!$D:$D,D1223,'inventory ledger'!$E:$E,E1223,'inventory ledger'!$A:$A,"&lt;="&amp;B1223+TIME(23,59,59))-SUMIFS('inventory ledger'!$I:$I,'inventory ledger'!$C:$C,C1223,'inventory ledger'!$D:$D,D1223,'inventory ledger'!$E:$E,E1223,'inventory ledger'!$A:$A,"&lt;="&amp;B1223+TIME(23,59,59)))</f>
        <v>0</v>
      </c>
      <c r="G1223" s="3">
        <f>IFERROR(__xludf.DUMMYFUNCTION("IF(F1223&lt;=0,0,IFERROR(ROUNDUP(F1223/INDEX(FILTER('warehouse config'!$D:$D,('warehouse config'!$B:$B=C1223)*('warehouse config'!$C:$C=D1223)*('warehouse config'!$G:$G&lt;=B1223)*(('warehouse config'!$H:$H&gt;=B1223)+ISBLANK('warehouse config'!$H:$H))),1)),0))"),0.0)</f>
        <v>0</v>
      </c>
      <c r="H1223" s="3">
        <f>IFERROR(__xludf.DUMMYFUNCTION("IFERROR(INDEX(FILTER('cost master'!$E:$E,('cost master'!$B:$B=C1223)*('cost master'!$D:$D=""Storage cost per pallet / week"")*('cost master'!$G:$G&lt;=B1223)*(('cost master'!$H:$H&gt;=B1223)+ISBLANK('cost master'!$H:$H))),1),0)"),2.6)</f>
        <v>2.6</v>
      </c>
      <c r="I1223" s="3">
        <f t="shared" si="4"/>
        <v>0</v>
      </c>
      <c r="J1223" s="27">
        <f t="shared" si="5"/>
        <v>45885</v>
      </c>
      <c r="K1223" s="27">
        <f t="shared" si="6"/>
        <v>45915</v>
      </c>
    </row>
    <row r="1224" hidden="1">
      <c r="A1224" s="3" t="str">
        <f t="shared" si="3"/>
        <v>SL-20250908-Vglobal-CS 012-13</v>
      </c>
      <c r="B1224" s="2">
        <f t="array" ref="B1224">INDEX(helper!$A$3:$A3996,ROUNDUP((ROW()-1)/COUNTA(helper!$D$3:$D3996),0))</f>
        <v>45908</v>
      </c>
      <c r="C1224" s="5" t="str">
        <f t="array" ref="C1224">IF(B1224="","",INDEX(helper!$D$3:$D3996,MOD(ROW()-2,COUNTA(helper!$D$3:$D3996))+1))</f>
        <v>Vglobal</v>
      </c>
      <c r="D1224" s="3" t="str">
        <f t="array" ref="D1224">IF(B1224="","",INDEX(helper!$E$3:$E3996,MOD(ROW()-2,COUNTA(helper!$D$3:$D3996))+1))</f>
        <v>CS 012</v>
      </c>
      <c r="E1224" s="3">
        <f t="array" ref="E1224">IF(B1224="","",INDEX(helper!$F$3:$F3996,MOD(ROW()-2,COUNTA(helper!$D$3:$D3996))+1))</f>
        <v>13</v>
      </c>
      <c r="F1224" s="3">
        <f>IF(B1224="","",SUMIFS('inventory ledger'!$H:$H,'inventory ledger'!$C:$C,C1224,'inventory ledger'!$D:$D,D1224,'inventory ledger'!$E:$E,E1224,'inventory ledger'!$A:$A,"&lt;="&amp;B1224+TIME(23,59,59))-SUMIFS('inventory ledger'!$I:$I,'inventory ledger'!$C:$C,C1224,'inventory ledger'!$D:$D,D1224,'inventory ledger'!$E:$E,E1224,'inventory ledger'!$A:$A,"&lt;="&amp;B1224+TIME(23,59,59)))</f>
        <v>0</v>
      </c>
      <c r="G1224" s="3">
        <f>IFERROR(__xludf.DUMMYFUNCTION("IF(F1224&lt;=0,0,IFERROR(ROUNDUP(F1224/INDEX(FILTER('warehouse config'!$D:$D,('warehouse config'!$B:$B=C1224)*('warehouse config'!$C:$C=D1224)*('warehouse config'!$G:$G&lt;=B1224)*(('warehouse config'!$H:$H&gt;=B1224)+ISBLANK('warehouse config'!$H:$H))),1)),0))"),0.0)</f>
        <v>0</v>
      </c>
      <c r="H1224" s="3">
        <f>IFERROR(__xludf.DUMMYFUNCTION("IFERROR(INDEX(FILTER('cost master'!$E:$E,('cost master'!$B:$B=C1224)*('cost master'!$D:$D=""Storage cost per pallet / week"")*('cost master'!$G:$G&lt;=B1224)*(('cost master'!$H:$H&gt;=B1224)+ISBLANK('cost master'!$H:$H))),1),0)"),2.6)</f>
        <v>2.6</v>
      </c>
      <c r="I1224" s="3">
        <f t="shared" si="4"/>
        <v>0</v>
      </c>
      <c r="J1224" s="27">
        <f t="shared" si="5"/>
        <v>45885</v>
      </c>
      <c r="K1224" s="27">
        <f t="shared" si="6"/>
        <v>45915</v>
      </c>
    </row>
    <row r="1225">
      <c r="A1225" s="3" t="str">
        <f t="shared" si="3"/>
        <v>SL-20250908-FMC-CS 008-11</v>
      </c>
      <c r="B1225" s="2">
        <f t="array" ref="B1225">INDEX(helper!$A$3:$A3996,ROUNDUP((ROW()-1)/COUNTA(helper!$D$3:$D3996),0))</f>
        <v>45908</v>
      </c>
      <c r="C1225" s="5" t="str">
        <f t="array" ref="C1225">IF(B1225="","",INDEX(helper!$D$3:$D3996,MOD(ROW()-2,COUNTA(helper!$D$3:$D3996))+1))</f>
        <v>FMC</v>
      </c>
      <c r="D1225" s="3" t="str">
        <f t="array" ref="D1225">IF(B1225="","",INDEX(helper!$E$3:$E3996,MOD(ROW()-2,COUNTA(helper!$D$3:$D3996))+1))</f>
        <v>CS 008</v>
      </c>
      <c r="E1225" s="3">
        <f t="array" ref="E1225">IF(B1225="","",INDEX(helper!$F$3:$F3996,MOD(ROW()-2,COUNTA(helper!$D$3:$D3996))+1))</f>
        <v>11</v>
      </c>
      <c r="F1225" s="3">
        <f>IF(B1225="","",SUMIFS('inventory ledger'!$H:$H,'inventory ledger'!$C:$C,C1225,'inventory ledger'!$D:$D,D1225,'inventory ledger'!$E:$E,E1225,'inventory ledger'!$A:$A,"&lt;="&amp;B1225+TIME(23,59,59))-SUMIFS('inventory ledger'!$I:$I,'inventory ledger'!$C:$C,C1225,'inventory ledger'!$D:$D,D1225,'inventory ledger'!$E:$E,E1225,'inventory ledger'!$A:$A,"&lt;="&amp;B1225+TIME(23,59,59)))</f>
        <v>-2</v>
      </c>
      <c r="G1225" s="3">
        <f>IFERROR(__xludf.DUMMYFUNCTION("IF(F1225&lt;=0,0,IFERROR(ROUNDUP(F1225/INDEX(FILTER('warehouse config'!$D:$D,('warehouse config'!$B:$B=C1225)*('warehouse config'!$C:$C=D1225)*('warehouse config'!$G:$G&lt;=B1225)*(('warehouse config'!$H:$H&gt;=B1225)+ISBLANK('warehouse config'!$H:$H))),1)),0))"),0.0)</f>
        <v>0</v>
      </c>
      <c r="H1225" s="3">
        <f>IFERROR(__xludf.DUMMYFUNCTION("IFERROR(INDEX(FILTER('cost master'!$E:$E,('cost master'!$B:$B=C1225)*('cost master'!$D:$D=""Storage cost per pallet / week"")*('cost master'!$G:$G&lt;=B1225)*(('cost master'!$H:$H&gt;=B1225)+ISBLANK('cost master'!$H:$H))),1),0)"),3.9)</f>
        <v>3.9</v>
      </c>
      <c r="I1225" s="3">
        <f t="shared" si="4"/>
        <v>0</v>
      </c>
      <c r="J1225" s="27">
        <f t="shared" si="5"/>
        <v>45885</v>
      </c>
      <c r="K1225" s="27">
        <f t="shared" si="6"/>
        <v>45915</v>
      </c>
    </row>
    <row r="1226" hidden="1">
      <c r="A1226" s="3" t="str">
        <f t="shared" si="3"/>
        <v>SL-20250915-FMC-CS 007-8</v>
      </c>
      <c r="B1226" s="2">
        <f t="array" ref="B1226">INDEX(helper!$A$3:$A3996,ROUNDUP((ROW()-1)/COUNTA(helper!$D$3:$D3996),0))</f>
        <v>45915</v>
      </c>
      <c r="C1226" s="5" t="str">
        <f t="array" ref="C1226">IF(B1226="","",INDEX(helper!$D$3:$D3996,MOD(ROW()-2,COUNTA(helper!$D$3:$D3996))+1))</f>
        <v>FMC</v>
      </c>
      <c r="D1226" s="3" t="str">
        <f t="array" ref="D1226">IF(B1226="","",INDEX(helper!$E$3:$E3996,MOD(ROW()-2,COUNTA(helper!$D$3:$D3996))+1))</f>
        <v>CS 007</v>
      </c>
      <c r="E1226" s="3">
        <f t="array" ref="E1226">IF(B1226="","",INDEX(helper!$F$3:$F3996,MOD(ROW()-2,COUNTA(helper!$D$3:$D3996))+1))</f>
        <v>8</v>
      </c>
      <c r="F1226" s="3">
        <f>IF(B1226="","",SUMIFS('inventory ledger'!$H:$H,'inventory ledger'!$C:$C,C1226,'inventory ledger'!$D:$D,D1226,'inventory ledger'!$E:$E,E1226,'inventory ledger'!$A:$A,"&lt;="&amp;B1226+TIME(23,59,59))-SUMIFS('inventory ledger'!$I:$I,'inventory ledger'!$C:$C,C1226,'inventory ledger'!$D:$D,D1226,'inventory ledger'!$E:$E,E1226,'inventory ledger'!$A:$A,"&lt;="&amp;B1226+TIME(23,59,59)))</f>
        <v>0</v>
      </c>
      <c r="G1226" s="3">
        <f>IFERROR(__xludf.DUMMYFUNCTION("IF(F1226&lt;=0,0,IFERROR(ROUNDUP(F1226/INDEX(FILTER('warehouse config'!$D:$D,('warehouse config'!$B:$B=C1226)*('warehouse config'!$C:$C=D1226)*('warehouse config'!$G:$G&lt;=B1226)*(('warehouse config'!$H:$H&gt;=B1226)+ISBLANK('warehouse config'!$H:$H))),1)),0))"),0.0)</f>
        <v>0</v>
      </c>
      <c r="H1226" s="3">
        <f>IFERROR(__xludf.DUMMYFUNCTION("IFERROR(INDEX(FILTER('cost master'!$E:$E,('cost master'!$B:$B=C1226)*('cost master'!$D:$D=""Storage cost per pallet / week"")*('cost master'!$G:$G&lt;=B1226)*(('cost master'!$H:$H&gt;=B1226)+ISBLANK('cost master'!$H:$H))),1),0)"),3.9)</f>
        <v>3.9</v>
      </c>
      <c r="I1226" s="3">
        <f t="shared" si="4"/>
        <v>0</v>
      </c>
      <c r="J1226" s="27">
        <f t="shared" si="5"/>
        <v>45885</v>
      </c>
      <c r="K1226" s="27">
        <f t="shared" si="6"/>
        <v>45915</v>
      </c>
    </row>
    <row r="1227" hidden="1">
      <c r="A1227" s="3" t="str">
        <f t="shared" si="3"/>
        <v>SL-20250915-FMC-CS 008-8</v>
      </c>
      <c r="B1227" s="2">
        <f t="array" ref="B1227">INDEX(helper!$A$3:$A3996,ROUNDUP((ROW()-1)/COUNTA(helper!$D$3:$D3996),0))</f>
        <v>45915</v>
      </c>
      <c r="C1227" s="5" t="str">
        <f t="array" ref="C1227">IF(B1227="","",INDEX(helper!$D$3:$D3996,MOD(ROW()-2,COUNTA(helper!$D$3:$D3996))+1))</f>
        <v>FMC</v>
      </c>
      <c r="D1227" s="3" t="str">
        <f t="array" ref="D1227">IF(B1227="","",INDEX(helper!$E$3:$E3996,MOD(ROW()-2,COUNTA(helper!$D$3:$D3996))+1))</f>
        <v>CS 008</v>
      </c>
      <c r="E1227" s="3">
        <f t="array" ref="E1227">IF(B1227="","",INDEX(helper!$F$3:$F3996,MOD(ROW()-2,COUNTA(helper!$D$3:$D3996))+1))</f>
        <v>8</v>
      </c>
      <c r="F1227" s="3">
        <f>IF(B1227="","",SUMIFS('inventory ledger'!$H:$H,'inventory ledger'!$C:$C,C1227,'inventory ledger'!$D:$D,D1227,'inventory ledger'!$E:$E,E1227,'inventory ledger'!$A:$A,"&lt;="&amp;B1227+TIME(23,59,59))-SUMIFS('inventory ledger'!$I:$I,'inventory ledger'!$C:$C,C1227,'inventory ledger'!$D:$D,D1227,'inventory ledger'!$E:$E,E1227,'inventory ledger'!$A:$A,"&lt;="&amp;B1227+TIME(23,59,59)))</f>
        <v>0</v>
      </c>
      <c r="G1227" s="3">
        <f>IFERROR(__xludf.DUMMYFUNCTION("IF(F1227&lt;=0,0,IFERROR(ROUNDUP(F1227/INDEX(FILTER('warehouse config'!$D:$D,('warehouse config'!$B:$B=C1227)*('warehouse config'!$C:$C=D1227)*('warehouse config'!$G:$G&lt;=B1227)*(('warehouse config'!$H:$H&gt;=B1227)+ISBLANK('warehouse config'!$H:$H))),1)),0))"),0.0)</f>
        <v>0</v>
      </c>
      <c r="H1227" s="3">
        <f>IFERROR(__xludf.DUMMYFUNCTION("IFERROR(INDEX(FILTER('cost master'!$E:$E,('cost master'!$B:$B=C1227)*('cost master'!$D:$D=""Storage cost per pallet / week"")*('cost master'!$G:$G&lt;=B1227)*(('cost master'!$H:$H&gt;=B1227)+ISBLANK('cost master'!$H:$H))),1),0)"),3.9)</f>
        <v>3.9</v>
      </c>
      <c r="I1227" s="3">
        <f t="shared" si="4"/>
        <v>0</v>
      </c>
      <c r="J1227" s="27">
        <f t="shared" si="5"/>
        <v>45885</v>
      </c>
      <c r="K1227" s="27">
        <f t="shared" si="6"/>
        <v>45915</v>
      </c>
    </row>
    <row r="1228" hidden="1">
      <c r="A1228" s="3" t="str">
        <f t="shared" si="3"/>
        <v>SL-20250915-FMC-CS 009-8</v>
      </c>
      <c r="B1228" s="2">
        <f t="array" ref="B1228">INDEX(helper!$A$3:$A3996,ROUNDUP((ROW()-1)/COUNTA(helper!$D$3:$D3996),0))</f>
        <v>45915</v>
      </c>
      <c r="C1228" s="5" t="str">
        <f t="array" ref="C1228">IF(B1228="","",INDEX(helper!$D$3:$D3996,MOD(ROW()-2,COUNTA(helper!$D$3:$D3996))+1))</f>
        <v>FMC</v>
      </c>
      <c r="D1228" s="3" t="str">
        <f t="array" ref="D1228">IF(B1228="","",INDEX(helper!$E$3:$E3996,MOD(ROW()-2,COUNTA(helper!$D$3:$D3996))+1))</f>
        <v>CS 009</v>
      </c>
      <c r="E1228" s="3">
        <f t="array" ref="E1228">IF(B1228="","",INDEX(helper!$F$3:$F3996,MOD(ROW()-2,COUNTA(helper!$D$3:$D3996))+1))</f>
        <v>8</v>
      </c>
      <c r="F1228" s="3">
        <f>IF(B1228="","",SUMIFS('inventory ledger'!$H:$H,'inventory ledger'!$C:$C,C1228,'inventory ledger'!$D:$D,D1228,'inventory ledger'!$E:$E,E1228,'inventory ledger'!$A:$A,"&lt;="&amp;B1228+TIME(23,59,59))-SUMIFS('inventory ledger'!$I:$I,'inventory ledger'!$C:$C,C1228,'inventory ledger'!$D:$D,D1228,'inventory ledger'!$E:$E,E1228,'inventory ledger'!$A:$A,"&lt;="&amp;B1228+TIME(23,59,59)))</f>
        <v>0</v>
      </c>
      <c r="G1228" s="3">
        <f>IFERROR(__xludf.DUMMYFUNCTION("IF(F1228&lt;=0,0,IFERROR(ROUNDUP(F1228/INDEX(FILTER('warehouse config'!$D:$D,('warehouse config'!$B:$B=C1228)*('warehouse config'!$C:$C=D1228)*('warehouse config'!$G:$G&lt;=B1228)*(('warehouse config'!$H:$H&gt;=B1228)+ISBLANK('warehouse config'!$H:$H))),1)),0))"),0.0)</f>
        <v>0</v>
      </c>
      <c r="H1228" s="3">
        <f>IFERROR(__xludf.DUMMYFUNCTION("IFERROR(INDEX(FILTER('cost master'!$E:$E,('cost master'!$B:$B=C1228)*('cost master'!$D:$D=""Storage cost per pallet / week"")*('cost master'!$G:$G&lt;=B1228)*(('cost master'!$H:$H&gt;=B1228)+ISBLANK('cost master'!$H:$H))),1),0)"),3.9)</f>
        <v>3.9</v>
      </c>
      <c r="I1228" s="3">
        <f t="shared" si="4"/>
        <v>0</v>
      </c>
      <c r="J1228" s="27">
        <f t="shared" si="5"/>
        <v>45885</v>
      </c>
      <c r="K1228" s="27">
        <f t="shared" si="6"/>
        <v>45915</v>
      </c>
    </row>
    <row r="1229" hidden="1">
      <c r="A1229" s="3" t="str">
        <f t="shared" si="3"/>
        <v>SL-20250915-FMC-CS 010-8</v>
      </c>
      <c r="B1229" s="2">
        <f t="array" ref="B1229">INDEX(helper!$A$3:$A3996,ROUNDUP((ROW()-1)/COUNTA(helper!$D$3:$D3996),0))</f>
        <v>45915</v>
      </c>
      <c r="C1229" s="5" t="str">
        <f t="array" ref="C1229">IF(B1229="","",INDEX(helper!$D$3:$D3996,MOD(ROW()-2,COUNTA(helper!$D$3:$D3996))+1))</f>
        <v>FMC</v>
      </c>
      <c r="D1229" s="3" t="str">
        <f t="array" ref="D1229">IF(B1229="","",INDEX(helper!$E$3:$E3996,MOD(ROW()-2,COUNTA(helper!$D$3:$D3996))+1))</f>
        <v>CS 010</v>
      </c>
      <c r="E1229" s="3">
        <f t="array" ref="E1229">IF(B1229="","",INDEX(helper!$F$3:$F3996,MOD(ROW()-2,COUNTA(helper!$D$3:$D3996))+1))</f>
        <v>8</v>
      </c>
      <c r="F1229" s="3">
        <f>IF(B1229="","",SUMIFS('inventory ledger'!$H:$H,'inventory ledger'!$C:$C,C1229,'inventory ledger'!$D:$D,D1229,'inventory ledger'!$E:$E,E1229,'inventory ledger'!$A:$A,"&lt;="&amp;B1229+TIME(23,59,59))-SUMIFS('inventory ledger'!$I:$I,'inventory ledger'!$C:$C,C1229,'inventory ledger'!$D:$D,D1229,'inventory ledger'!$E:$E,E1229,'inventory ledger'!$A:$A,"&lt;="&amp;B1229+TIME(23,59,59)))</f>
        <v>0</v>
      </c>
      <c r="G1229" s="3">
        <f>IFERROR(__xludf.DUMMYFUNCTION("IF(F1229&lt;=0,0,IFERROR(ROUNDUP(F1229/INDEX(FILTER('warehouse config'!$D:$D,('warehouse config'!$B:$B=C1229)*('warehouse config'!$C:$C=D1229)*('warehouse config'!$G:$G&lt;=B1229)*(('warehouse config'!$H:$H&gt;=B1229)+ISBLANK('warehouse config'!$H:$H))),1)),0))"),0.0)</f>
        <v>0</v>
      </c>
      <c r="H1229" s="3">
        <f>IFERROR(__xludf.DUMMYFUNCTION("IFERROR(INDEX(FILTER('cost master'!$E:$E,('cost master'!$B:$B=C1229)*('cost master'!$D:$D=""Storage cost per pallet / week"")*('cost master'!$G:$G&lt;=B1229)*(('cost master'!$H:$H&gt;=B1229)+ISBLANK('cost master'!$H:$H))),1),0)"),3.9)</f>
        <v>3.9</v>
      </c>
      <c r="I1229" s="3">
        <f t="shared" si="4"/>
        <v>0</v>
      </c>
      <c r="J1229" s="27">
        <f t="shared" si="5"/>
        <v>45885</v>
      </c>
      <c r="K1229" s="27">
        <f t="shared" si="6"/>
        <v>45915</v>
      </c>
    </row>
    <row r="1230" hidden="1">
      <c r="A1230" s="3" t="str">
        <f t="shared" si="3"/>
        <v>SL-20250915-FMC-CS 007-9</v>
      </c>
      <c r="B1230" s="2">
        <f t="array" ref="B1230">INDEX(helper!$A$3:$A3996,ROUNDUP((ROW()-1)/COUNTA(helper!$D$3:$D3996),0))</f>
        <v>45915</v>
      </c>
      <c r="C1230" s="5" t="str">
        <f t="array" ref="C1230">IF(B1230="","",INDEX(helper!$D$3:$D3996,MOD(ROW()-2,COUNTA(helper!$D$3:$D3996))+1))</f>
        <v>FMC</v>
      </c>
      <c r="D1230" s="3" t="str">
        <f t="array" ref="D1230">IF(B1230="","",INDEX(helper!$E$3:$E3996,MOD(ROW()-2,COUNTA(helper!$D$3:$D3996))+1))</f>
        <v>CS 007</v>
      </c>
      <c r="E1230" s="3">
        <f t="array" ref="E1230">IF(B1230="","",INDEX(helper!$F$3:$F3996,MOD(ROW()-2,COUNTA(helper!$D$3:$D3996))+1))</f>
        <v>9</v>
      </c>
      <c r="F1230" s="3">
        <f>IF(B1230="","",SUMIFS('inventory ledger'!$H:$H,'inventory ledger'!$C:$C,C1230,'inventory ledger'!$D:$D,D1230,'inventory ledger'!$E:$E,E1230,'inventory ledger'!$A:$A,"&lt;="&amp;B1230+TIME(23,59,59))-SUMIFS('inventory ledger'!$I:$I,'inventory ledger'!$C:$C,C1230,'inventory ledger'!$D:$D,D1230,'inventory ledger'!$E:$E,E1230,'inventory ledger'!$A:$A,"&lt;="&amp;B1230+TIME(23,59,59)))</f>
        <v>0</v>
      </c>
      <c r="G1230" s="3">
        <f>IFERROR(__xludf.DUMMYFUNCTION("IF(F1230&lt;=0,0,IFERROR(ROUNDUP(F1230/INDEX(FILTER('warehouse config'!$D:$D,('warehouse config'!$B:$B=C1230)*('warehouse config'!$C:$C=D1230)*('warehouse config'!$G:$G&lt;=B1230)*(('warehouse config'!$H:$H&gt;=B1230)+ISBLANK('warehouse config'!$H:$H))),1)),0))"),0.0)</f>
        <v>0</v>
      </c>
      <c r="H1230" s="3">
        <f>IFERROR(__xludf.DUMMYFUNCTION("IFERROR(INDEX(FILTER('cost master'!$E:$E,('cost master'!$B:$B=C1230)*('cost master'!$D:$D=""Storage cost per pallet / week"")*('cost master'!$G:$G&lt;=B1230)*(('cost master'!$H:$H&gt;=B1230)+ISBLANK('cost master'!$H:$H))),1),0)"),3.9)</f>
        <v>3.9</v>
      </c>
      <c r="I1230" s="3">
        <f t="shared" si="4"/>
        <v>0</v>
      </c>
      <c r="J1230" s="27">
        <f t="shared" si="5"/>
        <v>45885</v>
      </c>
      <c r="K1230" s="27">
        <f t="shared" si="6"/>
        <v>45915</v>
      </c>
    </row>
    <row r="1231" hidden="1">
      <c r="A1231" s="3" t="str">
        <f t="shared" si="3"/>
        <v>SL-20250915-FMC-CS 008-9</v>
      </c>
      <c r="B1231" s="2">
        <f t="array" ref="B1231">INDEX(helper!$A$3:$A3996,ROUNDUP((ROW()-1)/COUNTA(helper!$D$3:$D3996),0))</f>
        <v>45915</v>
      </c>
      <c r="C1231" s="5" t="str">
        <f t="array" ref="C1231">IF(B1231="","",INDEX(helper!$D$3:$D3996,MOD(ROW()-2,COUNTA(helper!$D$3:$D3996))+1))</f>
        <v>FMC</v>
      </c>
      <c r="D1231" s="3" t="str">
        <f t="array" ref="D1231">IF(B1231="","",INDEX(helper!$E$3:$E3996,MOD(ROW()-2,COUNTA(helper!$D$3:$D3996))+1))</f>
        <v>CS 008</v>
      </c>
      <c r="E1231" s="3">
        <f t="array" ref="E1231">IF(B1231="","",INDEX(helper!$F$3:$F3996,MOD(ROW()-2,COUNTA(helper!$D$3:$D3996))+1))</f>
        <v>9</v>
      </c>
      <c r="F1231" s="3">
        <f>IF(B1231="","",SUMIFS('inventory ledger'!$H:$H,'inventory ledger'!$C:$C,C1231,'inventory ledger'!$D:$D,D1231,'inventory ledger'!$E:$E,E1231,'inventory ledger'!$A:$A,"&lt;="&amp;B1231+TIME(23,59,59))-SUMIFS('inventory ledger'!$I:$I,'inventory ledger'!$C:$C,C1231,'inventory ledger'!$D:$D,D1231,'inventory ledger'!$E:$E,E1231,'inventory ledger'!$A:$A,"&lt;="&amp;B1231+TIME(23,59,59)))</f>
        <v>2</v>
      </c>
      <c r="G1231" s="3">
        <f>IFERROR(__xludf.DUMMYFUNCTION("IF(F1231&lt;=0,0,IFERROR(ROUNDUP(F1231/INDEX(FILTER('warehouse config'!$D:$D,('warehouse config'!$B:$B=C1231)*('warehouse config'!$C:$C=D1231)*('warehouse config'!$G:$G&lt;=B1231)*(('warehouse config'!$H:$H&gt;=B1231)+ISBLANK('warehouse config'!$H:$H))),1)),0))"),1.0)</f>
        <v>1</v>
      </c>
      <c r="H1231" s="3">
        <f>IFERROR(__xludf.DUMMYFUNCTION("IFERROR(INDEX(FILTER('cost master'!$E:$E,('cost master'!$B:$B=C1231)*('cost master'!$D:$D=""Storage cost per pallet / week"")*('cost master'!$G:$G&lt;=B1231)*(('cost master'!$H:$H&gt;=B1231)+ISBLANK('cost master'!$H:$H))),1),0)"),3.9)</f>
        <v>3.9</v>
      </c>
      <c r="I1231" s="3">
        <f t="shared" si="4"/>
        <v>3.9</v>
      </c>
      <c r="J1231" s="27">
        <f t="shared" si="5"/>
        <v>45885</v>
      </c>
      <c r="K1231" s="27">
        <f t="shared" si="6"/>
        <v>45915</v>
      </c>
    </row>
    <row r="1232" hidden="1">
      <c r="A1232" s="3" t="str">
        <f t="shared" si="3"/>
        <v>SL-20250915-FMC-CS 009-9</v>
      </c>
      <c r="B1232" s="2">
        <f t="array" ref="B1232">INDEX(helper!$A$3:$A3996,ROUNDUP((ROW()-1)/COUNTA(helper!$D$3:$D3996),0))</f>
        <v>45915</v>
      </c>
      <c r="C1232" s="5" t="str">
        <f t="array" ref="C1232">IF(B1232="","",INDEX(helper!$D$3:$D3996,MOD(ROW()-2,COUNTA(helper!$D$3:$D3996))+1))</f>
        <v>FMC</v>
      </c>
      <c r="D1232" s="3" t="str">
        <f t="array" ref="D1232">IF(B1232="","",INDEX(helper!$E$3:$E3996,MOD(ROW()-2,COUNTA(helper!$D$3:$D3996))+1))</f>
        <v>CS 009</v>
      </c>
      <c r="E1232" s="3">
        <f t="array" ref="E1232">IF(B1232="","",INDEX(helper!$F$3:$F3996,MOD(ROW()-2,COUNTA(helper!$D$3:$D3996))+1))</f>
        <v>9</v>
      </c>
      <c r="F1232" s="3">
        <f>IF(B1232="","",SUMIFS('inventory ledger'!$H:$H,'inventory ledger'!$C:$C,C1232,'inventory ledger'!$D:$D,D1232,'inventory ledger'!$E:$E,E1232,'inventory ledger'!$A:$A,"&lt;="&amp;B1232+TIME(23,59,59))-SUMIFS('inventory ledger'!$I:$I,'inventory ledger'!$C:$C,C1232,'inventory ledger'!$D:$D,D1232,'inventory ledger'!$E:$E,E1232,'inventory ledger'!$A:$A,"&lt;="&amp;B1232+TIME(23,59,59)))</f>
        <v>0</v>
      </c>
      <c r="G1232" s="3">
        <f>IFERROR(__xludf.DUMMYFUNCTION("IF(F1232&lt;=0,0,IFERROR(ROUNDUP(F1232/INDEX(FILTER('warehouse config'!$D:$D,('warehouse config'!$B:$B=C1232)*('warehouse config'!$C:$C=D1232)*('warehouse config'!$G:$G&lt;=B1232)*(('warehouse config'!$H:$H&gt;=B1232)+ISBLANK('warehouse config'!$H:$H))),1)),0))"),0.0)</f>
        <v>0</v>
      </c>
      <c r="H1232" s="3">
        <f>IFERROR(__xludf.DUMMYFUNCTION("IFERROR(INDEX(FILTER('cost master'!$E:$E,('cost master'!$B:$B=C1232)*('cost master'!$D:$D=""Storage cost per pallet / week"")*('cost master'!$G:$G&lt;=B1232)*(('cost master'!$H:$H&gt;=B1232)+ISBLANK('cost master'!$H:$H))),1),0)"),3.9)</f>
        <v>3.9</v>
      </c>
      <c r="I1232" s="3">
        <f t="shared" si="4"/>
        <v>0</v>
      </c>
      <c r="J1232" s="27">
        <f t="shared" si="5"/>
        <v>45885</v>
      </c>
      <c r="K1232" s="27">
        <f t="shared" si="6"/>
        <v>45915</v>
      </c>
    </row>
    <row r="1233" hidden="1">
      <c r="A1233" s="3" t="str">
        <f t="shared" si="3"/>
        <v>SL-20250915-FMC-CS 010-9</v>
      </c>
      <c r="B1233" s="2">
        <f t="array" ref="B1233">INDEX(helper!$A$3:$A3996,ROUNDUP((ROW()-1)/COUNTA(helper!$D$3:$D3996),0))</f>
        <v>45915</v>
      </c>
      <c r="C1233" s="5" t="str">
        <f t="array" ref="C1233">IF(B1233="","",INDEX(helper!$D$3:$D3996,MOD(ROW()-2,COUNTA(helper!$D$3:$D3996))+1))</f>
        <v>FMC</v>
      </c>
      <c r="D1233" s="3" t="str">
        <f t="array" ref="D1233">IF(B1233="","",INDEX(helper!$E$3:$E3996,MOD(ROW()-2,COUNTA(helper!$D$3:$D3996))+1))</f>
        <v>CS 010</v>
      </c>
      <c r="E1233" s="3">
        <f t="array" ref="E1233">IF(B1233="","",INDEX(helper!$F$3:$F3996,MOD(ROW()-2,COUNTA(helper!$D$3:$D3996))+1))</f>
        <v>9</v>
      </c>
      <c r="F1233" s="3">
        <f>IF(B1233="","",SUMIFS('inventory ledger'!$H:$H,'inventory ledger'!$C:$C,C1233,'inventory ledger'!$D:$D,D1233,'inventory ledger'!$E:$E,E1233,'inventory ledger'!$A:$A,"&lt;="&amp;B1233+TIME(23,59,59))-SUMIFS('inventory ledger'!$I:$I,'inventory ledger'!$C:$C,C1233,'inventory ledger'!$D:$D,D1233,'inventory ledger'!$E:$E,E1233,'inventory ledger'!$A:$A,"&lt;="&amp;B1233+TIME(23,59,59)))</f>
        <v>0</v>
      </c>
      <c r="G1233" s="3">
        <f>IFERROR(__xludf.DUMMYFUNCTION("IF(F1233&lt;=0,0,IFERROR(ROUNDUP(F1233/INDEX(FILTER('warehouse config'!$D:$D,('warehouse config'!$B:$B=C1233)*('warehouse config'!$C:$C=D1233)*('warehouse config'!$G:$G&lt;=B1233)*(('warehouse config'!$H:$H&gt;=B1233)+ISBLANK('warehouse config'!$H:$H))),1)),0))"),0.0)</f>
        <v>0</v>
      </c>
      <c r="H1233" s="3">
        <f>IFERROR(__xludf.DUMMYFUNCTION("IFERROR(INDEX(FILTER('cost master'!$E:$E,('cost master'!$B:$B=C1233)*('cost master'!$D:$D=""Storage cost per pallet / week"")*('cost master'!$G:$G&lt;=B1233)*(('cost master'!$H:$H&gt;=B1233)+ISBLANK('cost master'!$H:$H))),1),0)"),3.9)</f>
        <v>3.9</v>
      </c>
      <c r="I1233" s="3">
        <f t="shared" si="4"/>
        <v>0</v>
      </c>
      <c r="J1233" s="27">
        <f t="shared" si="5"/>
        <v>45885</v>
      </c>
      <c r="K1233" s="27">
        <f t="shared" si="6"/>
        <v>45915</v>
      </c>
    </row>
    <row r="1234" hidden="1">
      <c r="A1234" s="3" t="str">
        <f t="shared" si="3"/>
        <v>SL-20250915-FMC-CS-CDS-001-9</v>
      </c>
      <c r="B1234" s="2">
        <f t="array" ref="B1234">INDEX(helper!$A$3:$A3996,ROUNDUP((ROW()-1)/COUNTA(helper!$D$3:$D3996),0))</f>
        <v>45915</v>
      </c>
      <c r="C1234" s="5" t="str">
        <f t="array" ref="C1234">IF(B1234="","",INDEX(helper!$D$3:$D3996,MOD(ROW()-2,COUNTA(helper!$D$3:$D3996))+1))</f>
        <v>FMC</v>
      </c>
      <c r="D1234" s="3" t="str">
        <f t="array" ref="D1234">IF(B1234="","",INDEX(helper!$E$3:$E3996,MOD(ROW()-2,COUNTA(helper!$D$3:$D3996))+1))</f>
        <v>CS-CDS-001</v>
      </c>
      <c r="E1234" s="3">
        <f t="array" ref="E1234">IF(B1234="","",INDEX(helper!$F$3:$F3996,MOD(ROW()-2,COUNTA(helper!$D$3:$D3996))+1))</f>
        <v>9</v>
      </c>
      <c r="F1234" s="3">
        <f>IF(B1234="","",SUMIFS('inventory ledger'!$H:$H,'inventory ledger'!$C:$C,C1234,'inventory ledger'!$D:$D,D1234,'inventory ledger'!$E:$E,E1234,'inventory ledger'!$A:$A,"&lt;="&amp;B1234+TIME(23,59,59))-SUMIFS('inventory ledger'!$I:$I,'inventory ledger'!$C:$C,C1234,'inventory ledger'!$D:$D,D1234,'inventory ledger'!$E:$E,E1234,'inventory ledger'!$A:$A,"&lt;="&amp;B1234+TIME(23,59,59)))</f>
        <v>0</v>
      </c>
      <c r="G1234" s="3">
        <f>IFERROR(__xludf.DUMMYFUNCTION("IF(F1234&lt;=0,0,IFERROR(ROUNDUP(F1234/INDEX(FILTER('warehouse config'!$D:$D,('warehouse config'!$B:$B=C1234)*('warehouse config'!$C:$C=D1234)*('warehouse config'!$G:$G&lt;=B1234)*(('warehouse config'!$H:$H&gt;=B1234)+ISBLANK('warehouse config'!$H:$H))),1)),0))"),0.0)</f>
        <v>0</v>
      </c>
      <c r="H1234" s="3">
        <f>IFERROR(__xludf.DUMMYFUNCTION("IFERROR(INDEX(FILTER('cost master'!$E:$E,('cost master'!$B:$B=C1234)*('cost master'!$D:$D=""Storage cost per pallet / week"")*('cost master'!$G:$G&lt;=B1234)*(('cost master'!$H:$H&gt;=B1234)+ISBLANK('cost master'!$H:$H))),1),0)"),3.9)</f>
        <v>3.9</v>
      </c>
      <c r="I1234" s="3">
        <f t="shared" si="4"/>
        <v>0</v>
      </c>
      <c r="J1234" s="27">
        <f t="shared" si="5"/>
        <v>45885</v>
      </c>
      <c r="K1234" s="27">
        <f t="shared" si="6"/>
        <v>45915</v>
      </c>
    </row>
    <row r="1235" hidden="1">
      <c r="A1235" s="3" t="str">
        <f t="shared" si="3"/>
        <v>SL-20250915-FMC-CS-CDS-002-9</v>
      </c>
      <c r="B1235" s="2">
        <f t="array" ref="B1235">INDEX(helper!$A$3:$A3996,ROUNDUP((ROW()-1)/COUNTA(helper!$D$3:$D3996),0))</f>
        <v>45915</v>
      </c>
      <c r="C1235" s="5" t="str">
        <f t="array" ref="C1235">IF(B1235="","",INDEX(helper!$D$3:$D3996,MOD(ROW()-2,COUNTA(helper!$D$3:$D3996))+1))</f>
        <v>FMC</v>
      </c>
      <c r="D1235" s="3" t="str">
        <f t="array" ref="D1235">IF(B1235="","",INDEX(helper!$E$3:$E3996,MOD(ROW()-2,COUNTA(helper!$D$3:$D3996))+1))</f>
        <v>CS-CDS-002</v>
      </c>
      <c r="E1235" s="3">
        <f t="array" ref="E1235">IF(B1235="","",INDEX(helper!$F$3:$F3996,MOD(ROW()-2,COUNTA(helper!$D$3:$D3996))+1))</f>
        <v>9</v>
      </c>
      <c r="F1235" s="3">
        <f>IF(B1235="","",SUMIFS('inventory ledger'!$H:$H,'inventory ledger'!$C:$C,C1235,'inventory ledger'!$D:$D,D1235,'inventory ledger'!$E:$E,E1235,'inventory ledger'!$A:$A,"&lt;="&amp;B1235+TIME(23,59,59))-SUMIFS('inventory ledger'!$I:$I,'inventory ledger'!$C:$C,C1235,'inventory ledger'!$D:$D,D1235,'inventory ledger'!$E:$E,E1235,'inventory ledger'!$A:$A,"&lt;="&amp;B1235+TIME(23,59,59)))</f>
        <v>0</v>
      </c>
      <c r="G1235" s="3">
        <f>IFERROR(__xludf.DUMMYFUNCTION("IF(F1235&lt;=0,0,IFERROR(ROUNDUP(F1235/INDEX(FILTER('warehouse config'!$D:$D,('warehouse config'!$B:$B=C1235)*('warehouse config'!$C:$C=D1235)*('warehouse config'!$G:$G&lt;=B1235)*(('warehouse config'!$H:$H&gt;=B1235)+ISBLANK('warehouse config'!$H:$H))),1)),0))"),0.0)</f>
        <v>0</v>
      </c>
      <c r="H1235" s="3">
        <f>IFERROR(__xludf.DUMMYFUNCTION("IFERROR(INDEX(FILTER('cost master'!$E:$E,('cost master'!$B:$B=C1235)*('cost master'!$D:$D=""Storage cost per pallet / week"")*('cost master'!$G:$G&lt;=B1235)*(('cost master'!$H:$H&gt;=B1235)+ISBLANK('cost master'!$H:$H))),1),0)"),3.9)</f>
        <v>3.9</v>
      </c>
      <c r="I1235" s="3">
        <f t="shared" si="4"/>
        <v>0</v>
      </c>
      <c r="J1235" s="27">
        <f t="shared" si="5"/>
        <v>45885</v>
      </c>
      <c r="K1235" s="27">
        <f t="shared" si="6"/>
        <v>45915</v>
      </c>
    </row>
    <row r="1236" hidden="1">
      <c r="A1236" s="3" t="str">
        <f t="shared" si="3"/>
        <v>SL-20250915-FMC-CS 007-10</v>
      </c>
      <c r="B1236" s="2">
        <f t="array" ref="B1236">INDEX(helper!$A$3:$A3996,ROUNDUP((ROW()-1)/COUNTA(helper!$D$3:$D3996),0))</f>
        <v>45915</v>
      </c>
      <c r="C1236" s="5" t="str">
        <f t="array" ref="C1236">IF(B1236="","",INDEX(helper!$D$3:$D3996,MOD(ROW()-2,COUNTA(helper!$D$3:$D3996))+1))</f>
        <v>FMC</v>
      </c>
      <c r="D1236" s="3" t="str">
        <f t="array" ref="D1236">IF(B1236="","",INDEX(helper!$E$3:$E3996,MOD(ROW()-2,COUNTA(helper!$D$3:$D3996))+1))</f>
        <v>CS 007</v>
      </c>
      <c r="E1236" s="3">
        <f t="array" ref="E1236">IF(B1236="","",INDEX(helper!$F$3:$F3996,MOD(ROW()-2,COUNTA(helper!$D$3:$D3996))+1))</f>
        <v>10</v>
      </c>
      <c r="F1236" s="3">
        <f>IF(B1236="","",SUMIFS('inventory ledger'!$H:$H,'inventory ledger'!$C:$C,C1236,'inventory ledger'!$D:$D,D1236,'inventory ledger'!$E:$E,E1236,'inventory ledger'!$A:$A,"&lt;="&amp;B1236+TIME(23,59,59))-SUMIFS('inventory ledger'!$I:$I,'inventory ledger'!$C:$C,C1236,'inventory ledger'!$D:$D,D1236,'inventory ledger'!$E:$E,E1236,'inventory ledger'!$A:$A,"&lt;="&amp;B1236+TIME(23,59,59)))</f>
        <v>0</v>
      </c>
      <c r="G1236" s="3">
        <f>IFERROR(__xludf.DUMMYFUNCTION("IF(F1236&lt;=0,0,IFERROR(ROUNDUP(F1236/INDEX(FILTER('warehouse config'!$D:$D,('warehouse config'!$B:$B=C1236)*('warehouse config'!$C:$C=D1236)*('warehouse config'!$G:$G&lt;=B1236)*(('warehouse config'!$H:$H&gt;=B1236)+ISBLANK('warehouse config'!$H:$H))),1)),0))"),0.0)</f>
        <v>0</v>
      </c>
      <c r="H1236" s="3">
        <f>IFERROR(__xludf.DUMMYFUNCTION("IFERROR(INDEX(FILTER('cost master'!$E:$E,('cost master'!$B:$B=C1236)*('cost master'!$D:$D=""Storage cost per pallet / week"")*('cost master'!$G:$G&lt;=B1236)*(('cost master'!$H:$H&gt;=B1236)+ISBLANK('cost master'!$H:$H))),1),0)"),3.9)</f>
        <v>3.9</v>
      </c>
      <c r="I1236" s="3">
        <f t="shared" si="4"/>
        <v>0</v>
      </c>
      <c r="J1236" s="27">
        <f t="shared" si="5"/>
        <v>45885</v>
      </c>
      <c r="K1236" s="27">
        <f t="shared" si="6"/>
        <v>45915</v>
      </c>
    </row>
    <row r="1237" hidden="1">
      <c r="A1237" s="3" t="str">
        <f t="shared" si="3"/>
        <v>SL-20250915-FMC-CS 009-10</v>
      </c>
      <c r="B1237" s="2">
        <f t="array" ref="B1237">INDEX(helper!$A$3:$A3996,ROUNDUP((ROW()-1)/COUNTA(helper!$D$3:$D3996),0))</f>
        <v>45915</v>
      </c>
      <c r="C1237" s="5" t="str">
        <f t="array" ref="C1237">IF(B1237="","",INDEX(helper!$D$3:$D3996,MOD(ROW()-2,COUNTA(helper!$D$3:$D3996))+1))</f>
        <v>FMC</v>
      </c>
      <c r="D1237" s="3" t="str">
        <f t="array" ref="D1237">IF(B1237="","",INDEX(helper!$E$3:$E3996,MOD(ROW()-2,COUNTA(helper!$D$3:$D3996))+1))</f>
        <v>CS 009</v>
      </c>
      <c r="E1237" s="3">
        <f t="array" ref="E1237">IF(B1237="","",INDEX(helper!$F$3:$F3996,MOD(ROW()-2,COUNTA(helper!$D$3:$D3996))+1))</f>
        <v>10</v>
      </c>
      <c r="F1237" s="3">
        <f>IF(B1237="","",SUMIFS('inventory ledger'!$H:$H,'inventory ledger'!$C:$C,C1237,'inventory ledger'!$D:$D,D1237,'inventory ledger'!$E:$E,E1237,'inventory ledger'!$A:$A,"&lt;="&amp;B1237+TIME(23,59,59))-SUMIFS('inventory ledger'!$I:$I,'inventory ledger'!$C:$C,C1237,'inventory ledger'!$D:$D,D1237,'inventory ledger'!$E:$E,E1237,'inventory ledger'!$A:$A,"&lt;="&amp;B1237+TIME(23,59,59)))</f>
        <v>0</v>
      </c>
      <c r="G1237" s="3">
        <f>IFERROR(__xludf.DUMMYFUNCTION("IF(F1237&lt;=0,0,IFERROR(ROUNDUP(F1237/INDEX(FILTER('warehouse config'!$D:$D,('warehouse config'!$B:$B=C1237)*('warehouse config'!$C:$C=D1237)*('warehouse config'!$G:$G&lt;=B1237)*(('warehouse config'!$H:$H&gt;=B1237)+ISBLANK('warehouse config'!$H:$H))),1)),0))"),0.0)</f>
        <v>0</v>
      </c>
      <c r="H1237" s="3">
        <f>IFERROR(__xludf.DUMMYFUNCTION("IFERROR(INDEX(FILTER('cost master'!$E:$E,('cost master'!$B:$B=C1237)*('cost master'!$D:$D=""Storage cost per pallet / week"")*('cost master'!$G:$G&lt;=B1237)*(('cost master'!$H:$H&gt;=B1237)+ISBLANK('cost master'!$H:$H))),1),0)"),3.9)</f>
        <v>3.9</v>
      </c>
      <c r="I1237" s="3">
        <f t="shared" si="4"/>
        <v>0</v>
      </c>
      <c r="J1237" s="27">
        <f t="shared" si="5"/>
        <v>45885</v>
      </c>
      <c r="K1237" s="27">
        <f t="shared" si="6"/>
        <v>45915</v>
      </c>
    </row>
    <row r="1238" hidden="1">
      <c r="A1238" s="3" t="str">
        <f t="shared" si="3"/>
        <v>SL-20250915-FMC-CS 010-10</v>
      </c>
      <c r="B1238" s="2">
        <f t="array" ref="B1238">INDEX(helper!$A$3:$A3996,ROUNDUP((ROW()-1)/COUNTA(helper!$D$3:$D3996),0))</f>
        <v>45915</v>
      </c>
      <c r="C1238" s="5" t="str">
        <f t="array" ref="C1238">IF(B1238="","",INDEX(helper!$D$3:$D3996,MOD(ROW()-2,COUNTA(helper!$D$3:$D3996))+1))</f>
        <v>FMC</v>
      </c>
      <c r="D1238" s="3" t="str">
        <f t="array" ref="D1238">IF(B1238="","",INDEX(helper!$E$3:$E3996,MOD(ROW()-2,COUNTA(helper!$D$3:$D3996))+1))</f>
        <v>CS 010</v>
      </c>
      <c r="E1238" s="3">
        <f t="array" ref="E1238">IF(B1238="","",INDEX(helper!$F$3:$F3996,MOD(ROW()-2,COUNTA(helper!$D$3:$D3996))+1))</f>
        <v>10</v>
      </c>
      <c r="F1238" s="3">
        <f>IF(B1238="","",SUMIFS('inventory ledger'!$H:$H,'inventory ledger'!$C:$C,C1238,'inventory ledger'!$D:$D,D1238,'inventory ledger'!$E:$E,E1238,'inventory ledger'!$A:$A,"&lt;="&amp;B1238+TIME(23,59,59))-SUMIFS('inventory ledger'!$I:$I,'inventory ledger'!$C:$C,C1238,'inventory ledger'!$D:$D,D1238,'inventory ledger'!$E:$E,E1238,'inventory ledger'!$A:$A,"&lt;="&amp;B1238+TIME(23,59,59)))</f>
        <v>13</v>
      </c>
      <c r="G1238" s="3">
        <f>IFERROR(__xludf.DUMMYFUNCTION("IF(F1238&lt;=0,0,IFERROR(ROUNDUP(F1238/INDEX(FILTER('warehouse config'!$D:$D,('warehouse config'!$B:$B=C1238)*('warehouse config'!$C:$C=D1238)*('warehouse config'!$G:$G&lt;=B1238)*(('warehouse config'!$H:$H&gt;=B1238)+ISBLANK('warehouse config'!$H:$H))),1)),0))"),1.0)</f>
        <v>1</v>
      </c>
      <c r="H1238" s="3">
        <f>IFERROR(__xludf.DUMMYFUNCTION("IFERROR(INDEX(FILTER('cost master'!$E:$E,('cost master'!$B:$B=C1238)*('cost master'!$D:$D=""Storage cost per pallet / week"")*('cost master'!$G:$G&lt;=B1238)*(('cost master'!$H:$H&gt;=B1238)+ISBLANK('cost master'!$H:$H))),1),0)"),3.9)</f>
        <v>3.9</v>
      </c>
      <c r="I1238" s="3">
        <f t="shared" si="4"/>
        <v>3.9</v>
      </c>
      <c r="J1238" s="27">
        <f t="shared" si="5"/>
        <v>45885</v>
      </c>
      <c r="K1238" s="27">
        <f t="shared" si="6"/>
        <v>45915</v>
      </c>
    </row>
    <row r="1239" hidden="1">
      <c r="A1239" s="3" t="str">
        <f t="shared" si="3"/>
        <v>SL-20250915-FMC-CS-CDS-001-10</v>
      </c>
      <c r="B1239" s="2">
        <f t="array" ref="B1239">INDEX(helper!$A$3:$A3996,ROUNDUP((ROW()-1)/COUNTA(helper!$D$3:$D3996),0))</f>
        <v>45915</v>
      </c>
      <c r="C1239" s="5" t="str">
        <f t="array" ref="C1239">IF(B1239="","",INDEX(helper!$D$3:$D3996,MOD(ROW()-2,COUNTA(helper!$D$3:$D3996))+1))</f>
        <v>FMC</v>
      </c>
      <c r="D1239" s="3" t="str">
        <f t="array" ref="D1239">IF(B1239="","",INDEX(helper!$E$3:$E3996,MOD(ROW()-2,COUNTA(helper!$D$3:$D3996))+1))</f>
        <v>CS-CDS-001</v>
      </c>
      <c r="E1239" s="3">
        <f t="array" ref="E1239">IF(B1239="","",INDEX(helper!$F$3:$F3996,MOD(ROW()-2,COUNTA(helper!$D$3:$D3996))+1))</f>
        <v>10</v>
      </c>
      <c r="F1239" s="3">
        <f>IF(B1239="","",SUMIFS('inventory ledger'!$H:$H,'inventory ledger'!$C:$C,C1239,'inventory ledger'!$D:$D,D1239,'inventory ledger'!$E:$E,E1239,'inventory ledger'!$A:$A,"&lt;="&amp;B1239+TIME(23,59,59))-SUMIFS('inventory ledger'!$I:$I,'inventory ledger'!$C:$C,C1239,'inventory ledger'!$D:$D,D1239,'inventory ledger'!$E:$E,E1239,'inventory ledger'!$A:$A,"&lt;="&amp;B1239+TIME(23,59,59)))</f>
        <v>0</v>
      </c>
      <c r="G1239" s="3">
        <f>IFERROR(__xludf.DUMMYFUNCTION("IF(F1239&lt;=0,0,IFERROR(ROUNDUP(F1239/INDEX(FILTER('warehouse config'!$D:$D,('warehouse config'!$B:$B=C1239)*('warehouse config'!$C:$C=D1239)*('warehouse config'!$G:$G&lt;=B1239)*(('warehouse config'!$H:$H&gt;=B1239)+ISBLANK('warehouse config'!$H:$H))),1)),0))"),0.0)</f>
        <v>0</v>
      </c>
      <c r="H1239" s="3">
        <f>IFERROR(__xludf.DUMMYFUNCTION("IFERROR(INDEX(FILTER('cost master'!$E:$E,('cost master'!$B:$B=C1239)*('cost master'!$D:$D=""Storage cost per pallet / week"")*('cost master'!$G:$G&lt;=B1239)*(('cost master'!$H:$H&gt;=B1239)+ISBLANK('cost master'!$H:$H))),1),0)"),3.9)</f>
        <v>3.9</v>
      </c>
      <c r="I1239" s="3">
        <f t="shared" si="4"/>
        <v>0</v>
      </c>
      <c r="J1239" s="27">
        <f t="shared" si="5"/>
        <v>45885</v>
      </c>
      <c r="K1239" s="27">
        <f t="shared" si="6"/>
        <v>45915</v>
      </c>
    </row>
    <row r="1240">
      <c r="A1240" s="3" t="str">
        <f t="shared" si="3"/>
        <v>SL-20250915-FMC-CS 007-11</v>
      </c>
      <c r="B1240" s="2">
        <f t="array" ref="B1240">INDEX(helper!$A$3:$A3996,ROUNDUP((ROW()-1)/COUNTA(helper!$D$3:$D3996),0))</f>
        <v>45915</v>
      </c>
      <c r="C1240" s="5" t="str">
        <f t="array" ref="C1240">IF(B1240="","",INDEX(helper!$D$3:$D3996,MOD(ROW()-2,COUNTA(helper!$D$3:$D3996))+1))</f>
        <v>FMC</v>
      </c>
      <c r="D1240" s="3" t="str">
        <f t="array" ref="D1240">IF(B1240="","",INDEX(helper!$E$3:$E3996,MOD(ROW()-2,COUNTA(helper!$D$3:$D3996))+1))</f>
        <v>CS 007</v>
      </c>
      <c r="E1240" s="3">
        <f t="array" ref="E1240">IF(B1240="","",INDEX(helper!$F$3:$F3996,MOD(ROW()-2,COUNTA(helper!$D$3:$D3996))+1))</f>
        <v>11</v>
      </c>
      <c r="F1240" s="3">
        <f>IF(B1240="","",SUMIFS('inventory ledger'!$H:$H,'inventory ledger'!$C:$C,C1240,'inventory ledger'!$D:$D,D1240,'inventory ledger'!$E:$E,E1240,'inventory ledger'!$A:$A,"&lt;="&amp;B1240+TIME(23,59,59))-SUMIFS('inventory ledger'!$I:$I,'inventory ledger'!$C:$C,C1240,'inventory ledger'!$D:$D,D1240,'inventory ledger'!$E:$E,E1240,'inventory ledger'!$A:$A,"&lt;="&amp;B1240+TIME(23,59,59)))</f>
        <v>-1</v>
      </c>
      <c r="G1240" s="3">
        <f>IFERROR(__xludf.DUMMYFUNCTION("IF(F1240&lt;=0,0,IFERROR(ROUNDUP(F1240/INDEX(FILTER('warehouse config'!$D:$D,('warehouse config'!$B:$B=C1240)*('warehouse config'!$C:$C=D1240)*('warehouse config'!$G:$G&lt;=B1240)*(('warehouse config'!$H:$H&gt;=B1240)+ISBLANK('warehouse config'!$H:$H))),1)),0))"),0.0)</f>
        <v>0</v>
      </c>
      <c r="H1240" s="3">
        <f>IFERROR(__xludf.DUMMYFUNCTION("IFERROR(INDEX(FILTER('cost master'!$E:$E,('cost master'!$B:$B=C1240)*('cost master'!$D:$D=""Storage cost per pallet / week"")*('cost master'!$G:$G&lt;=B1240)*(('cost master'!$H:$H&gt;=B1240)+ISBLANK('cost master'!$H:$H))),1),0)"),3.9)</f>
        <v>3.9</v>
      </c>
      <c r="I1240" s="3">
        <f t="shared" si="4"/>
        <v>0</v>
      </c>
      <c r="J1240" s="27">
        <f t="shared" si="5"/>
        <v>45885</v>
      </c>
      <c r="K1240" s="27">
        <f t="shared" si="6"/>
        <v>45915</v>
      </c>
    </row>
    <row r="1241" hidden="1">
      <c r="A1241" s="3" t="str">
        <f t="shared" si="3"/>
        <v>SL-20250915-FMC-CS 009-11</v>
      </c>
      <c r="B1241" s="2">
        <f t="array" ref="B1241">INDEX(helper!$A$3:$A3996,ROUNDUP((ROW()-1)/COUNTA(helper!$D$3:$D3996),0))</f>
        <v>45915</v>
      </c>
      <c r="C1241" s="5" t="str">
        <f t="array" ref="C1241">IF(B1241="","",INDEX(helper!$D$3:$D3996,MOD(ROW()-2,COUNTA(helper!$D$3:$D3996))+1))</f>
        <v>FMC</v>
      </c>
      <c r="D1241" s="3" t="str">
        <f t="array" ref="D1241">IF(B1241="","",INDEX(helper!$E$3:$E3996,MOD(ROW()-2,COUNTA(helper!$D$3:$D3996))+1))</f>
        <v>CS 009</v>
      </c>
      <c r="E1241" s="3">
        <f t="array" ref="E1241">IF(B1241="","",INDEX(helper!$F$3:$F3996,MOD(ROW()-2,COUNTA(helper!$D$3:$D3996))+1))</f>
        <v>11</v>
      </c>
      <c r="F1241" s="3">
        <f>IF(B1241="","",SUMIFS('inventory ledger'!$H:$H,'inventory ledger'!$C:$C,C1241,'inventory ledger'!$D:$D,D1241,'inventory ledger'!$E:$E,E1241,'inventory ledger'!$A:$A,"&lt;="&amp;B1241+TIME(23,59,59))-SUMIFS('inventory ledger'!$I:$I,'inventory ledger'!$C:$C,C1241,'inventory ledger'!$D:$D,D1241,'inventory ledger'!$E:$E,E1241,'inventory ledger'!$A:$A,"&lt;="&amp;B1241+TIME(23,59,59)))</f>
        <v>0</v>
      </c>
      <c r="G1241" s="3">
        <f>IFERROR(__xludf.DUMMYFUNCTION("IF(F1241&lt;=0,0,IFERROR(ROUNDUP(F1241/INDEX(FILTER('warehouse config'!$D:$D,('warehouse config'!$B:$B=C1241)*('warehouse config'!$C:$C=D1241)*('warehouse config'!$G:$G&lt;=B1241)*(('warehouse config'!$H:$H&gt;=B1241)+ISBLANK('warehouse config'!$H:$H))),1)),0))"),0.0)</f>
        <v>0</v>
      </c>
      <c r="H1241" s="3">
        <f>IFERROR(__xludf.DUMMYFUNCTION("IFERROR(INDEX(FILTER('cost master'!$E:$E,('cost master'!$B:$B=C1241)*('cost master'!$D:$D=""Storage cost per pallet / week"")*('cost master'!$G:$G&lt;=B1241)*(('cost master'!$H:$H&gt;=B1241)+ISBLANK('cost master'!$H:$H))),1),0)"),3.9)</f>
        <v>3.9</v>
      </c>
      <c r="I1241" s="3">
        <f t="shared" si="4"/>
        <v>0</v>
      </c>
      <c r="J1241" s="27">
        <f t="shared" si="5"/>
        <v>45885</v>
      </c>
      <c r="K1241" s="27">
        <f t="shared" si="6"/>
        <v>45915</v>
      </c>
    </row>
    <row r="1242" hidden="1">
      <c r="A1242" s="3" t="str">
        <f t="shared" si="3"/>
        <v>SL-20250915-FMC-CS 010-11</v>
      </c>
      <c r="B1242" s="2">
        <f t="array" ref="B1242">INDEX(helper!$A$3:$A3996,ROUNDUP((ROW()-1)/COUNTA(helper!$D$3:$D3996),0))</f>
        <v>45915</v>
      </c>
      <c r="C1242" s="5" t="str">
        <f t="array" ref="C1242">IF(B1242="","",INDEX(helper!$D$3:$D3996,MOD(ROW()-2,COUNTA(helper!$D$3:$D3996))+1))</f>
        <v>FMC</v>
      </c>
      <c r="D1242" s="3" t="str">
        <f t="array" ref="D1242">IF(B1242="","",INDEX(helper!$E$3:$E3996,MOD(ROW()-2,COUNTA(helper!$D$3:$D3996))+1))</f>
        <v>CS 010</v>
      </c>
      <c r="E1242" s="3">
        <f t="array" ref="E1242">IF(B1242="","",INDEX(helper!$F$3:$F3996,MOD(ROW()-2,COUNTA(helper!$D$3:$D3996))+1))</f>
        <v>11</v>
      </c>
      <c r="F1242" s="3">
        <f>IF(B1242="","",SUMIFS('inventory ledger'!$H:$H,'inventory ledger'!$C:$C,C1242,'inventory ledger'!$D:$D,D1242,'inventory ledger'!$E:$E,E1242,'inventory ledger'!$A:$A,"&lt;="&amp;B1242+TIME(23,59,59))-SUMIFS('inventory ledger'!$I:$I,'inventory ledger'!$C:$C,C1242,'inventory ledger'!$D:$D,D1242,'inventory ledger'!$E:$E,E1242,'inventory ledger'!$A:$A,"&lt;="&amp;B1242+TIME(23,59,59)))</f>
        <v>6</v>
      </c>
      <c r="G1242" s="3">
        <f>IFERROR(__xludf.DUMMYFUNCTION("IF(F1242&lt;=0,0,IFERROR(ROUNDUP(F1242/INDEX(FILTER('warehouse config'!$D:$D,('warehouse config'!$B:$B=C1242)*('warehouse config'!$C:$C=D1242)*('warehouse config'!$G:$G&lt;=B1242)*(('warehouse config'!$H:$H&gt;=B1242)+ISBLANK('warehouse config'!$H:$H))),1)),0))"),1.0)</f>
        <v>1</v>
      </c>
      <c r="H1242" s="3">
        <f>IFERROR(__xludf.DUMMYFUNCTION("IFERROR(INDEX(FILTER('cost master'!$E:$E,('cost master'!$B:$B=C1242)*('cost master'!$D:$D=""Storage cost per pallet / week"")*('cost master'!$G:$G&lt;=B1242)*(('cost master'!$H:$H&gt;=B1242)+ISBLANK('cost master'!$H:$H))),1),0)"),3.9)</f>
        <v>3.9</v>
      </c>
      <c r="I1242" s="3">
        <f t="shared" si="4"/>
        <v>3.9</v>
      </c>
      <c r="J1242" s="27">
        <f t="shared" si="5"/>
        <v>45885</v>
      </c>
      <c r="K1242" s="27">
        <f t="shared" si="6"/>
        <v>45915</v>
      </c>
    </row>
    <row r="1243" hidden="1">
      <c r="A1243" s="3" t="str">
        <f t="shared" si="3"/>
        <v>SL-20250915-Vglobal-CS 007-12</v>
      </c>
      <c r="B1243" s="2">
        <f t="array" ref="B1243">INDEX(helper!$A$3:$A3996,ROUNDUP((ROW()-1)/COUNTA(helper!$D$3:$D3996),0))</f>
        <v>45915</v>
      </c>
      <c r="C1243" s="5" t="str">
        <f t="array" ref="C1243">IF(B1243="","",INDEX(helper!$D$3:$D3996,MOD(ROW()-2,COUNTA(helper!$D$3:$D3996))+1))</f>
        <v>Vglobal</v>
      </c>
      <c r="D1243" s="3" t="str">
        <f t="array" ref="D1243">IF(B1243="","",INDEX(helper!$E$3:$E3996,MOD(ROW()-2,COUNTA(helper!$D$3:$D3996))+1))</f>
        <v>CS 007</v>
      </c>
      <c r="E1243" s="3">
        <f t="array" ref="E1243">IF(B1243="","",INDEX(helper!$F$3:$F3996,MOD(ROW()-2,COUNTA(helper!$D$3:$D3996))+1))</f>
        <v>12</v>
      </c>
      <c r="F1243" s="3">
        <f>IF(B1243="","",SUMIFS('inventory ledger'!$H:$H,'inventory ledger'!$C:$C,C1243,'inventory ledger'!$D:$D,D1243,'inventory ledger'!$E:$E,E1243,'inventory ledger'!$A:$A,"&lt;="&amp;B1243+TIME(23,59,59))-SUMIFS('inventory ledger'!$I:$I,'inventory ledger'!$C:$C,C1243,'inventory ledger'!$D:$D,D1243,'inventory ledger'!$E:$E,E1243,'inventory ledger'!$A:$A,"&lt;="&amp;B1243+TIME(23,59,59)))</f>
        <v>0</v>
      </c>
      <c r="G1243" s="3">
        <f>IFERROR(__xludf.DUMMYFUNCTION("IF(F1243&lt;=0,0,IFERROR(ROUNDUP(F1243/INDEX(FILTER('warehouse config'!$D:$D,('warehouse config'!$B:$B=C1243)*('warehouse config'!$C:$C=D1243)*('warehouse config'!$G:$G&lt;=B1243)*(('warehouse config'!$H:$H&gt;=B1243)+ISBLANK('warehouse config'!$H:$H))),1)),0))"),0.0)</f>
        <v>0</v>
      </c>
      <c r="H1243" s="3">
        <f>IFERROR(__xludf.DUMMYFUNCTION("IFERROR(INDEX(FILTER('cost master'!$E:$E,('cost master'!$B:$B=C1243)*('cost master'!$D:$D=""Storage cost per pallet / week"")*('cost master'!$G:$G&lt;=B1243)*(('cost master'!$H:$H&gt;=B1243)+ISBLANK('cost master'!$H:$H))),1),0)"),2.6)</f>
        <v>2.6</v>
      </c>
      <c r="I1243" s="3">
        <f t="shared" si="4"/>
        <v>0</v>
      </c>
      <c r="J1243" s="27">
        <f t="shared" si="5"/>
        <v>45885</v>
      </c>
      <c r="K1243" s="27">
        <f t="shared" si="6"/>
        <v>45915</v>
      </c>
    </row>
    <row r="1244" hidden="1">
      <c r="A1244" s="3" t="str">
        <f t="shared" si="3"/>
        <v>SL-20250915-Vglobal-CS 011-12</v>
      </c>
      <c r="B1244" s="2">
        <f t="array" ref="B1244">INDEX(helper!$A$3:$A3996,ROUNDUP((ROW()-1)/COUNTA(helper!$D$3:$D3996),0))</f>
        <v>45915</v>
      </c>
      <c r="C1244" s="5" t="str">
        <f t="array" ref="C1244">IF(B1244="","",INDEX(helper!$D$3:$D3996,MOD(ROW()-2,COUNTA(helper!$D$3:$D3996))+1))</f>
        <v>Vglobal</v>
      </c>
      <c r="D1244" s="3" t="str">
        <f t="array" ref="D1244">IF(B1244="","",INDEX(helper!$E$3:$E3996,MOD(ROW()-2,COUNTA(helper!$D$3:$D3996))+1))</f>
        <v>CS 011</v>
      </c>
      <c r="E1244" s="3">
        <f t="array" ref="E1244">IF(B1244="","",INDEX(helper!$F$3:$F3996,MOD(ROW()-2,COUNTA(helper!$D$3:$D3996))+1))</f>
        <v>12</v>
      </c>
      <c r="F1244" s="3">
        <f>IF(B1244="","",SUMIFS('inventory ledger'!$H:$H,'inventory ledger'!$C:$C,C1244,'inventory ledger'!$D:$D,D1244,'inventory ledger'!$E:$E,E1244,'inventory ledger'!$A:$A,"&lt;="&amp;B1244+TIME(23,59,59))-SUMIFS('inventory ledger'!$I:$I,'inventory ledger'!$C:$C,C1244,'inventory ledger'!$D:$D,D1244,'inventory ledger'!$E:$E,E1244,'inventory ledger'!$A:$A,"&lt;="&amp;B1244+TIME(23,59,59)))</f>
        <v>0</v>
      </c>
      <c r="G1244" s="3">
        <f>IFERROR(__xludf.DUMMYFUNCTION("IF(F1244&lt;=0,0,IFERROR(ROUNDUP(F1244/INDEX(FILTER('warehouse config'!$D:$D,('warehouse config'!$B:$B=C1244)*('warehouse config'!$C:$C=D1244)*('warehouse config'!$G:$G&lt;=B1244)*(('warehouse config'!$H:$H&gt;=B1244)+ISBLANK('warehouse config'!$H:$H))),1)),0))"),0.0)</f>
        <v>0</v>
      </c>
      <c r="H1244" s="3">
        <f>IFERROR(__xludf.DUMMYFUNCTION("IFERROR(INDEX(FILTER('cost master'!$E:$E,('cost master'!$B:$B=C1244)*('cost master'!$D:$D=""Storage cost per pallet / week"")*('cost master'!$G:$G&lt;=B1244)*(('cost master'!$H:$H&gt;=B1244)+ISBLANK('cost master'!$H:$H))),1),0)"),2.6)</f>
        <v>2.6</v>
      </c>
      <c r="I1244" s="3">
        <f t="shared" si="4"/>
        <v>0</v>
      </c>
      <c r="J1244" s="27">
        <f t="shared" si="5"/>
        <v>45885</v>
      </c>
      <c r="K1244" s="27">
        <f t="shared" si="6"/>
        <v>45915</v>
      </c>
    </row>
    <row r="1245" hidden="1">
      <c r="A1245" s="3" t="str">
        <f t="shared" si="3"/>
        <v>SL-20250915-Vglobal-CS 008-12</v>
      </c>
      <c r="B1245" s="2">
        <f t="array" ref="B1245">INDEX(helper!$A$3:$A3996,ROUNDUP((ROW()-1)/COUNTA(helper!$D$3:$D3996),0))</f>
        <v>45915</v>
      </c>
      <c r="C1245" s="5" t="str">
        <f t="array" ref="C1245">IF(B1245="","",INDEX(helper!$D$3:$D3996,MOD(ROW()-2,COUNTA(helper!$D$3:$D3996))+1))</f>
        <v>Vglobal</v>
      </c>
      <c r="D1245" s="3" t="str">
        <f t="array" ref="D1245">IF(B1245="","",INDEX(helper!$E$3:$E3996,MOD(ROW()-2,COUNTA(helper!$D$3:$D3996))+1))</f>
        <v>CS 008</v>
      </c>
      <c r="E1245" s="3">
        <f t="array" ref="E1245">IF(B1245="","",INDEX(helper!$F$3:$F3996,MOD(ROW()-2,COUNTA(helper!$D$3:$D3996))+1))</f>
        <v>12</v>
      </c>
      <c r="F1245" s="3">
        <f>IF(B1245="","",SUMIFS('inventory ledger'!$H:$H,'inventory ledger'!$C:$C,C1245,'inventory ledger'!$D:$D,D1245,'inventory ledger'!$E:$E,E1245,'inventory ledger'!$A:$A,"&lt;="&amp;B1245+TIME(23,59,59))-SUMIFS('inventory ledger'!$I:$I,'inventory ledger'!$C:$C,C1245,'inventory ledger'!$D:$D,D1245,'inventory ledger'!$E:$E,E1245,'inventory ledger'!$A:$A,"&lt;="&amp;B1245+TIME(23,59,59)))</f>
        <v>0</v>
      </c>
      <c r="G1245" s="3">
        <f>IFERROR(__xludf.DUMMYFUNCTION("IF(F1245&lt;=0,0,IFERROR(ROUNDUP(F1245/INDEX(FILTER('warehouse config'!$D:$D,('warehouse config'!$B:$B=C1245)*('warehouse config'!$C:$C=D1245)*('warehouse config'!$G:$G&lt;=B1245)*(('warehouse config'!$H:$H&gt;=B1245)+ISBLANK('warehouse config'!$H:$H))),1)),0))"),0.0)</f>
        <v>0</v>
      </c>
      <c r="H1245" s="3">
        <f>IFERROR(__xludf.DUMMYFUNCTION("IFERROR(INDEX(FILTER('cost master'!$E:$E,('cost master'!$B:$B=C1245)*('cost master'!$D:$D=""Storage cost per pallet / week"")*('cost master'!$G:$G&lt;=B1245)*(('cost master'!$H:$H&gt;=B1245)+ISBLANK('cost master'!$H:$H))),1),0)"),2.6)</f>
        <v>2.6</v>
      </c>
      <c r="I1245" s="3">
        <f t="shared" si="4"/>
        <v>0</v>
      </c>
      <c r="J1245" s="27">
        <f t="shared" si="5"/>
        <v>45885</v>
      </c>
      <c r="K1245" s="27">
        <f t="shared" si="6"/>
        <v>45915</v>
      </c>
    </row>
    <row r="1246" hidden="1">
      <c r="A1246" s="3" t="str">
        <f t="shared" si="3"/>
        <v>SL-20250915-Vglobal-CS 010-12</v>
      </c>
      <c r="B1246" s="2">
        <f t="array" ref="B1246">INDEX(helper!$A$3:$A3996,ROUNDUP((ROW()-1)/COUNTA(helper!$D$3:$D3996),0))</f>
        <v>45915</v>
      </c>
      <c r="C1246" s="5" t="str">
        <f t="array" ref="C1246">IF(B1246="","",INDEX(helper!$D$3:$D3996,MOD(ROW()-2,COUNTA(helper!$D$3:$D3996))+1))</f>
        <v>Vglobal</v>
      </c>
      <c r="D1246" s="3" t="str">
        <f t="array" ref="D1246">IF(B1246="","",INDEX(helper!$E$3:$E3996,MOD(ROW()-2,COUNTA(helper!$D$3:$D3996))+1))</f>
        <v>CS 010</v>
      </c>
      <c r="E1246" s="3">
        <f t="array" ref="E1246">IF(B1246="","",INDEX(helper!$F$3:$F3996,MOD(ROW()-2,COUNTA(helper!$D$3:$D3996))+1))</f>
        <v>12</v>
      </c>
      <c r="F1246" s="3">
        <f>IF(B1246="","",SUMIFS('inventory ledger'!$H:$H,'inventory ledger'!$C:$C,C1246,'inventory ledger'!$D:$D,D1246,'inventory ledger'!$E:$E,E1246,'inventory ledger'!$A:$A,"&lt;="&amp;B1246+TIME(23,59,59))-SUMIFS('inventory ledger'!$I:$I,'inventory ledger'!$C:$C,C1246,'inventory ledger'!$D:$D,D1246,'inventory ledger'!$E:$E,E1246,'inventory ledger'!$A:$A,"&lt;="&amp;B1246+TIME(23,59,59)))</f>
        <v>70</v>
      </c>
      <c r="G1246" s="3">
        <f>IFERROR(__xludf.DUMMYFUNCTION("IF(F1246&lt;=0,0,IFERROR(ROUNDUP(F1246/INDEX(FILTER('warehouse config'!$D:$D,('warehouse config'!$B:$B=C1246)*('warehouse config'!$C:$C=D1246)*('warehouse config'!$G:$G&lt;=B1246)*(('warehouse config'!$H:$H&gt;=B1246)+ISBLANK('warehouse config'!$H:$H))),1)),0))"),3.0)</f>
        <v>3</v>
      </c>
      <c r="H1246" s="3">
        <f>IFERROR(__xludf.DUMMYFUNCTION("IFERROR(INDEX(FILTER('cost master'!$E:$E,('cost master'!$B:$B=C1246)*('cost master'!$D:$D=""Storage cost per pallet / week"")*('cost master'!$G:$G&lt;=B1246)*(('cost master'!$H:$H&gt;=B1246)+ISBLANK('cost master'!$H:$H))),1),0)"),2.6)</f>
        <v>2.6</v>
      </c>
      <c r="I1246" s="3">
        <f t="shared" si="4"/>
        <v>7.8</v>
      </c>
      <c r="J1246" s="27">
        <f t="shared" si="5"/>
        <v>45885</v>
      </c>
      <c r="K1246" s="27">
        <f t="shared" si="6"/>
        <v>45915</v>
      </c>
    </row>
    <row r="1247" hidden="1">
      <c r="A1247" s="3" t="str">
        <f t="shared" si="3"/>
        <v>SL-20250915-Vglobal-CS 009-12</v>
      </c>
      <c r="B1247" s="2">
        <f t="array" ref="B1247">INDEX(helper!$A$3:$A3996,ROUNDUP((ROW()-1)/COUNTA(helper!$D$3:$D3996),0))</f>
        <v>45915</v>
      </c>
      <c r="C1247" s="5" t="str">
        <f t="array" ref="C1247">IF(B1247="","",INDEX(helper!$D$3:$D3996,MOD(ROW()-2,COUNTA(helper!$D$3:$D3996))+1))</f>
        <v>Vglobal</v>
      </c>
      <c r="D1247" s="3" t="str">
        <f t="array" ref="D1247">IF(B1247="","",INDEX(helper!$E$3:$E3996,MOD(ROW()-2,COUNTA(helper!$D$3:$D3996))+1))</f>
        <v>CS 009</v>
      </c>
      <c r="E1247" s="3">
        <f t="array" ref="E1247">IF(B1247="","",INDEX(helper!$F$3:$F3996,MOD(ROW()-2,COUNTA(helper!$D$3:$D3996))+1))</f>
        <v>12</v>
      </c>
      <c r="F1247" s="3">
        <f>IF(B1247="","",SUMIFS('inventory ledger'!$H:$H,'inventory ledger'!$C:$C,C1247,'inventory ledger'!$D:$D,D1247,'inventory ledger'!$E:$E,E1247,'inventory ledger'!$A:$A,"&lt;="&amp;B1247+TIME(23,59,59))-SUMIFS('inventory ledger'!$I:$I,'inventory ledger'!$C:$C,C1247,'inventory ledger'!$D:$D,D1247,'inventory ledger'!$E:$E,E1247,'inventory ledger'!$A:$A,"&lt;="&amp;B1247+TIME(23,59,59)))</f>
        <v>0</v>
      </c>
      <c r="G1247" s="3">
        <f>IFERROR(__xludf.DUMMYFUNCTION("IF(F1247&lt;=0,0,IFERROR(ROUNDUP(F1247/INDEX(FILTER('warehouse config'!$D:$D,('warehouse config'!$B:$B=C1247)*('warehouse config'!$C:$C=D1247)*('warehouse config'!$G:$G&lt;=B1247)*(('warehouse config'!$H:$H&gt;=B1247)+ISBLANK('warehouse config'!$H:$H))),1)),0))"),0.0)</f>
        <v>0</v>
      </c>
      <c r="H1247" s="3">
        <f>IFERROR(__xludf.DUMMYFUNCTION("IFERROR(INDEX(FILTER('cost master'!$E:$E,('cost master'!$B:$B=C1247)*('cost master'!$D:$D=""Storage cost per pallet / week"")*('cost master'!$G:$G&lt;=B1247)*(('cost master'!$H:$H&gt;=B1247)+ISBLANK('cost master'!$H:$H))),1),0)"),2.6)</f>
        <v>2.6</v>
      </c>
      <c r="I1247" s="3">
        <f t="shared" si="4"/>
        <v>0</v>
      </c>
      <c r="J1247" s="27">
        <f t="shared" si="5"/>
        <v>45885</v>
      </c>
      <c r="K1247" s="27">
        <f t="shared" si="6"/>
        <v>45915</v>
      </c>
    </row>
    <row r="1248" hidden="1">
      <c r="A1248" s="3" t="str">
        <f t="shared" si="3"/>
        <v>SL-20250915-Vglobal-CS 012-12</v>
      </c>
      <c r="B1248" s="2">
        <f t="array" ref="B1248">INDEX(helper!$A$3:$A3996,ROUNDUP((ROW()-1)/COUNTA(helper!$D$3:$D3996),0))</f>
        <v>45915</v>
      </c>
      <c r="C1248" s="5" t="str">
        <f t="array" ref="C1248">IF(B1248="","",INDEX(helper!$D$3:$D3996,MOD(ROW()-2,COUNTA(helper!$D$3:$D3996))+1))</f>
        <v>Vglobal</v>
      </c>
      <c r="D1248" s="3" t="str">
        <f t="array" ref="D1248">IF(B1248="","",INDEX(helper!$E$3:$E3996,MOD(ROW()-2,COUNTA(helper!$D$3:$D3996))+1))</f>
        <v>CS 012</v>
      </c>
      <c r="E1248" s="3">
        <f t="array" ref="E1248">IF(B1248="","",INDEX(helper!$F$3:$F3996,MOD(ROW()-2,COUNTA(helper!$D$3:$D3996))+1))</f>
        <v>12</v>
      </c>
      <c r="F1248" s="3">
        <f>IF(B1248="","",SUMIFS('inventory ledger'!$H:$H,'inventory ledger'!$C:$C,C1248,'inventory ledger'!$D:$D,D1248,'inventory ledger'!$E:$E,E1248,'inventory ledger'!$A:$A,"&lt;="&amp;B1248+TIME(23,59,59))-SUMIFS('inventory ledger'!$I:$I,'inventory ledger'!$C:$C,C1248,'inventory ledger'!$D:$D,D1248,'inventory ledger'!$E:$E,E1248,'inventory ledger'!$A:$A,"&lt;="&amp;B1248+TIME(23,59,59)))</f>
        <v>0</v>
      </c>
      <c r="G1248" s="3">
        <f>IFERROR(__xludf.DUMMYFUNCTION("IF(F1248&lt;=0,0,IFERROR(ROUNDUP(F1248/INDEX(FILTER('warehouse config'!$D:$D,('warehouse config'!$B:$B=C1248)*('warehouse config'!$C:$C=D1248)*('warehouse config'!$G:$G&lt;=B1248)*(('warehouse config'!$H:$H&gt;=B1248)+ISBLANK('warehouse config'!$H:$H))),1)),0))"),0.0)</f>
        <v>0</v>
      </c>
      <c r="H1248" s="3">
        <f>IFERROR(__xludf.DUMMYFUNCTION("IFERROR(INDEX(FILTER('cost master'!$E:$E,('cost master'!$B:$B=C1248)*('cost master'!$D:$D=""Storage cost per pallet / week"")*('cost master'!$G:$G&lt;=B1248)*(('cost master'!$H:$H&gt;=B1248)+ISBLANK('cost master'!$H:$H))),1),0)"),2.6)</f>
        <v>2.6</v>
      </c>
      <c r="I1248" s="3">
        <f t="shared" si="4"/>
        <v>0</v>
      </c>
      <c r="J1248" s="27">
        <f t="shared" si="5"/>
        <v>45885</v>
      </c>
      <c r="K1248" s="27">
        <f t="shared" si="6"/>
        <v>45915</v>
      </c>
    </row>
    <row r="1249" hidden="1">
      <c r="A1249" s="3" t="str">
        <f t="shared" si="3"/>
        <v>SL-20250915-Vglobal-CS-CDS-001-3</v>
      </c>
      <c r="B1249" s="2">
        <f t="array" ref="B1249">INDEX(helper!$A$3:$A3996,ROUNDUP((ROW()-1)/COUNTA(helper!$D$3:$D3996),0))</f>
        <v>45915</v>
      </c>
      <c r="C1249" s="5" t="str">
        <f t="array" ref="C1249">IF(B1249="","",INDEX(helper!$D$3:$D3996,MOD(ROW()-2,COUNTA(helper!$D$3:$D3996))+1))</f>
        <v>Vglobal</v>
      </c>
      <c r="D1249" s="3" t="str">
        <f t="array" ref="D1249">IF(B1249="","",INDEX(helper!$E$3:$E3996,MOD(ROW()-2,COUNTA(helper!$D$3:$D3996))+1))</f>
        <v>CS-CDS-001</v>
      </c>
      <c r="E1249" s="3">
        <f t="array" ref="E1249">IF(B1249="","",INDEX(helper!$F$3:$F3996,MOD(ROW()-2,COUNTA(helper!$D$3:$D3996))+1))</f>
        <v>3</v>
      </c>
      <c r="F1249" s="3">
        <f>IF(B1249="","",SUMIFS('inventory ledger'!$H:$H,'inventory ledger'!$C:$C,C1249,'inventory ledger'!$D:$D,D1249,'inventory ledger'!$E:$E,E1249,'inventory ledger'!$A:$A,"&lt;="&amp;B1249+TIME(23,59,59))-SUMIFS('inventory ledger'!$I:$I,'inventory ledger'!$C:$C,C1249,'inventory ledger'!$D:$D,D1249,'inventory ledger'!$E:$E,E1249,'inventory ledger'!$A:$A,"&lt;="&amp;B1249+TIME(23,59,59)))</f>
        <v>1</v>
      </c>
      <c r="G1249" s="3">
        <f>IFERROR(__xludf.DUMMYFUNCTION("IF(F1249&lt;=0,0,IFERROR(ROUNDUP(F1249/INDEX(FILTER('warehouse config'!$D:$D,('warehouse config'!$B:$B=C1249)*('warehouse config'!$C:$C=D1249)*('warehouse config'!$G:$G&lt;=B1249)*(('warehouse config'!$H:$H&gt;=B1249)+ISBLANK('warehouse config'!$H:$H))),1)),0))"),1.0)</f>
        <v>1</v>
      </c>
      <c r="H1249" s="3">
        <f>IFERROR(__xludf.DUMMYFUNCTION("IFERROR(INDEX(FILTER('cost master'!$E:$E,('cost master'!$B:$B=C1249)*('cost master'!$D:$D=""Storage cost per pallet / week"")*('cost master'!$G:$G&lt;=B1249)*(('cost master'!$H:$H&gt;=B1249)+ISBLANK('cost master'!$H:$H))),1),0)"),2.6)</f>
        <v>2.6</v>
      </c>
      <c r="I1249" s="3">
        <f t="shared" si="4"/>
        <v>2.6</v>
      </c>
      <c r="J1249" s="27">
        <f t="shared" si="5"/>
        <v>45885</v>
      </c>
      <c r="K1249" s="27">
        <f t="shared" si="6"/>
        <v>45915</v>
      </c>
    </row>
    <row r="1250" hidden="1">
      <c r="A1250" s="3" t="str">
        <f t="shared" si="3"/>
        <v>SL-20250915-Vglobal-CS-CDS-002-3</v>
      </c>
      <c r="B1250" s="2">
        <f t="array" ref="B1250">INDEX(helper!$A$3:$A3996,ROUNDUP((ROW()-1)/COUNTA(helper!$D$3:$D3996),0))</f>
        <v>45915</v>
      </c>
      <c r="C1250" s="5" t="str">
        <f t="array" ref="C1250">IF(B1250="","",INDEX(helper!$D$3:$D3996,MOD(ROW()-2,COUNTA(helper!$D$3:$D3996))+1))</f>
        <v>Vglobal</v>
      </c>
      <c r="D1250" s="3" t="str">
        <f t="array" ref="D1250">IF(B1250="","",INDEX(helper!$E$3:$E3996,MOD(ROW()-2,COUNTA(helper!$D$3:$D3996))+1))</f>
        <v>CS-CDS-002</v>
      </c>
      <c r="E1250" s="3">
        <f t="array" ref="E1250">IF(B1250="","",INDEX(helper!$F$3:$F3996,MOD(ROW()-2,COUNTA(helper!$D$3:$D3996))+1))</f>
        <v>3</v>
      </c>
      <c r="F1250" s="3">
        <f>IF(B1250="","",SUMIFS('inventory ledger'!$H:$H,'inventory ledger'!$C:$C,C1250,'inventory ledger'!$D:$D,D1250,'inventory ledger'!$E:$E,E1250,'inventory ledger'!$A:$A,"&lt;="&amp;B1250+TIME(23,59,59))-SUMIFS('inventory ledger'!$I:$I,'inventory ledger'!$C:$C,C1250,'inventory ledger'!$D:$D,D1250,'inventory ledger'!$E:$E,E1250,'inventory ledger'!$A:$A,"&lt;="&amp;B1250+TIME(23,59,59)))</f>
        <v>0</v>
      </c>
      <c r="G1250" s="3">
        <f>IFERROR(__xludf.DUMMYFUNCTION("IF(F1250&lt;=0,0,IFERROR(ROUNDUP(F1250/INDEX(FILTER('warehouse config'!$D:$D,('warehouse config'!$B:$B=C1250)*('warehouse config'!$C:$C=D1250)*('warehouse config'!$G:$G&lt;=B1250)*(('warehouse config'!$H:$H&gt;=B1250)+ISBLANK('warehouse config'!$H:$H))),1)),0))"),0.0)</f>
        <v>0</v>
      </c>
      <c r="H1250" s="3">
        <f>IFERROR(__xludf.DUMMYFUNCTION("IFERROR(INDEX(FILTER('cost master'!$E:$E,('cost master'!$B:$B=C1250)*('cost master'!$D:$D=""Storage cost per pallet / week"")*('cost master'!$G:$G&lt;=B1250)*(('cost master'!$H:$H&gt;=B1250)+ISBLANK('cost master'!$H:$H))),1),0)"),2.6)</f>
        <v>2.6</v>
      </c>
      <c r="I1250" s="3">
        <f t="shared" si="4"/>
        <v>0</v>
      </c>
      <c r="J1250" s="27">
        <f t="shared" si="5"/>
        <v>45885</v>
      </c>
      <c r="K1250" s="27">
        <f t="shared" si="6"/>
        <v>45915</v>
      </c>
    </row>
    <row r="1251" hidden="1">
      <c r="A1251" s="3" t="str">
        <f t="shared" si="3"/>
        <v>SL-20250915-4as-CS-CDS-001-4</v>
      </c>
      <c r="B1251" s="2">
        <f t="array" ref="B1251">INDEX(helper!$A$3:$A3996,ROUNDUP((ROW()-1)/COUNTA(helper!$D$3:$D3996),0))</f>
        <v>45915</v>
      </c>
      <c r="C1251" s="5" t="str">
        <f t="array" ref="C1251">IF(B1251="","",INDEX(helper!$D$3:$D3996,MOD(ROW()-2,COUNTA(helper!$D$3:$D3996))+1))</f>
        <v>4as</v>
      </c>
      <c r="D1251" s="3" t="str">
        <f t="array" ref="D1251">IF(B1251="","",INDEX(helper!$E$3:$E3996,MOD(ROW()-2,COUNTA(helper!$D$3:$D3996))+1))</f>
        <v>CS-CDS-001</v>
      </c>
      <c r="E1251" s="3">
        <f t="array" ref="E1251">IF(B1251="","",INDEX(helper!$F$3:$F3996,MOD(ROW()-2,COUNTA(helper!$D$3:$D3996))+1))</f>
        <v>4</v>
      </c>
      <c r="F1251" s="3">
        <f>IF(B1251="","",SUMIFS('inventory ledger'!$H:$H,'inventory ledger'!$C:$C,C1251,'inventory ledger'!$D:$D,D1251,'inventory ledger'!$E:$E,E1251,'inventory ledger'!$A:$A,"&lt;="&amp;B1251+TIME(23,59,59))-SUMIFS('inventory ledger'!$I:$I,'inventory ledger'!$C:$C,C1251,'inventory ledger'!$D:$D,D1251,'inventory ledger'!$E:$E,E1251,'inventory ledger'!$A:$A,"&lt;="&amp;B1251+TIME(23,59,59)))</f>
        <v>0</v>
      </c>
      <c r="G1251" s="3">
        <f>IFERROR(__xludf.DUMMYFUNCTION("IF(F1251&lt;=0,0,IFERROR(ROUNDUP(F1251/INDEX(FILTER('warehouse config'!$D:$D,('warehouse config'!$B:$B=C1251)*('warehouse config'!$C:$C=D1251)*('warehouse config'!$G:$G&lt;=B1251)*(('warehouse config'!$H:$H&gt;=B1251)+ISBLANK('warehouse config'!$H:$H))),1)),0))"),0.0)</f>
        <v>0</v>
      </c>
      <c r="H1251" s="3">
        <f>IFERROR(__xludf.DUMMYFUNCTION("IFERROR(INDEX(FILTER('cost master'!$E:$E,('cost master'!$B:$B=C1251)*('cost master'!$D:$D=""Storage cost per pallet / week"")*('cost master'!$G:$G&lt;=B1251)*(('cost master'!$H:$H&gt;=B1251)+ISBLANK('cost master'!$H:$H))),1),0)"),9.0)</f>
        <v>9</v>
      </c>
      <c r="I1251" s="3">
        <f t="shared" si="4"/>
        <v>0</v>
      </c>
      <c r="J1251" s="27">
        <f t="shared" si="5"/>
        <v>45885</v>
      </c>
      <c r="K1251" s="27">
        <f t="shared" si="6"/>
        <v>45915</v>
      </c>
    </row>
    <row r="1252" hidden="1">
      <c r="A1252" s="3" t="str">
        <f t="shared" si="3"/>
        <v>SL-20250915-4as-CS-CDS-002-4</v>
      </c>
      <c r="B1252" s="2">
        <f t="array" ref="B1252">INDEX(helper!$A$3:$A3996,ROUNDUP((ROW()-1)/COUNTA(helper!$D$3:$D3996),0))</f>
        <v>45915</v>
      </c>
      <c r="C1252" s="5" t="str">
        <f t="array" ref="C1252">IF(B1252="","",INDEX(helper!$D$3:$D3996,MOD(ROW()-2,COUNTA(helper!$D$3:$D3996))+1))</f>
        <v>4as</v>
      </c>
      <c r="D1252" s="3" t="str">
        <f t="array" ref="D1252">IF(B1252="","",INDEX(helper!$E$3:$E3996,MOD(ROW()-2,COUNTA(helper!$D$3:$D3996))+1))</f>
        <v>CS-CDS-002</v>
      </c>
      <c r="E1252" s="3">
        <f t="array" ref="E1252">IF(B1252="","",INDEX(helper!$F$3:$F3996,MOD(ROW()-2,COUNTA(helper!$D$3:$D3996))+1))</f>
        <v>4</v>
      </c>
      <c r="F1252" s="3">
        <f>IF(B1252="","",SUMIFS('inventory ledger'!$H:$H,'inventory ledger'!$C:$C,C1252,'inventory ledger'!$D:$D,D1252,'inventory ledger'!$E:$E,E1252,'inventory ledger'!$A:$A,"&lt;="&amp;B1252+TIME(23,59,59))-SUMIFS('inventory ledger'!$I:$I,'inventory ledger'!$C:$C,C1252,'inventory ledger'!$D:$D,D1252,'inventory ledger'!$E:$E,E1252,'inventory ledger'!$A:$A,"&lt;="&amp;B1252+TIME(23,59,59)))</f>
        <v>0</v>
      </c>
      <c r="G1252" s="3">
        <f>IFERROR(__xludf.DUMMYFUNCTION("IF(F1252&lt;=0,0,IFERROR(ROUNDUP(F1252/INDEX(FILTER('warehouse config'!$D:$D,('warehouse config'!$B:$B=C1252)*('warehouse config'!$C:$C=D1252)*('warehouse config'!$G:$G&lt;=B1252)*(('warehouse config'!$H:$H&gt;=B1252)+ISBLANK('warehouse config'!$H:$H))),1)),0))"),0.0)</f>
        <v>0</v>
      </c>
      <c r="H1252" s="3">
        <f>IFERROR(__xludf.DUMMYFUNCTION("IFERROR(INDEX(FILTER('cost master'!$E:$E,('cost master'!$B:$B=C1252)*('cost master'!$D:$D=""Storage cost per pallet / week"")*('cost master'!$G:$G&lt;=B1252)*(('cost master'!$H:$H&gt;=B1252)+ISBLANK('cost master'!$H:$H))),1),0)"),9.0)</f>
        <v>9</v>
      </c>
      <c r="I1252" s="3">
        <f t="shared" si="4"/>
        <v>0</v>
      </c>
      <c r="J1252" s="27">
        <f t="shared" si="5"/>
        <v>45885</v>
      </c>
      <c r="K1252" s="27">
        <f t="shared" si="6"/>
        <v>45915</v>
      </c>
    </row>
    <row r="1253" hidden="1">
      <c r="A1253" s="3" t="str">
        <f t="shared" si="3"/>
        <v>SL-20250915-Vglobal-CS 007-13</v>
      </c>
      <c r="B1253" s="2">
        <f t="array" ref="B1253">INDEX(helper!$A$3:$A3996,ROUNDUP((ROW()-1)/COUNTA(helper!$D$3:$D3996),0))</f>
        <v>45915</v>
      </c>
      <c r="C1253" s="5" t="str">
        <f t="array" ref="C1253">IF(B1253="","",INDEX(helper!$D$3:$D3996,MOD(ROW()-2,COUNTA(helper!$D$3:$D3996))+1))</f>
        <v>Vglobal</v>
      </c>
      <c r="D1253" s="3" t="str">
        <f t="array" ref="D1253">IF(B1253="","",INDEX(helper!$E$3:$E3996,MOD(ROW()-2,COUNTA(helper!$D$3:$D3996))+1))</f>
        <v>CS 007</v>
      </c>
      <c r="E1253" s="3">
        <f t="array" ref="E1253">IF(B1253="","",INDEX(helper!$F$3:$F3996,MOD(ROW()-2,COUNTA(helper!$D$3:$D3996))+1))</f>
        <v>13</v>
      </c>
      <c r="F1253" s="3">
        <f>IF(B1253="","",SUMIFS('inventory ledger'!$H:$H,'inventory ledger'!$C:$C,C1253,'inventory ledger'!$D:$D,D1253,'inventory ledger'!$E:$E,E1253,'inventory ledger'!$A:$A,"&lt;="&amp;B1253+TIME(23,59,59))-SUMIFS('inventory ledger'!$I:$I,'inventory ledger'!$C:$C,C1253,'inventory ledger'!$D:$D,D1253,'inventory ledger'!$E:$E,E1253,'inventory ledger'!$A:$A,"&lt;="&amp;B1253+TIME(23,59,59)))</f>
        <v>45</v>
      </c>
      <c r="G1253" s="3">
        <f>IFERROR(__xludf.DUMMYFUNCTION("IF(F1253&lt;=0,0,IFERROR(ROUNDUP(F1253/INDEX(FILTER('warehouse config'!$D:$D,('warehouse config'!$B:$B=C1253)*('warehouse config'!$C:$C=D1253)*('warehouse config'!$G:$G&lt;=B1253)*(('warehouse config'!$H:$H&gt;=B1253)+ISBLANK('warehouse config'!$H:$H))),1)),0))"),3.0)</f>
        <v>3</v>
      </c>
      <c r="H1253" s="3">
        <f>IFERROR(__xludf.DUMMYFUNCTION("IFERROR(INDEX(FILTER('cost master'!$E:$E,('cost master'!$B:$B=C1253)*('cost master'!$D:$D=""Storage cost per pallet / week"")*('cost master'!$G:$G&lt;=B1253)*(('cost master'!$H:$H&gt;=B1253)+ISBLANK('cost master'!$H:$H))),1),0)"),2.6)</f>
        <v>2.6</v>
      </c>
      <c r="I1253" s="3">
        <f t="shared" si="4"/>
        <v>7.8</v>
      </c>
      <c r="J1253" s="27">
        <f t="shared" si="5"/>
        <v>45885</v>
      </c>
      <c r="K1253" s="27">
        <f t="shared" si="6"/>
        <v>45915</v>
      </c>
    </row>
    <row r="1254" hidden="1">
      <c r="A1254" s="3" t="str">
        <f t="shared" si="3"/>
        <v>SL-20250915-Vglobal-CS 011-13</v>
      </c>
      <c r="B1254" s="2">
        <f t="array" ref="B1254">INDEX(helper!$A$3:$A3996,ROUNDUP((ROW()-1)/COUNTA(helper!$D$3:$D3996),0))</f>
        <v>45915</v>
      </c>
      <c r="C1254" s="5" t="str">
        <f t="array" ref="C1254">IF(B1254="","",INDEX(helper!$D$3:$D3996,MOD(ROW()-2,COUNTA(helper!$D$3:$D3996))+1))</f>
        <v>Vglobal</v>
      </c>
      <c r="D1254" s="3" t="str">
        <f t="array" ref="D1254">IF(B1254="","",INDEX(helper!$E$3:$E3996,MOD(ROW()-2,COUNTA(helper!$D$3:$D3996))+1))</f>
        <v>CS 011</v>
      </c>
      <c r="E1254" s="3">
        <f t="array" ref="E1254">IF(B1254="","",INDEX(helper!$F$3:$F3996,MOD(ROW()-2,COUNTA(helper!$D$3:$D3996))+1))</f>
        <v>13</v>
      </c>
      <c r="F1254" s="3">
        <f>IF(B1254="","",SUMIFS('inventory ledger'!$H:$H,'inventory ledger'!$C:$C,C1254,'inventory ledger'!$D:$D,D1254,'inventory ledger'!$E:$E,E1254,'inventory ledger'!$A:$A,"&lt;="&amp;B1254+TIME(23,59,59))-SUMIFS('inventory ledger'!$I:$I,'inventory ledger'!$C:$C,C1254,'inventory ledger'!$D:$D,D1254,'inventory ledger'!$E:$E,E1254,'inventory ledger'!$A:$A,"&lt;="&amp;B1254+TIME(23,59,59)))</f>
        <v>0</v>
      </c>
      <c r="G1254" s="3">
        <f>IFERROR(__xludf.DUMMYFUNCTION("IF(F1254&lt;=0,0,IFERROR(ROUNDUP(F1254/INDEX(FILTER('warehouse config'!$D:$D,('warehouse config'!$B:$B=C1254)*('warehouse config'!$C:$C=D1254)*('warehouse config'!$G:$G&lt;=B1254)*(('warehouse config'!$H:$H&gt;=B1254)+ISBLANK('warehouse config'!$H:$H))),1)),0))"),0.0)</f>
        <v>0</v>
      </c>
      <c r="H1254" s="3">
        <f>IFERROR(__xludf.DUMMYFUNCTION("IFERROR(INDEX(FILTER('cost master'!$E:$E,('cost master'!$B:$B=C1254)*('cost master'!$D:$D=""Storage cost per pallet / week"")*('cost master'!$G:$G&lt;=B1254)*(('cost master'!$H:$H&gt;=B1254)+ISBLANK('cost master'!$H:$H))),1),0)"),2.6)</f>
        <v>2.6</v>
      </c>
      <c r="I1254" s="3">
        <f t="shared" si="4"/>
        <v>0</v>
      </c>
      <c r="J1254" s="27">
        <f t="shared" si="5"/>
        <v>45885</v>
      </c>
      <c r="K1254" s="27">
        <f t="shared" si="6"/>
        <v>45915</v>
      </c>
    </row>
    <row r="1255" hidden="1">
      <c r="A1255" s="3" t="str">
        <f t="shared" si="3"/>
        <v>SL-20250915-Vglobal-CS 008-13</v>
      </c>
      <c r="B1255" s="2">
        <f t="array" ref="B1255">INDEX(helper!$A$3:$A3996,ROUNDUP((ROW()-1)/COUNTA(helper!$D$3:$D3996),0))</f>
        <v>45915</v>
      </c>
      <c r="C1255" s="5" t="str">
        <f t="array" ref="C1255">IF(B1255="","",INDEX(helper!$D$3:$D3996,MOD(ROW()-2,COUNTA(helper!$D$3:$D3996))+1))</f>
        <v>Vglobal</v>
      </c>
      <c r="D1255" s="3" t="str">
        <f t="array" ref="D1255">IF(B1255="","",INDEX(helper!$E$3:$E3996,MOD(ROW()-2,COUNTA(helper!$D$3:$D3996))+1))</f>
        <v>CS 008</v>
      </c>
      <c r="E1255" s="3">
        <f t="array" ref="E1255">IF(B1255="","",INDEX(helper!$F$3:$F3996,MOD(ROW()-2,COUNTA(helper!$D$3:$D3996))+1))</f>
        <v>13</v>
      </c>
      <c r="F1255" s="3">
        <f>IF(B1255="","",SUMIFS('inventory ledger'!$H:$H,'inventory ledger'!$C:$C,C1255,'inventory ledger'!$D:$D,D1255,'inventory ledger'!$E:$E,E1255,'inventory ledger'!$A:$A,"&lt;="&amp;B1255+TIME(23,59,59))-SUMIFS('inventory ledger'!$I:$I,'inventory ledger'!$C:$C,C1255,'inventory ledger'!$D:$D,D1255,'inventory ledger'!$E:$E,E1255,'inventory ledger'!$A:$A,"&lt;="&amp;B1255+TIME(23,59,59)))</f>
        <v>20</v>
      </c>
      <c r="G1255" s="3">
        <f>IFERROR(__xludf.DUMMYFUNCTION("IF(F1255&lt;=0,0,IFERROR(ROUNDUP(F1255/INDEX(FILTER('warehouse config'!$D:$D,('warehouse config'!$B:$B=C1255)*('warehouse config'!$C:$C=D1255)*('warehouse config'!$G:$G&lt;=B1255)*(('warehouse config'!$H:$H&gt;=B1255)+ISBLANK('warehouse config'!$H:$H))),1)),0))"),1.0)</f>
        <v>1</v>
      </c>
      <c r="H1255" s="3">
        <f>IFERROR(__xludf.DUMMYFUNCTION("IFERROR(INDEX(FILTER('cost master'!$E:$E,('cost master'!$B:$B=C1255)*('cost master'!$D:$D=""Storage cost per pallet / week"")*('cost master'!$G:$G&lt;=B1255)*(('cost master'!$H:$H&gt;=B1255)+ISBLANK('cost master'!$H:$H))),1),0)"),2.6)</f>
        <v>2.6</v>
      </c>
      <c r="I1255" s="3">
        <f t="shared" si="4"/>
        <v>2.6</v>
      </c>
      <c r="J1255" s="27">
        <f t="shared" si="5"/>
        <v>45885</v>
      </c>
      <c r="K1255" s="27">
        <f t="shared" si="6"/>
        <v>45915</v>
      </c>
    </row>
    <row r="1256" hidden="1">
      <c r="A1256" s="3" t="str">
        <f t="shared" si="3"/>
        <v>SL-20250915-Vglobal-CS 010-13</v>
      </c>
      <c r="B1256" s="2">
        <f t="array" ref="B1256">INDEX(helper!$A$3:$A3996,ROUNDUP((ROW()-1)/COUNTA(helper!$D$3:$D3996),0))</f>
        <v>45915</v>
      </c>
      <c r="C1256" s="5" t="str">
        <f t="array" ref="C1256">IF(B1256="","",INDEX(helper!$D$3:$D3996,MOD(ROW()-2,COUNTA(helper!$D$3:$D3996))+1))</f>
        <v>Vglobal</v>
      </c>
      <c r="D1256" s="3" t="str">
        <f t="array" ref="D1256">IF(B1256="","",INDEX(helper!$E$3:$E3996,MOD(ROW()-2,COUNTA(helper!$D$3:$D3996))+1))</f>
        <v>CS 010</v>
      </c>
      <c r="E1256" s="3">
        <f t="array" ref="E1256">IF(B1256="","",INDEX(helper!$F$3:$F3996,MOD(ROW()-2,COUNTA(helper!$D$3:$D3996))+1))</f>
        <v>13</v>
      </c>
      <c r="F1256" s="3">
        <f>IF(B1256="","",SUMIFS('inventory ledger'!$H:$H,'inventory ledger'!$C:$C,C1256,'inventory ledger'!$D:$D,D1256,'inventory ledger'!$E:$E,E1256,'inventory ledger'!$A:$A,"&lt;="&amp;B1256+TIME(23,59,59))-SUMIFS('inventory ledger'!$I:$I,'inventory ledger'!$C:$C,C1256,'inventory ledger'!$D:$D,D1256,'inventory ledger'!$E:$E,E1256,'inventory ledger'!$A:$A,"&lt;="&amp;B1256+TIME(23,59,59)))</f>
        <v>80</v>
      </c>
      <c r="G1256" s="3">
        <f>IFERROR(__xludf.DUMMYFUNCTION("IF(F1256&lt;=0,0,IFERROR(ROUNDUP(F1256/INDEX(FILTER('warehouse config'!$D:$D,('warehouse config'!$B:$B=C1256)*('warehouse config'!$C:$C=D1256)*('warehouse config'!$G:$G&lt;=B1256)*(('warehouse config'!$H:$H&gt;=B1256)+ISBLANK('warehouse config'!$H:$H))),1)),0))"),4.0)</f>
        <v>4</v>
      </c>
      <c r="H1256" s="3">
        <f>IFERROR(__xludf.DUMMYFUNCTION("IFERROR(INDEX(FILTER('cost master'!$E:$E,('cost master'!$B:$B=C1256)*('cost master'!$D:$D=""Storage cost per pallet / week"")*('cost master'!$G:$G&lt;=B1256)*(('cost master'!$H:$H&gt;=B1256)+ISBLANK('cost master'!$H:$H))),1),0)"),2.6)</f>
        <v>2.6</v>
      </c>
      <c r="I1256" s="3">
        <f t="shared" si="4"/>
        <v>10.4</v>
      </c>
      <c r="J1256" s="27">
        <f t="shared" si="5"/>
        <v>45885</v>
      </c>
      <c r="K1256" s="27">
        <f t="shared" si="6"/>
        <v>45915</v>
      </c>
    </row>
    <row r="1257" hidden="1">
      <c r="A1257" s="3" t="str">
        <f t="shared" si="3"/>
        <v>SL-20250915-Vglobal-CS 009-13</v>
      </c>
      <c r="B1257" s="2">
        <f t="array" ref="B1257">INDEX(helper!$A$3:$A3996,ROUNDUP((ROW()-1)/COUNTA(helper!$D$3:$D3996),0))</f>
        <v>45915</v>
      </c>
      <c r="C1257" s="5" t="str">
        <f t="array" ref="C1257">IF(B1257="","",INDEX(helper!$D$3:$D3996,MOD(ROW()-2,COUNTA(helper!$D$3:$D3996))+1))</f>
        <v>Vglobal</v>
      </c>
      <c r="D1257" s="3" t="str">
        <f t="array" ref="D1257">IF(B1257="","",INDEX(helper!$E$3:$E3996,MOD(ROW()-2,COUNTA(helper!$D$3:$D3996))+1))</f>
        <v>CS 009</v>
      </c>
      <c r="E1257" s="3">
        <f t="array" ref="E1257">IF(B1257="","",INDEX(helper!$F$3:$F3996,MOD(ROW()-2,COUNTA(helper!$D$3:$D3996))+1))</f>
        <v>13</v>
      </c>
      <c r="F1257" s="3">
        <f>IF(B1257="","",SUMIFS('inventory ledger'!$H:$H,'inventory ledger'!$C:$C,C1257,'inventory ledger'!$D:$D,D1257,'inventory ledger'!$E:$E,E1257,'inventory ledger'!$A:$A,"&lt;="&amp;B1257+TIME(23,59,59))-SUMIFS('inventory ledger'!$I:$I,'inventory ledger'!$C:$C,C1257,'inventory ledger'!$D:$D,D1257,'inventory ledger'!$E:$E,E1257,'inventory ledger'!$A:$A,"&lt;="&amp;B1257+TIME(23,59,59)))</f>
        <v>0</v>
      </c>
      <c r="G1257" s="3">
        <f>IFERROR(__xludf.DUMMYFUNCTION("IF(F1257&lt;=0,0,IFERROR(ROUNDUP(F1257/INDEX(FILTER('warehouse config'!$D:$D,('warehouse config'!$B:$B=C1257)*('warehouse config'!$C:$C=D1257)*('warehouse config'!$G:$G&lt;=B1257)*(('warehouse config'!$H:$H&gt;=B1257)+ISBLANK('warehouse config'!$H:$H))),1)),0))"),0.0)</f>
        <v>0</v>
      </c>
      <c r="H1257" s="3">
        <f>IFERROR(__xludf.DUMMYFUNCTION("IFERROR(INDEX(FILTER('cost master'!$E:$E,('cost master'!$B:$B=C1257)*('cost master'!$D:$D=""Storage cost per pallet / week"")*('cost master'!$G:$G&lt;=B1257)*(('cost master'!$H:$H&gt;=B1257)+ISBLANK('cost master'!$H:$H))),1),0)"),2.6)</f>
        <v>2.6</v>
      </c>
      <c r="I1257" s="3">
        <f t="shared" si="4"/>
        <v>0</v>
      </c>
      <c r="J1257" s="27">
        <f t="shared" si="5"/>
        <v>45885</v>
      </c>
      <c r="K1257" s="27">
        <f t="shared" si="6"/>
        <v>45915</v>
      </c>
    </row>
    <row r="1258" hidden="1">
      <c r="A1258" s="3" t="str">
        <f t="shared" si="3"/>
        <v>SL-20250915-Vglobal-CS 012-13</v>
      </c>
      <c r="B1258" s="2">
        <f t="array" ref="B1258">INDEX(helper!$A$3:$A3996,ROUNDUP((ROW()-1)/COUNTA(helper!$D$3:$D3996),0))</f>
        <v>45915</v>
      </c>
      <c r="C1258" s="5" t="str">
        <f t="array" ref="C1258">IF(B1258="","",INDEX(helper!$D$3:$D3996,MOD(ROW()-2,COUNTA(helper!$D$3:$D3996))+1))</f>
        <v>Vglobal</v>
      </c>
      <c r="D1258" s="3" t="str">
        <f t="array" ref="D1258">IF(B1258="","",INDEX(helper!$E$3:$E3996,MOD(ROW()-2,COUNTA(helper!$D$3:$D3996))+1))</f>
        <v>CS 012</v>
      </c>
      <c r="E1258" s="3">
        <f t="array" ref="E1258">IF(B1258="","",INDEX(helper!$F$3:$F3996,MOD(ROW()-2,COUNTA(helper!$D$3:$D3996))+1))</f>
        <v>13</v>
      </c>
      <c r="F1258" s="3">
        <f>IF(B1258="","",SUMIFS('inventory ledger'!$H:$H,'inventory ledger'!$C:$C,C1258,'inventory ledger'!$D:$D,D1258,'inventory ledger'!$E:$E,E1258,'inventory ledger'!$A:$A,"&lt;="&amp;B1258+TIME(23,59,59))-SUMIFS('inventory ledger'!$I:$I,'inventory ledger'!$C:$C,C1258,'inventory ledger'!$D:$D,D1258,'inventory ledger'!$E:$E,E1258,'inventory ledger'!$A:$A,"&lt;="&amp;B1258+TIME(23,59,59)))</f>
        <v>0</v>
      </c>
      <c r="G1258" s="3">
        <f>IFERROR(__xludf.DUMMYFUNCTION("IF(F1258&lt;=0,0,IFERROR(ROUNDUP(F1258/INDEX(FILTER('warehouse config'!$D:$D,('warehouse config'!$B:$B=C1258)*('warehouse config'!$C:$C=D1258)*('warehouse config'!$G:$G&lt;=B1258)*(('warehouse config'!$H:$H&gt;=B1258)+ISBLANK('warehouse config'!$H:$H))),1)),0))"),0.0)</f>
        <v>0</v>
      </c>
      <c r="H1258" s="3">
        <f>IFERROR(__xludf.DUMMYFUNCTION("IFERROR(INDEX(FILTER('cost master'!$E:$E,('cost master'!$B:$B=C1258)*('cost master'!$D:$D=""Storage cost per pallet / week"")*('cost master'!$G:$G&lt;=B1258)*(('cost master'!$H:$H&gt;=B1258)+ISBLANK('cost master'!$H:$H))),1),0)"),2.6)</f>
        <v>2.6</v>
      </c>
      <c r="I1258" s="3">
        <f t="shared" si="4"/>
        <v>0</v>
      </c>
      <c r="J1258" s="27">
        <f t="shared" si="5"/>
        <v>45885</v>
      </c>
      <c r="K1258" s="27">
        <f t="shared" si="6"/>
        <v>45915</v>
      </c>
    </row>
    <row r="1259">
      <c r="A1259" s="3" t="str">
        <f t="shared" si="3"/>
        <v>SL-20250915-FMC-CS 008-11</v>
      </c>
      <c r="B1259" s="2">
        <f t="array" ref="B1259">INDEX(helper!$A$3:$A3996,ROUNDUP((ROW()-1)/COUNTA(helper!$D$3:$D3996),0))</f>
        <v>45915</v>
      </c>
      <c r="C1259" s="5" t="str">
        <f t="array" ref="C1259">IF(B1259="","",INDEX(helper!$D$3:$D3996,MOD(ROW()-2,COUNTA(helper!$D$3:$D3996))+1))</f>
        <v>FMC</v>
      </c>
      <c r="D1259" s="3" t="str">
        <f t="array" ref="D1259">IF(B1259="","",INDEX(helper!$E$3:$E3996,MOD(ROW()-2,COUNTA(helper!$D$3:$D3996))+1))</f>
        <v>CS 008</v>
      </c>
      <c r="E1259" s="3">
        <f t="array" ref="E1259">IF(B1259="","",INDEX(helper!$F$3:$F3996,MOD(ROW()-2,COUNTA(helper!$D$3:$D3996))+1))</f>
        <v>11</v>
      </c>
      <c r="F1259" s="3">
        <f>IF(B1259="","",SUMIFS('inventory ledger'!$H:$H,'inventory ledger'!$C:$C,C1259,'inventory ledger'!$D:$D,D1259,'inventory ledger'!$E:$E,E1259,'inventory ledger'!$A:$A,"&lt;="&amp;B1259+TIME(23,59,59))-SUMIFS('inventory ledger'!$I:$I,'inventory ledger'!$C:$C,C1259,'inventory ledger'!$D:$D,D1259,'inventory ledger'!$E:$E,E1259,'inventory ledger'!$A:$A,"&lt;="&amp;B1259+TIME(23,59,59)))</f>
        <v>-2</v>
      </c>
      <c r="G1259" s="3">
        <f>IFERROR(__xludf.DUMMYFUNCTION("IF(F1259&lt;=0,0,IFERROR(ROUNDUP(F1259/INDEX(FILTER('warehouse config'!$D:$D,('warehouse config'!$B:$B=C1259)*('warehouse config'!$C:$C=D1259)*('warehouse config'!$G:$G&lt;=B1259)*(('warehouse config'!$H:$H&gt;=B1259)+ISBLANK('warehouse config'!$H:$H))),1)),0))"),0.0)</f>
        <v>0</v>
      </c>
      <c r="H1259" s="3">
        <f>IFERROR(__xludf.DUMMYFUNCTION("IFERROR(INDEX(FILTER('cost master'!$E:$E,('cost master'!$B:$B=C1259)*('cost master'!$D:$D=""Storage cost per pallet / week"")*('cost master'!$G:$G&lt;=B1259)*(('cost master'!$H:$H&gt;=B1259)+ISBLANK('cost master'!$H:$H))),1),0)"),3.9)</f>
        <v>3.9</v>
      </c>
      <c r="I1259" s="3">
        <f t="shared" si="4"/>
        <v>0</v>
      </c>
      <c r="J1259" s="27">
        <f t="shared" si="5"/>
        <v>45885</v>
      </c>
      <c r="K1259" s="27">
        <f t="shared" si="6"/>
        <v>45915</v>
      </c>
    </row>
    <row r="1260" hidden="1">
      <c r="A1260" s="3" t="str">
        <f t="shared" si="3"/>
        <v>SL-20250922-FMC-CS 007-8</v>
      </c>
      <c r="B1260" s="2">
        <f t="array" ref="B1260">INDEX(helper!$A$3:$A3996,ROUNDUP((ROW()-1)/COUNTA(helper!$D$3:$D3996),0))</f>
        <v>45922</v>
      </c>
      <c r="C1260" s="5" t="str">
        <f t="array" ref="C1260">IF(B1260="","",INDEX(helper!$D$3:$D3996,MOD(ROW()-2,COUNTA(helper!$D$3:$D3996))+1))</f>
        <v>FMC</v>
      </c>
      <c r="D1260" s="3" t="str">
        <f t="array" ref="D1260">IF(B1260="","",INDEX(helper!$E$3:$E3996,MOD(ROW()-2,COUNTA(helper!$D$3:$D3996))+1))</f>
        <v>CS 007</v>
      </c>
      <c r="E1260" s="3">
        <f t="array" ref="E1260">IF(B1260="","",INDEX(helper!$F$3:$F3996,MOD(ROW()-2,COUNTA(helper!$D$3:$D3996))+1))</f>
        <v>8</v>
      </c>
      <c r="F1260" s="3">
        <f>IF(B1260="","",SUMIFS('inventory ledger'!$H:$H,'inventory ledger'!$C:$C,C1260,'inventory ledger'!$D:$D,D1260,'inventory ledger'!$E:$E,E1260,'inventory ledger'!$A:$A,"&lt;="&amp;B1260+TIME(23,59,59))-SUMIFS('inventory ledger'!$I:$I,'inventory ledger'!$C:$C,C1260,'inventory ledger'!$D:$D,D1260,'inventory ledger'!$E:$E,E1260,'inventory ledger'!$A:$A,"&lt;="&amp;B1260+TIME(23,59,59)))</f>
        <v>0</v>
      </c>
      <c r="G1260" s="3">
        <f>IFERROR(__xludf.DUMMYFUNCTION("IF(F1260&lt;=0,0,IFERROR(ROUNDUP(F1260/INDEX(FILTER('warehouse config'!$D:$D,('warehouse config'!$B:$B=C1260)*('warehouse config'!$C:$C=D1260)*('warehouse config'!$G:$G&lt;=B1260)*(('warehouse config'!$H:$H&gt;=B1260)+ISBLANK('warehouse config'!$H:$H))),1)),0))"),0.0)</f>
        <v>0</v>
      </c>
      <c r="H1260" s="3">
        <f>IFERROR(__xludf.DUMMYFUNCTION("IFERROR(INDEX(FILTER('cost master'!$E:$E,('cost master'!$B:$B=C1260)*('cost master'!$D:$D=""Storage cost per pallet / week"")*('cost master'!$G:$G&lt;=B1260)*(('cost master'!$H:$H&gt;=B1260)+ISBLANK('cost master'!$H:$H))),1),0)"),3.9)</f>
        <v>3.9</v>
      </c>
      <c r="I1260" s="3">
        <f t="shared" si="4"/>
        <v>0</v>
      </c>
      <c r="J1260" s="27">
        <f t="shared" si="5"/>
        <v>45916</v>
      </c>
      <c r="K1260" s="27">
        <f t="shared" si="6"/>
        <v>45945</v>
      </c>
    </row>
    <row r="1261" hidden="1">
      <c r="A1261" s="3" t="str">
        <f t="shared" si="3"/>
        <v>SL-20250922-FMC-CS 008-8</v>
      </c>
      <c r="B1261" s="2">
        <f t="array" ref="B1261">INDEX(helper!$A$3:$A3996,ROUNDUP((ROW()-1)/COUNTA(helper!$D$3:$D3996),0))</f>
        <v>45922</v>
      </c>
      <c r="C1261" s="5" t="str">
        <f t="array" ref="C1261">IF(B1261="","",INDEX(helper!$D$3:$D3996,MOD(ROW()-2,COUNTA(helper!$D$3:$D3996))+1))</f>
        <v>FMC</v>
      </c>
      <c r="D1261" s="3" t="str">
        <f t="array" ref="D1261">IF(B1261="","",INDEX(helper!$E$3:$E3996,MOD(ROW()-2,COUNTA(helper!$D$3:$D3996))+1))</f>
        <v>CS 008</v>
      </c>
      <c r="E1261" s="3">
        <f t="array" ref="E1261">IF(B1261="","",INDEX(helper!$F$3:$F3996,MOD(ROW()-2,COUNTA(helper!$D$3:$D3996))+1))</f>
        <v>8</v>
      </c>
      <c r="F1261" s="3">
        <f>IF(B1261="","",SUMIFS('inventory ledger'!$H:$H,'inventory ledger'!$C:$C,C1261,'inventory ledger'!$D:$D,D1261,'inventory ledger'!$E:$E,E1261,'inventory ledger'!$A:$A,"&lt;="&amp;B1261+TIME(23,59,59))-SUMIFS('inventory ledger'!$I:$I,'inventory ledger'!$C:$C,C1261,'inventory ledger'!$D:$D,D1261,'inventory ledger'!$E:$E,E1261,'inventory ledger'!$A:$A,"&lt;="&amp;B1261+TIME(23,59,59)))</f>
        <v>0</v>
      </c>
      <c r="G1261" s="3">
        <f>IFERROR(__xludf.DUMMYFUNCTION("IF(F1261&lt;=0,0,IFERROR(ROUNDUP(F1261/INDEX(FILTER('warehouse config'!$D:$D,('warehouse config'!$B:$B=C1261)*('warehouse config'!$C:$C=D1261)*('warehouse config'!$G:$G&lt;=B1261)*(('warehouse config'!$H:$H&gt;=B1261)+ISBLANK('warehouse config'!$H:$H))),1)),0))"),0.0)</f>
        <v>0</v>
      </c>
      <c r="H1261" s="3">
        <f>IFERROR(__xludf.DUMMYFUNCTION("IFERROR(INDEX(FILTER('cost master'!$E:$E,('cost master'!$B:$B=C1261)*('cost master'!$D:$D=""Storage cost per pallet / week"")*('cost master'!$G:$G&lt;=B1261)*(('cost master'!$H:$H&gt;=B1261)+ISBLANK('cost master'!$H:$H))),1),0)"),3.9)</f>
        <v>3.9</v>
      </c>
      <c r="I1261" s="3">
        <f t="shared" si="4"/>
        <v>0</v>
      </c>
      <c r="J1261" s="27">
        <f t="shared" si="5"/>
        <v>45916</v>
      </c>
      <c r="K1261" s="27">
        <f t="shared" si="6"/>
        <v>45945</v>
      </c>
    </row>
    <row r="1262" hidden="1">
      <c r="A1262" s="3" t="str">
        <f t="shared" si="3"/>
        <v>SL-20250922-FMC-CS 009-8</v>
      </c>
      <c r="B1262" s="2">
        <f t="array" ref="B1262">INDEX(helper!$A$3:$A3996,ROUNDUP((ROW()-1)/COUNTA(helper!$D$3:$D3996),0))</f>
        <v>45922</v>
      </c>
      <c r="C1262" s="5" t="str">
        <f t="array" ref="C1262">IF(B1262="","",INDEX(helper!$D$3:$D3996,MOD(ROW()-2,COUNTA(helper!$D$3:$D3996))+1))</f>
        <v>FMC</v>
      </c>
      <c r="D1262" s="3" t="str">
        <f t="array" ref="D1262">IF(B1262="","",INDEX(helper!$E$3:$E3996,MOD(ROW()-2,COUNTA(helper!$D$3:$D3996))+1))</f>
        <v>CS 009</v>
      </c>
      <c r="E1262" s="3">
        <f t="array" ref="E1262">IF(B1262="","",INDEX(helper!$F$3:$F3996,MOD(ROW()-2,COUNTA(helper!$D$3:$D3996))+1))</f>
        <v>8</v>
      </c>
      <c r="F1262" s="3">
        <f>IF(B1262="","",SUMIFS('inventory ledger'!$H:$H,'inventory ledger'!$C:$C,C1262,'inventory ledger'!$D:$D,D1262,'inventory ledger'!$E:$E,E1262,'inventory ledger'!$A:$A,"&lt;="&amp;B1262+TIME(23,59,59))-SUMIFS('inventory ledger'!$I:$I,'inventory ledger'!$C:$C,C1262,'inventory ledger'!$D:$D,D1262,'inventory ledger'!$E:$E,E1262,'inventory ledger'!$A:$A,"&lt;="&amp;B1262+TIME(23,59,59)))</f>
        <v>0</v>
      </c>
      <c r="G1262" s="3">
        <f>IFERROR(__xludf.DUMMYFUNCTION("IF(F1262&lt;=0,0,IFERROR(ROUNDUP(F1262/INDEX(FILTER('warehouse config'!$D:$D,('warehouse config'!$B:$B=C1262)*('warehouse config'!$C:$C=D1262)*('warehouse config'!$G:$G&lt;=B1262)*(('warehouse config'!$H:$H&gt;=B1262)+ISBLANK('warehouse config'!$H:$H))),1)),0))"),0.0)</f>
        <v>0</v>
      </c>
      <c r="H1262" s="3">
        <f>IFERROR(__xludf.DUMMYFUNCTION("IFERROR(INDEX(FILTER('cost master'!$E:$E,('cost master'!$B:$B=C1262)*('cost master'!$D:$D=""Storage cost per pallet / week"")*('cost master'!$G:$G&lt;=B1262)*(('cost master'!$H:$H&gt;=B1262)+ISBLANK('cost master'!$H:$H))),1),0)"),3.9)</f>
        <v>3.9</v>
      </c>
      <c r="I1262" s="3">
        <f t="shared" si="4"/>
        <v>0</v>
      </c>
      <c r="J1262" s="27">
        <f t="shared" si="5"/>
        <v>45916</v>
      </c>
      <c r="K1262" s="27">
        <f t="shared" si="6"/>
        <v>45945</v>
      </c>
    </row>
    <row r="1263" hidden="1">
      <c r="A1263" s="3" t="str">
        <f t="shared" si="3"/>
        <v>SL-20250922-FMC-CS 010-8</v>
      </c>
      <c r="B1263" s="2">
        <f t="array" ref="B1263">INDEX(helper!$A$3:$A3996,ROUNDUP((ROW()-1)/COUNTA(helper!$D$3:$D3996),0))</f>
        <v>45922</v>
      </c>
      <c r="C1263" s="5" t="str">
        <f t="array" ref="C1263">IF(B1263="","",INDEX(helper!$D$3:$D3996,MOD(ROW()-2,COUNTA(helper!$D$3:$D3996))+1))</f>
        <v>FMC</v>
      </c>
      <c r="D1263" s="3" t="str">
        <f t="array" ref="D1263">IF(B1263="","",INDEX(helper!$E$3:$E3996,MOD(ROW()-2,COUNTA(helper!$D$3:$D3996))+1))</f>
        <v>CS 010</v>
      </c>
      <c r="E1263" s="3">
        <f t="array" ref="E1263">IF(B1263="","",INDEX(helper!$F$3:$F3996,MOD(ROW()-2,COUNTA(helper!$D$3:$D3996))+1))</f>
        <v>8</v>
      </c>
      <c r="F1263" s="3">
        <f>IF(B1263="","",SUMIFS('inventory ledger'!$H:$H,'inventory ledger'!$C:$C,C1263,'inventory ledger'!$D:$D,D1263,'inventory ledger'!$E:$E,E1263,'inventory ledger'!$A:$A,"&lt;="&amp;B1263+TIME(23,59,59))-SUMIFS('inventory ledger'!$I:$I,'inventory ledger'!$C:$C,C1263,'inventory ledger'!$D:$D,D1263,'inventory ledger'!$E:$E,E1263,'inventory ledger'!$A:$A,"&lt;="&amp;B1263+TIME(23,59,59)))</f>
        <v>0</v>
      </c>
      <c r="G1263" s="3">
        <f>IFERROR(__xludf.DUMMYFUNCTION("IF(F1263&lt;=0,0,IFERROR(ROUNDUP(F1263/INDEX(FILTER('warehouse config'!$D:$D,('warehouse config'!$B:$B=C1263)*('warehouse config'!$C:$C=D1263)*('warehouse config'!$G:$G&lt;=B1263)*(('warehouse config'!$H:$H&gt;=B1263)+ISBLANK('warehouse config'!$H:$H))),1)),0))"),0.0)</f>
        <v>0</v>
      </c>
      <c r="H1263" s="3">
        <f>IFERROR(__xludf.DUMMYFUNCTION("IFERROR(INDEX(FILTER('cost master'!$E:$E,('cost master'!$B:$B=C1263)*('cost master'!$D:$D=""Storage cost per pallet / week"")*('cost master'!$G:$G&lt;=B1263)*(('cost master'!$H:$H&gt;=B1263)+ISBLANK('cost master'!$H:$H))),1),0)"),3.9)</f>
        <v>3.9</v>
      </c>
      <c r="I1263" s="3">
        <f t="shared" si="4"/>
        <v>0</v>
      </c>
      <c r="J1263" s="27">
        <f t="shared" si="5"/>
        <v>45916</v>
      </c>
      <c r="K1263" s="27">
        <f t="shared" si="6"/>
        <v>45945</v>
      </c>
    </row>
    <row r="1264" hidden="1">
      <c r="A1264" s="3" t="str">
        <f t="shared" si="3"/>
        <v>SL-20250922-FMC-CS 007-9</v>
      </c>
      <c r="B1264" s="2">
        <f t="array" ref="B1264">INDEX(helper!$A$3:$A3996,ROUNDUP((ROW()-1)/COUNTA(helper!$D$3:$D3996),0))</f>
        <v>45922</v>
      </c>
      <c r="C1264" s="5" t="str">
        <f t="array" ref="C1264">IF(B1264="","",INDEX(helper!$D$3:$D3996,MOD(ROW()-2,COUNTA(helper!$D$3:$D3996))+1))</f>
        <v>FMC</v>
      </c>
      <c r="D1264" s="3" t="str">
        <f t="array" ref="D1264">IF(B1264="","",INDEX(helper!$E$3:$E3996,MOD(ROW()-2,COUNTA(helper!$D$3:$D3996))+1))</f>
        <v>CS 007</v>
      </c>
      <c r="E1264" s="3">
        <f t="array" ref="E1264">IF(B1264="","",INDEX(helper!$F$3:$F3996,MOD(ROW()-2,COUNTA(helper!$D$3:$D3996))+1))</f>
        <v>9</v>
      </c>
      <c r="F1264" s="3">
        <f>IF(B1264="","",SUMIFS('inventory ledger'!$H:$H,'inventory ledger'!$C:$C,C1264,'inventory ledger'!$D:$D,D1264,'inventory ledger'!$E:$E,E1264,'inventory ledger'!$A:$A,"&lt;="&amp;B1264+TIME(23,59,59))-SUMIFS('inventory ledger'!$I:$I,'inventory ledger'!$C:$C,C1264,'inventory ledger'!$D:$D,D1264,'inventory ledger'!$E:$E,E1264,'inventory ledger'!$A:$A,"&lt;="&amp;B1264+TIME(23,59,59)))</f>
        <v>0</v>
      </c>
      <c r="G1264" s="3">
        <f>IFERROR(__xludf.DUMMYFUNCTION("IF(F1264&lt;=0,0,IFERROR(ROUNDUP(F1264/INDEX(FILTER('warehouse config'!$D:$D,('warehouse config'!$B:$B=C1264)*('warehouse config'!$C:$C=D1264)*('warehouse config'!$G:$G&lt;=B1264)*(('warehouse config'!$H:$H&gt;=B1264)+ISBLANK('warehouse config'!$H:$H))),1)),0))"),0.0)</f>
        <v>0</v>
      </c>
      <c r="H1264" s="3">
        <f>IFERROR(__xludf.DUMMYFUNCTION("IFERROR(INDEX(FILTER('cost master'!$E:$E,('cost master'!$B:$B=C1264)*('cost master'!$D:$D=""Storage cost per pallet / week"")*('cost master'!$G:$G&lt;=B1264)*(('cost master'!$H:$H&gt;=B1264)+ISBLANK('cost master'!$H:$H))),1),0)"),3.9)</f>
        <v>3.9</v>
      </c>
      <c r="I1264" s="3">
        <f t="shared" si="4"/>
        <v>0</v>
      </c>
      <c r="J1264" s="27">
        <f t="shared" si="5"/>
        <v>45916</v>
      </c>
      <c r="K1264" s="27">
        <f t="shared" si="6"/>
        <v>45945</v>
      </c>
    </row>
    <row r="1265" hidden="1">
      <c r="A1265" s="3" t="str">
        <f t="shared" si="3"/>
        <v>SL-20250922-FMC-CS 008-9</v>
      </c>
      <c r="B1265" s="2">
        <f t="array" ref="B1265">INDEX(helper!$A$3:$A3996,ROUNDUP((ROW()-1)/COUNTA(helper!$D$3:$D3996),0))</f>
        <v>45922</v>
      </c>
      <c r="C1265" s="5" t="str">
        <f t="array" ref="C1265">IF(B1265="","",INDEX(helper!$D$3:$D3996,MOD(ROW()-2,COUNTA(helper!$D$3:$D3996))+1))</f>
        <v>FMC</v>
      </c>
      <c r="D1265" s="3" t="str">
        <f t="array" ref="D1265">IF(B1265="","",INDEX(helper!$E$3:$E3996,MOD(ROW()-2,COUNTA(helper!$D$3:$D3996))+1))</f>
        <v>CS 008</v>
      </c>
      <c r="E1265" s="3">
        <f t="array" ref="E1265">IF(B1265="","",INDEX(helper!$F$3:$F3996,MOD(ROW()-2,COUNTA(helper!$D$3:$D3996))+1))</f>
        <v>9</v>
      </c>
      <c r="F1265" s="3">
        <f>IF(B1265="","",SUMIFS('inventory ledger'!$H:$H,'inventory ledger'!$C:$C,C1265,'inventory ledger'!$D:$D,D1265,'inventory ledger'!$E:$E,E1265,'inventory ledger'!$A:$A,"&lt;="&amp;B1265+TIME(23,59,59))-SUMIFS('inventory ledger'!$I:$I,'inventory ledger'!$C:$C,C1265,'inventory ledger'!$D:$D,D1265,'inventory ledger'!$E:$E,E1265,'inventory ledger'!$A:$A,"&lt;="&amp;B1265+TIME(23,59,59)))</f>
        <v>2</v>
      </c>
      <c r="G1265" s="3">
        <f>IFERROR(__xludf.DUMMYFUNCTION("IF(F1265&lt;=0,0,IFERROR(ROUNDUP(F1265/INDEX(FILTER('warehouse config'!$D:$D,('warehouse config'!$B:$B=C1265)*('warehouse config'!$C:$C=D1265)*('warehouse config'!$G:$G&lt;=B1265)*(('warehouse config'!$H:$H&gt;=B1265)+ISBLANK('warehouse config'!$H:$H))),1)),0))"),1.0)</f>
        <v>1</v>
      </c>
      <c r="H1265" s="3">
        <f>IFERROR(__xludf.DUMMYFUNCTION("IFERROR(INDEX(FILTER('cost master'!$E:$E,('cost master'!$B:$B=C1265)*('cost master'!$D:$D=""Storage cost per pallet / week"")*('cost master'!$G:$G&lt;=B1265)*(('cost master'!$H:$H&gt;=B1265)+ISBLANK('cost master'!$H:$H))),1),0)"),3.9)</f>
        <v>3.9</v>
      </c>
      <c r="I1265" s="3">
        <f t="shared" si="4"/>
        <v>3.9</v>
      </c>
      <c r="J1265" s="27">
        <f t="shared" si="5"/>
        <v>45916</v>
      </c>
      <c r="K1265" s="27">
        <f t="shared" si="6"/>
        <v>45945</v>
      </c>
    </row>
    <row r="1266" hidden="1">
      <c r="A1266" s="3" t="str">
        <f t="shared" si="3"/>
        <v>SL-20250922-FMC-CS 009-9</v>
      </c>
      <c r="B1266" s="2">
        <f t="array" ref="B1266">INDEX(helper!$A$3:$A3996,ROUNDUP((ROW()-1)/COUNTA(helper!$D$3:$D3996),0))</f>
        <v>45922</v>
      </c>
      <c r="C1266" s="5" t="str">
        <f t="array" ref="C1266">IF(B1266="","",INDEX(helper!$D$3:$D3996,MOD(ROW()-2,COUNTA(helper!$D$3:$D3996))+1))</f>
        <v>FMC</v>
      </c>
      <c r="D1266" s="3" t="str">
        <f t="array" ref="D1266">IF(B1266="","",INDEX(helper!$E$3:$E3996,MOD(ROW()-2,COUNTA(helper!$D$3:$D3996))+1))</f>
        <v>CS 009</v>
      </c>
      <c r="E1266" s="3">
        <f t="array" ref="E1266">IF(B1266="","",INDEX(helper!$F$3:$F3996,MOD(ROW()-2,COUNTA(helper!$D$3:$D3996))+1))</f>
        <v>9</v>
      </c>
      <c r="F1266" s="3">
        <f>IF(B1266="","",SUMIFS('inventory ledger'!$H:$H,'inventory ledger'!$C:$C,C1266,'inventory ledger'!$D:$D,D1266,'inventory ledger'!$E:$E,E1266,'inventory ledger'!$A:$A,"&lt;="&amp;B1266+TIME(23,59,59))-SUMIFS('inventory ledger'!$I:$I,'inventory ledger'!$C:$C,C1266,'inventory ledger'!$D:$D,D1266,'inventory ledger'!$E:$E,E1266,'inventory ledger'!$A:$A,"&lt;="&amp;B1266+TIME(23,59,59)))</f>
        <v>0</v>
      </c>
      <c r="G1266" s="3">
        <f>IFERROR(__xludf.DUMMYFUNCTION("IF(F1266&lt;=0,0,IFERROR(ROUNDUP(F1266/INDEX(FILTER('warehouse config'!$D:$D,('warehouse config'!$B:$B=C1266)*('warehouse config'!$C:$C=D1266)*('warehouse config'!$G:$G&lt;=B1266)*(('warehouse config'!$H:$H&gt;=B1266)+ISBLANK('warehouse config'!$H:$H))),1)),0))"),0.0)</f>
        <v>0</v>
      </c>
      <c r="H1266" s="3">
        <f>IFERROR(__xludf.DUMMYFUNCTION("IFERROR(INDEX(FILTER('cost master'!$E:$E,('cost master'!$B:$B=C1266)*('cost master'!$D:$D=""Storage cost per pallet / week"")*('cost master'!$G:$G&lt;=B1266)*(('cost master'!$H:$H&gt;=B1266)+ISBLANK('cost master'!$H:$H))),1),0)"),3.9)</f>
        <v>3.9</v>
      </c>
      <c r="I1266" s="3">
        <f t="shared" si="4"/>
        <v>0</v>
      </c>
      <c r="J1266" s="27">
        <f t="shared" si="5"/>
        <v>45916</v>
      </c>
      <c r="K1266" s="27">
        <f t="shared" si="6"/>
        <v>45945</v>
      </c>
    </row>
    <row r="1267" hidden="1">
      <c r="A1267" s="3" t="str">
        <f t="shared" si="3"/>
        <v>SL-20250922-FMC-CS 010-9</v>
      </c>
      <c r="B1267" s="2">
        <f t="array" ref="B1267">INDEX(helper!$A$3:$A3996,ROUNDUP((ROW()-1)/COUNTA(helper!$D$3:$D3996),0))</f>
        <v>45922</v>
      </c>
      <c r="C1267" s="5" t="str">
        <f t="array" ref="C1267">IF(B1267="","",INDEX(helper!$D$3:$D3996,MOD(ROW()-2,COUNTA(helper!$D$3:$D3996))+1))</f>
        <v>FMC</v>
      </c>
      <c r="D1267" s="3" t="str">
        <f t="array" ref="D1267">IF(B1267="","",INDEX(helper!$E$3:$E3996,MOD(ROW()-2,COUNTA(helper!$D$3:$D3996))+1))</f>
        <v>CS 010</v>
      </c>
      <c r="E1267" s="3">
        <f t="array" ref="E1267">IF(B1267="","",INDEX(helper!$F$3:$F3996,MOD(ROW()-2,COUNTA(helper!$D$3:$D3996))+1))</f>
        <v>9</v>
      </c>
      <c r="F1267" s="3">
        <f>IF(B1267="","",SUMIFS('inventory ledger'!$H:$H,'inventory ledger'!$C:$C,C1267,'inventory ledger'!$D:$D,D1267,'inventory ledger'!$E:$E,E1267,'inventory ledger'!$A:$A,"&lt;="&amp;B1267+TIME(23,59,59))-SUMIFS('inventory ledger'!$I:$I,'inventory ledger'!$C:$C,C1267,'inventory ledger'!$D:$D,D1267,'inventory ledger'!$E:$E,E1267,'inventory ledger'!$A:$A,"&lt;="&amp;B1267+TIME(23,59,59)))</f>
        <v>0</v>
      </c>
      <c r="G1267" s="3">
        <f>IFERROR(__xludf.DUMMYFUNCTION("IF(F1267&lt;=0,0,IFERROR(ROUNDUP(F1267/INDEX(FILTER('warehouse config'!$D:$D,('warehouse config'!$B:$B=C1267)*('warehouse config'!$C:$C=D1267)*('warehouse config'!$G:$G&lt;=B1267)*(('warehouse config'!$H:$H&gt;=B1267)+ISBLANK('warehouse config'!$H:$H))),1)),0))"),0.0)</f>
        <v>0</v>
      </c>
      <c r="H1267" s="3">
        <f>IFERROR(__xludf.DUMMYFUNCTION("IFERROR(INDEX(FILTER('cost master'!$E:$E,('cost master'!$B:$B=C1267)*('cost master'!$D:$D=""Storage cost per pallet / week"")*('cost master'!$G:$G&lt;=B1267)*(('cost master'!$H:$H&gt;=B1267)+ISBLANK('cost master'!$H:$H))),1),0)"),3.9)</f>
        <v>3.9</v>
      </c>
      <c r="I1267" s="3">
        <f t="shared" si="4"/>
        <v>0</v>
      </c>
      <c r="J1267" s="27">
        <f t="shared" si="5"/>
        <v>45916</v>
      </c>
      <c r="K1267" s="27">
        <f t="shared" si="6"/>
        <v>45945</v>
      </c>
    </row>
    <row r="1268" hidden="1">
      <c r="A1268" s="3" t="str">
        <f t="shared" si="3"/>
        <v>SL-20250922-FMC-CS-CDS-001-9</v>
      </c>
      <c r="B1268" s="2">
        <f t="array" ref="B1268">INDEX(helper!$A$3:$A3996,ROUNDUP((ROW()-1)/COUNTA(helper!$D$3:$D3996),0))</f>
        <v>45922</v>
      </c>
      <c r="C1268" s="5" t="str">
        <f t="array" ref="C1268">IF(B1268="","",INDEX(helper!$D$3:$D3996,MOD(ROW()-2,COUNTA(helper!$D$3:$D3996))+1))</f>
        <v>FMC</v>
      </c>
      <c r="D1268" s="3" t="str">
        <f t="array" ref="D1268">IF(B1268="","",INDEX(helper!$E$3:$E3996,MOD(ROW()-2,COUNTA(helper!$D$3:$D3996))+1))</f>
        <v>CS-CDS-001</v>
      </c>
      <c r="E1268" s="3">
        <f t="array" ref="E1268">IF(B1268="","",INDEX(helper!$F$3:$F3996,MOD(ROW()-2,COUNTA(helper!$D$3:$D3996))+1))</f>
        <v>9</v>
      </c>
      <c r="F1268" s="3">
        <f>IF(B1268="","",SUMIFS('inventory ledger'!$H:$H,'inventory ledger'!$C:$C,C1268,'inventory ledger'!$D:$D,D1268,'inventory ledger'!$E:$E,E1268,'inventory ledger'!$A:$A,"&lt;="&amp;B1268+TIME(23,59,59))-SUMIFS('inventory ledger'!$I:$I,'inventory ledger'!$C:$C,C1268,'inventory ledger'!$D:$D,D1268,'inventory ledger'!$E:$E,E1268,'inventory ledger'!$A:$A,"&lt;="&amp;B1268+TIME(23,59,59)))</f>
        <v>0</v>
      </c>
      <c r="G1268" s="3">
        <f>IFERROR(__xludf.DUMMYFUNCTION("IF(F1268&lt;=0,0,IFERROR(ROUNDUP(F1268/INDEX(FILTER('warehouse config'!$D:$D,('warehouse config'!$B:$B=C1268)*('warehouse config'!$C:$C=D1268)*('warehouse config'!$G:$G&lt;=B1268)*(('warehouse config'!$H:$H&gt;=B1268)+ISBLANK('warehouse config'!$H:$H))),1)),0))"),0.0)</f>
        <v>0</v>
      </c>
      <c r="H1268" s="3">
        <f>IFERROR(__xludf.DUMMYFUNCTION("IFERROR(INDEX(FILTER('cost master'!$E:$E,('cost master'!$B:$B=C1268)*('cost master'!$D:$D=""Storage cost per pallet / week"")*('cost master'!$G:$G&lt;=B1268)*(('cost master'!$H:$H&gt;=B1268)+ISBLANK('cost master'!$H:$H))),1),0)"),3.9)</f>
        <v>3.9</v>
      </c>
      <c r="I1268" s="3">
        <f t="shared" si="4"/>
        <v>0</v>
      </c>
      <c r="J1268" s="27">
        <f t="shared" si="5"/>
        <v>45916</v>
      </c>
      <c r="K1268" s="27">
        <f t="shared" si="6"/>
        <v>45945</v>
      </c>
    </row>
    <row r="1269" hidden="1">
      <c r="A1269" s="3" t="str">
        <f t="shared" si="3"/>
        <v>SL-20250922-FMC-CS-CDS-002-9</v>
      </c>
      <c r="B1269" s="2">
        <f t="array" ref="B1269">INDEX(helper!$A$3:$A3996,ROUNDUP((ROW()-1)/COUNTA(helper!$D$3:$D3996),0))</f>
        <v>45922</v>
      </c>
      <c r="C1269" s="5" t="str">
        <f t="array" ref="C1269">IF(B1269="","",INDEX(helper!$D$3:$D3996,MOD(ROW()-2,COUNTA(helper!$D$3:$D3996))+1))</f>
        <v>FMC</v>
      </c>
      <c r="D1269" s="3" t="str">
        <f t="array" ref="D1269">IF(B1269="","",INDEX(helper!$E$3:$E3996,MOD(ROW()-2,COUNTA(helper!$D$3:$D3996))+1))</f>
        <v>CS-CDS-002</v>
      </c>
      <c r="E1269" s="3">
        <f t="array" ref="E1269">IF(B1269="","",INDEX(helper!$F$3:$F3996,MOD(ROW()-2,COUNTA(helper!$D$3:$D3996))+1))</f>
        <v>9</v>
      </c>
      <c r="F1269" s="3">
        <f>IF(B1269="","",SUMIFS('inventory ledger'!$H:$H,'inventory ledger'!$C:$C,C1269,'inventory ledger'!$D:$D,D1269,'inventory ledger'!$E:$E,E1269,'inventory ledger'!$A:$A,"&lt;="&amp;B1269+TIME(23,59,59))-SUMIFS('inventory ledger'!$I:$I,'inventory ledger'!$C:$C,C1269,'inventory ledger'!$D:$D,D1269,'inventory ledger'!$E:$E,E1269,'inventory ledger'!$A:$A,"&lt;="&amp;B1269+TIME(23,59,59)))</f>
        <v>0</v>
      </c>
      <c r="G1269" s="3">
        <f>IFERROR(__xludf.DUMMYFUNCTION("IF(F1269&lt;=0,0,IFERROR(ROUNDUP(F1269/INDEX(FILTER('warehouse config'!$D:$D,('warehouse config'!$B:$B=C1269)*('warehouse config'!$C:$C=D1269)*('warehouse config'!$G:$G&lt;=B1269)*(('warehouse config'!$H:$H&gt;=B1269)+ISBLANK('warehouse config'!$H:$H))),1)),0))"),0.0)</f>
        <v>0</v>
      </c>
      <c r="H1269" s="3">
        <f>IFERROR(__xludf.DUMMYFUNCTION("IFERROR(INDEX(FILTER('cost master'!$E:$E,('cost master'!$B:$B=C1269)*('cost master'!$D:$D=""Storage cost per pallet / week"")*('cost master'!$G:$G&lt;=B1269)*(('cost master'!$H:$H&gt;=B1269)+ISBLANK('cost master'!$H:$H))),1),0)"),3.9)</f>
        <v>3.9</v>
      </c>
      <c r="I1269" s="3">
        <f t="shared" si="4"/>
        <v>0</v>
      </c>
      <c r="J1269" s="27">
        <f t="shared" si="5"/>
        <v>45916</v>
      </c>
      <c r="K1269" s="27">
        <f t="shared" si="6"/>
        <v>45945</v>
      </c>
    </row>
    <row r="1270" hidden="1">
      <c r="A1270" s="3" t="str">
        <f t="shared" si="3"/>
        <v>SL-20250922-FMC-CS 007-10</v>
      </c>
      <c r="B1270" s="2">
        <f t="array" ref="B1270">INDEX(helper!$A$3:$A3996,ROUNDUP((ROW()-1)/COUNTA(helper!$D$3:$D3996),0))</f>
        <v>45922</v>
      </c>
      <c r="C1270" s="5" t="str">
        <f t="array" ref="C1270">IF(B1270="","",INDEX(helper!$D$3:$D3996,MOD(ROW()-2,COUNTA(helper!$D$3:$D3996))+1))</f>
        <v>FMC</v>
      </c>
      <c r="D1270" s="3" t="str">
        <f t="array" ref="D1270">IF(B1270="","",INDEX(helper!$E$3:$E3996,MOD(ROW()-2,COUNTA(helper!$D$3:$D3996))+1))</f>
        <v>CS 007</v>
      </c>
      <c r="E1270" s="3">
        <f t="array" ref="E1270">IF(B1270="","",INDEX(helper!$F$3:$F3996,MOD(ROW()-2,COUNTA(helper!$D$3:$D3996))+1))</f>
        <v>10</v>
      </c>
      <c r="F1270" s="3">
        <f>IF(B1270="","",SUMIFS('inventory ledger'!$H:$H,'inventory ledger'!$C:$C,C1270,'inventory ledger'!$D:$D,D1270,'inventory ledger'!$E:$E,E1270,'inventory ledger'!$A:$A,"&lt;="&amp;B1270+TIME(23,59,59))-SUMIFS('inventory ledger'!$I:$I,'inventory ledger'!$C:$C,C1270,'inventory ledger'!$D:$D,D1270,'inventory ledger'!$E:$E,E1270,'inventory ledger'!$A:$A,"&lt;="&amp;B1270+TIME(23,59,59)))</f>
        <v>0</v>
      </c>
      <c r="G1270" s="3">
        <f>IFERROR(__xludf.DUMMYFUNCTION("IF(F1270&lt;=0,0,IFERROR(ROUNDUP(F1270/INDEX(FILTER('warehouse config'!$D:$D,('warehouse config'!$B:$B=C1270)*('warehouse config'!$C:$C=D1270)*('warehouse config'!$G:$G&lt;=B1270)*(('warehouse config'!$H:$H&gt;=B1270)+ISBLANK('warehouse config'!$H:$H))),1)),0))"),0.0)</f>
        <v>0</v>
      </c>
      <c r="H1270" s="3">
        <f>IFERROR(__xludf.DUMMYFUNCTION("IFERROR(INDEX(FILTER('cost master'!$E:$E,('cost master'!$B:$B=C1270)*('cost master'!$D:$D=""Storage cost per pallet / week"")*('cost master'!$G:$G&lt;=B1270)*(('cost master'!$H:$H&gt;=B1270)+ISBLANK('cost master'!$H:$H))),1),0)"),3.9)</f>
        <v>3.9</v>
      </c>
      <c r="I1270" s="3">
        <f t="shared" si="4"/>
        <v>0</v>
      </c>
      <c r="J1270" s="27">
        <f t="shared" si="5"/>
        <v>45916</v>
      </c>
      <c r="K1270" s="27">
        <f t="shared" si="6"/>
        <v>45945</v>
      </c>
    </row>
    <row r="1271" hidden="1">
      <c r="A1271" s="3" t="str">
        <f t="shared" si="3"/>
        <v>SL-20250922-FMC-CS 009-10</v>
      </c>
      <c r="B1271" s="2">
        <f t="array" ref="B1271">INDEX(helper!$A$3:$A3996,ROUNDUP((ROW()-1)/COUNTA(helper!$D$3:$D3996),0))</f>
        <v>45922</v>
      </c>
      <c r="C1271" s="5" t="str">
        <f t="array" ref="C1271">IF(B1271="","",INDEX(helper!$D$3:$D3996,MOD(ROW()-2,COUNTA(helper!$D$3:$D3996))+1))</f>
        <v>FMC</v>
      </c>
      <c r="D1271" s="3" t="str">
        <f t="array" ref="D1271">IF(B1271="","",INDEX(helper!$E$3:$E3996,MOD(ROW()-2,COUNTA(helper!$D$3:$D3996))+1))</f>
        <v>CS 009</v>
      </c>
      <c r="E1271" s="3">
        <f t="array" ref="E1271">IF(B1271="","",INDEX(helper!$F$3:$F3996,MOD(ROW()-2,COUNTA(helper!$D$3:$D3996))+1))</f>
        <v>10</v>
      </c>
      <c r="F1271" s="3">
        <f>IF(B1271="","",SUMIFS('inventory ledger'!$H:$H,'inventory ledger'!$C:$C,C1271,'inventory ledger'!$D:$D,D1271,'inventory ledger'!$E:$E,E1271,'inventory ledger'!$A:$A,"&lt;="&amp;B1271+TIME(23,59,59))-SUMIFS('inventory ledger'!$I:$I,'inventory ledger'!$C:$C,C1271,'inventory ledger'!$D:$D,D1271,'inventory ledger'!$E:$E,E1271,'inventory ledger'!$A:$A,"&lt;="&amp;B1271+TIME(23,59,59)))</f>
        <v>0</v>
      </c>
      <c r="G1271" s="3">
        <f>IFERROR(__xludf.DUMMYFUNCTION("IF(F1271&lt;=0,0,IFERROR(ROUNDUP(F1271/INDEX(FILTER('warehouse config'!$D:$D,('warehouse config'!$B:$B=C1271)*('warehouse config'!$C:$C=D1271)*('warehouse config'!$G:$G&lt;=B1271)*(('warehouse config'!$H:$H&gt;=B1271)+ISBLANK('warehouse config'!$H:$H))),1)),0))"),0.0)</f>
        <v>0</v>
      </c>
      <c r="H1271" s="3">
        <f>IFERROR(__xludf.DUMMYFUNCTION("IFERROR(INDEX(FILTER('cost master'!$E:$E,('cost master'!$B:$B=C1271)*('cost master'!$D:$D=""Storage cost per pallet / week"")*('cost master'!$G:$G&lt;=B1271)*(('cost master'!$H:$H&gt;=B1271)+ISBLANK('cost master'!$H:$H))),1),0)"),3.9)</f>
        <v>3.9</v>
      </c>
      <c r="I1271" s="3">
        <f t="shared" si="4"/>
        <v>0</v>
      </c>
      <c r="J1271" s="27">
        <f t="shared" si="5"/>
        <v>45916</v>
      </c>
      <c r="K1271" s="27">
        <f t="shared" si="6"/>
        <v>45945</v>
      </c>
    </row>
    <row r="1272" hidden="1">
      <c r="A1272" s="3" t="str">
        <f t="shared" si="3"/>
        <v>SL-20250922-FMC-CS 010-10</v>
      </c>
      <c r="B1272" s="2">
        <f t="array" ref="B1272">INDEX(helper!$A$3:$A3996,ROUNDUP((ROW()-1)/COUNTA(helper!$D$3:$D3996),0))</f>
        <v>45922</v>
      </c>
      <c r="C1272" s="5" t="str">
        <f t="array" ref="C1272">IF(B1272="","",INDEX(helper!$D$3:$D3996,MOD(ROW()-2,COUNTA(helper!$D$3:$D3996))+1))</f>
        <v>FMC</v>
      </c>
      <c r="D1272" s="3" t="str">
        <f t="array" ref="D1272">IF(B1272="","",INDEX(helper!$E$3:$E3996,MOD(ROW()-2,COUNTA(helper!$D$3:$D3996))+1))</f>
        <v>CS 010</v>
      </c>
      <c r="E1272" s="3">
        <f t="array" ref="E1272">IF(B1272="","",INDEX(helper!$F$3:$F3996,MOD(ROW()-2,COUNTA(helper!$D$3:$D3996))+1))</f>
        <v>10</v>
      </c>
      <c r="F1272" s="3">
        <f>IF(B1272="","",SUMIFS('inventory ledger'!$H:$H,'inventory ledger'!$C:$C,C1272,'inventory ledger'!$D:$D,D1272,'inventory ledger'!$E:$E,E1272,'inventory ledger'!$A:$A,"&lt;="&amp;B1272+TIME(23,59,59))-SUMIFS('inventory ledger'!$I:$I,'inventory ledger'!$C:$C,C1272,'inventory ledger'!$D:$D,D1272,'inventory ledger'!$E:$E,E1272,'inventory ledger'!$A:$A,"&lt;="&amp;B1272+TIME(23,59,59)))</f>
        <v>13</v>
      </c>
      <c r="G1272" s="3">
        <f>IFERROR(__xludf.DUMMYFUNCTION("IF(F1272&lt;=0,0,IFERROR(ROUNDUP(F1272/INDEX(FILTER('warehouse config'!$D:$D,('warehouse config'!$B:$B=C1272)*('warehouse config'!$C:$C=D1272)*('warehouse config'!$G:$G&lt;=B1272)*(('warehouse config'!$H:$H&gt;=B1272)+ISBLANK('warehouse config'!$H:$H))),1)),0))"),1.0)</f>
        <v>1</v>
      </c>
      <c r="H1272" s="3">
        <f>IFERROR(__xludf.DUMMYFUNCTION("IFERROR(INDEX(FILTER('cost master'!$E:$E,('cost master'!$B:$B=C1272)*('cost master'!$D:$D=""Storage cost per pallet / week"")*('cost master'!$G:$G&lt;=B1272)*(('cost master'!$H:$H&gt;=B1272)+ISBLANK('cost master'!$H:$H))),1),0)"),3.9)</f>
        <v>3.9</v>
      </c>
      <c r="I1272" s="3">
        <f t="shared" si="4"/>
        <v>3.9</v>
      </c>
      <c r="J1272" s="27">
        <f t="shared" si="5"/>
        <v>45916</v>
      </c>
      <c r="K1272" s="27">
        <f t="shared" si="6"/>
        <v>45945</v>
      </c>
    </row>
    <row r="1273" hidden="1">
      <c r="A1273" s="3" t="str">
        <f t="shared" si="3"/>
        <v>SL-20250922-FMC-CS-CDS-001-10</v>
      </c>
      <c r="B1273" s="2">
        <f t="array" ref="B1273">INDEX(helper!$A$3:$A3996,ROUNDUP((ROW()-1)/COUNTA(helper!$D$3:$D3996),0))</f>
        <v>45922</v>
      </c>
      <c r="C1273" s="5" t="str">
        <f t="array" ref="C1273">IF(B1273="","",INDEX(helper!$D$3:$D3996,MOD(ROW()-2,COUNTA(helper!$D$3:$D3996))+1))</f>
        <v>FMC</v>
      </c>
      <c r="D1273" s="3" t="str">
        <f t="array" ref="D1273">IF(B1273="","",INDEX(helper!$E$3:$E3996,MOD(ROW()-2,COUNTA(helper!$D$3:$D3996))+1))</f>
        <v>CS-CDS-001</v>
      </c>
      <c r="E1273" s="3">
        <f t="array" ref="E1273">IF(B1273="","",INDEX(helper!$F$3:$F3996,MOD(ROW()-2,COUNTA(helper!$D$3:$D3996))+1))</f>
        <v>10</v>
      </c>
      <c r="F1273" s="3">
        <f>IF(B1273="","",SUMIFS('inventory ledger'!$H:$H,'inventory ledger'!$C:$C,C1273,'inventory ledger'!$D:$D,D1273,'inventory ledger'!$E:$E,E1273,'inventory ledger'!$A:$A,"&lt;="&amp;B1273+TIME(23,59,59))-SUMIFS('inventory ledger'!$I:$I,'inventory ledger'!$C:$C,C1273,'inventory ledger'!$D:$D,D1273,'inventory ledger'!$E:$E,E1273,'inventory ledger'!$A:$A,"&lt;="&amp;B1273+TIME(23,59,59)))</f>
        <v>0</v>
      </c>
      <c r="G1273" s="3">
        <f>IFERROR(__xludf.DUMMYFUNCTION("IF(F1273&lt;=0,0,IFERROR(ROUNDUP(F1273/INDEX(FILTER('warehouse config'!$D:$D,('warehouse config'!$B:$B=C1273)*('warehouse config'!$C:$C=D1273)*('warehouse config'!$G:$G&lt;=B1273)*(('warehouse config'!$H:$H&gt;=B1273)+ISBLANK('warehouse config'!$H:$H))),1)),0))"),0.0)</f>
        <v>0</v>
      </c>
      <c r="H1273" s="3">
        <f>IFERROR(__xludf.DUMMYFUNCTION("IFERROR(INDEX(FILTER('cost master'!$E:$E,('cost master'!$B:$B=C1273)*('cost master'!$D:$D=""Storage cost per pallet / week"")*('cost master'!$G:$G&lt;=B1273)*(('cost master'!$H:$H&gt;=B1273)+ISBLANK('cost master'!$H:$H))),1),0)"),3.9)</f>
        <v>3.9</v>
      </c>
      <c r="I1273" s="3">
        <f t="shared" si="4"/>
        <v>0</v>
      </c>
      <c r="J1273" s="27">
        <f t="shared" si="5"/>
        <v>45916</v>
      </c>
      <c r="K1273" s="27">
        <f t="shared" si="6"/>
        <v>45945</v>
      </c>
    </row>
    <row r="1274">
      <c r="A1274" s="3" t="str">
        <f t="shared" si="3"/>
        <v>SL-20250922-FMC-CS 007-11</v>
      </c>
      <c r="B1274" s="2">
        <f t="array" ref="B1274">INDEX(helper!$A$3:$A3996,ROUNDUP((ROW()-1)/COUNTA(helper!$D$3:$D3996),0))</f>
        <v>45922</v>
      </c>
      <c r="C1274" s="5" t="str">
        <f t="array" ref="C1274">IF(B1274="","",INDEX(helper!$D$3:$D3996,MOD(ROW()-2,COUNTA(helper!$D$3:$D3996))+1))</f>
        <v>FMC</v>
      </c>
      <c r="D1274" s="3" t="str">
        <f t="array" ref="D1274">IF(B1274="","",INDEX(helper!$E$3:$E3996,MOD(ROW()-2,COUNTA(helper!$D$3:$D3996))+1))</f>
        <v>CS 007</v>
      </c>
      <c r="E1274" s="3">
        <f t="array" ref="E1274">IF(B1274="","",INDEX(helper!$F$3:$F3996,MOD(ROW()-2,COUNTA(helper!$D$3:$D3996))+1))</f>
        <v>11</v>
      </c>
      <c r="F1274" s="3">
        <f>IF(B1274="","",SUMIFS('inventory ledger'!$H:$H,'inventory ledger'!$C:$C,C1274,'inventory ledger'!$D:$D,D1274,'inventory ledger'!$E:$E,E1274,'inventory ledger'!$A:$A,"&lt;="&amp;B1274+TIME(23,59,59))-SUMIFS('inventory ledger'!$I:$I,'inventory ledger'!$C:$C,C1274,'inventory ledger'!$D:$D,D1274,'inventory ledger'!$E:$E,E1274,'inventory ledger'!$A:$A,"&lt;="&amp;B1274+TIME(23,59,59)))</f>
        <v>-1</v>
      </c>
      <c r="G1274" s="3">
        <f>IFERROR(__xludf.DUMMYFUNCTION("IF(F1274&lt;=0,0,IFERROR(ROUNDUP(F1274/INDEX(FILTER('warehouse config'!$D:$D,('warehouse config'!$B:$B=C1274)*('warehouse config'!$C:$C=D1274)*('warehouse config'!$G:$G&lt;=B1274)*(('warehouse config'!$H:$H&gt;=B1274)+ISBLANK('warehouse config'!$H:$H))),1)),0))"),0.0)</f>
        <v>0</v>
      </c>
      <c r="H1274" s="3">
        <f>IFERROR(__xludf.DUMMYFUNCTION("IFERROR(INDEX(FILTER('cost master'!$E:$E,('cost master'!$B:$B=C1274)*('cost master'!$D:$D=""Storage cost per pallet / week"")*('cost master'!$G:$G&lt;=B1274)*(('cost master'!$H:$H&gt;=B1274)+ISBLANK('cost master'!$H:$H))),1),0)"),3.9)</f>
        <v>3.9</v>
      </c>
      <c r="I1274" s="3">
        <f t="shared" si="4"/>
        <v>0</v>
      </c>
      <c r="J1274" s="27">
        <f t="shared" si="5"/>
        <v>45916</v>
      </c>
      <c r="K1274" s="27">
        <f t="shared" si="6"/>
        <v>45945</v>
      </c>
    </row>
    <row r="1275" hidden="1">
      <c r="A1275" s="3" t="str">
        <f t="shared" si="3"/>
        <v>SL-20250922-FMC-CS 009-11</v>
      </c>
      <c r="B1275" s="2">
        <f t="array" ref="B1275">INDEX(helper!$A$3:$A3996,ROUNDUP((ROW()-1)/COUNTA(helper!$D$3:$D3996),0))</f>
        <v>45922</v>
      </c>
      <c r="C1275" s="5" t="str">
        <f t="array" ref="C1275">IF(B1275="","",INDEX(helper!$D$3:$D3996,MOD(ROW()-2,COUNTA(helper!$D$3:$D3996))+1))</f>
        <v>FMC</v>
      </c>
      <c r="D1275" s="3" t="str">
        <f t="array" ref="D1275">IF(B1275="","",INDEX(helper!$E$3:$E3996,MOD(ROW()-2,COUNTA(helper!$D$3:$D3996))+1))</f>
        <v>CS 009</v>
      </c>
      <c r="E1275" s="3">
        <f t="array" ref="E1275">IF(B1275="","",INDEX(helper!$F$3:$F3996,MOD(ROW()-2,COUNTA(helper!$D$3:$D3996))+1))</f>
        <v>11</v>
      </c>
      <c r="F1275" s="3">
        <f>IF(B1275="","",SUMIFS('inventory ledger'!$H:$H,'inventory ledger'!$C:$C,C1275,'inventory ledger'!$D:$D,D1275,'inventory ledger'!$E:$E,E1275,'inventory ledger'!$A:$A,"&lt;="&amp;B1275+TIME(23,59,59))-SUMIFS('inventory ledger'!$I:$I,'inventory ledger'!$C:$C,C1275,'inventory ledger'!$D:$D,D1275,'inventory ledger'!$E:$E,E1275,'inventory ledger'!$A:$A,"&lt;="&amp;B1275+TIME(23,59,59)))</f>
        <v>0</v>
      </c>
      <c r="G1275" s="3">
        <f>IFERROR(__xludf.DUMMYFUNCTION("IF(F1275&lt;=0,0,IFERROR(ROUNDUP(F1275/INDEX(FILTER('warehouse config'!$D:$D,('warehouse config'!$B:$B=C1275)*('warehouse config'!$C:$C=D1275)*('warehouse config'!$G:$G&lt;=B1275)*(('warehouse config'!$H:$H&gt;=B1275)+ISBLANK('warehouse config'!$H:$H))),1)),0))"),0.0)</f>
        <v>0</v>
      </c>
      <c r="H1275" s="3">
        <f>IFERROR(__xludf.DUMMYFUNCTION("IFERROR(INDEX(FILTER('cost master'!$E:$E,('cost master'!$B:$B=C1275)*('cost master'!$D:$D=""Storage cost per pallet / week"")*('cost master'!$G:$G&lt;=B1275)*(('cost master'!$H:$H&gt;=B1275)+ISBLANK('cost master'!$H:$H))),1),0)"),3.9)</f>
        <v>3.9</v>
      </c>
      <c r="I1275" s="3">
        <f t="shared" si="4"/>
        <v>0</v>
      </c>
      <c r="J1275" s="27">
        <f t="shared" si="5"/>
        <v>45916</v>
      </c>
      <c r="K1275" s="27">
        <f t="shared" si="6"/>
        <v>45945</v>
      </c>
    </row>
    <row r="1276" hidden="1">
      <c r="A1276" s="3" t="str">
        <f t="shared" si="3"/>
        <v>SL-20250922-FMC-CS 010-11</v>
      </c>
      <c r="B1276" s="2">
        <f t="array" ref="B1276">INDEX(helper!$A$3:$A3996,ROUNDUP((ROW()-1)/COUNTA(helper!$D$3:$D3996),0))</f>
        <v>45922</v>
      </c>
      <c r="C1276" s="5" t="str">
        <f t="array" ref="C1276">IF(B1276="","",INDEX(helper!$D$3:$D3996,MOD(ROW()-2,COUNTA(helper!$D$3:$D3996))+1))</f>
        <v>FMC</v>
      </c>
      <c r="D1276" s="3" t="str">
        <f t="array" ref="D1276">IF(B1276="","",INDEX(helper!$E$3:$E3996,MOD(ROW()-2,COUNTA(helper!$D$3:$D3996))+1))</f>
        <v>CS 010</v>
      </c>
      <c r="E1276" s="3">
        <f t="array" ref="E1276">IF(B1276="","",INDEX(helper!$F$3:$F3996,MOD(ROW()-2,COUNTA(helper!$D$3:$D3996))+1))</f>
        <v>11</v>
      </c>
      <c r="F1276" s="3">
        <f>IF(B1276="","",SUMIFS('inventory ledger'!$H:$H,'inventory ledger'!$C:$C,C1276,'inventory ledger'!$D:$D,D1276,'inventory ledger'!$E:$E,E1276,'inventory ledger'!$A:$A,"&lt;="&amp;B1276+TIME(23,59,59))-SUMIFS('inventory ledger'!$I:$I,'inventory ledger'!$C:$C,C1276,'inventory ledger'!$D:$D,D1276,'inventory ledger'!$E:$E,E1276,'inventory ledger'!$A:$A,"&lt;="&amp;B1276+TIME(23,59,59)))</f>
        <v>6</v>
      </c>
      <c r="G1276" s="3">
        <f>IFERROR(__xludf.DUMMYFUNCTION("IF(F1276&lt;=0,0,IFERROR(ROUNDUP(F1276/INDEX(FILTER('warehouse config'!$D:$D,('warehouse config'!$B:$B=C1276)*('warehouse config'!$C:$C=D1276)*('warehouse config'!$G:$G&lt;=B1276)*(('warehouse config'!$H:$H&gt;=B1276)+ISBLANK('warehouse config'!$H:$H))),1)),0))"),1.0)</f>
        <v>1</v>
      </c>
      <c r="H1276" s="3">
        <f>IFERROR(__xludf.DUMMYFUNCTION("IFERROR(INDEX(FILTER('cost master'!$E:$E,('cost master'!$B:$B=C1276)*('cost master'!$D:$D=""Storage cost per pallet / week"")*('cost master'!$G:$G&lt;=B1276)*(('cost master'!$H:$H&gt;=B1276)+ISBLANK('cost master'!$H:$H))),1),0)"),3.9)</f>
        <v>3.9</v>
      </c>
      <c r="I1276" s="3">
        <f t="shared" si="4"/>
        <v>3.9</v>
      </c>
      <c r="J1276" s="27">
        <f t="shared" si="5"/>
        <v>45916</v>
      </c>
      <c r="K1276" s="27">
        <f t="shared" si="6"/>
        <v>45945</v>
      </c>
    </row>
    <row r="1277" hidden="1">
      <c r="A1277" s="3" t="str">
        <f t="shared" si="3"/>
        <v>SL-20250922-Vglobal-CS 007-12</v>
      </c>
      <c r="B1277" s="2">
        <f t="array" ref="B1277">INDEX(helper!$A$3:$A3996,ROUNDUP((ROW()-1)/COUNTA(helper!$D$3:$D3996),0))</f>
        <v>45922</v>
      </c>
      <c r="C1277" s="5" t="str">
        <f t="array" ref="C1277">IF(B1277="","",INDEX(helper!$D$3:$D3996,MOD(ROW()-2,COUNTA(helper!$D$3:$D3996))+1))</f>
        <v>Vglobal</v>
      </c>
      <c r="D1277" s="3" t="str">
        <f t="array" ref="D1277">IF(B1277="","",INDEX(helper!$E$3:$E3996,MOD(ROW()-2,COUNTA(helper!$D$3:$D3996))+1))</f>
        <v>CS 007</v>
      </c>
      <c r="E1277" s="3">
        <f t="array" ref="E1277">IF(B1277="","",INDEX(helper!$F$3:$F3996,MOD(ROW()-2,COUNTA(helper!$D$3:$D3996))+1))</f>
        <v>12</v>
      </c>
      <c r="F1277" s="3">
        <f>IF(B1277="","",SUMIFS('inventory ledger'!$H:$H,'inventory ledger'!$C:$C,C1277,'inventory ledger'!$D:$D,D1277,'inventory ledger'!$E:$E,E1277,'inventory ledger'!$A:$A,"&lt;="&amp;B1277+TIME(23,59,59))-SUMIFS('inventory ledger'!$I:$I,'inventory ledger'!$C:$C,C1277,'inventory ledger'!$D:$D,D1277,'inventory ledger'!$E:$E,E1277,'inventory ledger'!$A:$A,"&lt;="&amp;B1277+TIME(23,59,59)))</f>
        <v>0</v>
      </c>
      <c r="G1277" s="3">
        <f>IFERROR(__xludf.DUMMYFUNCTION("IF(F1277&lt;=0,0,IFERROR(ROUNDUP(F1277/INDEX(FILTER('warehouse config'!$D:$D,('warehouse config'!$B:$B=C1277)*('warehouse config'!$C:$C=D1277)*('warehouse config'!$G:$G&lt;=B1277)*(('warehouse config'!$H:$H&gt;=B1277)+ISBLANK('warehouse config'!$H:$H))),1)),0))"),0.0)</f>
        <v>0</v>
      </c>
      <c r="H1277" s="3">
        <f>IFERROR(__xludf.DUMMYFUNCTION("IFERROR(INDEX(FILTER('cost master'!$E:$E,('cost master'!$B:$B=C1277)*('cost master'!$D:$D=""Storage cost per pallet / week"")*('cost master'!$G:$G&lt;=B1277)*(('cost master'!$H:$H&gt;=B1277)+ISBLANK('cost master'!$H:$H))),1),0)"),2.6)</f>
        <v>2.6</v>
      </c>
      <c r="I1277" s="3">
        <f t="shared" si="4"/>
        <v>0</v>
      </c>
      <c r="J1277" s="27">
        <f t="shared" si="5"/>
        <v>45916</v>
      </c>
      <c r="K1277" s="27">
        <f t="shared" si="6"/>
        <v>45945</v>
      </c>
    </row>
    <row r="1278" hidden="1">
      <c r="A1278" s="3" t="str">
        <f t="shared" si="3"/>
        <v>SL-20250922-Vglobal-CS 011-12</v>
      </c>
      <c r="B1278" s="2">
        <f t="array" ref="B1278">INDEX(helper!$A$3:$A3996,ROUNDUP((ROW()-1)/COUNTA(helper!$D$3:$D3996),0))</f>
        <v>45922</v>
      </c>
      <c r="C1278" s="5" t="str">
        <f t="array" ref="C1278">IF(B1278="","",INDEX(helper!$D$3:$D3996,MOD(ROW()-2,COUNTA(helper!$D$3:$D3996))+1))</f>
        <v>Vglobal</v>
      </c>
      <c r="D1278" s="3" t="str">
        <f t="array" ref="D1278">IF(B1278="","",INDEX(helper!$E$3:$E3996,MOD(ROW()-2,COUNTA(helper!$D$3:$D3996))+1))</f>
        <v>CS 011</v>
      </c>
      <c r="E1278" s="3">
        <f t="array" ref="E1278">IF(B1278="","",INDEX(helper!$F$3:$F3996,MOD(ROW()-2,COUNTA(helper!$D$3:$D3996))+1))</f>
        <v>12</v>
      </c>
      <c r="F1278" s="3">
        <f>IF(B1278="","",SUMIFS('inventory ledger'!$H:$H,'inventory ledger'!$C:$C,C1278,'inventory ledger'!$D:$D,D1278,'inventory ledger'!$E:$E,E1278,'inventory ledger'!$A:$A,"&lt;="&amp;B1278+TIME(23,59,59))-SUMIFS('inventory ledger'!$I:$I,'inventory ledger'!$C:$C,C1278,'inventory ledger'!$D:$D,D1278,'inventory ledger'!$E:$E,E1278,'inventory ledger'!$A:$A,"&lt;="&amp;B1278+TIME(23,59,59)))</f>
        <v>0</v>
      </c>
      <c r="G1278" s="3">
        <f>IFERROR(__xludf.DUMMYFUNCTION("IF(F1278&lt;=0,0,IFERROR(ROUNDUP(F1278/INDEX(FILTER('warehouse config'!$D:$D,('warehouse config'!$B:$B=C1278)*('warehouse config'!$C:$C=D1278)*('warehouse config'!$G:$G&lt;=B1278)*(('warehouse config'!$H:$H&gt;=B1278)+ISBLANK('warehouse config'!$H:$H))),1)),0))"),0.0)</f>
        <v>0</v>
      </c>
      <c r="H1278" s="3">
        <f>IFERROR(__xludf.DUMMYFUNCTION("IFERROR(INDEX(FILTER('cost master'!$E:$E,('cost master'!$B:$B=C1278)*('cost master'!$D:$D=""Storage cost per pallet / week"")*('cost master'!$G:$G&lt;=B1278)*(('cost master'!$H:$H&gt;=B1278)+ISBLANK('cost master'!$H:$H))),1),0)"),2.6)</f>
        <v>2.6</v>
      </c>
      <c r="I1278" s="3">
        <f t="shared" si="4"/>
        <v>0</v>
      </c>
      <c r="J1278" s="27">
        <f t="shared" si="5"/>
        <v>45916</v>
      </c>
      <c r="K1278" s="27">
        <f t="shared" si="6"/>
        <v>45945</v>
      </c>
    </row>
    <row r="1279" hidden="1">
      <c r="A1279" s="3" t="str">
        <f t="shared" si="3"/>
        <v>SL-20250922-Vglobal-CS 008-12</v>
      </c>
      <c r="B1279" s="2">
        <f t="array" ref="B1279">INDEX(helper!$A$3:$A3996,ROUNDUP((ROW()-1)/COUNTA(helper!$D$3:$D3996),0))</f>
        <v>45922</v>
      </c>
      <c r="C1279" s="5" t="str">
        <f t="array" ref="C1279">IF(B1279="","",INDEX(helper!$D$3:$D3996,MOD(ROW()-2,COUNTA(helper!$D$3:$D3996))+1))</f>
        <v>Vglobal</v>
      </c>
      <c r="D1279" s="3" t="str">
        <f t="array" ref="D1279">IF(B1279="","",INDEX(helper!$E$3:$E3996,MOD(ROW()-2,COUNTA(helper!$D$3:$D3996))+1))</f>
        <v>CS 008</v>
      </c>
      <c r="E1279" s="3">
        <f t="array" ref="E1279">IF(B1279="","",INDEX(helper!$F$3:$F3996,MOD(ROW()-2,COUNTA(helper!$D$3:$D3996))+1))</f>
        <v>12</v>
      </c>
      <c r="F1279" s="3">
        <f>IF(B1279="","",SUMIFS('inventory ledger'!$H:$H,'inventory ledger'!$C:$C,C1279,'inventory ledger'!$D:$D,D1279,'inventory ledger'!$E:$E,E1279,'inventory ledger'!$A:$A,"&lt;="&amp;B1279+TIME(23,59,59))-SUMIFS('inventory ledger'!$I:$I,'inventory ledger'!$C:$C,C1279,'inventory ledger'!$D:$D,D1279,'inventory ledger'!$E:$E,E1279,'inventory ledger'!$A:$A,"&lt;="&amp;B1279+TIME(23,59,59)))</f>
        <v>0</v>
      </c>
      <c r="G1279" s="3">
        <f>IFERROR(__xludf.DUMMYFUNCTION("IF(F1279&lt;=0,0,IFERROR(ROUNDUP(F1279/INDEX(FILTER('warehouse config'!$D:$D,('warehouse config'!$B:$B=C1279)*('warehouse config'!$C:$C=D1279)*('warehouse config'!$G:$G&lt;=B1279)*(('warehouse config'!$H:$H&gt;=B1279)+ISBLANK('warehouse config'!$H:$H))),1)),0))"),0.0)</f>
        <v>0</v>
      </c>
      <c r="H1279" s="3">
        <f>IFERROR(__xludf.DUMMYFUNCTION("IFERROR(INDEX(FILTER('cost master'!$E:$E,('cost master'!$B:$B=C1279)*('cost master'!$D:$D=""Storage cost per pallet / week"")*('cost master'!$G:$G&lt;=B1279)*(('cost master'!$H:$H&gt;=B1279)+ISBLANK('cost master'!$H:$H))),1),0)"),2.6)</f>
        <v>2.6</v>
      </c>
      <c r="I1279" s="3">
        <f t="shared" si="4"/>
        <v>0</v>
      </c>
      <c r="J1279" s="27">
        <f t="shared" si="5"/>
        <v>45916</v>
      </c>
      <c r="K1279" s="27">
        <f t="shared" si="6"/>
        <v>45945</v>
      </c>
    </row>
    <row r="1280" hidden="1">
      <c r="A1280" s="3" t="str">
        <f t="shared" si="3"/>
        <v>SL-20250922-Vglobal-CS 010-12</v>
      </c>
      <c r="B1280" s="2">
        <f t="array" ref="B1280">INDEX(helper!$A$3:$A3996,ROUNDUP((ROW()-1)/COUNTA(helper!$D$3:$D3996),0))</f>
        <v>45922</v>
      </c>
      <c r="C1280" s="5" t="str">
        <f t="array" ref="C1280">IF(B1280="","",INDEX(helper!$D$3:$D3996,MOD(ROW()-2,COUNTA(helper!$D$3:$D3996))+1))</f>
        <v>Vglobal</v>
      </c>
      <c r="D1280" s="3" t="str">
        <f t="array" ref="D1280">IF(B1280="","",INDEX(helper!$E$3:$E3996,MOD(ROW()-2,COUNTA(helper!$D$3:$D3996))+1))</f>
        <v>CS 010</v>
      </c>
      <c r="E1280" s="3">
        <f t="array" ref="E1280">IF(B1280="","",INDEX(helper!$F$3:$F3996,MOD(ROW()-2,COUNTA(helper!$D$3:$D3996))+1))</f>
        <v>12</v>
      </c>
      <c r="F1280" s="3">
        <f>IF(B1280="","",SUMIFS('inventory ledger'!$H:$H,'inventory ledger'!$C:$C,C1280,'inventory ledger'!$D:$D,D1280,'inventory ledger'!$E:$E,E1280,'inventory ledger'!$A:$A,"&lt;="&amp;B1280+TIME(23,59,59))-SUMIFS('inventory ledger'!$I:$I,'inventory ledger'!$C:$C,C1280,'inventory ledger'!$D:$D,D1280,'inventory ledger'!$E:$E,E1280,'inventory ledger'!$A:$A,"&lt;="&amp;B1280+TIME(23,59,59)))</f>
        <v>70</v>
      </c>
      <c r="G1280" s="3">
        <f>IFERROR(__xludf.DUMMYFUNCTION("IF(F1280&lt;=0,0,IFERROR(ROUNDUP(F1280/INDEX(FILTER('warehouse config'!$D:$D,('warehouse config'!$B:$B=C1280)*('warehouse config'!$C:$C=D1280)*('warehouse config'!$G:$G&lt;=B1280)*(('warehouse config'!$H:$H&gt;=B1280)+ISBLANK('warehouse config'!$H:$H))),1)),0))"),3.0)</f>
        <v>3</v>
      </c>
      <c r="H1280" s="3">
        <f>IFERROR(__xludf.DUMMYFUNCTION("IFERROR(INDEX(FILTER('cost master'!$E:$E,('cost master'!$B:$B=C1280)*('cost master'!$D:$D=""Storage cost per pallet / week"")*('cost master'!$G:$G&lt;=B1280)*(('cost master'!$H:$H&gt;=B1280)+ISBLANK('cost master'!$H:$H))),1),0)"),2.6)</f>
        <v>2.6</v>
      </c>
      <c r="I1280" s="3">
        <f t="shared" si="4"/>
        <v>7.8</v>
      </c>
      <c r="J1280" s="27">
        <f t="shared" si="5"/>
        <v>45916</v>
      </c>
      <c r="K1280" s="27">
        <f t="shared" si="6"/>
        <v>45945</v>
      </c>
    </row>
    <row r="1281" hidden="1">
      <c r="A1281" s="3" t="str">
        <f t="shared" si="3"/>
        <v>SL-20250922-Vglobal-CS 009-12</v>
      </c>
      <c r="B1281" s="2">
        <f t="array" ref="B1281">INDEX(helper!$A$3:$A3996,ROUNDUP((ROW()-1)/COUNTA(helper!$D$3:$D3996),0))</f>
        <v>45922</v>
      </c>
      <c r="C1281" s="5" t="str">
        <f t="array" ref="C1281">IF(B1281="","",INDEX(helper!$D$3:$D3996,MOD(ROW()-2,COUNTA(helper!$D$3:$D3996))+1))</f>
        <v>Vglobal</v>
      </c>
      <c r="D1281" s="3" t="str">
        <f t="array" ref="D1281">IF(B1281="","",INDEX(helper!$E$3:$E3996,MOD(ROW()-2,COUNTA(helper!$D$3:$D3996))+1))</f>
        <v>CS 009</v>
      </c>
      <c r="E1281" s="3">
        <f t="array" ref="E1281">IF(B1281="","",INDEX(helper!$F$3:$F3996,MOD(ROW()-2,COUNTA(helper!$D$3:$D3996))+1))</f>
        <v>12</v>
      </c>
      <c r="F1281" s="3">
        <f>IF(B1281="","",SUMIFS('inventory ledger'!$H:$H,'inventory ledger'!$C:$C,C1281,'inventory ledger'!$D:$D,D1281,'inventory ledger'!$E:$E,E1281,'inventory ledger'!$A:$A,"&lt;="&amp;B1281+TIME(23,59,59))-SUMIFS('inventory ledger'!$I:$I,'inventory ledger'!$C:$C,C1281,'inventory ledger'!$D:$D,D1281,'inventory ledger'!$E:$E,E1281,'inventory ledger'!$A:$A,"&lt;="&amp;B1281+TIME(23,59,59)))</f>
        <v>0</v>
      </c>
      <c r="G1281" s="3">
        <f>IFERROR(__xludf.DUMMYFUNCTION("IF(F1281&lt;=0,0,IFERROR(ROUNDUP(F1281/INDEX(FILTER('warehouse config'!$D:$D,('warehouse config'!$B:$B=C1281)*('warehouse config'!$C:$C=D1281)*('warehouse config'!$G:$G&lt;=B1281)*(('warehouse config'!$H:$H&gt;=B1281)+ISBLANK('warehouse config'!$H:$H))),1)),0))"),0.0)</f>
        <v>0</v>
      </c>
      <c r="H1281" s="3">
        <f>IFERROR(__xludf.DUMMYFUNCTION("IFERROR(INDEX(FILTER('cost master'!$E:$E,('cost master'!$B:$B=C1281)*('cost master'!$D:$D=""Storage cost per pallet / week"")*('cost master'!$G:$G&lt;=B1281)*(('cost master'!$H:$H&gt;=B1281)+ISBLANK('cost master'!$H:$H))),1),0)"),2.6)</f>
        <v>2.6</v>
      </c>
      <c r="I1281" s="3">
        <f t="shared" si="4"/>
        <v>0</v>
      </c>
      <c r="J1281" s="27">
        <f t="shared" si="5"/>
        <v>45916</v>
      </c>
      <c r="K1281" s="27">
        <f t="shared" si="6"/>
        <v>45945</v>
      </c>
    </row>
    <row r="1282" hidden="1">
      <c r="A1282" s="3" t="str">
        <f t="shared" si="3"/>
        <v>SL-20250922-Vglobal-CS 012-12</v>
      </c>
      <c r="B1282" s="2">
        <f t="array" ref="B1282">INDEX(helper!$A$3:$A3996,ROUNDUP((ROW()-1)/COUNTA(helper!$D$3:$D3996),0))</f>
        <v>45922</v>
      </c>
      <c r="C1282" s="5" t="str">
        <f t="array" ref="C1282">IF(B1282="","",INDEX(helper!$D$3:$D3996,MOD(ROW()-2,COUNTA(helper!$D$3:$D3996))+1))</f>
        <v>Vglobal</v>
      </c>
      <c r="D1282" s="3" t="str">
        <f t="array" ref="D1282">IF(B1282="","",INDEX(helper!$E$3:$E3996,MOD(ROW()-2,COUNTA(helper!$D$3:$D3996))+1))</f>
        <v>CS 012</v>
      </c>
      <c r="E1282" s="3">
        <f t="array" ref="E1282">IF(B1282="","",INDEX(helper!$F$3:$F3996,MOD(ROW()-2,COUNTA(helper!$D$3:$D3996))+1))</f>
        <v>12</v>
      </c>
      <c r="F1282" s="3">
        <f>IF(B1282="","",SUMIFS('inventory ledger'!$H:$H,'inventory ledger'!$C:$C,C1282,'inventory ledger'!$D:$D,D1282,'inventory ledger'!$E:$E,E1282,'inventory ledger'!$A:$A,"&lt;="&amp;B1282+TIME(23,59,59))-SUMIFS('inventory ledger'!$I:$I,'inventory ledger'!$C:$C,C1282,'inventory ledger'!$D:$D,D1282,'inventory ledger'!$E:$E,E1282,'inventory ledger'!$A:$A,"&lt;="&amp;B1282+TIME(23,59,59)))</f>
        <v>0</v>
      </c>
      <c r="G1282" s="3">
        <f>IFERROR(__xludf.DUMMYFUNCTION("IF(F1282&lt;=0,0,IFERROR(ROUNDUP(F1282/INDEX(FILTER('warehouse config'!$D:$D,('warehouse config'!$B:$B=C1282)*('warehouse config'!$C:$C=D1282)*('warehouse config'!$G:$G&lt;=B1282)*(('warehouse config'!$H:$H&gt;=B1282)+ISBLANK('warehouse config'!$H:$H))),1)),0))"),0.0)</f>
        <v>0</v>
      </c>
      <c r="H1282" s="3">
        <f>IFERROR(__xludf.DUMMYFUNCTION("IFERROR(INDEX(FILTER('cost master'!$E:$E,('cost master'!$B:$B=C1282)*('cost master'!$D:$D=""Storage cost per pallet / week"")*('cost master'!$G:$G&lt;=B1282)*(('cost master'!$H:$H&gt;=B1282)+ISBLANK('cost master'!$H:$H))),1),0)"),2.6)</f>
        <v>2.6</v>
      </c>
      <c r="I1282" s="3">
        <f t="shared" si="4"/>
        <v>0</v>
      </c>
      <c r="J1282" s="27">
        <f t="shared" si="5"/>
        <v>45916</v>
      </c>
      <c r="K1282" s="27">
        <f t="shared" si="6"/>
        <v>45945</v>
      </c>
    </row>
    <row r="1283" hidden="1">
      <c r="A1283" s="3" t="str">
        <f t="shared" si="3"/>
        <v>SL-20250922-Vglobal-CS-CDS-001-3</v>
      </c>
      <c r="B1283" s="2">
        <f t="array" ref="B1283">INDEX(helper!$A$3:$A3996,ROUNDUP((ROW()-1)/COUNTA(helper!$D$3:$D3996),0))</f>
        <v>45922</v>
      </c>
      <c r="C1283" s="5" t="str">
        <f t="array" ref="C1283">IF(B1283="","",INDEX(helper!$D$3:$D3996,MOD(ROW()-2,COUNTA(helper!$D$3:$D3996))+1))</f>
        <v>Vglobal</v>
      </c>
      <c r="D1283" s="3" t="str">
        <f t="array" ref="D1283">IF(B1283="","",INDEX(helper!$E$3:$E3996,MOD(ROW()-2,COUNTA(helper!$D$3:$D3996))+1))</f>
        <v>CS-CDS-001</v>
      </c>
      <c r="E1283" s="3">
        <f t="array" ref="E1283">IF(B1283="","",INDEX(helper!$F$3:$F3996,MOD(ROW()-2,COUNTA(helper!$D$3:$D3996))+1))</f>
        <v>3</v>
      </c>
      <c r="F1283" s="3">
        <f>IF(B1283="","",SUMIFS('inventory ledger'!$H:$H,'inventory ledger'!$C:$C,C1283,'inventory ledger'!$D:$D,D1283,'inventory ledger'!$E:$E,E1283,'inventory ledger'!$A:$A,"&lt;="&amp;B1283+TIME(23,59,59))-SUMIFS('inventory ledger'!$I:$I,'inventory ledger'!$C:$C,C1283,'inventory ledger'!$D:$D,D1283,'inventory ledger'!$E:$E,E1283,'inventory ledger'!$A:$A,"&lt;="&amp;B1283+TIME(23,59,59)))</f>
        <v>1</v>
      </c>
      <c r="G1283" s="3">
        <f>IFERROR(__xludf.DUMMYFUNCTION("IF(F1283&lt;=0,0,IFERROR(ROUNDUP(F1283/INDEX(FILTER('warehouse config'!$D:$D,('warehouse config'!$B:$B=C1283)*('warehouse config'!$C:$C=D1283)*('warehouse config'!$G:$G&lt;=B1283)*(('warehouse config'!$H:$H&gt;=B1283)+ISBLANK('warehouse config'!$H:$H))),1)),0))"),1.0)</f>
        <v>1</v>
      </c>
      <c r="H1283" s="3">
        <f>IFERROR(__xludf.DUMMYFUNCTION("IFERROR(INDEX(FILTER('cost master'!$E:$E,('cost master'!$B:$B=C1283)*('cost master'!$D:$D=""Storage cost per pallet / week"")*('cost master'!$G:$G&lt;=B1283)*(('cost master'!$H:$H&gt;=B1283)+ISBLANK('cost master'!$H:$H))),1),0)"),2.6)</f>
        <v>2.6</v>
      </c>
      <c r="I1283" s="3">
        <f t="shared" si="4"/>
        <v>2.6</v>
      </c>
      <c r="J1283" s="27">
        <f t="shared" si="5"/>
        <v>45916</v>
      </c>
      <c r="K1283" s="27">
        <f t="shared" si="6"/>
        <v>45945</v>
      </c>
    </row>
    <row r="1284" hidden="1">
      <c r="A1284" s="3" t="str">
        <f t="shared" si="3"/>
        <v>SL-20250922-Vglobal-CS-CDS-002-3</v>
      </c>
      <c r="B1284" s="2">
        <f t="array" ref="B1284">INDEX(helper!$A$3:$A3996,ROUNDUP((ROW()-1)/COUNTA(helper!$D$3:$D3996),0))</f>
        <v>45922</v>
      </c>
      <c r="C1284" s="5" t="str">
        <f t="array" ref="C1284">IF(B1284="","",INDEX(helper!$D$3:$D3996,MOD(ROW()-2,COUNTA(helper!$D$3:$D3996))+1))</f>
        <v>Vglobal</v>
      </c>
      <c r="D1284" s="3" t="str">
        <f t="array" ref="D1284">IF(B1284="","",INDEX(helper!$E$3:$E3996,MOD(ROW()-2,COUNTA(helper!$D$3:$D3996))+1))</f>
        <v>CS-CDS-002</v>
      </c>
      <c r="E1284" s="3">
        <f t="array" ref="E1284">IF(B1284="","",INDEX(helper!$F$3:$F3996,MOD(ROW()-2,COUNTA(helper!$D$3:$D3996))+1))</f>
        <v>3</v>
      </c>
      <c r="F1284" s="3">
        <f>IF(B1284="","",SUMIFS('inventory ledger'!$H:$H,'inventory ledger'!$C:$C,C1284,'inventory ledger'!$D:$D,D1284,'inventory ledger'!$E:$E,E1284,'inventory ledger'!$A:$A,"&lt;="&amp;B1284+TIME(23,59,59))-SUMIFS('inventory ledger'!$I:$I,'inventory ledger'!$C:$C,C1284,'inventory ledger'!$D:$D,D1284,'inventory ledger'!$E:$E,E1284,'inventory ledger'!$A:$A,"&lt;="&amp;B1284+TIME(23,59,59)))</f>
        <v>0</v>
      </c>
      <c r="G1284" s="3">
        <f>IFERROR(__xludf.DUMMYFUNCTION("IF(F1284&lt;=0,0,IFERROR(ROUNDUP(F1284/INDEX(FILTER('warehouse config'!$D:$D,('warehouse config'!$B:$B=C1284)*('warehouse config'!$C:$C=D1284)*('warehouse config'!$G:$G&lt;=B1284)*(('warehouse config'!$H:$H&gt;=B1284)+ISBLANK('warehouse config'!$H:$H))),1)),0))"),0.0)</f>
        <v>0</v>
      </c>
      <c r="H1284" s="3">
        <f>IFERROR(__xludf.DUMMYFUNCTION("IFERROR(INDEX(FILTER('cost master'!$E:$E,('cost master'!$B:$B=C1284)*('cost master'!$D:$D=""Storage cost per pallet / week"")*('cost master'!$G:$G&lt;=B1284)*(('cost master'!$H:$H&gt;=B1284)+ISBLANK('cost master'!$H:$H))),1),0)"),2.6)</f>
        <v>2.6</v>
      </c>
      <c r="I1284" s="3">
        <f t="shared" si="4"/>
        <v>0</v>
      </c>
      <c r="J1284" s="27">
        <f t="shared" si="5"/>
        <v>45916</v>
      </c>
      <c r="K1284" s="27">
        <f t="shared" si="6"/>
        <v>45945</v>
      </c>
    </row>
    <row r="1285" hidden="1">
      <c r="A1285" s="3" t="str">
        <f t="shared" si="3"/>
        <v>SL-20250922-4as-CS-CDS-001-4</v>
      </c>
      <c r="B1285" s="2">
        <f t="array" ref="B1285">INDEX(helper!$A$3:$A3996,ROUNDUP((ROW()-1)/COUNTA(helper!$D$3:$D3996),0))</f>
        <v>45922</v>
      </c>
      <c r="C1285" s="5" t="str">
        <f t="array" ref="C1285">IF(B1285="","",INDEX(helper!$D$3:$D3996,MOD(ROW()-2,COUNTA(helper!$D$3:$D3996))+1))</f>
        <v>4as</v>
      </c>
      <c r="D1285" s="3" t="str">
        <f t="array" ref="D1285">IF(B1285="","",INDEX(helper!$E$3:$E3996,MOD(ROW()-2,COUNTA(helper!$D$3:$D3996))+1))</f>
        <v>CS-CDS-001</v>
      </c>
      <c r="E1285" s="3">
        <f t="array" ref="E1285">IF(B1285="","",INDEX(helper!$F$3:$F3996,MOD(ROW()-2,COUNTA(helper!$D$3:$D3996))+1))</f>
        <v>4</v>
      </c>
      <c r="F1285" s="3">
        <f>IF(B1285="","",SUMIFS('inventory ledger'!$H:$H,'inventory ledger'!$C:$C,C1285,'inventory ledger'!$D:$D,D1285,'inventory ledger'!$E:$E,E1285,'inventory ledger'!$A:$A,"&lt;="&amp;B1285+TIME(23,59,59))-SUMIFS('inventory ledger'!$I:$I,'inventory ledger'!$C:$C,C1285,'inventory ledger'!$D:$D,D1285,'inventory ledger'!$E:$E,E1285,'inventory ledger'!$A:$A,"&lt;="&amp;B1285+TIME(23,59,59)))</f>
        <v>0</v>
      </c>
      <c r="G1285" s="3">
        <f>IFERROR(__xludf.DUMMYFUNCTION("IF(F1285&lt;=0,0,IFERROR(ROUNDUP(F1285/INDEX(FILTER('warehouse config'!$D:$D,('warehouse config'!$B:$B=C1285)*('warehouse config'!$C:$C=D1285)*('warehouse config'!$G:$G&lt;=B1285)*(('warehouse config'!$H:$H&gt;=B1285)+ISBLANK('warehouse config'!$H:$H))),1)),0))"),0.0)</f>
        <v>0</v>
      </c>
      <c r="H1285" s="3">
        <f>IFERROR(__xludf.DUMMYFUNCTION("IFERROR(INDEX(FILTER('cost master'!$E:$E,('cost master'!$B:$B=C1285)*('cost master'!$D:$D=""Storage cost per pallet / week"")*('cost master'!$G:$G&lt;=B1285)*(('cost master'!$H:$H&gt;=B1285)+ISBLANK('cost master'!$H:$H))),1),0)"),9.0)</f>
        <v>9</v>
      </c>
      <c r="I1285" s="3">
        <f t="shared" si="4"/>
        <v>0</v>
      </c>
      <c r="J1285" s="27">
        <f t="shared" si="5"/>
        <v>45916</v>
      </c>
      <c r="K1285" s="27">
        <f t="shared" si="6"/>
        <v>45945</v>
      </c>
    </row>
    <row r="1286" hidden="1">
      <c r="A1286" s="3" t="str">
        <f t="shared" si="3"/>
        <v>SL-20250922-4as-CS-CDS-002-4</v>
      </c>
      <c r="B1286" s="2">
        <f t="array" ref="B1286">INDEX(helper!$A$3:$A3996,ROUNDUP((ROW()-1)/COUNTA(helper!$D$3:$D3996),0))</f>
        <v>45922</v>
      </c>
      <c r="C1286" s="5" t="str">
        <f t="array" ref="C1286">IF(B1286="","",INDEX(helper!$D$3:$D3996,MOD(ROW()-2,COUNTA(helper!$D$3:$D3996))+1))</f>
        <v>4as</v>
      </c>
      <c r="D1286" s="3" t="str">
        <f t="array" ref="D1286">IF(B1286="","",INDEX(helper!$E$3:$E3996,MOD(ROW()-2,COUNTA(helper!$D$3:$D3996))+1))</f>
        <v>CS-CDS-002</v>
      </c>
      <c r="E1286" s="3">
        <f t="array" ref="E1286">IF(B1286="","",INDEX(helper!$F$3:$F3996,MOD(ROW()-2,COUNTA(helper!$D$3:$D3996))+1))</f>
        <v>4</v>
      </c>
      <c r="F1286" s="3">
        <f>IF(B1286="","",SUMIFS('inventory ledger'!$H:$H,'inventory ledger'!$C:$C,C1286,'inventory ledger'!$D:$D,D1286,'inventory ledger'!$E:$E,E1286,'inventory ledger'!$A:$A,"&lt;="&amp;B1286+TIME(23,59,59))-SUMIFS('inventory ledger'!$I:$I,'inventory ledger'!$C:$C,C1286,'inventory ledger'!$D:$D,D1286,'inventory ledger'!$E:$E,E1286,'inventory ledger'!$A:$A,"&lt;="&amp;B1286+TIME(23,59,59)))</f>
        <v>0</v>
      </c>
      <c r="G1286" s="3">
        <f>IFERROR(__xludf.DUMMYFUNCTION("IF(F1286&lt;=0,0,IFERROR(ROUNDUP(F1286/INDEX(FILTER('warehouse config'!$D:$D,('warehouse config'!$B:$B=C1286)*('warehouse config'!$C:$C=D1286)*('warehouse config'!$G:$G&lt;=B1286)*(('warehouse config'!$H:$H&gt;=B1286)+ISBLANK('warehouse config'!$H:$H))),1)),0))"),0.0)</f>
        <v>0</v>
      </c>
      <c r="H1286" s="3">
        <f>IFERROR(__xludf.DUMMYFUNCTION("IFERROR(INDEX(FILTER('cost master'!$E:$E,('cost master'!$B:$B=C1286)*('cost master'!$D:$D=""Storage cost per pallet / week"")*('cost master'!$G:$G&lt;=B1286)*(('cost master'!$H:$H&gt;=B1286)+ISBLANK('cost master'!$H:$H))),1),0)"),9.0)</f>
        <v>9</v>
      </c>
      <c r="I1286" s="3">
        <f t="shared" si="4"/>
        <v>0</v>
      </c>
      <c r="J1286" s="27">
        <f t="shared" si="5"/>
        <v>45916</v>
      </c>
      <c r="K1286" s="27">
        <f t="shared" si="6"/>
        <v>45945</v>
      </c>
    </row>
    <row r="1287" hidden="1">
      <c r="A1287" s="3" t="str">
        <f t="shared" si="3"/>
        <v>SL-20250922-Vglobal-CS 007-13</v>
      </c>
      <c r="B1287" s="2">
        <f t="array" ref="B1287">INDEX(helper!$A$3:$A3996,ROUNDUP((ROW()-1)/COUNTA(helper!$D$3:$D3996),0))</f>
        <v>45922</v>
      </c>
      <c r="C1287" s="5" t="str">
        <f t="array" ref="C1287">IF(B1287="","",INDEX(helper!$D$3:$D3996,MOD(ROW()-2,COUNTA(helper!$D$3:$D3996))+1))</f>
        <v>Vglobal</v>
      </c>
      <c r="D1287" s="3" t="str">
        <f t="array" ref="D1287">IF(B1287="","",INDEX(helper!$E$3:$E3996,MOD(ROW()-2,COUNTA(helper!$D$3:$D3996))+1))</f>
        <v>CS 007</v>
      </c>
      <c r="E1287" s="3">
        <f t="array" ref="E1287">IF(B1287="","",INDEX(helper!$F$3:$F3996,MOD(ROW()-2,COUNTA(helper!$D$3:$D3996))+1))</f>
        <v>13</v>
      </c>
      <c r="F1287" s="3">
        <f>IF(B1287="","",SUMIFS('inventory ledger'!$H:$H,'inventory ledger'!$C:$C,C1287,'inventory ledger'!$D:$D,D1287,'inventory ledger'!$E:$E,E1287,'inventory ledger'!$A:$A,"&lt;="&amp;B1287+TIME(23,59,59))-SUMIFS('inventory ledger'!$I:$I,'inventory ledger'!$C:$C,C1287,'inventory ledger'!$D:$D,D1287,'inventory ledger'!$E:$E,E1287,'inventory ledger'!$A:$A,"&lt;="&amp;B1287+TIME(23,59,59)))</f>
        <v>45</v>
      </c>
      <c r="G1287" s="3">
        <f>IFERROR(__xludf.DUMMYFUNCTION("IF(F1287&lt;=0,0,IFERROR(ROUNDUP(F1287/INDEX(FILTER('warehouse config'!$D:$D,('warehouse config'!$B:$B=C1287)*('warehouse config'!$C:$C=D1287)*('warehouse config'!$G:$G&lt;=B1287)*(('warehouse config'!$H:$H&gt;=B1287)+ISBLANK('warehouse config'!$H:$H))),1)),0))"),3.0)</f>
        <v>3</v>
      </c>
      <c r="H1287" s="3">
        <f>IFERROR(__xludf.DUMMYFUNCTION("IFERROR(INDEX(FILTER('cost master'!$E:$E,('cost master'!$B:$B=C1287)*('cost master'!$D:$D=""Storage cost per pallet / week"")*('cost master'!$G:$G&lt;=B1287)*(('cost master'!$H:$H&gt;=B1287)+ISBLANK('cost master'!$H:$H))),1),0)"),2.6)</f>
        <v>2.6</v>
      </c>
      <c r="I1287" s="3">
        <f t="shared" si="4"/>
        <v>7.8</v>
      </c>
      <c r="J1287" s="27">
        <f t="shared" si="5"/>
        <v>45916</v>
      </c>
      <c r="K1287" s="27">
        <f t="shared" si="6"/>
        <v>45945</v>
      </c>
    </row>
    <row r="1288" hidden="1">
      <c r="A1288" s="3" t="str">
        <f t="shared" si="3"/>
        <v>SL-20250922-Vglobal-CS 011-13</v>
      </c>
      <c r="B1288" s="2">
        <f t="array" ref="B1288">INDEX(helper!$A$3:$A3996,ROUNDUP((ROW()-1)/COUNTA(helper!$D$3:$D3996),0))</f>
        <v>45922</v>
      </c>
      <c r="C1288" s="5" t="str">
        <f t="array" ref="C1288">IF(B1288="","",INDEX(helper!$D$3:$D3996,MOD(ROW()-2,COUNTA(helper!$D$3:$D3996))+1))</f>
        <v>Vglobal</v>
      </c>
      <c r="D1288" s="3" t="str">
        <f t="array" ref="D1288">IF(B1288="","",INDEX(helper!$E$3:$E3996,MOD(ROW()-2,COUNTA(helper!$D$3:$D3996))+1))</f>
        <v>CS 011</v>
      </c>
      <c r="E1288" s="3">
        <f t="array" ref="E1288">IF(B1288="","",INDEX(helper!$F$3:$F3996,MOD(ROW()-2,COUNTA(helper!$D$3:$D3996))+1))</f>
        <v>13</v>
      </c>
      <c r="F1288" s="3">
        <f>IF(B1288="","",SUMIFS('inventory ledger'!$H:$H,'inventory ledger'!$C:$C,C1288,'inventory ledger'!$D:$D,D1288,'inventory ledger'!$E:$E,E1288,'inventory ledger'!$A:$A,"&lt;="&amp;B1288+TIME(23,59,59))-SUMIFS('inventory ledger'!$I:$I,'inventory ledger'!$C:$C,C1288,'inventory ledger'!$D:$D,D1288,'inventory ledger'!$E:$E,E1288,'inventory ledger'!$A:$A,"&lt;="&amp;B1288+TIME(23,59,59)))</f>
        <v>0</v>
      </c>
      <c r="G1288" s="3">
        <f>IFERROR(__xludf.DUMMYFUNCTION("IF(F1288&lt;=0,0,IFERROR(ROUNDUP(F1288/INDEX(FILTER('warehouse config'!$D:$D,('warehouse config'!$B:$B=C1288)*('warehouse config'!$C:$C=D1288)*('warehouse config'!$G:$G&lt;=B1288)*(('warehouse config'!$H:$H&gt;=B1288)+ISBLANK('warehouse config'!$H:$H))),1)),0))"),0.0)</f>
        <v>0</v>
      </c>
      <c r="H1288" s="3">
        <f>IFERROR(__xludf.DUMMYFUNCTION("IFERROR(INDEX(FILTER('cost master'!$E:$E,('cost master'!$B:$B=C1288)*('cost master'!$D:$D=""Storage cost per pallet / week"")*('cost master'!$G:$G&lt;=B1288)*(('cost master'!$H:$H&gt;=B1288)+ISBLANK('cost master'!$H:$H))),1),0)"),2.6)</f>
        <v>2.6</v>
      </c>
      <c r="I1288" s="3">
        <f t="shared" si="4"/>
        <v>0</v>
      </c>
      <c r="J1288" s="27">
        <f t="shared" si="5"/>
        <v>45916</v>
      </c>
      <c r="K1288" s="27">
        <f t="shared" si="6"/>
        <v>45945</v>
      </c>
    </row>
    <row r="1289" hidden="1">
      <c r="A1289" s="3" t="str">
        <f t="shared" si="3"/>
        <v>SL-20250922-Vglobal-CS 008-13</v>
      </c>
      <c r="B1289" s="2">
        <f t="array" ref="B1289">INDEX(helper!$A$3:$A3996,ROUNDUP((ROW()-1)/COUNTA(helper!$D$3:$D3996),0))</f>
        <v>45922</v>
      </c>
      <c r="C1289" s="5" t="str">
        <f t="array" ref="C1289">IF(B1289="","",INDEX(helper!$D$3:$D3996,MOD(ROW()-2,COUNTA(helper!$D$3:$D3996))+1))</f>
        <v>Vglobal</v>
      </c>
      <c r="D1289" s="3" t="str">
        <f t="array" ref="D1289">IF(B1289="","",INDEX(helper!$E$3:$E3996,MOD(ROW()-2,COUNTA(helper!$D$3:$D3996))+1))</f>
        <v>CS 008</v>
      </c>
      <c r="E1289" s="3">
        <f t="array" ref="E1289">IF(B1289="","",INDEX(helper!$F$3:$F3996,MOD(ROW()-2,COUNTA(helper!$D$3:$D3996))+1))</f>
        <v>13</v>
      </c>
      <c r="F1289" s="3">
        <f>IF(B1289="","",SUMIFS('inventory ledger'!$H:$H,'inventory ledger'!$C:$C,C1289,'inventory ledger'!$D:$D,D1289,'inventory ledger'!$E:$E,E1289,'inventory ledger'!$A:$A,"&lt;="&amp;B1289+TIME(23,59,59))-SUMIFS('inventory ledger'!$I:$I,'inventory ledger'!$C:$C,C1289,'inventory ledger'!$D:$D,D1289,'inventory ledger'!$E:$E,E1289,'inventory ledger'!$A:$A,"&lt;="&amp;B1289+TIME(23,59,59)))</f>
        <v>20</v>
      </c>
      <c r="G1289" s="3">
        <f>IFERROR(__xludf.DUMMYFUNCTION("IF(F1289&lt;=0,0,IFERROR(ROUNDUP(F1289/INDEX(FILTER('warehouse config'!$D:$D,('warehouse config'!$B:$B=C1289)*('warehouse config'!$C:$C=D1289)*('warehouse config'!$G:$G&lt;=B1289)*(('warehouse config'!$H:$H&gt;=B1289)+ISBLANK('warehouse config'!$H:$H))),1)),0))"),1.0)</f>
        <v>1</v>
      </c>
      <c r="H1289" s="3">
        <f>IFERROR(__xludf.DUMMYFUNCTION("IFERROR(INDEX(FILTER('cost master'!$E:$E,('cost master'!$B:$B=C1289)*('cost master'!$D:$D=""Storage cost per pallet / week"")*('cost master'!$G:$G&lt;=B1289)*(('cost master'!$H:$H&gt;=B1289)+ISBLANK('cost master'!$H:$H))),1),0)"),2.6)</f>
        <v>2.6</v>
      </c>
      <c r="I1289" s="3">
        <f t="shared" si="4"/>
        <v>2.6</v>
      </c>
      <c r="J1289" s="27">
        <f t="shared" si="5"/>
        <v>45916</v>
      </c>
      <c r="K1289" s="27">
        <f t="shared" si="6"/>
        <v>45945</v>
      </c>
    </row>
    <row r="1290" hidden="1">
      <c r="A1290" s="3" t="str">
        <f t="shared" si="3"/>
        <v>SL-20250922-Vglobal-CS 010-13</v>
      </c>
      <c r="B1290" s="2">
        <f t="array" ref="B1290">INDEX(helper!$A$3:$A3996,ROUNDUP((ROW()-1)/COUNTA(helper!$D$3:$D3996),0))</f>
        <v>45922</v>
      </c>
      <c r="C1290" s="5" t="str">
        <f t="array" ref="C1290">IF(B1290="","",INDEX(helper!$D$3:$D3996,MOD(ROW()-2,COUNTA(helper!$D$3:$D3996))+1))</f>
        <v>Vglobal</v>
      </c>
      <c r="D1290" s="3" t="str">
        <f t="array" ref="D1290">IF(B1290="","",INDEX(helper!$E$3:$E3996,MOD(ROW()-2,COUNTA(helper!$D$3:$D3996))+1))</f>
        <v>CS 010</v>
      </c>
      <c r="E1290" s="3">
        <f t="array" ref="E1290">IF(B1290="","",INDEX(helper!$F$3:$F3996,MOD(ROW()-2,COUNTA(helper!$D$3:$D3996))+1))</f>
        <v>13</v>
      </c>
      <c r="F1290" s="3">
        <f>IF(B1290="","",SUMIFS('inventory ledger'!$H:$H,'inventory ledger'!$C:$C,C1290,'inventory ledger'!$D:$D,D1290,'inventory ledger'!$E:$E,E1290,'inventory ledger'!$A:$A,"&lt;="&amp;B1290+TIME(23,59,59))-SUMIFS('inventory ledger'!$I:$I,'inventory ledger'!$C:$C,C1290,'inventory ledger'!$D:$D,D1290,'inventory ledger'!$E:$E,E1290,'inventory ledger'!$A:$A,"&lt;="&amp;B1290+TIME(23,59,59)))</f>
        <v>80</v>
      </c>
      <c r="G1290" s="3">
        <f>IFERROR(__xludf.DUMMYFUNCTION("IF(F1290&lt;=0,0,IFERROR(ROUNDUP(F1290/INDEX(FILTER('warehouse config'!$D:$D,('warehouse config'!$B:$B=C1290)*('warehouse config'!$C:$C=D1290)*('warehouse config'!$G:$G&lt;=B1290)*(('warehouse config'!$H:$H&gt;=B1290)+ISBLANK('warehouse config'!$H:$H))),1)),0))"),4.0)</f>
        <v>4</v>
      </c>
      <c r="H1290" s="3">
        <f>IFERROR(__xludf.DUMMYFUNCTION("IFERROR(INDEX(FILTER('cost master'!$E:$E,('cost master'!$B:$B=C1290)*('cost master'!$D:$D=""Storage cost per pallet / week"")*('cost master'!$G:$G&lt;=B1290)*(('cost master'!$H:$H&gt;=B1290)+ISBLANK('cost master'!$H:$H))),1),0)"),2.6)</f>
        <v>2.6</v>
      </c>
      <c r="I1290" s="3">
        <f t="shared" si="4"/>
        <v>10.4</v>
      </c>
      <c r="J1290" s="27">
        <f t="shared" si="5"/>
        <v>45916</v>
      </c>
      <c r="K1290" s="27">
        <f t="shared" si="6"/>
        <v>45945</v>
      </c>
    </row>
    <row r="1291" hidden="1">
      <c r="A1291" s="3" t="str">
        <f t="shared" si="3"/>
        <v>SL-20250922-Vglobal-CS 009-13</v>
      </c>
      <c r="B1291" s="2">
        <f t="array" ref="B1291">INDEX(helper!$A$3:$A3996,ROUNDUP((ROW()-1)/COUNTA(helper!$D$3:$D3996),0))</f>
        <v>45922</v>
      </c>
      <c r="C1291" s="5" t="str">
        <f t="array" ref="C1291">IF(B1291="","",INDEX(helper!$D$3:$D3996,MOD(ROW()-2,COUNTA(helper!$D$3:$D3996))+1))</f>
        <v>Vglobal</v>
      </c>
      <c r="D1291" s="3" t="str">
        <f t="array" ref="D1291">IF(B1291="","",INDEX(helper!$E$3:$E3996,MOD(ROW()-2,COUNTA(helper!$D$3:$D3996))+1))</f>
        <v>CS 009</v>
      </c>
      <c r="E1291" s="3">
        <f t="array" ref="E1291">IF(B1291="","",INDEX(helper!$F$3:$F3996,MOD(ROW()-2,COUNTA(helper!$D$3:$D3996))+1))</f>
        <v>13</v>
      </c>
      <c r="F1291" s="3">
        <f>IF(B1291="","",SUMIFS('inventory ledger'!$H:$H,'inventory ledger'!$C:$C,C1291,'inventory ledger'!$D:$D,D1291,'inventory ledger'!$E:$E,E1291,'inventory ledger'!$A:$A,"&lt;="&amp;B1291+TIME(23,59,59))-SUMIFS('inventory ledger'!$I:$I,'inventory ledger'!$C:$C,C1291,'inventory ledger'!$D:$D,D1291,'inventory ledger'!$E:$E,E1291,'inventory ledger'!$A:$A,"&lt;="&amp;B1291+TIME(23,59,59)))</f>
        <v>0</v>
      </c>
      <c r="G1291" s="3">
        <f>IFERROR(__xludf.DUMMYFUNCTION("IF(F1291&lt;=0,0,IFERROR(ROUNDUP(F1291/INDEX(FILTER('warehouse config'!$D:$D,('warehouse config'!$B:$B=C1291)*('warehouse config'!$C:$C=D1291)*('warehouse config'!$G:$G&lt;=B1291)*(('warehouse config'!$H:$H&gt;=B1291)+ISBLANK('warehouse config'!$H:$H))),1)),0))"),0.0)</f>
        <v>0</v>
      </c>
      <c r="H1291" s="3">
        <f>IFERROR(__xludf.DUMMYFUNCTION("IFERROR(INDEX(FILTER('cost master'!$E:$E,('cost master'!$B:$B=C1291)*('cost master'!$D:$D=""Storage cost per pallet / week"")*('cost master'!$G:$G&lt;=B1291)*(('cost master'!$H:$H&gt;=B1291)+ISBLANK('cost master'!$H:$H))),1),0)"),2.6)</f>
        <v>2.6</v>
      </c>
      <c r="I1291" s="3">
        <f t="shared" si="4"/>
        <v>0</v>
      </c>
      <c r="J1291" s="27">
        <f t="shared" si="5"/>
        <v>45916</v>
      </c>
      <c r="K1291" s="27">
        <f t="shared" si="6"/>
        <v>45945</v>
      </c>
    </row>
    <row r="1292" hidden="1">
      <c r="A1292" s="3" t="str">
        <f t="shared" si="3"/>
        <v>SL-20250922-Vglobal-CS 012-13</v>
      </c>
      <c r="B1292" s="2">
        <f t="array" ref="B1292">INDEX(helper!$A$3:$A3996,ROUNDUP((ROW()-1)/COUNTA(helper!$D$3:$D3996),0))</f>
        <v>45922</v>
      </c>
      <c r="C1292" s="5" t="str">
        <f t="array" ref="C1292">IF(B1292="","",INDEX(helper!$D$3:$D3996,MOD(ROW()-2,COUNTA(helper!$D$3:$D3996))+1))</f>
        <v>Vglobal</v>
      </c>
      <c r="D1292" s="3" t="str">
        <f t="array" ref="D1292">IF(B1292="","",INDEX(helper!$E$3:$E3996,MOD(ROW()-2,COUNTA(helper!$D$3:$D3996))+1))</f>
        <v>CS 012</v>
      </c>
      <c r="E1292" s="3">
        <f t="array" ref="E1292">IF(B1292="","",INDEX(helper!$F$3:$F3996,MOD(ROW()-2,COUNTA(helper!$D$3:$D3996))+1))</f>
        <v>13</v>
      </c>
      <c r="F1292" s="3">
        <f>IF(B1292="","",SUMIFS('inventory ledger'!$H:$H,'inventory ledger'!$C:$C,C1292,'inventory ledger'!$D:$D,D1292,'inventory ledger'!$E:$E,E1292,'inventory ledger'!$A:$A,"&lt;="&amp;B1292+TIME(23,59,59))-SUMIFS('inventory ledger'!$I:$I,'inventory ledger'!$C:$C,C1292,'inventory ledger'!$D:$D,D1292,'inventory ledger'!$E:$E,E1292,'inventory ledger'!$A:$A,"&lt;="&amp;B1292+TIME(23,59,59)))</f>
        <v>0</v>
      </c>
      <c r="G1292" s="3">
        <f>IFERROR(__xludf.DUMMYFUNCTION("IF(F1292&lt;=0,0,IFERROR(ROUNDUP(F1292/INDEX(FILTER('warehouse config'!$D:$D,('warehouse config'!$B:$B=C1292)*('warehouse config'!$C:$C=D1292)*('warehouse config'!$G:$G&lt;=B1292)*(('warehouse config'!$H:$H&gt;=B1292)+ISBLANK('warehouse config'!$H:$H))),1)),0))"),0.0)</f>
        <v>0</v>
      </c>
      <c r="H1292" s="3">
        <f>IFERROR(__xludf.DUMMYFUNCTION("IFERROR(INDEX(FILTER('cost master'!$E:$E,('cost master'!$B:$B=C1292)*('cost master'!$D:$D=""Storage cost per pallet / week"")*('cost master'!$G:$G&lt;=B1292)*(('cost master'!$H:$H&gt;=B1292)+ISBLANK('cost master'!$H:$H))),1),0)"),2.6)</f>
        <v>2.6</v>
      </c>
      <c r="I1292" s="3">
        <f t="shared" si="4"/>
        <v>0</v>
      </c>
      <c r="J1292" s="27">
        <f t="shared" si="5"/>
        <v>45916</v>
      </c>
      <c r="K1292" s="27">
        <f t="shared" si="6"/>
        <v>45945</v>
      </c>
    </row>
    <row r="1293">
      <c r="A1293" s="3" t="str">
        <f t="shared" si="3"/>
        <v>SL-20250922-FMC-CS 008-11</v>
      </c>
      <c r="B1293" s="2">
        <f t="array" ref="B1293">INDEX(helper!$A$3:$A3996,ROUNDUP((ROW()-1)/COUNTA(helper!$D$3:$D3996),0))</f>
        <v>45922</v>
      </c>
      <c r="C1293" s="5" t="str">
        <f t="array" ref="C1293">IF(B1293="","",INDEX(helper!$D$3:$D3996,MOD(ROW()-2,COUNTA(helper!$D$3:$D3996))+1))</f>
        <v>FMC</v>
      </c>
      <c r="D1293" s="3" t="str">
        <f t="array" ref="D1293">IF(B1293="","",INDEX(helper!$E$3:$E3996,MOD(ROW()-2,COUNTA(helper!$D$3:$D3996))+1))</f>
        <v>CS 008</v>
      </c>
      <c r="E1293" s="3">
        <f t="array" ref="E1293">IF(B1293="","",INDEX(helper!$F$3:$F3996,MOD(ROW()-2,COUNTA(helper!$D$3:$D3996))+1))</f>
        <v>11</v>
      </c>
      <c r="F1293" s="3">
        <f>IF(B1293="","",SUMIFS('inventory ledger'!$H:$H,'inventory ledger'!$C:$C,C1293,'inventory ledger'!$D:$D,D1293,'inventory ledger'!$E:$E,E1293,'inventory ledger'!$A:$A,"&lt;="&amp;B1293+TIME(23,59,59))-SUMIFS('inventory ledger'!$I:$I,'inventory ledger'!$C:$C,C1293,'inventory ledger'!$D:$D,D1293,'inventory ledger'!$E:$E,E1293,'inventory ledger'!$A:$A,"&lt;="&amp;B1293+TIME(23,59,59)))</f>
        <v>-2</v>
      </c>
      <c r="G1293" s="3">
        <f>IFERROR(__xludf.DUMMYFUNCTION("IF(F1293&lt;=0,0,IFERROR(ROUNDUP(F1293/INDEX(FILTER('warehouse config'!$D:$D,('warehouse config'!$B:$B=C1293)*('warehouse config'!$C:$C=D1293)*('warehouse config'!$G:$G&lt;=B1293)*(('warehouse config'!$H:$H&gt;=B1293)+ISBLANK('warehouse config'!$H:$H))),1)),0))"),0.0)</f>
        <v>0</v>
      </c>
      <c r="H1293" s="3">
        <f>IFERROR(__xludf.DUMMYFUNCTION("IFERROR(INDEX(FILTER('cost master'!$E:$E,('cost master'!$B:$B=C1293)*('cost master'!$D:$D=""Storage cost per pallet / week"")*('cost master'!$G:$G&lt;=B1293)*(('cost master'!$H:$H&gt;=B1293)+ISBLANK('cost master'!$H:$H))),1),0)"),3.9)</f>
        <v>3.9</v>
      </c>
      <c r="I1293" s="3">
        <f t="shared" si="4"/>
        <v>0</v>
      </c>
      <c r="J1293" s="27">
        <f t="shared" si="5"/>
        <v>45916</v>
      </c>
      <c r="K1293" s="27">
        <f t="shared" si="6"/>
        <v>45945</v>
      </c>
    </row>
    <row r="1294" hidden="1">
      <c r="A1294" s="3" t="str">
        <f t="shared" si="3"/>
        <v>SL-20250929-FMC-CS 007-8</v>
      </c>
      <c r="B1294" s="2">
        <f t="array" ref="B1294">INDEX(helper!$A$3:$A3996,ROUNDUP((ROW()-1)/COUNTA(helper!$D$3:$D3996),0))</f>
        <v>45929</v>
      </c>
      <c r="C1294" s="5" t="str">
        <f t="array" ref="C1294">IF(B1294="","",INDEX(helper!$D$3:$D3996,MOD(ROW()-2,COUNTA(helper!$D$3:$D3996))+1))</f>
        <v>FMC</v>
      </c>
      <c r="D1294" s="3" t="str">
        <f t="array" ref="D1294">IF(B1294="","",INDEX(helper!$E$3:$E3996,MOD(ROW()-2,COUNTA(helper!$D$3:$D3996))+1))</f>
        <v>CS 007</v>
      </c>
      <c r="E1294" s="3">
        <f t="array" ref="E1294">IF(B1294="","",INDEX(helper!$F$3:$F3996,MOD(ROW()-2,COUNTA(helper!$D$3:$D3996))+1))</f>
        <v>8</v>
      </c>
      <c r="F1294" s="3">
        <f>IF(B1294="","",SUMIFS('inventory ledger'!$H:$H,'inventory ledger'!$C:$C,C1294,'inventory ledger'!$D:$D,D1294,'inventory ledger'!$E:$E,E1294,'inventory ledger'!$A:$A,"&lt;="&amp;B1294+TIME(23,59,59))-SUMIFS('inventory ledger'!$I:$I,'inventory ledger'!$C:$C,C1294,'inventory ledger'!$D:$D,D1294,'inventory ledger'!$E:$E,E1294,'inventory ledger'!$A:$A,"&lt;="&amp;B1294+TIME(23,59,59)))</f>
        <v>0</v>
      </c>
      <c r="G1294" s="3">
        <f>IFERROR(__xludf.DUMMYFUNCTION("IF(F1294&lt;=0,0,IFERROR(ROUNDUP(F1294/INDEX(FILTER('warehouse config'!$D:$D,('warehouse config'!$B:$B=C1294)*('warehouse config'!$C:$C=D1294)*('warehouse config'!$G:$G&lt;=B1294)*(('warehouse config'!$H:$H&gt;=B1294)+ISBLANK('warehouse config'!$H:$H))),1)),0))"),0.0)</f>
        <v>0</v>
      </c>
      <c r="H1294" s="3">
        <f>IFERROR(__xludf.DUMMYFUNCTION("IFERROR(INDEX(FILTER('cost master'!$E:$E,('cost master'!$B:$B=C1294)*('cost master'!$D:$D=""Storage cost per pallet / week"")*('cost master'!$G:$G&lt;=B1294)*(('cost master'!$H:$H&gt;=B1294)+ISBLANK('cost master'!$H:$H))),1),0)"),3.9)</f>
        <v>3.9</v>
      </c>
      <c r="I1294" s="3">
        <f t="shared" si="4"/>
        <v>0</v>
      </c>
      <c r="J1294" s="27">
        <f t="shared" si="5"/>
        <v>45916</v>
      </c>
      <c r="K1294" s="27">
        <f t="shared" si="6"/>
        <v>45945</v>
      </c>
    </row>
    <row r="1295" hidden="1">
      <c r="A1295" s="3" t="str">
        <f t="shared" si="3"/>
        <v>SL-20250929-FMC-CS 008-8</v>
      </c>
      <c r="B1295" s="2">
        <f t="array" ref="B1295">INDEX(helper!$A$3:$A3996,ROUNDUP((ROW()-1)/COUNTA(helper!$D$3:$D3996),0))</f>
        <v>45929</v>
      </c>
      <c r="C1295" s="5" t="str">
        <f t="array" ref="C1295">IF(B1295="","",INDEX(helper!$D$3:$D3996,MOD(ROW()-2,COUNTA(helper!$D$3:$D3996))+1))</f>
        <v>FMC</v>
      </c>
      <c r="D1295" s="3" t="str">
        <f t="array" ref="D1295">IF(B1295="","",INDEX(helper!$E$3:$E3996,MOD(ROW()-2,COUNTA(helper!$D$3:$D3996))+1))</f>
        <v>CS 008</v>
      </c>
      <c r="E1295" s="3">
        <f t="array" ref="E1295">IF(B1295="","",INDEX(helper!$F$3:$F3996,MOD(ROW()-2,COUNTA(helper!$D$3:$D3996))+1))</f>
        <v>8</v>
      </c>
      <c r="F1295" s="3">
        <f>IF(B1295="","",SUMIFS('inventory ledger'!$H:$H,'inventory ledger'!$C:$C,C1295,'inventory ledger'!$D:$D,D1295,'inventory ledger'!$E:$E,E1295,'inventory ledger'!$A:$A,"&lt;="&amp;B1295+TIME(23,59,59))-SUMIFS('inventory ledger'!$I:$I,'inventory ledger'!$C:$C,C1295,'inventory ledger'!$D:$D,D1295,'inventory ledger'!$E:$E,E1295,'inventory ledger'!$A:$A,"&lt;="&amp;B1295+TIME(23,59,59)))</f>
        <v>0</v>
      </c>
      <c r="G1295" s="3">
        <f>IFERROR(__xludf.DUMMYFUNCTION("IF(F1295&lt;=0,0,IFERROR(ROUNDUP(F1295/INDEX(FILTER('warehouse config'!$D:$D,('warehouse config'!$B:$B=C1295)*('warehouse config'!$C:$C=D1295)*('warehouse config'!$G:$G&lt;=B1295)*(('warehouse config'!$H:$H&gt;=B1295)+ISBLANK('warehouse config'!$H:$H))),1)),0))"),0.0)</f>
        <v>0</v>
      </c>
      <c r="H1295" s="3">
        <f>IFERROR(__xludf.DUMMYFUNCTION("IFERROR(INDEX(FILTER('cost master'!$E:$E,('cost master'!$B:$B=C1295)*('cost master'!$D:$D=""Storage cost per pallet / week"")*('cost master'!$G:$G&lt;=B1295)*(('cost master'!$H:$H&gt;=B1295)+ISBLANK('cost master'!$H:$H))),1),0)"),3.9)</f>
        <v>3.9</v>
      </c>
      <c r="I1295" s="3">
        <f t="shared" si="4"/>
        <v>0</v>
      </c>
      <c r="J1295" s="27">
        <f t="shared" si="5"/>
        <v>45916</v>
      </c>
      <c r="K1295" s="27">
        <f t="shared" si="6"/>
        <v>45945</v>
      </c>
    </row>
    <row r="1296" hidden="1">
      <c r="A1296" s="3" t="str">
        <f t="shared" si="3"/>
        <v>SL-20250929-FMC-CS 009-8</v>
      </c>
      <c r="B1296" s="2">
        <f t="array" ref="B1296">INDEX(helper!$A$3:$A3996,ROUNDUP((ROW()-1)/COUNTA(helper!$D$3:$D3996),0))</f>
        <v>45929</v>
      </c>
      <c r="C1296" s="5" t="str">
        <f t="array" ref="C1296">IF(B1296="","",INDEX(helper!$D$3:$D3996,MOD(ROW()-2,COUNTA(helper!$D$3:$D3996))+1))</f>
        <v>FMC</v>
      </c>
      <c r="D1296" s="3" t="str">
        <f t="array" ref="D1296">IF(B1296="","",INDEX(helper!$E$3:$E3996,MOD(ROW()-2,COUNTA(helper!$D$3:$D3996))+1))</f>
        <v>CS 009</v>
      </c>
      <c r="E1296" s="3">
        <f t="array" ref="E1296">IF(B1296="","",INDEX(helper!$F$3:$F3996,MOD(ROW()-2,COUNTA(helper!$D$3:$D3996))+1))</f>
        <v>8</v>
      </c>
      <c r="F1296" s="3">
        <f>IF(B1296="","",SUMIFS('inventory ledger'!$H:$H,'inventory ledger'!$C:$C,C1296,'inventory ledger'!$D:$D,D1296,'inventory ledger'!$E:$E,E1296,'inventory ledger'!$A:$A,"&lt;="&amp;B1296+TIME(23,59,59))-SUMIFS('inventory ledger'!$I:$I,'inventory ledger'!$C:$C,C1296,'inventory ledger'!$D:$D,D1296,'inventory ledger'!$E:$E,E1296,'inventory ledger'!$A:$A,"&lt;="&amp;B1296+TIME(23,59,59)))</f>
        <v>0</v>
      </c>
      <c r="G1296" s="3">
        <f>IFERROR(__xludf.DUMMYFUNCTION("IF(F1296&lt;=0,0,IFERROR(ROUNDUP(F1296/INDEX(FILTER('warehouse config'!$D:$D,('warehouse config'!$B:$B=C1296)*('warehouse config'!$C:$C=D1296)*('warehouse config'!$G:$G&lt;=B1296)*(('warehouse config'!$H:$H&gt;=B1296)+ISBLANK('warehouse config'!$H:$H))),1)),0))"),0.0)</f>
        <v>0</v>
      </c>
      <c r="H1296" s="3">
        <f>IFERROR(__xludf.DUMMYFUNCTION("IFERROR(INDEX(FILTER('cost master'!$E:$E,('cost master'!$B:$B=C1296)*('cost master'!$D:$D=""Storage cost per pallet / week"")*('cost master'!$G:$G&lt;=B1296)*(('cost master'!$H:$H&gt;=B1296)+ISBLANK('cost master'!$H:$H))),1),0)"),3.9)</f>
        <v>3.9</v>
      </c>
      <c r="I1296" s="3">
        <f t="shared" si="4"/>
        <v>0</v>
      </c>
      <c r="J1296" s="27">
        <f t="shared" si="5"/>
        <v>45916</v>
      </c>
      <c r="K1296" s="27">
        <f t="shared" si="6"/>
        <v>45945</v>
      </c>
    </row>
    <row r="1297" hidden="1">
      <c r="A1297" s="3" t="str">
        <f t="shared" si="3"/>
        <v>SL-20250929-FMC-CS 010-8</v>
      </c>
      <c r="B1297" s="2">
        <f t="array" ref="B1297">INDEX(helper!$A$3:$A3996,ROUNDUP((ROW()-1)/COUNTA(helper!$D$3:$D3996),0))</f>
        <v>45929</v>
      </c>
      <c r="C1297" s="5" t="str">
        <f t="array" ref="C1297">IF(B1297="","",INDEX(helper!$D$3:$D3996,MOD(ROW()-2,COUNTA(helper!$D$3:$D3996))+1))</f>
        <v>FMC</v>
      </c>
      <c r="D1297" s="3" t="str">
        <f t="array" ref="D1297">IF(B1297="","",INDEX(helper!$E$3:$E3996,MOD(ROW()-2,COUNTA(helper!$D$3:$D3996))+1))</f>
        <v>CS 010</v>
      </c>
      <c r="E1297" s="3">
        <f t="array" ref="E1297">IF(B1297="","",INDEX(helper!$F$3:$F3996,MOD(ROW()-2,COUNTA(helper!$D$3:$D3996))+1))</f>
        <v>8</v>
      </c>
      <c r="F1297" s="3">
        <f>IF(B1297="","",SUMIFS('inventory ledger'!$H:$H,'inventory ledger'!$C:$C,C1297,'inventory ledger'!$D:$D,D1297,'inventory ledger'!$E:$E,E1297,'inventory ledger'!$A:$A,"&lt;="&amp;B1297+TIME(23,59,59))-SUMIFS('inventory ledger'!$I:$I,'inventory ledger'!$C:$C,C1297,'inventory ledger'!$D:$D,D1297,'inventory ledger'!$E:$E,E1297,'inventory ledger'!$A:$A,"&lt;="&amp;B1297+TIME(23,59,59)))</f>
        <v>0</v>
      </c>
      <c r="G1297" s="3">
        <f>IFERROR(__xludf.DUMMYFUNCTION("IF(F1297&lt;=0,0,IFERROR(ROUNDUP(F1297/INDEX(FILTER('warehouse config'!$D:$D,('warehouse config'!$B:$B=C1297)*('warehouse config'!$C:$C=D1297)*('warehouse config'!$G:$G&lt;=B1297)*(('warehouse config'!$H:$H&gt;=B1297)+ISBLANK('warehouse config'!$H:$H))),1)),0))"),0.0)</f>
        <v>0</v>
      </c>
      <c r="H1297" s="3">
        <f>IFERROR(__xludf.DUMMYFUNCTION("IFERROR(INDEX(FILTER('cost master'!$E:$E,('cost master'!$B:$B=C1297)*('cost master'!$D:$D=""Storage cost per pallet / week"")*('cost master'!$G:$G&lt;=B1297)*(('cost master'!$H:$H&gt;=B1297)+ISBLANK('cost master'!$H:$H))),1),0)"),3.9)</f>
        <v>3.9</v>
      </c>
      <c r="I1297" s="3">
        <f t="shared" si="4"/>
        <v>0</v>
      </c>
      <c r="J1297" s="27">
        <f t="shared" si="5"/>
        <v>45916</v>
      </c>
      <c r="K1297" s="27">
        <f t="shared" si="6"/>
        <v>45945</v>
      </c>
    </row>
    <row r="1298" hidden="1">
      <c r="A1298" s="3" t="str">
        <f t="shared" si="3"/>
        <v>SL-20250929-FMC-CS 007-9</v>
      </c>
      <c r="B1298" s="2">
        <f t="array" ref="B1298">INDEX(helper!$A$3:$A3996,ROUNDUP((ROW()-1)/COUNTA(helper!$D$3:$D3996),0))</f>
        <v>45929</v>
      </c>
      <c r="C1298" s="5" t="str">
        <f t="array" ref="C1298">IF(B1298="","",INDEX(helper!$D$3:$D3996,MOD(ROW()-2,COUNTA(helper!$D$3:$D3996))+1))</f>
        <v>FMC</v>
      </c>
      <c r="D1298" s="3" t="str">
        <f t="array" ref="D1298">IF(B1298="","",INDEX(helper!$E$3:$E3996,MOD(ROW()-2,COUNTA(helper!$D$3:$D3996))+1))</f>
        <v>CS 007</v>
      </c>
      <c r="E1298" s="3">
        <f t="array" ref="E1298">IF(B1298="","",INDEX(helper!$F$3:$F3996,MOD(ROW()-2,COUNTA(helper!$D$3:$D3996))+1))</f>
        <v>9</v>
      </c>
      <c r="F1298" s="3">
        <f>IF(B1298="","",SUMIFS('inventory ledger'!$H:$H,'inventory ledger'!$C:$C,C1298,'inventory ledger'!$D:$D,D1298,'inventory ledger'!$E:$E,E1298,'inventory ledger'!$A:$A,"&lt;="&amp;B1298+TIME(23,59,59))-SUMIFS('inventory ledger'!$I:$I,'inventory ledger'!$C:$C,C1298,'inventory ledger'!$D:$D,D1298,'inventory ledger'!$E:$E,E1298,'inventory ledger'!$A:$A,"&lt;="&amp;B1298+TIME(23,59,59)))</f>
        <v>0</v>
      </c>
      <c r="G1298" s="3">
        <f>IFERROR(__xludf.DUMMYFUNCTION("IF(F1298&lt;=0,0,IFERROR(ROUNDUP(F1298/INDEX(FILTER('warehouse config'!$D:$D,('warehouse config'!$B:$B=C1298)*('warehouse config'!$C:$C=D1298)*('warehouse config'!$G:$G&lt;=B1298)*(('warehouse config'!$H:$H&gt;=B1298)+ISBLANK('warehouse config'!$H:$H))),1)),0))"),0.0)</f>
        <v>0</v>
      </c>
      <c r="H1298" s="3">
        <f>IFERROR(__xludf.DUMMYFUNCTION("IFERROR(INDEX(FILTER('cost master'!$E:$E,('cost master'!$B:$B=C1298)*('cost master'!$D:$D=""Storage cost per pallet / week"")*('cost master'!$G:$G&lt;=B1298)*(('cost master'!$H:$H&gt;=B1298)+ISBLANK('cost master'!$H:$H))),1),0)"),3.9)</f>
        <v>3.9</v>
      </c>
      <c r="I1298" s="3">
        <f t="shared" si="4"/>
        <v>0</v>
      </c>
      <c r="J1298" s="27">
        <f t="shared" si="5"/>
        <v>45916</v>
      </c>
      <c r="K1298" s="27">
        <f t="shared" si="6"/>
        <v>45945</v>
      </c>
    </row>
    <row r="1299" hidden="1">
      <c r="A1299" s="3" t="str">
        <f t="shared" si="3"/>
        <v>SL-20250929-FMC-CS 008-9</v>
      </c>
      <c r="B1299" s="2">
        <f t="array" ref="B1299">INDEX(helper!$A$3:$A3996,ROUNDUP((ROW()-1)/COUNTA(helper!$D$3:$D3996),0))</f>
        <v>45929</v>
      </c>
      <c r="C1299" s="5" t="str">
        <f t="array" ref="C1299">IF(B1299="","",INDEX(helper!$D$3:$D3996,MOD(ROW()-2,COUNTA(helper!$D$3:$D3996))+1))</f>
        <v>FMC</v>
      </c>
      <c r="D1299" s="3" t="str">
        <f t="array" ref="D1299">IF(B1299="","",INDEX(helper!$E$3:$E3996,MOD(ROW()-2,COUNTA(helper!$D$3:$D3996))+1))</f>
        <v>CS 008</v>
      </c>
      <c r="E1299" s="3">
        <f t="array" ref="E1299">IF(B1299="","",INDEX(helper!$F$3:$F3996,MOD(ROW()-2,COUNTA(helper!$D$3:$D3996))+1))</f>
        <v>9</v>
      </c>
      <c r="F1299" s="3">
        <f>IF(B1299="","",SUMIFS('inventory ledger'!$H:$H,'inventory ledger'!$C:$C,C1299,'inventory ledger'!$D:$D,D1299,'inventory ledger'!$E:$E,E1299,'inventory ledger'!$A:$A,"&lt;="&amp;B1299+TIME(23,59,59))-SUMIFS('inventory ledger'!$I:$I,'inventory ledger'!$C:$C,C1299,'inventory ledger'!$D:$D,D1299,'inventory ledger'!$E:$E,E1299,'inventory ledger'!$A:$A,"&lt;="&amp;B1299+TIME(23,59,59)))</f>
        <v>2</v>
      </c>
      <c r="G1299" s="3">
        <f>IFERROR(__xludf.DUMMYFUNCTION("IF(F1299&lt;=0,0,IFERROR(ROUNDUP(F1299/INDEX(FILTER('warehouse config'!$D:$D,('warehouse config'!$B:$B=C1299)*('warehouse config'!$C:$C=D1299)*('warehouse config'!$G:$G&lt;=B1299)*(('warehouse config'!$H:$H&gt;=B1299)+ISBLANK('warehouse config'!$H:$H))),1)),0))"),1.0)</f>
        <v>1</v>
      </c>
      <c r="H1299" s="3">
        <f>IFERROR(__xludf.DUMMYFUNCTION("IFERROR(INDEX(FILTER('cost master'!$E:$E,('cost master'!$B:$B=C1299)*('cost master'!$D:$D=""Storage cost per pallet / week"")*('cost master'!$G:$G&lt;=B1299)*(('cost master'!$H:$H&gt;=B1299)+ISBLANK('cost master'!$H:$H))),1),0)"),3.9)</f>
        <v>3.9</v>
      </c>
      <c r="I1299" s="3">
        <f t="shared" si="4"/>
        <v>3.9</v>
      </c>
      <c r="J1299" s="27">
        <f t="shared" si="5"/>
        <v>45916</v>
      </c>
      <c r="K1299" s="27">
        <f t="shared" si="6"/>
        <v>45945</v>
      </c>
    </row>
    <row r="1300" hidden="1">
      <c r="A1300" s="3" t="str">
        <f t="shared" si="3"/>
        <v>SL-20250929-FMC-CS 009-9</v>
      </c>
      <c r="B1300" s="2">
        <f t="array" ref="B1300">INDEX(helper!$A$3:$A3996,ROUNDUP((ROW()-1)/COUNTA(helper!$D$3:$D3996),0))</f>
        <v>45929</v>
      </c>
      <c r="C1300" s="5" t="str">
        <f t="array" ref="C1300">IF(B1300="","",INDEX(helper!$D$3:$D3996,MOD(ROW()-2,COUNTA(helper!$D$3:$D3996))+1))</f>
        <v>FMC</v>
      </c>
      <c r="D1300" s="3" t="str">
        <f t="array" ref="D1300">IF(B1300="","",INDEX(helper!$E$3:$E3996,MOD(ROW()-2,COUNTA(helper!$D$3:$D3996))+1))</f>
        <v>CS 009</v>
      </c>
      <c r="E1300" s="3">
        <f t="array" ref="E1300">IF(B1300="","",INDEX(helper!$F$3:$F3996,MOD(ROW()-2,COUNTA(helper!$D$3:$D3996))+1))</f>
        <v>9</v>
      </c>
      <c r="F1300" s="3">
        <f>IF(B1300="","",SUMIFS('inventory ledger'!$H:$H,'inventory ledger'!$C:$C,C1300,'inventory ledger'!$D:$D,D1300,'inventory ledger'!$E:$E,E1300,'inventory ledger'!$A:$A,"&lt;="&amp;B1300+TIME(23,59,59))-SUMIFS('inventory ledger'!$I:$I,'inventory ledger'!$C:$C,C1300,'inventory ledger'!$D:$D,D1300,'inventory ledger'!$E:$E,E1300,'inventory ledger'!$A:$A,"&lt;="&amp;B1300+TIME(23,59,59)))</f>
        <v>0</v>
      </c>
      <c r="G1300" s="3">
        <f>IFERROR(__xludf.DUMMYFUNCTION("IF(F1300&lt;=0,0,IFERROR(ROUNDUP(F1300/INDEX(FILTER('warehouse config'!$D:$D,('warehouse config'!$B:$B=C1300)*('warehouse config'!$C:$C=D1300)*('warehouse config'!$G:$G&lt;=B1300)*(('warehouse config'!$H:$H&gt;=B1300)+ISBLANK('warehouse config'!$H:$H))),1)),0))"),0.0)</f>
        <v>0</v>
      </c>
      <c r="H1300" s="3">
        <f>IFERROR(__xludf.DUMMYFUNCTION("IFERROR(INDEX(FILTER('cost master'!$E:$E,('cost master'!$B:$B=C1300)*('cost master'!$D:$D=""Storage cost per pallet / week"")*('cost master'!$G:$G&lt;=B1300)*(('cost master'!$H:$H&gt;=B1300)+ISBLANK('cost master'!$H:$H))),1),0)"),3.9)</f>
        <v>3.9</v>
      </c>
      <c r="I1300" s="3">
        <f t="shared" si="4"/>
        <v>0</v>
      </c>
      <c r="J1300" s="27">
        <f t="shared" si="5"/>
        <v>45916</v>
      </c>
      <c r="K1300" s="27">
        <f t="shared" si="6"/>
        <v>45945</v>
      </c>
    </row>
    <row r="1301" hidden="1">
      <c r="A1301" s="3" t="str">
        <f t="shared" si="3"/>
        <v>SL-20250929-FMC-CS 010-9</v>
      </c>
      <c r="B1301" s="2">
        <f t="array" ref="B1301">INDEX(helper!$A$3:$A3996,ROUNDUP((ROW()-1)/COUNTA(helper!$D$3:$D3996),0))</f>
        <v>45929</v>
      </c>
      <c r="C1301" s="5" t="str">
        <f t="array" ref="C1301">IF(B1301="","",INDEX(helper!$D$3:$D3996,MOD(ROW()-2,COUNTA(helper!$D$3:$D3996))+1))</f>
        <v>FMC</v>
      </c>
      <c r="D1301" s="3" t="str">
        <f t="array" ref="D1301">IF(B1301="","",INDEX(helper!$E$3:$E3996,MOD(ROW()-2,COUNTA(helper!$D$3:$D3996))+1))</f>
        <v>CS 010</v>
      </c>
      <c r="E1301" s="3">
        <f t="array" ref="E1301">IF(B1301="","",INDEX(helper!$F$3:$F3996,MOD(ROW()-2,COUNTA(helper!$D$3:$D3996))+1))</f>
        <v>9</v>
      </c>
      <c r="F1301" s="3">
        <f>IF(B1301="","",SUMIFS('inventory ledger'!$H:$H,'inventory ledger'!$C:$C,C1301,'inventory ledger'!$D:$D,D1301,'inventory ledger'!$E:$E,E1301,'inventory ledger'!$A:$A,"&lt;="&amp;B1301+TIME(23,59,59))-SUMIFS('inventory ledger'!$I:$I,'inventory ledger'!$C:$C,C1301,'inventory ledger'!$D:$D,D1301,'inventory ledger'!$E:$E,E1301,'inventory ledger'!$A:$A,"&lt;="&amp;B1301+TIME(23,59,59)))</f>
        <v>0</v>
      </c>
      <c r="G1301" s="3">
        <f>IFERROR(__xludf.DUMMYFUNCTION("IF(F1301&lt;=0,0,IFERROR(ROUNDUP(F1301/INDEX(FILTER('warehouse config'!$D:$D,('warehouse config'!$B:$B=C1301)*('warehouse config'!$C:$C=D1301)*('warehouse config'!$G:$G&lt;=B1301)*(('warehouse config'!$H:$H&gt;=B1301)+ISBLANK('warehouse config'!$H:$H))),1)),0))"),0.0)</f>
        <v>0</v>
      </c>
      <c r="H1301" s="3">
        <f>IFERROR(__xludf.DUMMYFUNCTION("IFERROR(INDEX(FILTER('cost master'!$E:$E,('cost master'!$B:$B=C1301)*('cost master'!$D:$D=""Storage cost per pallet / week"")*('cost master'!$G:$G&lt;=B1301)*(('cost master'!$H:$H&gt;=B1301)+ISBLANK('cost master'!$H:$H))),1),0)"),3.9)</f>
        <v>3.9</v>
      </c>
      <c r="I1301" s="3">
        <f t="shared" si="4"/>
        <v>0</v>
      </c>
      <c r="J1301" s="27">
        <f t="shared" si="5"/>
        <v>45916</v>
      </c>
      <c r="K1301" s="27">
        <f t="shared" si="6"/>
        <v>45945</v>
      </c>
    </row>
    <row r="1302" hidden="1">
      <c r="A1302" s="3" t="str">
        <f t="shared" si="3"/>
        <v>SL-20250929-FMC-CS-CDS-001-9</v>
      </c>
      <c r="B1302" s="2">
        <f t="array" ref="B1302">INDEX(helper!$A$3:$A3996,ROUNDUP((ROW()-1)/COUNTA(helper!$D$3:$D3996),0))</f>
        <v>45929</v>
      </c>
      <c r="C1302" s="5" t="str">
        <f t="array" ref="C1302">IF(B1302="","",INDEX(helper!$D$3:$D3996,MOD(ROW()-2,COUNTA(helper!$D$3:$D3996))+1))</f>
        <v>FMC</v>
      </c>
      <c r="D1302" s="3" t="str">
        <f t="array" ref="D1302">IF(B1302="","",INDEX(helper!$E$3:$E3996,MOD(ROW()-2,COUNTA(helper!$D$3:$D3996))+1))</f>
        <v>CS-CDS-001</v>
      </c>
      <c r="E1302" s="3">
        <f t="array" ref="E1302">IF(B1302="","",INDEX(helper!$F$3:$F3996,MOD(ROW()-2,COUNTA(helper!$D$3:$D3996))+1))</f>
        <v>9</v>
      </c>
      <c r="F1302" s="3">
        <f>IF(B1302="","",SUMIFS('inventory ledger'!$H:$H,'inventory ledger'!$C:$C,C1302,'inventory ledger'!$D:$D,D1302,'inventory ledger'!$E:$E,E1302,'inventory ledger'!$A:$A,"&lt;="&amp;B1302+TIME(23,59,59))-SUMIFS('inventory ledger'!$I:$I,'inventory ledger'!$C:$C,C1302,'inventory ledger'!$D:$D,D1302,'inventory ledger'!$E:$E,E1302,'inventory ledger'!$A:$A,"&lt;="&amp;B1302+TIME(23,59,59)))</f>
        <v>0</v>
      </c>
      <c r="G1302" s="3">
        <f>IFERROR(__xludf.DUMMYFUNCTION("IF(F1302&lt;=0,0,IFERROR(ROUNDUP(F1302/INDEX(FILTER('warehouse config'!$D:$D,('warehouse config'!$B:$B=C1302)*('warehouse config'!$C:$C=D1302)*('warehouse config'!$G:$G&lt;=B1302)*(('warehouse config'!$H:$H&gt;=B1302)+ISBLANK('warehouse config'!$H:$H))),1)),0))"),0.0)</f>
        <v>0</v>
      </c>
      <c r="H1302" s="3">
        <f>IFERROR(__xludf.DUMMYFUNCTION("IFERROR(INDEX(FILTER('cost master'!$E:$E,('cost master'!$B:$B=C1302)*('cost master'!$D:$D=""Storage cost per pallet / week"")*('cost master'!$G:$G&lt;=B1302)*(('cost master'!$H:$H&gt;=B1302)+ISBLANK('cost master'!$H:$H))),1),0)"),3.9)</f>
        <v>3.9</v>
      </c>
      <c r="I1302" s="3">
        <f t="shared" si="4"/>
        <v>0</v>
      </c>
      <c r="J1302" s="27">
        <f t="shared" si="5"/>
        <v>45916</v>
      </c>
      <c r="K1302" s="27">
        <f t="shared" si="6"/>
        <v>45945</v>
      </c>
    </row>
    <row r="1303" hidden="1">
      <c r="A1303" s="3" t="str">
        <f t="shared" si="3"/>
        <v>SL-20250929-FMC-CS-CDS-002-9</v>
      </c>
      <c r="B1303" s="2">
        <f t="array" ref="B1303">INDEX(helper!$A$3:$A3996,ROUNDUP((ROW()-1)/COUNTA(helper!$D$3:$D3996),0))</f>
        <v>45929</v>
      </c>
      <c r="C1303" s="5" t="str">
        <f t="array" ref="C1303">IF(B1303="","",INDEX(helper!$D$3:$D3996,MOD(ROW()-2,COUNTA(helper!$D$3:$D3996))+1))</f>
        <v>FMC</v>
      </c>
      <c r="D1303" s="3" t="str">
        <f t="array" ref="D1303">IF(B1303="","",INDEX(helper!$E$3:$E3996,MOD(ROW()-2,COUNTA(helper!$D$3:$D3996))+1))</f>
        <v>CS-CDS-002</v>
      </c>
      <c r="E1303" s="3">
        <f t="array" ref="E1303">IF(B1303="","",INDEX(helper!$F$3:$F3996,MOD(ROW()-2,COUNTA(helper!$D$3:$D3996))+1))</f>
        <v>9</v>
      </c>
      <c r="F1303" s="3">
        <f>IF(B1303="","",SUMIFS('inventory ledger'!$H:$H,'inventory ledger'!$C:$C,C1303,'inventory ledger'!$D:$D,D1303,'inventory ledger'!$E:$E,E1303,'inventory ledger'!$A:$A,"&lt;="&amp;B1303+TIME(23,59,59))-SUMIFS('inventory ledger'!$I:$I,'inventory ledger'!$C:$C,C1303,'inventory ledger'!$D:$D,D1303,'inventory ledger'!$E:$E,E1303,'inventory ledger'!$A:$A,"&lt;="&amp;B1303+TIME(23,59,59)))</f>
        <v>0</v>
      </c>
      <c r="G1303" s="3">
        <f>IFERROR(__xludf.DUMMYFUNCTION("IF(F1303&lt;=0,0,IFERROR(ROUNDUP(F1303/INDEX(FILTER('warehouse config'!$D:$D,('warehouse config'!$B:$B=C1303)*('warehouse config'!$C:$C=D1303)*('warehouse config'!$G:$G&lt;=B1303)*(('warehouse config'!$H:$H&gt;=B1303)+ISBLANK('warehouse config'!$H:$H))),1)),0))"),0.0)</f>
        <v>0</v>
      </c>
      <c r="H1303" s="3">
        <f>IFERROR(__xludf.DUMMYFUNCTION("IFERROR(INDEX(FILTER('cost master'!$E:$E,('cost master'!$B:$B=C1303)*('cost master'!$D:$D=""Storage cost per pallet / week"")*('cost master'!$G:$G&lt;=B1303)*(('cost master'!$H:$H&gt;=B1303)+ISBLANK('cost master'!$H:$H))),1),0)"),3.9)</f>
        <v>3.9</v>
      </c>
      <c r="I1303" s="3">
        <f t="shared" si="4"/>
        <v>0</v>
      </c>
      <c r="J1303" s="27">
        <f t="shared" si="5"/>
        <v>45916</v>
      </c>
      <c r="K1303" s="27">
        <f t="shared" si="6"/>
        <v>45945</v>
      </c>
    </row>
    <row r="1304" hidden="1">
      <c r="A1304" s="3" t="str">
        <f t="shared" si="3"/>
        <v>SL-20250929-FMC-CS 007-10</v>
      </c>
      <c r="B1304" s="2">
        <f t="array" ref="B1304">INDEX(helper!$A$3:$A3996,ROUNDUP((ROW()-1)/COUNTA(helper!$D$3:$D3996),0))</f>
        <v>45929</v>
      </c>
      <c r="C1304" s="5" t="str">
        <f t="array" ref="C1304">IF(B1304="","",INDEX(helper!$D$3:$D3996,MOD(ROW()-2,COUNTA(helper!$D$3:$D3996))+1))</f>
        <v>FMC</v>
      </c>
      <c r="D1304" s="3" t="str">
        <f t="array" ref="D1304">IF(B1304="","",INDEX(helper!$E$3:$E3996,MOD(ROW()-2,COUNTA(helper!$D$3:$D3996))+1))</f>
        <v>CS 007</v>
      </c>
      <c r="E1304" s="3">
        <f t="array" ref="E1304">IF(B1304="","",INDEX(helper!$F$3:$F3996,MOD(ROW()-2,COUNTA(helper!$D$3:$D3996))+1))</f>
        <v>10</v>
      </c>
      <c r="F1304" s="3">
        <f>IF(B1304="","",SUMIFS('inventory ledger'!$H:$H,'inventory ledger'!$C:$C,C1304,'inventory ledger'!$D:$D,D1304,'inventory ledger'!$E:$E,E1304,'inventory ledger'!$A:$A,"&lt;="&amp;B1304+TIME(23,59,59))-SUMIFS('inventory ledger'!$I:$I,'inventory ledger'!$C:$C,C1304,'inventory ledger'!$D:$D,D1304,'inventory ledger'!$E:$E,E1304,'inventory ledger'!$A:$A,"&lt;="&amp;B1304+TIME(23,59,59)))</f>
        <v>0</v>
      </c>
      <c r="G1304" s="3">
        <f>IFERROR(__xludf.DUMMYFUNCTION("IF(F1304&lt;=0,0,IFERROR(ROUNDUP(F1304/INDEX(FILTER('warehouse config'!$D:$D,('warehouse config'!$B:$B=C1304)*('warehouse config'!$C:$C=D1304)*('warehouse config'!$G:$G&lt;=B1304)*(('warehouse config'!$H:$H&gt;=B1304)+ISBLANK('warehouse config'!$H:$H))),1)),0))"),0.0)</f>
        <v>0</v>
      </c>
      <c r="H1304" s="3">
        <f>IFERROR(__xludf.DUMMYFUNCTION("IFERROR(INDEX(FILTER('cost master'!$E:$E,('cost master'!$B:$B=C1304)*('cost master'!$D:$D=""Storage cost per pallet / week"")*('cost master'!$G:$G&lt;=B1304)*(('cost master'!$H:$H&gt;=B1304)+ISBLANK('cost master'!$H:$H))),1),0)"),3.9)</f>
        <v>3.9</v>
      </c>
      <c r="I1304" s="3">
        <f t="shared" si="4"/>
        <v>0</v>
      </c>
      <c r="J1304" s="27">
        <f t="shared" si="5"/>
        <v>45916</v>
      </c>
      <c r="K1304" s="27">
        <f t="shared" si="6"/>
        <v>45945</v>
      </c>
    </row>
    <row r="1305" hidden="1">
      <c r="A1305" s="3" t="str">
        <f t="shared" si="3"/>
        <v>SL-20250929-FMC-CS 009-10</v>
      </c>
      <c r="B1305" s="2">
        <f t="array" ref="B1305">INDEX(helper!$A$3:$A3996,ROUNDUP((ROW()-1)/COUNTA(helper!$D$3:$D3996),0))</f>
        <v>45929</v>
      </c>
      <c r="C1305" s="5" t="str">
        <f t="array" ref="C1305">IF(B1305="","",INDEX(helper!$D$3:$D3996,MOD(ROW()-2,COUNTA(helper!$D$3:$D3996))+1))</f>
        <v>FMC</v>
      </c>
      <c r="D1305" s="3" t="str">
        <f t="array" ref="D1305">IF(B1305="","",INDEX(helper!$E$3:$E3996,MOD(ROW()-2,COUNTA(helper!$D$3:$D3996))+1))</f>
        <v>CS 009</v>
      </c>
      <c r="E1305" s="3">
        <f t="array" ref="E1305">IF(B1305="","",INDEX(helper!$F$3:$F3996,MOD(ROW()-2,COUNTA(helper!$D$3:$D3996))+1))</f>
        <v>10</v>
      </c>
      <c r="F1305" s="3">
        <f>IF(B1305="","",SUMIFS('inventory ledger'!$H:$H,'inventory ledger'!$C:$C,C1305,'inventory ledger'!$D:$D,D1305,'inventory ledger'!$E:$E,E1305,'inventory ledger'!$A:$A,"&lt;="&amp;B1305+TIME(23,59,59))-SUMIFS('inventory ledger'!$I:$I,'inventory ledger'!$C:$C,C1305,'inventory ledger'!$D:$D,D1305,'inventory ledger'!$E:$E,E1305,'inventory ledger'!$A:$A,"&lt;="&amp;B1305+TIME(23,59,59)))</f>
        <v>0</v>
      </c>
      <c r="G1305" s="3">
        <f>IFERROR(__xludf.DUMMYFUNCTION("IF(F1305&lt;=0,0,IFERROR(ROUNDUP(F1305/INDEX(FILTER('warehouse config'!$D:$D,('warehouse config'!$B:$B=C1305)*('warehouse config'!$C:$C=D1305)*('warehouse config'!$G:$G&lt;=B1305)*(('warehouse config'!$H:$H&gt;=B1305)+ISBLANK('warehouse config'!$H:$H))),1)),0))"),0.0)</f>
        <v>0</v>
      </c>
      <c r="H1305" s="3">
        <f>IFERROR(__xludf.DUMMYFUNCTION("IFERROR(INDEX(FILTER('cost master'!$E:$E,('cost master'!$B:$B=C1305)*('cost master'!$D:$D=""Storage cost per pallet / week"")*('cost master'!$G:$G&lt;=B1305)*(('cost master'!$H:$H&gt;=B1305)+ISBLANK('cost master'!$H:$H))),1),0)"),3.9)</f>
        <v>3.9</v>
      </c>
      <c r="I1305" s="3">
        <f t="shared" si="4"/>
        <v>0</v>
      </c>
      <c r="J1305" s="27">
        <f t="shared" si="5"/>
        <v>45916</v>
      </c>
      <c r="K1305" s="27">
        <f t="shared" si="6"/>
        <v>45945</v>
      </c>
    </row>
    <row r="1306" hidden="1">
      <c r="A1306" s="3" t="str">
        <f t="shared" si="3"/>
        <v>SL-20250929-FMC-CS 010-10</v>
      </c>
      <c r="B1306" s="2">
        <f t="array" ref="B1306">INDEX(helper!$A$3:$A3996,ROUNDUP((ROW()-1)/COUNTA(helper!$D$3:$D3996),0))</f>
        <v>45929</v>
      </c>
      <c r="C1306" s="5" t="str">
        <f t="array" ref="C1306">IF(B1306="","",INDEX(helper!$D$3:$D3996,MOD(ROW()-2,COUNTA(helper!$D$3:$D3996))+1))</f>
        <v>FMC</v>
      </c>
      <c r="D1306" s="3" t="str">
        <f t="array" ref="D1306">IF(B1306="","",INDEX(helper!$E$3:$E3996,MOD(ROW()-2,COUNTA(helper!$D$3:$D3996))+1))</f>
        <v>CS 010</v>
      </c>
      <c r="E1306" s="3">
        <f t="array" ref="E1306">IF(B1306="","",INDEX(helper!$F$3:$F3996,MOD(ROW()-2,COUNTA(helper!$D$3:$D3996))+1))</f>
        <v>10</v>
      </c>
      <c r="F1306" s="3">
        <f>IF(B1306="","",SUMIFS('inventory ledger'!$H:$H,'inventory ledger'!$C:$C,C1306,'inventory ledger'!$D:$D,D1306,'inventory ledger'!$E:$E,E1306,'inventory ledger'!$A:$A,"&lt;="&amp;B1306+TIME(23,59,59))-SUMIFS('inventory ledger'!$I:$I,'inventory ledger'!$C:$C,C1306,'inventory ledger'!$D:$D,D1306,'inventory ledger'!$E:$E,E1306,'inventory ledger'!$A:$A,"&lt;="&amp;B1306+TIME(23,59,59)))</f>
        <v>13</v>
      </c>
      <c r="G1306" s="3">
        <f>IFERROR(__xludf.DUMMYFUNCTION("IF(F1306&lt;=0,0,IFERROR(ROUNDUP(F1306/INDEX(FILTER('warehouse config'!$D:$D,('warehouse config'!$B:$B=C1306)*('warehouse config'!$C:$C=D1306)*('warehouse config'!$G:$G&lt;=B1306)*(('warehouse config'!$H:$H&gt;=B1306)+ISBLANK('warehouse config'!$H:$H))),1)),0))"),1.0)</f>
        <v>1</v>
      </c>
      <c r="H1306" s="3">
        <f>IFERROR(__xludf.DUMMYFUNCTION("IFERROR(INDEX(FILTER('cost master'!$E:$E,('cost master'!$B:$B=C1306)*('cost master'!$D:$D=""Storage cost per pallet / week"")*('cost master'!$G:$G&lt;=B1306)*(('cost master'!$H:$H&gt;=B1306)+ISBLANK('cost master'!$H:$H))),1),0)"),3.9)</f>
        <v>3.9</v>
      </c>
      <c r="I1306" s="3">
        <f t="shared" si="4"/>
        <v>3.9</v>
      </c>
      <c r="J1306" s="27">
        <f t="shared" si="5"/>
        <v>45916</v>
      </c>
      <c r="K1306" s="27">
        <f t="shared" si="6"/>
        <v>45945</v>
      </c>
    </row>
    <row r="1307" hidden="1">
      <c r="A1307" s="3" t="str">
        <f t="shared" si="3"/>
        <v>SL-20250929-FMC-CS-CDS-001-10</v>
      </c>
      <c r="B1307" s="2">
        <f t="array" ref="B1307">INDEX(helper!$A$3:$A3996,ROUNDUP((ROW()-1)/COUNTA(helper!$D$3:$D3996),0))</f>
        <v>45929</v>
      </c>
      <c r="C1307" s="5" t="str">
        <f t="array" ref="C1307">IF(B1307="","",INDEX(helper!$D$3:$D3996,MOD(ROW()-2,COUNTA(helper!$D$3:$D3996))+1))</f>
        <v>FMC</v>
      </c>
      <c r="D1307" s="3" t="str">
        <f t="array" ref="D1307">IF(B1307="","",INDEX(helper!$E$3:$E3996,MOD(ROW()-2,COUNTA(helper!$D$3:$D3996))+1))</f>
        <v>CS-CDS-001</v>
      </c>
      <c r="E1307" s="3">
        <f t="array" ref="E1307">IF(B1307="","",INDEX(helper!$F$3:$F3996,MOD(ROW()-2,COUNTA(helper!$D$3:$D3996))+1))</f>
        <v>10</v>
      </c>
      <c r="F1307" s="3">
        <f>IF(B1307="","",SUMIFS('inventory ledger'!$H:$H,'inventory ledger'!$C:$C,C1307,'inventory ledger'!$D:$D,D1307,'inventory ledger'!$E:$E,E1307,'inventory ledger'!$A:$A,"&lt;="&amp;B1307+TIME(23,59,59))-SUMIFS('inventory ledger'!$I:$I,'inventory ledger'!$C:$C,C1307,'inventory ledger'!$D:$D,D1307,'inventory ledger'!$E:$E,E1307,'inventory ledger'!$A:$A,"&lt;="&amp;B1307+TIME(23,59,59)))</f>
        <v>0</v>
      </c>
      <c r="G1307" s="3">
        <f>IFERROR(__xludf.DUMMYFUNCTION("IF(F1307&lt;=0,0,IFERROR(ROUNDUP(F1307/INDEX(FILTER('warehouse config'!$D:$D,('warehouse config'!$B:$B=C1307)*('warehouse config'!$C:$C=D1307)*('warehouse config'!$G:$G&lt;=B1307)*(('warehouse config'!$H:$H&gt;=B1307)+ISBLANK('warehouse config'!$H:$H))),1)),0))"),0.0)</f>
        <v>0</v>
      </c>
      <c r="H1307" s="3">
        <f>IFERROR(__xludf.DUMMYFUNCTION("IFERROR(INDEX(FILTER('cost master'!$E:$E,('cost master'!$B:$B=C1307)*('cost master'!$D:$D=""Storage cost per pallet / week"")*('cost master'!$G:$G&lt;=B1307)*(('cost master'!$H:$H&gt;=B1307)+ISBLANK('cost master'!$H:$H))),1),0)"),3.9)</f>
        <v>3.9</v>
      </c>
      <c r="I1307" s="3">
        <f t="shared" si="4"/>
        <v>0</v>
      </c>
      <c r="J1307" s="27">
        <f t="shared" si="5"/>
        <v>45916</v>
      </c>
      <c r="K1307" s="27">
        <f t="shared" si="6"/>
        <v>45945</v>
      </c>
    </row>
    <row r="1308">
      <c r="A1308" s="3" t="str">
        <f t="shared" si="3"/>
        <v>SL-20250929-FMC-CS 007-11</v>
      </c>
      <c r="B1308" s="2">
        <f t="array" ref="B1308">INDEX(helper!$A$3:$A3996,ROUNDUP((ROW()-1)/COUNTA(helper!$D$3:$D3996),0))</f>
        <v>45929</v>
      </c>
      <c r="C1308" s="5" t="str">
        <f t="array" ref="C1308">IF(B1308="","",INDEX(helper!$D$3:$D3996,MOD(ROW()-2,COUNTA(helper!$D$3:$D3996))+1))</f>
        <v>FMC</v>
      </c>
      <c r="D1308" s="3" t="str">
        <f t="array" ref="D1308">IF(B1308="","",INDEX(helper!$E$3:$E3996,MOD(ROW()-2,COUNTA(helper!$D$3:$D3996))+1))</f>
        <v>CS 007</v>
      </c>
      <c r="E1308" s="3">
        <f t="array" ref="E1308">IF(B1308="","",INDEX(helper!$F$3:$F3996,MOD(ROW()-2,COUNTA(helper!$D$3:$D3996))+1))</f>
        <v>11</v>
      </c>
      <c r="F1308" s="3">
        <f>IF(B1308="","",SUMIFS('inventory ledger'!$H:$H,'inventory ledger'!$C:$C,C1308,'inventory ledger'!$D:$D,D1308,'inventory ledger'!$E:$E,E1308,'inventory ledger'!$A:$A,"&lt;="&amp;B1308+TIME(23,59,59))-SUMIFS('inventory ledger'!$I:$I,'inventory ledger'!$C:$C,C1308,'inventory ledger'!$D:$D,D1308,'inventory ledger'!$E:$E,E1308,'inventory ledger'!$A:$A,"&lt;="&amp;B1308+TIME(23,59,59)))</f>
        <v>-1</v>
      </c>
      <c r="G1308" s="3">
        <f>IFERROR(__xludf.DUMMYFUNCTION("IF(F1308&lt;=0,0,IFERROR(ROUNDUP(F1308/INDEX(FILTER('warehouse config'!$D:$D,('warehouse config'!$B:$B=C1308)*('warehouse config'!$C:$C=D1308)*('warehouse config'!$G:$G&lt;=B1308)*(('warehouse config'!$H:$H&gt;=B1308)+ISBLANK('warehouse config'!$H:$H))),1)),0))"),0.0)</f>
        <v>0</v>
      </c>
      <c r="H1308" s="3">
        <f>IFERROR(__xludf.DUMMYFUNCTION("IFERROR(INDEX(FILTER('cost master'!$E:$E,('cost master'!$B:$B=C1308)*('cost master'!$D:$D=""Storage cost per pallet / week"")*('cost master'!$G:$G&lt;=B1308)*(('cost master'!$H:$H&gt;=B1308)+ISBLANK('cost master'!$H:$H))),1),0)"),3.9)</f>
        <v>3.9</v>
      </c>
      <c r="I1308" s="3">
        <f t="shared" si="4"/>
        <v>0</v>
      </c>
      <c r="J1308" s="27">
        <f t="shared" si="5"/>
        <v>45916</v>
      </c>
      <c r="K1308" s="27">
        <f t="shared" si="6"/>
        <v>45945</v>
      </c>
    </row>
    <row r="1309" hidden="1">
      <c r="A1309" s="3" t="str">
        <f t="shared" si="3"/>
        <v>SL-20250929-FMC-CS 009-11</v>
      </c>
      <c r="B1309" s="2">
        <f t="array" ref="B1309">INDEX(helper!$A$3:$A3996,ROUNDUP((ROW()-1)/COUNTA(helper!$D$3:$D3996),0))</f>
        <v>45929</v>
      </c>
      <c r="C1309" s="5" t="str">
        <f t="array" ref="C1309">IF(B1309="","",INDEX(helper!$D$3:$D3996,MOD(ROW()-2,COUNTA(helper!$D$3:$D3996))+1))</f>
        <v>FMC</v>
      </c>
      <c r="D1309" s="3" t="str">
        <f t="array" ref="D1309">IF(B1309="","",INDEX(helper!$E$3:$E3996,MOD(ROW()-2,COUNTA(helper!$D$3:$D3996))+1))</f>
        <v>CS 009</v>
      </c>
      <c r="E1309" s="3">
        <f t="array" ref="E1309">IF(B1309="","",INDEX(helper!$F$3:$F3996,MOD(ROW()-2,COUNTA(helper!$D$3:$D3996))+1))</f>
        <v>11</v>
      </c>
      <c r="F1309" s="3">
        <f>IF(B1309="","",SUMIFS('inventory ledger'!$H:$H,'inventory ledger'!$C:$C,C1309,'inventory ledger'!$D:$D,D1309,'inventory ledger'!$E:$E,E1309,'inventory ledger'!$A:$A,"&lt;="&amp;B1309+TIME(23,59,59))-SUMIFS('inventory ledger'!$I:$I,'inventory ledger'!$C:$C,C1309,'inventory ledger'!$D:$D,D1309,'inventory ledger'!$E:$E,E1309,'inventory ledger'!$A:$A,"&lt;="&amp;B1309+TIME(23,59,59)))</f>
        <v>0</v>
      </c>
      <c r="G1309" s="3">
        <f>IFERROR(__xludf.DUMMYFUNCTION("IF(F1309&lt;=0,0,IFERROR(ROUNDUP(F1309/INDEX(FILTER('warehouse config'!$D:$D,('warehouse config'!$B:$B=C1309)*('warehouse config'!$C:$C=D1309)*('warehouse config'!$G:$G&lt;=B1309)*(('warehouse config'!$H:$H&gt;=B1309)+ISBLANK('warehouse config'!$H:$H))),1)),0))"),0.0)</f>
        <v>0</v>
      </c>
      <c r="H1309" s="3">
        <f>IFERROR(__xludf.DUMMYFUNCTION("IFERROR(INDEX(FILTER('cost master'!$E:$E,('cost master'!$B:$B=C1309)*('cost master'!$D:$D=""Storage cost per pallet / week"")*('cost master'!$G:$G&lt;=B1309)*(('cost master'!$H:$H&gt;=B1309)+ISBLANK('cost master'!$H:$H))),1),0)"),3.9)</f>
        <v>3.9</v>
      </c>
      <c r="I1309" s="3">
        <f t="shared" si="4"/>
        <v>0</v>
      </c>
      <c r="J1309" s="27">
        <f t="shared" si="5"/>
        <v>45916</v>
      </c>
      <c r="K1309" s="27">
        <f t="shared" si="6"/>
        <v>45945</v>
      </c>
    </row>
    <row r="1310" hidden="1">
      <c r="A1310" s="3" t="str">
        <f t="shared" si="3"/>
        <v>SL-20250929-FMC-CS 010-11</v>
      </c>
      <c r="B1310" s="2">
        <f t="array" ref="B1310">INDEX(helper!$A$3:$A3996,ROUNDUP((ROW()-1)/COUNTA(helper!$D$3:$D3996),0))</f>
        <v>45929</v>
      </c>
      <c r="C1310" s="5" t="str">
        <f t="array" ref="C1310">IF(B1310="","",INDEX(helper!$D$3:$D3996,MOD(ROW()-2,COUNTA(helper!$D$3:$D3996))+1))</f>
        <v>FMC</v>
      </c>
      <c r="D1310" s="3" t="str">
        <f t="array" ref="D1310">IF(B1310="","",INDEX(helper!$E$3:$E3996,MOD(ROW()-2,COUNTA(helper!$D$3:$D3996))+1))</f>
        <v>CS 010</v>
      </c>
      <c r="E1310" s="3">
        <f t="array" ref="E1310">IF(B1310="","",INDEX(helper!$F$3:$F3996,MOD(ROW()-2,COUNTA(helper!$D$3:$D3996))+1))</f>
        <v>11</v>
      </c>
      <c r="F1310" s="3">
        <f>IF(B1310="","",SUMIFS('inventory ledger'!$H:$H,'inventory ledger'!$C:$C,C1310,'inventory ledger'!$D:$D,D1310,'inventory ledger'!$E:$E,E1310,'inventory ledger'!$A:$A,"&lt;="&amp;B1310+TIME(23,59,59))-SUMIFS('inventory ledger'!$I:$I,'inventory ledger'!$C:$C,C1310,'inventory ledger'!$D:$D,D1310,'inventory ledger'!$E:$E,E1310,'inventory ledger'!$A:$A,"&lt;="&amp;B1310+TIME(23,59,59)))</f>
        <v>6</v>
      </c>
      <c r="G1310" s="3">
        <f>IFERROR(__xludf.DUMMYFUNCTION("IF(F1310&lt;=0,0,IFERROR(ROUNDUP(F1310/INDEX(FILTER('warehouse config'!$D:$D,('warehouse config'!$B:$B=C1310)*('warehouse config'!$C:$C=D1310)*('warehouse config'!$G:$G&lt;=B1310)*(('warehouse config'!$H:$H&gt;=B1310)+ISBLANK('warehouse config'!$H:$H))),1)),0))"),1.0)</f>
        <v>1</v>
      </c>
      <c r="H1310" s="3">
        <f>IFERROR(__xludf.DUMMYFUNCTION("IFERROR(INDEX(FILTER('cost master'!$E:$E,('cost master'!$B:$B=C1310)*('cost master'!$D:$D=""Storage cost per pallet / week"")*('cost master'!$G:$G&lt;=B1310)*(('cost master'!$H:$H&gt;=B1310)+ISBLANK('cost master'!$H:$H))),1),0)"),3.9)</f>
        <v>3.9</v>
      </c>
      <c r="I1310" s="3">
        <f t="shared" si="4"/>
        <v>3.9</v>
      </c>
      <c r="J1310" s="27">
        <f t="shared" si="5"/>
        <v>45916</v>
      </c>
      <c r="K1310" s="27">
        <f t="shared" si="6"/>
        <v>45945</v>
      </c>
    </row>
    <row r="1311" hidden="1">
      <c r="A1311" s="3" t="str">
        <f t="shared" si="3"/>
        <v>SL-20250929-Vglobal-CS 007-12</v>
      </c>
      <c r="B1311" s="2">
        <f t="array" ref="B1311">INDEX(helper!$A$3:$A3996,ROUNDUP((ROW()-1)/COUNTA(helper!$D$3:$D3996),0))</f>
        <v>45929</v>
      </c>
      <c r="C1311" s="5" t="str">
        <f t="array" ref="C1311">IF(B1311="","",INDEX(helper!$D$3:$D3996,MOD(ROW()-2,COUNTA(helper!$D$3:$D3996))+1))</f>
        <v>Vglobal</v>
      </c>
      <c r="D1311" s="3" t="str">
        <f t="array" ref="D1311">IF(B1311="","",INDEX(helper!$E$3:$E3996,MOD(ROW()-2,COUNTA(helper!$D$3:$D3996))+1))</f>
        <v>CS 007</v>
      </c>
      <c r="E1311" s="3">
        <f t="array" ref="E1311">IF(B1311="","",INDEX(helper!$F$3:$F3996,MOD(ROW()-2,COUNTA(helper!$D$3:$D3996))+1))</f>
        <v>12</v>
      </c>
      <c r="F1311" s="3">
        <f>IF(B1311="","",SUMIFS('inventory ledger'!$H:$H,'inventory ledger'!$C:$C,C1311,'inventory ledger'!$D:$D,D1311,'inventory ledger'!$E:$E,E1311,'inventory ledger'!$A:$A,"&lt;="&amp;B1311+TIME(23,59,59))-SUMIFS('inventory ledger'!$I:$I,'inventory ledger'!$C:$C,C1311,'inventory ledger'!$D:$D,D1311,'inventory ledger'!$E:$E,E1311,'inventory ledger'!$A:$A,"&lt;="&amp;B1311+TIME(23,59,59)))</f>
        <v>0</v>
      </c>
      <c r="G1311" s="3">
        <f>IFERROR(__xludf.DUMMYFUNCTION("IF(F1311&lt;=0,0,IFERROR(ROUNDUP(F1311/INDEX(FILTER('warehouse config'!$D:$D,('warehouse config'!$B:$B=C1311)*('warehouse config'!$C:$C=D1311)*('warehouse config'!$G:$G&lt;=B1311)*(('warehouse config'!$H:$H&gt;=B1311)+ISBLANK('warehouse config'!$H:$H))),1)),0))"),0.0)</f>
        <v>0</v>
      </c>
      <c r="H1311" s="3">
        <f>IFERROR(__xludf.DUMMYFUNCTION("IFERROR(INDEX(FILTER('cost master'!$E:$E,('cost master'!$B:$B=C1311)*('cost master'!$D:$D=""Storage cost per pallet / week"")*('cost master'!$G:$G&lt;=B1311)*(('cost master'!$H:$H&gt;=B1311)+ISBLANK('cost master'!$H:$H))),1),0)"),2.6)</f>
        <v>2.6</v>
      </c>
      <c r="I1311" s="3">
        <f t="shared" si="4"/>
        <v>0</v>
      </c>
      <c r="J1311" s="27">
        <f t="shared" si="5"/>
        <v>45916</v>
      </c>
      <c r="K1311" s="27">
        <f t="shared" si="6"/>
        <v>45945</v>
      </c>
    </row>
    <row r="1312" hidden="1">
      <c r="A1312" s="3" t="str">
        <f t="shared" si="3"/>
        <v>SL-20250929-Vglobal-CS 011-12</v>
      </c>
      <c r="B1312" s="2">
        <f t="array" ref="B1312">INDEX(helper!$A$3:$A3996,ROUNDUP((ROW()-1)/COUNTA(helper!$D$3:$D3996),0))</f>
        <v>45929</v>
      </c>
      <c r="C1312" s="5" t="str">
        <f t="array" ref="C1312">IF(B1312="","",INDEX(helper!$D$3:$D3996,MOD(ROW()-2,COUNTA(helper!$D$3:$D3996))+1))</f>
        <v>Vglobal</v>
      </c>
      <c r="D1312" s="3" t="str">
        <f t="array" ref="D1312">IF(B1312="","",INDEX(helper!$E$3:$E3996,MOD(ROW()-2,COUNTA(helper!$D$3:$D3996))+1))</f>
        <v>CS 011</v>
      </c>
      <c r="E1312" s="3">
        <f t="array" ref="E1312">IF(B1312="","",INDEX(helper!$F$3:$F3996,MOD(ROW()-2,COUNTA(helper!$D$3:$D3996))+1))</f>
        <v>12</v>
      </c>
      <c r="F1312" s="3">
        <f>IF(B1312="","",SUMIFS('inventory ledger'!$H:$H,'inventory ledger'!$C:$C,C1312,'inventory ledger'!$D:$D,D1312,'inventory ledger'!$E:$E,E1312,'inventory ledger'!$A:$A,"&lt;="&amp;B1312+TIME(23,59,59))-SUMIFS('inventory ledger'!$I:$I,'inventory ledger'!$C:$C,C1312,'inventory ledger'!$D:$D,D1312,'inventory ledger'!$E:$E,E1312,'inventory ledger'!$A:$A,"&lt;="&amp;B1312+TIME(23,59,59)))</f>
        <v>0</v>
      </c>
      <c r="G1312" s="3">
        <f>IFERROR(__xludf.DUMMYFUNCTION("IF(F1312&lt;=0,0,IFERROR(ROUNDUP(F1312/INDEX(FILTER('warehouse config'!$D:$D,('warehouse config'!$B:$B=C1312)*('warehouse config'!$C:$C=D1312)*('warehouse config'!$G:$G&lt;=B1312)*(('warehouse config'!$H:$H&gt;=B1312)+ISBLANK('warehouse config'!$H:$H))),1)),0))"),0.0)</f>
        <v>0</v>
      </c>
      <c r="H1312" s="3">
        <f>IFERROR(__xludf.DUMMYFUNCTION("IFERROR(INDEX(FILTER('cost master'!$E:$E,('cost master'!$B:$B=C1312)*('cost master'!$D:$D=""Storage cost per pallet / week"")*('cost master'!$G:$G&lt;=B1312)*(('cost master'!$H:$H&gt;=B1312)+ISBLANK('cost master'!$H:$H))),1),0)"),2.6)</f>
        <v>2.6</v>
      </c>
      <c r="I1312" s="3">
        <f t="shared" si="4"/>
        <v>0</v>
      </c>
      <c r="J1312" s="27">
        <f t="shared" si="5"/>
        <v>45916</v>
      </c>
      <c r="K1312" s="27">
        <f t="shared" si="6"/>
        <v>45945</v>
      </c>
    </row>
    <row r="1313" hidden="1">
      <c r="A1313" s="3" t="str">
        <f t="shared" si="3"/>
        <v>SL-20250929-Vglobal-CS 008-12</v>
      </c>
      <c r="B1313" s="2">
        <f t="array" ref="B1313">INDEX(helper!$A$3:$A3996,ROUNDUP((ROW()-1)/COUNTA(helper!$D$3:$D3996),0))</f>
        <v>45929</v>
      </c>
      <c r="C1313" s="5" t="str">
        <f t="array" ref="C1313">IF(B1313="","",INDEX(helper!$D$3:$D3996,MOD(ROW()-2,COUNTA(helper!$D$3:$D3996))+1))</f>
        <v>Vglobal</v>
      </c>
      <c r="D1313" s="3" t="str">
        <f t="array" ref="D1313">IF(B1313="","",INDEX(helper!$E$3:$E3996,MOD(ROW()-2,COUNTA(helper!$D$3:$D3996))+1))</f>
        <v>CS 008</v>
      </c>
      <c r="E1313" s="3">
        <f t="array" ref="E1313">IF(B1313="","",INDEX(helper!$F$3:$F3996,MOD(ROW()-2,COUNTA(helper!$D$3:$D3996))+1))</f>
        <v>12</v>
      </c>
      <c r="F1313" s="3">
        <f>IF(B1313="","",SUMIFS('inventory ledger'!$H:$H,'inventory ledger'!$C:$C,C1313,'inventory ledger'!$D:$D,D1313,'inventory ledger'!$E:$E,E1313,'inventory ledger'!$A:$A,"&lt;="&amp;B1313+TIME(23,59,59))-SUMIFS('inventory ledger'!$I:$I,'inventory ledger'!$C:$C,C1313,'inventory ledger'!$D:$D,D1313,'inventory ledger'!$E:$E,E1313,'inventory ledger'!$A:$A,"&lt;="&amp;B1313+TIME(23,59,59)))</f>
        <v>0</v>
      </c>
      <c r="G1313" s="3">
        <f>IFERROR(__xludf.DUMMYFUNCTION("IF(F1313&lt;=0,0,IFERROR(ROUNDUP(F1313/INDEX(FILTER('warehouse config'!$D:$D,('warehouse config'!$B:$B=C1313)*('warehouse config'!$C:$C=D1313)*('warehouse config'!$G:$G&lt;=B1313)*(('warehouse config'!$H:$H&gt;=B1313)+ISBLANK('warehouse config'!$H:$H))),1)),0))"),0.0)</f>
        <v>0</v>
      </c>
      <c r="H1313" s="3">
        <f>IFERROR(__xludf.DUMMYFUNCTION("IFERROR(INDEX(FILTER('cost master'!$E:$E,('cost master'!$B:$B=C1313)*('cost master'!$D:$D=""Storage cost per pallet / week"")*('cost master'!$G:$G&lt;=B1313)*(('cost master'!$H:$H&gt;=B1313)+ISBLANK('cost master'!$H:$H))),1),0)"),2.6)</f>
        <v>2.6</v>
      </c>
      <c r="I1313" s="3">
        <f t="shared" si="4"/>
        <v>0</v>
      </c>
      <c r="J1313" s="27">
        <f t="shared" si="5"/>
        <v>45916</v>
      </c>
      <c r="K1313" s="27">
        <f t="shared" si="6"/>
        <v>45945</v>
      </c>
    </row>
    <row r="1314" hidden="1">
      <c r="A1314" s="3" t="str">
        <f t="shared" si="3"/>
        <v>SL-20250929-Vglobal-CS 010-12</v>
      </c>
      <c r="B1314" s="2">
        <f t="array" ref="B1314">INDEX(helper!$A$3:$A3996,ROUNDUP((ROW()-1)/COUNTA(helper!$D$3:$D3996),0))</f>
        <v>45929</v>
      </c>
      <c r="C1314" s="5" t="str">
        <f t="array" ref="C1314">IF(B1314="","",INDEX(helper!$D$3:$D3996,MOD(ROW()-2,COUNTA(helper!$D$3:$D3996))+1))</f>
        <v>Vglobal</v>
      </c>
      <c r="D1314" s="3" t="str">
        <f t="array" ref="D1314">IF(B1314="","",INDEX(helper!$E$3:$E3996,MOD(ROW()-2,COUNTA(helper!$D$3:$D3996))+1))</f>
        <v>CS 010</v>
      </c>
      <c r="E1314" s="3">
        <f t="array" ref="E1314">IF(B1314="","",INDEX(helper!$F$3:$F3996,MOD(ROW()-2,COUNTA(helper!$D$3:$D3996))+1))</f>
        <v>12</v>
      </c>
      <c r="F1314" s="3">
        <f>IF(B1314="","",SUMIFS('inventory ledger'!$H:$H,'inventory ledger'!$C:$C,C1314,'inventory ledger'!$D:$D,D1314,'inventory ledger'!$E:$E,E1314,'inventory ledger'!$A:$A,"&lt;="&amp;B1314+TIME(23,59,59))-SUMIFS('inventory ledger'!$I:$I,'inventory ledger'!$C:$C,C1314,'inventory ledger'!$D:$D,D1314,'inventory ledger'!$E:$E,E1314,'inventory ledger'!$A:$A,"&lt;="&amp;B1314+TIME(23,59,59)))</f>
        <v>70</v>
      </c>
      <c r="G1314" s="3">
        <f>IFERROR(__xludf.DUMMYFUNCTION("IF(F1314&lt;=0,0,IFERROR(ROUNDUP(F1314/INDEX(FILTER('warehouse config'!$D:$D,('warehouse config'!$B:$B=C1314)*('warehouse config'!$C:$C=D1314)*('warehouse config'!$G:$G&lt;=B1314)*(('warehouse config'!$H:$H&gt;=B1314)+ISBLANK('warehouse config'!$H:$H))),1)),0))"),3.0)</f>
        <v>3</v>
      </c>
      <c r="H1314" s="3">
        <f>IFERROR(__xludf.DUMMYFUNCTION("IFERROR(INDEX(FILTER('cost master'!$E:$E,('cost master'!$B:$B=C1314)*('cost master'!$D:$D=""Storage cost per pallet / week"")*('cost master'!$G:$G&lt;=B1314)*(('cost master'!$H:$H&gt;=B1314)+ISBLANK('cost master'!$H:$H))),1),0)"),2.6)</f>
        <v>2.6</v>
      </c>
      <c r="I1314" s="3">
        <f t="shared" si="4"/>
        <v>7.8</v>
      </c>
      <c r="J1314" s="27">
        <f t="shared" si="5"/>
        <v>45916</v>
      </c>
      <c r="K1314" s="27">
        <f t="shared" si="6"/>
        <v>45945</v>
      </c>
    </row>
    <row r="1315" hidden="1">
      <c r="A1315" s="3" t="str">
        <f t="shared" si="3"/>
        <v>SL-20250929-Vglobal-CS 009-12</v>
      </c>
      <c r="B1315" s="2">
        <f t="array" ref="B1315">INDEX(helper!$A$3:$A3996,ROUNDUP((ROW()-1)/COUNTA(helper!$D$3:$D3996),0))</f>
        <v>45929</v>
      </c>
      <c r="C1315" s="5" t="str">
        <f t="array" ref="C1315">IF(B1315="","",INDEX(helper!$D$3:$D3996,MOD(ROW()-2,COUNTA(helper!$D$3:$D3996))+1))</f>
        <v>Vglobal</v>
      </c>
      <c r="D1315" s="3" t="str">
        <f t="array" ref="D1315">IF(B1315="","",INDEX(helper!$E$3:$E3996,MOD(ROW()-2,COUNTA(helper!$D$3:$D3996))+1))</f>
        <v>CS 009</v>
      </c>
      <c r="E1315" s="3">
        <f t="array" ref="E1315">IF(B1315="","",INDEX(helper!$F$3:$F3996,MOD(ROW()-2,COUNTA(helper!$D$3:$D3996))+1))</f>
        <v>12</v>
      </c>
      <c r="F1315" s="3">
        <f>IF(B1315="","",SUMIFS('inventory ledger'!$H:$H,'inventory ledger'!$C:$C,C1315,'inventory ledger'!$D:$D,D1315,'inventory ledger'!$E:$E,E1315,'inventory ledger'!$A:$A,"&lt;="&amp;B1315+TIME(23,59,59))-SUMIFS('inventory ledger'!$I:$I,'inventory ledger'!$C:$C,C1315,'inventory ledger'!$D:$D,D1315,'inventory ledger'!$E:$E,E1315,'inventory ledger'!$A:$A,"&lt;="&amp;B1315+TIME(23,59,59)))</f>
        <v>0</v>
      </c>
      <c r="G1315" s="3">
        <f>IFERROR(__xludf.DUMMYFUNCTION("IF(F1315&lt;=0,0,IFERROR(ROUNDUP(F1315/INDEX(FILTER('warehouse config'!$D:$D,('warehouse config'!$B:$B=C1315)*('warehouse config'!$C:$C=D1315)*('warehouse config'!$G:$G&lt;=B1315)*(('warehouse config'!$H:$H&gt;=B1315)+ISBLANK('warehouse config'!$H:$H))),1)),0))"),0.0)</f>
        <v>0</v>
      </c>
      <c r="H1315" s="3">
        <f>IFERROR(__xludf.DUMMYFUNCTION("IFERROR(INDEX(FILTER('cost master'!$E:$E,('cost master'!$B:$B=C1315)*('cost master'!$D:$D=""Storage cost per pallet / week"")*('cost master'!$G:$G&lt;=B1315)*(('cost master'!$H:$H&gt;=B1315)+ISBLANK('cost master'!$H:$H))),1),0)"),2.6)</f>
        <v>2.6</v>
      </c>
      <c r="I1315" s="3">
        <f t="shared" si="4"/>
        <v>0</v>
      </c>
      <c r="J1315" s="27">
        <f t="shared" si="5"/>
        <v>45916</v>
      </c>
      <c r="K1315" s="27">
        <f t="shared" si="6"/>
        <v>45945</v>
      </c>
    </row>
    <row r="1316" hidden="1">
      <c r="A1316" s="3" t="str">
        <f t="shared" si="3"/>
        <v>SL-20250929-Vglobal-CS 012-12</v>
      </c>
      <c r="B1316" s="2">
        <f t="array" ref="B1316">INDEX(helper!$A$3:$A3996,ROUNDUP((ROW()-1)/COUNTA(helper!$D$3:$D3996),0))</f>
        <v>45929</v>
      </c>
      <c r="C1316" s="5" t="str">
        <f t="array" ref="C1316">IF(B1316="","",INDEX(helper!$D$3:$D3996,MOD(ROW()-2,COUNTA(helper!$D$3:$D3996))+1))</f>
        <v>Vglobal</v>
      </c>
      <c r="D1316" s="3" t="str">
        <f t="array" ref="D1316">IF(B1316="","",INDEX(helper!$E$3:$E3996,MOD(ROW()-2,COUNTA(helper!$D$3:$D3996))+1))</f>
        <v>CS 012</v>
      </c>
      <c r="E1316" s="3">
        <f t="array" ref="E1316">IF(B1316="","",INDEX(helper!$F$3:$F3996,MOD(ROW()-2,COUNTA(helper!$D$3:$D3996))+1))</f>
        <v>12</v>
      </c>
      <c r="F1316" s="3">
        <f>IF(B1316="","",SUMIFS('inventory ledger'!$H:$H,'inventory ledger'!$C:$C,C1316,'inventory ledger'!$D:$D,D1316,'inventory ledger'!$E:$E,E1316,'inventory ledger'!$A:$A,"&lt;="&amp;B1316+TIME(23,59,59))-SUMIFS('inventory ledger'!$I:$I,'inventory ledger'!$C:$C,C1316,'inventory ledger'!$D:$D,D1316,'inventory ledger'!$E:$E,E1316,'inventory ledger'!$A:$A,"&lt;="&amp;B1316+TIME(23,59,59)))</f>
        <v>0</v>
      </c>
      <c r="G1316" s="3">
        <f>IFERROR(__xludf.DUMMYFUNCTION("IF(F1316&lt;=0,0,IFERROR(ROUNDUP(F1316/INDEX(FILTER('warehouse config'!$D:$D,('warehouse config'!$B:$B=C1316)*('warehouse config'!$C:$C=D1316)*('warehouse config'!$G:$G&lt;=B1316)*(('warehouse config'!$H:$H&gt;=B1316)+ISBLANK('warehouse config'!$H:$H))),1)),0))"),0.0)</f>
        <v>0</v>
      </c>
      <c r="H1316" s="3">
        <f>IFERROR(__xludf.DUMMYFUNCTION("IFERROR(INDEX(FILTER('cost master'!$E:$E,('cost master'!$B:$B=C1316)*('cost master'!$D:$D=""Storage cost per pallet / week"")*('cost master'!$G:$G&lt;=B1316)*(('cost master'!$H:$H&gt;=B1316)+ISBLANK('cost master'!$H:$H))),1),0)"),2.6)</f>
        <v>2.6</v>
      </c>
      <c r="I1316" s="3">
        <f t="shared" si="4"/>
        <v>0</v>
      </c>
      <c r="J1316" s="27">
        <f t="shared" si="5"/>
        <v>45916</v>
      </c>
      <c r="K1316" s="27">
        <f t="shared" si="6"/>
        <v>45945</v>
      </c>
    </row>
    <row r="1317" hidden="1">
      <c r="A1317" s="3" t="str">
        <f t="shared" si="3"/>
        <v>SL-20250929-Vglobal-CS-CDS-001-3</v>
      </c>
      <c r="B1317" s="2">
        <f t="array" ref="B1317">INDEX(helper!$A$3:$A3996,ROUNDUP((ROW()-1)/COUNTA(helper!$D$3:$D3996),0))</f>
        <v>45929</v>
      </c>
      <c r="C1317" s="5" t="str">
        <f t="array" ref="C1317">IF(B1317="","",INDEX(helper!$D$3:$D3996,MOD(ROW()-2,COUNTA(helper!$D$3:$D3996))+1))</f>
        <v>Vglobal</v>
      </c>
      <c r="D1317" s="3" t="str">
        <f t="array" ref="D1317">IF(B1317="","",INDEX(helper!$E$3:$E3996,MOD(ROW()-2,COUNTA(helper!$D$3:$D3996))+1))</f>
        <v>CS-CDS-001</v>
      </c>
      <c r="E1317" s="3">
        <f t="array" ref="E1317">IF(B1317="","",INDEX(helper!$F$3:$F3996,MOD(ROW()-2,COUNTA(helper!$D$3:$D3996))+1))</f>
        <v>3</v>
      </c>
      <c r="F1317" s="3">
        <f>IF(B1317="","",SUMIFS('inventory ledger'!$H:$H,'inventory ledger'!$C:$C,C1317,'inventory ledger'!$D:$D,D1317,'inventory ledger'!$E:$E,E1317,'inventory ledger'!$A:$A,"&lt;="&amp;B1317+TIME(23,59,59))-SUMIFS('inventory ledger'!$I:$I,'inventory ledger'!$C:$C,C1317,'inventory ledger'!$D:$D,D1317,'inventory ledger'!$E:$E,E1317,'inventory ledger'!$A:$A,"&lt;="&amp;B1317+TIME(23,59,59)))</f>
        <v>1</v>
      </c>
      <c r="G1317" s="3">
        <f>IFERROR(__xludf.DUMMYFUNCTION("IF(F1317&lt;=0,0,IFERROR(ROUNDUP(F1317/INDEX(FILTER('warehouse config'!$D:$D,('warehouse config'!$B:$B=C1317)*('warehouse config'!$C:$C=D1317)*('warehouse config'!$G:$G&lt;=B1317)*(('warehouse config'!$H:$H&gt;=B1317)+ISBLANK('warehouse config'!$H:$H))),1)),0))"),1.0)</f>
        <v>1</v>
      </c>
      <c r="H1317" s="3">
        <f>IFERROR(__xludf.DUMMYFUNCTION("IFERROR(INDEX(FILTER('cost master'!$E:$E,('cost master'!$B:$B=C1317)*('cost master'!$D:$D=""Storage cost per pallet / week"")*('cost master'!$G:$G&lt;=B1317)*(('cost master'!$H:$H&gt;=B1317)+ISBLANK('cost master'!$H:$H))),1),0)"),2.6)</f>
        <v>2.6</v>
      </c>
      <c r="I1317" s="3">
        <f t="shared" si="4"/>
        <v>2.6</v>
      </c>
      <c r="J1317" s="27">
        <f t="shared" si="5"/>
        <v>45916</v>
      </c>
      <c r="K1317" s="27">
        <f t="shared" si="6"/>
        <v>45945</v>
      </c>
    </row>
    <row r="1318" hidden="1">
      <c r="A1318" s="3" t="str">
        <f t="shared" si="3"/>
        <v>SL-20250929-Vglobal-CS-CDS-002-3</v>
      </c>
      <c r="B1318" s="2">
        <f t="array" ref="B1318">INDEX(helper!$A$3:$A3996,ROUNDUP((ROW()-1)/COUNTA(helper!$D$3:$D3996),0))</f>
        <v>45929</v>
      </c>
      <c r="C1318" s="5" t="str">
        <f t="array" ref="C1318">IF(B1318="","",INDEX(helper!$D$3:$D3996,MOD(ROW()-2,COUNTA(helper!$D$3:$D3996))+1))</f>
        <v>Vglobal</v>
      </c>
      <c r="D1318" s="3" t="str">
        <f t="array" ref="D1318">IF(B1318="","",INDEX(helper!$E$3:$E3996,MOD(ROW()-2,COUNTA(helper!$D$3:$D3996))+1))</f>
        <v>CS-CDS-002</v>
      </c>
      <c r="E1318" s="3">
        <f t="array" ref="E1318">IF(B1318="","",INDEX(helper!$F$3:$F3996,MOD(ROW()-2,COUNTA(helper!$D$3:$D3996))+1))</f>
        <v>3</v>
      </c>
      <c r="F1318" s="3">
        <f>IF(B1318="","",SUMIFS('inventory ledger'!$H:$H,'inventory ledger'!$C:$C,C1318,'inventory ledger'!$D:$D,D1318,'inventory ledger'!$E:$E,E1318,'inventory ledger'!$A:$A,"&lt;="&amp;B1318+TIME(23,59,59))-SUMIFS('inventory ledger'!$I:$I,'inventory ledger'!$C:$C,C1318,'inventory ledger'!$D:$D,D1318,'inventory ledger'!$E:$E,E1318,'inventory ledger'!$A:$A,"&lt;="&amp;B1318+TIME(23,59,59)))</f>
        <v>0</v>
      </c>
      <c r="G1318" s="3">
        <f>IFERROR(__xludf.DUMMYFUNCTION("IF(F1318&lt;=0,0,IFERROR(ROUNDUP(F1318/INDEX(FILTER('warehouse config'!$D:$D,('warehouse config'!$B:$B=C1318)*('warehouse config'!$C:$C=D1318)*('warehouse config'!$G:$G&lt;=B1318)*(('warehouse config'!$H:$H&gt;=B1318)+ISBLANK('warehouse config'!$H:$H))),1)),0))"),0.0)</f>
        <v>0</v>
      </c>
      <c r="H1318" s="3">
        <f>IFERROR(__xludf.DUMMYFUNCTION("IFERROR(INDEX(FILTER('cost master'!$E:$E,('cost master'!$B:$B=C1318)*('cost master'!$D:$D=""Storage cost per pallet / week"")*('cost master'!$G:$G&lt;=B1318)*(('cost master'!$H:$H&gt;=B1318)+ISBLANK('cost master'!$H:$H))),1),0)"),2.6)</f>
        <v>2.6</v>
      </c>
      <c r="I1318" s="3">
        <f t="shared" si="4"/>
        <v>0</v>
      </c>
      <c r="J1318" s="27">
        <f t="shared" si="5"/>
        <v>45916</v>
      </c>
      <c r="K1318" s="27">
        <f t="shared" si="6"/>
        <v>45945</v>
      </c>
    </row>
    <row r="1319" hidden="1">
      <c r="A1319" s="3" t="str">
        <f t="shared" si="3"/>
        <v>SL-20250929-4as-CS-CDS-001-4</v>
      </c>
      <c r="B1319" s="2">
        <f t="array" ref="B1319">INDEX(helper!$A$3:$A3996,ROUNDUP((ROW()-1)/COUNTA(helper!$D$3:$D3996),0))</f>
        <v>45929</v>
      </c>
      <c r="C1319" s="5" t="str">
        <f t="array" ref="C1319">IF(B1319="","",INDEX(helper!$D$3:$D3996,MOD(ROW()-2,COUNTA(helper!$D$3:$D3996))+1))</f>
        <v>4as</v>
      </c>
      <c r="D1319" s="3" t="str">
        <f t="array" ref="D1319">IF(B1319="","",INDEX(helper!$E$3:$E3996,MOD(ROW()-2,COUNTA(helper!$D$3:$D3996))+1))</f>
        <v>CS-CDS-001</v>
      </c>
      <c r="E1319" s="3">
        <f t="array" ref="E1319">IF(B1319="","",INDEX(helper!$F$3:$F3996,MOD(ROW()-2,COUNTA(helper!$D$3:$D3996))+1))</f>
        <v>4</v>
      </c>
      <c r="F1319" s="3">
        <f>IF(B1319="","",SUMIFS('inventory ledger'!$H:$H,'inventory ledger'!$C:$C,C1319,'inventory ledger'!$D:$D,D1319,'inventory ledger'!$E:$E,E1319,'inventory ledger'!$A:$A,"&lt;="&amp;B1319+TIME(23,59,59))-SUMIFS('inventory ledger'!$I:$I,'inventory ledger'!$C:$C,C1319,'inventory ledger'!$D:$D,D1319,'inventory ledger'!$E:$E,E1319,'inventory ledger'!$A:$A,"&lt;="&amp;B1319+TIME(23,59,59)))</f>
        <v>0</v>
      </c>
      <c r="G1319" s="3">
        <f>IFERROR(__xludf.DUMMYFUNCTION("IF(F1319&lt;=0,0,IFERROR(ROUNDUP(F1319/INDEX(FILTER('warehouse config'!$D:$D,('warehouse config'!$B:$B=C1319)*('warehouse config'!$C:$C=D1319)*('warehouse config'!$G:$G&lt;=B1319)*(('warehouse config'!$H:$H&gt;=B1319)+ISBLANK('warehouse config'!$H:$H))),1)),0))"),0.0)</f>
        <v>0</v>
      </c>
      <c r="H1319" s="3">
        <f>IFERROR(__xludf.DUMMYFUNCTION("IFERROR(INDEX(FILTER('cost master'!$E:$E,('cost master'!$B:$B=C1319)*('cost master'!$D:$D=""Storage cost per pallet / week"")*('cost master'!$G:$G&lt;=B1319)*(('cost master'!$H:$H&gt;=B1319)+ISBLANK('cost master'!$H:$H))),1),0)"),9.0)</f>
        <v>9</v>
      </c>
      <c r="I1319" s="3">
        <f t="shared" si="4"/>
        <v>0</v>
      </c>
      <c r="J1319" s="27">
        <f t="shared" si="5"/>
        <v>45916</v>
      </c>
      <c r="K1319" s="27">
        <f t="shared" si="6"/>
        <v>45945</v>
      </c>
    </row>
    <row r="1320" hidden="1">
      <c r="A1320" s="3" t="str">
        <f t="shared" si="3"/>
        <v>SL-20250929-4as-CS-CDS-002-4</v>
      </c>
      <c r="B1320" s="2">
        <f t="array" ref="B1320">INDEX(helper!$A$3:$A3996,ROUNDUP((ROW()-1)/COUNTA(helper!$D$3:$D3996),0))</f>
        <v>45929</v>
      </c>
      <c r="C1320" s="5" t="str">
        <f t="array" ref="C1320">IF(B1320="","",INDEX(helper!$D$3:$D3996,MOD(ROW()-2,COUNTA(helper!$D$3:$D3996))+1))</f>
        <v>4as</v>
      </c>
      <c r="D1320" s="3" t="str">
        <f t="array" ref="D1320">IF(B1320="","",INDEX(helper!$E$3:$E3996,MOD(ROW()-2,COUNTA(helper!$D$3:$D3996))+1))</f>
        <v>CS-CDS-002</v>
      </c>
      <c r="E1320" s="3">
        <f t="array" ref="E1320">IF(B1320="","",INDEX(helper!$F$3:$F3996,MOD(ROW()-2,COUNTA(helper!$D$3:$D3996))+1))</f>
        <v>4</v>
      </c>
      <c r="F1320" s="3">
        <f>IF(B1320="","",SUMIFS('inventory ledger'!$H:$H,'inventory ledger'!$C:$C,C1320,'inventory ledger'!$D:$D,D1320,'inventory ledger'!$E:$E,E1320,'inventory ledger'!$A:$A,"&lt;="&amp;B1320+TIME(23,59,59))-SUMIFS('inventory ledger'!$I:$I,'inventory ledger'!$C:$C,C1320,'inventory ledger'!$D:$D,D1320,'inventory ledger'!$E:$E,E1320,'inventory ledger'!$A:$A,"&lt;="&amp;B1320+TIME(23,59,59)))</f>
        <v>0</v>
      </c>
      <c r="G1320" s="3">
        <f>IFERROR(__xludf.DUMMYFUNCTION("IF(F1320&lt;=0,0,IFERROR(ROUNDUP(F1320/INDEX(FILTER('warehouse config'!$D:$D,('warehouse config'!$B:$B=C1320)*('warehouse config'!$C:$C=D1320)*('warehouse config'!$G:$G&lt;=B1320)*(('warehouse config'!$H:$H&gt;=B1320)+ISBLANK('warehouse config'!$H:$H))),1)),0))"),0.0)</f>
        <v>0</v>
      </c>
      <c r="H1320" s="3">
        <f>IFERROR(__xludf.DUMMYFUNCTION("IFERROR(INDEX(FILTER('cost master'!$E:$E,('cost master'!$B:$B=C1320)*('cost master'!$D:$D=""Storage cost per pallet / week"")*('cost master'!$G:$G&lt;=B1320)*(('cost master'!$H:$H&gt;=B1320)+ISBLANK('cost master'!$H:$H))),1),0)"),9.0)</f>
        <v>9</v>
      </c>
      <c r="I1320" s="3">
        <f t="shared" si="4"/>
        <v>0</v>
      </c>
      <c r="J1320" s="27">
        <f t="shared" si="5"/>
        <v>45916</v>
      </c>
      <c r="K1320" s="27">
        <f t="shared" si="6"/>
        <v>45945</v>
      </c>
    </row>
    <row r="1321" hidden="1">
      <c r="A1321" s="3" t="str">
        <f t="shared" si="3"/>
        <v>SL-20250929-Vglobal-CS 007-13</v>
      </c>
      <c r="B1321" s="2">
        <f t="array" ref="B1321">INDEX(helper!$A$3:$A3996,ROUNDUP((ROW()-1)/COUNTA(helper!$D$3:$D3996),0))</f>
        <v>45929</v>
      </c>
      <c r="C1321" s="5" t="str">
        <f t="array" ref="C1321">IF(B1321="","",INDEX(helper!$D$3:$D3996,MOD(ROW()-2,COUNTA(helper!$D$3:$D3996))+1))</f>
        <v>Vglobal</v>
      </c>
      <c r="D1321" s="3" t="str">
        <f t="array" ref="D1321">IF(B1321="","",INDEX(helper!$E$3:$E3996,MOD(ROW()-2,COUNTA(helper!$D$3:$D3996))+1))</f>
        <v>CS 007</v>
      </c>
      <c r="E1321" s="3">
        <f t="array" ref="E1321">IF(B1321="","",INDEX(helper!$F$3:$F3996,MOD(ROW()-2,COUNTA(helper!$D$3:$D3996))+1))</f>
        <v>13</v>
      </c>
      <c r="F1321" s="3">
        <f>IF(B1321="","",SUMIFS('inventory ledger'!$H:$H,'inventory ledger'!$C:$C,C1321,'inventory ledger'!$D:$D,D1321,'inventory ledger'!$E:$E,E1321,'inventory ledger'!$A:$A,"&lt;="&amp;B1321+TIME(23,59,59))-SUMIFS('inventory ledger'!$I:$I,'inventory ledger'!$C:$C,C1321,'inventory ledger'!$D:$D,D1321,'inventory ledger'!$E:$E,E1321,'inventory ledger'!$A:$A,"&lt;="&amp;B1321+TIME(23,59,59)))</f>
        <v>45</v>
      </c>
      <c r="G1321" s="3">
        <f>IFERROR(__xludf.DUMMYFUNCTION("IF(F1321&lt;=0,0,IFERROR(ROUNDUP(F1321/INDEX(FILTER('warehouse config'!$D:$D,('warehouse config'!$B:$B=C1321)*('warehouse config'!$C:$C=D1321)*('warehouse config'!$G:$G&lt;=B1321)*(('warehouse config'!$H:$H&gt;=B1321)+ISBLANK('warehouse config'!$H:$H))),1)),0))"),3.0)</f>
        <v>3</v>
      </c>
      <c r="H1321" s="3">
        <f>IFERROR(__xludf.DUMMYFUNCTION("IFERROR(INDEX(FILTER('cost master'!$E:$E,('cost master'!$B:$B=C1321)*('cost master'!$D:$D=""Storage cost per pallet / week"")*('cost master'!$G:$G&lt;=B1321)*(('cost master'!$H:$H&gt;=B1321)+ISBLANK('cost master'!$H:$H))),1),0)"),2.6)</f>
        <v>2.6</v>
      </c>
      <c r="I1321" s="3">
        <f t="shared" si="4"/>
        <v>7.8</v>
      </c>
      <c r="J1321" s="27">
        <f t="shared" si="5"/>
        <v>45916</v>
      </c>
      <c r="K1321" s="27">
        <f t="shared" si="6"/>
        <v>45945</v>
      </c>
    </row>
    <row r="1322" hidden="1">
      <c r="A1322" s="3" t="str">
        <f t="shared" si="3"/>
        <v>SL-20250929-Vglobal-CS 011-13</v>
      </c>
      <c r="B1322" s="2">
        <f t="array" ref="B1322">INDEX(helper!$A$3:$A3996,ROUNDUP((ROW()-1)/COUNTA(helper!$D$3:$D3996),0))</f>
        <v>45929</v>
      </c>
      <c r="C1322" s="5" t="str">
        <f t="array" ref="C1322">IF(B1322="","",INDEX(helper!$D$3:$D3996,MOD(ROW()-2,COUNTA(helper!$D$3:$D3996))+1))</f>
        <v>Vglobal</v>
      </c>
      <c r="D1322" s="3" t="str">
        <f t="array" ref="D1322">IF(B1322="","",INDEX(helper!$E$3:$E3996,MOD(ROW()-2,COUNTA(helper!$D$3:$D3996))+1))</f>
        <v>CS 011</v>
      </c>
      <c r="E1322" s="3">
        <f t="array" ref="E1322">IF(B1322="","",INDEX(helper!$F$3:$F3996,MOD(ROW()-2,COUNTA(helper!$D$3:$D3996))+1))</f>
        <v>13</v>
      </c>
      <c r="F1322" s="3">
        <f>IF(B1322="","",SUMIFS('inventory ledger'!$H:$H,'inventory ledger'!$C:$C,C1322,'inventory ledger'!$D:$D,D1322,'inventory ledger'!$E:$E,E1322,'inventory ledger'!$A:$A,"&lt;="&amp;B1322+TIME(23,59,59))-SUMIFS('inventory ledger'!$I:$I,'inventory ledger'!$C:$C,C1322,'inventory ledger'!$D:$D,D1322,'inventory ledger'!$E:$E,E1322,'inventory ledger'!$A:$A,"&lt;="&amp;B1322+TIME(23,59,59)))</f>
        <v>0</v>
      </c>
      <c r="G1322" s="3">
        <f>IFERROR(__xludf.DUMMYFUNCTION("IF(F1322&lt;=0,0,IFERROR(ROUNDUP(F1322/INDEX(FILTER('warehouse config'!$D:$D,('warehouse config'!$B:$B=C1322)*('warehouse config'!$C:$C=D1322)*('warehouse config'!$G:$G&lt;=B1322)*(('warehouse config'!$H:$H&gt;=B1322)+ISBLANK('warehouse config'!$H:$H))),1)),0))"),0.0)</f>
        <v>0</v>
      </c>
      <c r="H1322" s="3">
        <f>IFERROR(__xludf.DUMMYFUNCTION("IFERROR(INDEX(FILTER('cost master'!$E:$E,('cost master'!$B:$B=C1322)*('cost master'!$D:$D=""Storage cost per pallet / week"")*('cost master'!$G:$G&lt;=B1322)*(('cost master'!$H:$H&gt;=B1322)+ISBLANK('cost master'!$H:$H))),1),0)"),2.6)</f>
        <v>2.6</v>
      </c>
      <c r="I1322" s="3">
        <f t="shared" si="4"/>
        <v>0</v>
      </c>
      <c r="J1322" s="27">
        <f t="shared" si="5"/>
        <v>45916</v>
      </c>
      <c r="K1322" s="27">
        <f t="shared" si="6"/>
        <v>45945</v>
      </c>
    </row>
    <row r="1323" hidden="1">
      <c r="A1323" s="3" t="str">
        <f t="shared" si="3"/>
        <v>SL-20250929-Vglobal-CS 008-13</v>
      </c>
      <c r="B1323" s="2">
        <f t="array" ref="B1323">INDEX(helper!$A$3:$A3996,ROUNDUP((ROW()-1)/COUNTA(helper!$D$3:$D3996),0))</f>
        <v>45929</v>
      </c>
      <c r="C1323" s="5" t="str">
        <f t="array" ref="C1323">IF(B1323="","",INDEX(helper!$D$3:$D3996,MOD(ROW()-2,COUNTA(helper!$D$3:$D3996))+1))</f>
        <v>Vglobal</v>
      </c>
      <c r="D1323" s="3" t="str">
        <f t="array" ref="D1323">IF(B1323="","",INDEX(helper!$E$3:$E3996,MOD(ROW()-2,COUNTA(helper!$D$3:$D3996))+1))</f>
        <v>CS 008</v>
      </c>
      <c r="E1323" s="3">
        <f t="array" ref="E1323">IF(B1323="","",INDEX(helper!$F$3:$F3996,MOD(ROW()-2,COUNTA(helper!$D$3:$D3996))+1))</f>
        <v>13</v>
      </c>
      <c r="F1323" s="3">
        <f>IF(B1323="","",SUMIFS('inventory ledger'!$H:$H,'inventory ledger'!$C:$C,C1323,'inventory ledger'!$D:$D,D1323,'inventory ledger'!$E:$E,E1323,'inventory ledger'!$A:$A,"&lt;="&amp;B1323+TIME(23,59,59))-SUMIFS('inventory ledger'!$I:$I,'inventory ledger'!$C:$C,C1323,'inventory ledger'!$D:$D,D1323,'inventory ledger'!$E:$E,E1323,'inventory ledger'!$A:$A,"&lt;="&amp;B1323+TIME(23,59,59)))</f>
        <v>20</v>
      </c>
      <c r="G1323" s="3">
        <f>IFERROR(__xludf.DUMMYFUNCTION("IF(F1323&lt;=0,0,IFERROR(ROUNDUP(F1323/INDEX(FILTER('warehouse config'!$D:$D,('warehouse config'!$B:$B=C1323)*('warehouse config'!$C:$C=D1323)*('warehouse config'!$G:$G&lt;=B1323)*(('warehouse config'!$H:$H&gt;=B1323)+ISBLANK('warehouse config'!$H:$H))),1)),0))"),1.0)</f>
        <v>1</v>
      </c>
      <c r="H1323" s="3">
        <f>IFERROR(__xludf.DUMMYFUNCTION("IFERROR(INDEX(FILTER('cost master'!$E:$E,('cost master'!$B:$B=C1323)*('cost master'!$D:$D=""Storage cost per pallet / week"")*('cost master'!$G:$G&lt;=B1323)*(('cost master'!$H:$H&gt;=B1323)+ISBLANK('cost master'!$H:$H))),1),0)"),2.6)</f>
        <v>2.6</v>
      </c>
      <c r="I1323" s="3">
        <f t="shared" si="4"/>
        <v>2.6</v>
      </c>
      <c r="J1323" s="27">
        <f t="shared" si="5"/>
        <v>45916</v>
      </c>
      <c r="K1323" s="27">
        <f t="shared" si="6"/>
        <v>45945</v>
      </c>
    </row>
    <row r="1324" hidden="1">
      <c r="A1324" s="3" t="str">
        <f t="shared" si="3"/>
        <v>SL-20250929-Vglobal-CS 010-13</v>
      </c>
      <c r="B1324" s="2">
        <f t="array" ref="B1324">INDEX(helper!$A$3:$A3996,ROUNDUP((ROW()-1)/COUNTA(helper!$D$3:$D3996),0))</f>
        <v>45929</v>
      </c>
      <c r="C1324" s="5" t="str">
        <f t="array" ref="C1324">IF(B1324="","",INDEX(helper!$D$3:$D3996,MOD(ROW()-2,COUNTA(helper!$D$3:$D3996))+1))</f>
        <v>Vglobal</v>
      </c>
      <c r="D1324" s="3" t="str">
        <f t="array" ref="D1324">IF(B1324="","",INDEX(helper!$E$3:$E3996,MOD(ROW()-2,COUNTA(helper!$D$3:$D3996))+1))</f>
        <v>CS 010</v>
      </c>
      <c r="E1324" s="3">
        <f t="array" ref="E1324">IF(B1324="","",INDEX(helper!$F$3:$F3996,MOD(ROW()-2,COUNTA(helper!$D$3:$D3996))+1))</f>
        <v>13</v>
      </c>
      <c r="F1324" s="3">
        <f>IF(B1324="","",SUMIFS('inventory ledger'!$H:$H,'inventory ledger'!$C:$C,C1324,'inventory ledger'!$D:$D,D1324,'inventory ledger'!$E:$E,E1324,'inventory ledger'!$A:$A,"&lt;="&amp;B1324+TIME(23,59,59))-SUMIFS('inventory ledger'!$I:$I,'inventory ledger'!$C:$C,C1324,'inventory ledger'!$D:$D,D1324,'inventory ledger'!$E:$E,E1324,'inventory ledger'!$A:$A,"&lt;="&amp;B1324+TIME(23,59,59)))</f>
        <v>80</v>
      </c>
      <c r="G1324" s="3">
        <f>IFERROR(__xludf.DUMMYFUNCTION("IF(F1324&lt;=0,0,IFERROR(ROUNDUP(F1324/INDEX(FILTER('warehouse config'!$D:$D,('warehouse config'!$B:$B=C1324)*('warehouse config'!$C:$C=D1324)*('warehouse config'!$G:$G&lt;=B1324)*(('warehouse config'!$H:$H&gt;=B1324)+ISBLANK('warehouse config'!$H:$H))),1)),0))"),4.0)</f>
        <v>4</v>
      </c>
      <c r="H1324" s="3">
        <f>IFERROR(__xludf.DUMMYFUNCTION("IFERROR(INDEX(FILTER('cost master'!$E:$E,('cost master'!$B:$B=C1324)*('cost master'!$D:$D=""Storage cost per pallet / week"")*('cost master'!$G:$G&lt;=B1324)*(('cost master'!$H:$H&gt;=B1324)+ISBLANK('cost master'!$H:$H))),1),0)"),2.6)</f>
        <v>2.6</v>
      </c>
      <c r="I1324" s="3">
        <f t="shared" si="4"/>
        <v>10.4</v>
      </c>
      <c r="J1324" s="27">
        <f t="shared" si="5"/>
        <v>45916</v>
      </c>
      <c r="K1324" s="27">
        <f t="shared" si="6"/>
        <v>45945</v>
      </c>
    </row>
    <row r="1325" hidden="1">
      <c r="A1325" s="3" t="str">
        <f t="shared" si="3"/>
        <v>SL-20250929-Vglobal-CS 009-13</v>
      </c>
      <c r="B1325" s="2">
        <f t="array" ref="B1325">INDEX(helper!$A$3:$A3996,ROUNDUP((ROW()-1)/COUNTA(helper!$D$3:$D3996),0))</f>
        <v>45929</v>
      </c>
      <c r="C1325" s="5" t="str">
        <f t="array" ref="C1325">IF(B1325="","",INDEX(helper!$D$3:$D3996,MOD(ROW()-2,COUNTA(helper!$D$3:$D3996))+1))</f>
        <v>Vglobal</v>
      </c>
      <c r="D1325" s="3" t="str">
        <f t="array" ref="D1325">IF(B1325="","",INDEX(helper!$E$3:$E3996,MOD(ROW()-2,COUNTA(helper!$D$3:$D3996))+1))</f>
        <v>CS 009</v>
      </c>
      <c r="E1325" s="3">
        <f t="array" ref="E1325">IF(B1325="","",INDEX(helper!$F$3:$F3996,MOD(ROW()-2,COUNTA(helper!$D$3:$D3996))+1))</f>
        <v>13</v>
      </c>
      <c r="F1325" s="3">
        <f>IF(B1325="","",SUMIFS('inventory ledger'!$H:$H,'inventory ledger'!$C:$C,C1325,'inventory ledger'!$D:$D,D1325,'inventory ledger'!$E:$E,E1325,'inventory ledger'!$A:$A,"&lt;="&amp;B1325+TIME(23,59,59))-SUMIFS('inventory ledger'!$I:$I,'inventory ledger'!$C:$C,C1325,'inventory ledger'!$D:$D,D1325,'inventory ledger'!$E:$E,E1325,'inventory ledger'!$A:$A,"&lt;="&amp;B1325+TIME(23,59,59)))</f>
        <v>0</v>
      </c>
      <c r="G1325" s="3">
        <f>IFERROR(__xludf.DUMMYFUNCTION("IF(F1325&lt;=0,0,IFERROR(ROUNDUP(F1325/INDEX(FILTER('warehouse config'!$D:$D,('warehouse config'!$B:$B=C1325)*('warehouse config'!$C:$C=D1325)*('warehouse config'!$G:$G&lt;=B1325)*(('warehouse config'!$H:$H&gt;=B1325)+ISBLANK('warehouse config'!$H:$H))),1)),0))"),0.0)</f>
        <v>0</v>
      </c>
      <c r="H1325" s="3">
        <f>IFERROR(__xludf.DUMMYFUNCTION("IFERROR(INDEX(FILTER('cost master'!$E:$E,('cost master'!$B:$B=C1325)*('cost master'!$D:$D=""Storage cost per pallet / week"")*('cost master'!$G:$G&lt;=B1325)*(('cost master'!$H:$H&gt;=B1325)+ISBLANK('cost master'!$H:$H))),1),0)"),2.6)</f>
        <v>2.6</v>
      </c>
      <c r="I1325" s="3">
        <f t="shared" si="4"/>
        <v>0</v>
      </c>
      <c r="J1325" s="27">
        <f t="shared" si="5"/>
        <v>45916</v>
      </c>
      <c r="K1325" s="27">
        <f t="shared" si="6"/>
        <v>45945</v>
      </c>
    </row>
    <row r="1326" hidden="1">
      <c r="A1326" s="3" t="str">
        <f t="shared" si="3"/>
        <v>SL-20250929-Vglobal-CS 012-13</v>
      </c>
      <c r="B1326" s="2">
        <f t="array" ref="B1326">INDEX(helper!$A$3:$A3996,ROUNDUP((ROW()-1)/COUNTA(helper!$D$3:$D3996),0))</f>
        <v>45929</v>
      </c>
      <c r="C1326" s="5" t="str">
        <f t="array" ref="C1326">IF(B1326="","",INDEX(helper!$D$3:$D3996,MOD(ROW()-2,COUNTA(helper!$D$3:$D3996))+1))</f>
        <v>Vglobal</v>
      </c>
      <c r="D1326" s="3" t="str">
        <f t="array" ref="D1326">IF(B1326="","",INDEX(helper!$E$3:$E3996,MOD(ROW()-2,COUNTA(helper!$D$3:$D3996))+1))</f>
        <v>CS 012</v>
      </c>
      <c r="E1326" s="3">
        <f t="array" ref="E1326">IF(B1326="","",INDEX(helper!$F$3:$F3996,MOD(ROW()-2,COUNTA(helper!$D$3:$D3996))+1))</f>
        <v>13</v>
      </c>
      <c r="F1326" s="3">
        <f>IF(B1326="","",SUMIFS('inventory ledger'!$H:$H,'inventory ledger'!$C:$C,C1326,'inventory ledger'!$D:$D,D1326,'inventory ledger'!$E:$E,E1326,'inventory ledger'!$A:$A,"&lt;="&amp;B1326+TIME(23,59,59))-SUMIFS('inventory ledger'!$I:$I,'inventory ledger'!$C:$C,C1326,'inventory ledger'!$D:$D,D1326,'inventory ledger'!$E:$E,E1326,'inventory ledger'!$A:$A,"&lt;="&amp;B1326+TIME(23,59,59)))</f>
        <v>0</v>
      </c>
      <c r="G1326" s="3">
        <f>IFERROR(__xludf.DUMMYFUNCTION("IF(F1326&lt;=0,0,IFERROR(ROUNDUP(F1326/INDEX(FILTER('warehouse config'!$D:$D,('warehouse config'!$B:$B=C1326)*('warehouse config'!$C:$C=D1326)*('warehouse config'!$G:$G&lt;=B1326)*(('warehouse config'!$H:$H&gt;=B1326)+ISBLANK('warehouse config'!$H:$H))),1)),0))"),0.0)</f>
        <v>0</v>
      </c>
      <c r="H1326" s="3">
        <f>IFERROR(__xludf.DUMMYFUNCTION("IFERROR(INDEX(FILTER('cost master'!$E:$E,('cost master'!$B:$B=C1326)*('cost master'!$D:$D=""Storage cost per pallet / week"")*('cost master'!$G:$G&lt;=B1326)*(('cost master'!$H:$H&gt;=B1326)+ISBLANK('cost master'!$H:$H))),1),0)"),2.6)</f>
        <v>2.6</v>
      </c>
      <c r="I1326" s="3">
        <f t="shared" si="4"/>
        <v>0</v>
      </c>
      <c r="J1326" s="27">
        <f t="shared" si="5"/>
        <v>45916</v>
      </c>
      <c r="K1326" s="27">
        <f t="shared" si="6"/>
        <v>45945</v>
      </c>
    </row>
    <row r="1327">
      <c r="A1327" s="3" t="str">
        <f t="shared" si="3"/>
        <v>SL-20250929-FMC-CS 008-11</v>
      </c>
      <c r="B1327" s="2">
        <f t="array" ref="B1327">INDEX(helper!$A$3:$A3996,ROUNDUP((ROW()-1)/COUNTA(helper!$D$3:$D3996),0))</f>
        <v>45929</v>
      </c>
      <c r="C1327" s="5" t="str">
        <f t="array" ref="C1327">IF(B1327="","",INDEX(helper!$D$3:$D3996,MOD(ROW()-2,COUNTA(helper!$D$3:$D3996))+1))</f>
        <v>FMC</v>
      </c>
      <c r="D1327" s="3" t="str">
        <f t="array" ref="D1327">IF(B1327="","",INDEX(helper!$E$3:$E3996,MOD(ROW()-2,COUNTA(helper!$D$3:$D3996))+1))</f>
        <v>CS 008</v>
      </c>
      <c r="E1327" s="3">
        <f t="array" ref="E1327">IF(B1327="","",INDEX(helper!$F$3:$F3996,MOD(ROW()-2,COUNTA(helper!$D$3:$D3996))+1))</f>
        <v>11</v>
      </c>
      <c r="F1327" s="3">
        <f>IF(B1327="","",SUMIFS('inventory ledger'!$H:$H,'inventory ledger'!$C:$C,C1327,'inventory ledger'!$D:$D,D1327,'inventory ledger'!$E:$E,E1327,'inventory ledger'!$A:$A,"&lt;="&amp;B1327+TIME(23,59,59))-SUMIFS('inventory ledger'!$I:$I,'inventory ledger'!$C:$C,C1327,'inventory ledger'!$D:$D,D1327,'inventory ledger'!$E:$E,E1327,'inventory ledger'!$A:$A,"&lt;="&amp;B1327+TIME(23,59,59)))</f>
        <v>-2</v>
      </c>
      <c r="G1327" s="3">
        <f>IFERROR(__xludf.DUMMYFUNCTION("IF(F1327&lt;=0,0,IFERROR(ROUNDUP(F1327/INDEX(FILTER('warehouse config'!$D:$D,('warehouse config'!$B:$B=C1327)*('warehouse config'!$C:$C=D1327)*('warehouse config'!$G:$G&lt;=B1327)*(('warehouse config'!$H:$H&gt;=B1327)+ISBLANK('warehouse config'!$H:$H))),1)),0))"),0.0)</f>
        <v>0</v>
      </c>
      <c r="H1327" s="3">
        <f>IFERROR(__xludf.DUMMYFUNCTION("IFERROR(INDEX(FILTER('cost master'!$E:$E,('cost master'!$B:$B=C1327)*('cost master'!$D:$D=""Storage cost per pallet / week"")*('cost master'!$G:$G&lt;=B1327)*(('cost master'!$H:$H&gt;=B1327)+ISBLANK('cost master'!$H:$H))),1),0)"),3.9)</f>
        <v>3.9</v>
      </c>
      <c r="I1327" s="3">
        <f t="shared" si="4"/>
        <v>0</v>
      </c>
      <c r="J1327" s="27">
        <f t="shared" si="5"/>
        <v>45916</v>
      </c>
      <c r="K1327" s="27">
        <f t="shared" si="6"/>
        <v>45945</v>
      </c>
    </row>
    <row r="1328" hidden="1">
      <c r="A1328" s="3" t="str">
        <f t="shared" si="3"/>
        <v>SL-20251006-FMC-CS 007-8</v>
      </c>
      <c r="B1328" s="2">
        <f t="array" ref="B1328">INDEX(helper!$A$3:$A3996,ROUNDUP((ROW()-1)/COUNTA(helper!$D$3:$D3996),0))</f>
        <v>45936</v>
      </c>
      <c r="C1328" s="5" t="str">
        <f t="array" ref="C1328">IF(B1328="","",INDEX(helper!$D$3:$D3996,MOD(ROW()-2,COUNTA(helper!$D$3:$D3996))+1))</f>
        <v>FMC</v>
      </c>
      <c r="D1328" s="3" t="str">
        <f t="array" ref="D1328">IF(B1328="","",INDEX(helper!$E$3:$E3996,MOD(ROW()-2,COUNTA(helper!$D$3:$D3996))+1))</f>
        <v>CS 007</v>
      </c>
      <c r="E1328" s="3">
        <f t="array" ref="E1328">IF(B1328="","",INDEX(helper!$F$3:$F3996,MOD(ROW()-2,COUNTA(helper!$D$3:$D3996))+1))</f>
        <v>8</v>
      </c>
      <c r="F1328" s="3">
        <f>IF(B1328="","",SUMIFS('inventory ledger'!$H:$H,'inventory ledger'!$C:$C,C1328,'inventory ledger'!$D:$D,D1328,'inventory ledger'!$E:$E,E1328,'inventory ledger'!$A:$A,"&lt;="&amp;B1328+TIME(23,59,59))-SUMIFS('inventory ledger'!$I:$I,'inventory ledger'!$C:$C,C1328,'inventory ledger'!$D:$D,D1328,'inventory ledger'!$E:$E,E1328,'inventory ledger'!$A:$A,"&lt;="&amp;B1328+TIME(23,59,59)))</f>
        <v>0</v>
      </c>
      <c r="G1328" s="3">
        <f>IFERROR(__xludf.DUMMYFUNCTION("IF(F1328&lt;=0,0,IFERROR(ROUNDUP(F1328/INDEX(FILTER('warehouse config'!$D:$D,('warehouse config'!$B:$B=C1328)*('warehouse config'!$C:$C=D1328)*('warehouse config'!$G:$G&lt;=B1328)*(('warehouse config'!$H:$H&gt;=B1328)+ISBLANK('warehouse config'!$H:$H))),1)),0))"),0.0)</f>
        <v>0</v>
      </c>
      <c r="H1328" s="3">
        <f>IFERROR(__xludf.DUMMYFUNCTION("IFERROR(INDEX(FILTER('cost master'!$E:$E,('cost master'!$B:$B=C1328)*('cost master'!$D:$D=""Storage cost per pallet / week"")*('cost master'!$G:$G&lt;=B1328)*(('cost master'!$H:$H&gt;=B1328)+ISBLANK('cost master'!$H:$H))),1),0)"),3.9)</f>
        <v>3.9</v>
      </c>
      <c r="I1328" s="3">
        <f t="shared" si="4"/>
        <v>0</v>
      </c>
      <c r="J1328" s="27">
        <f t="shared" si="5"/>
        <v>45916</v>
      </c>
      <c r="K1328" s="27">
        <f t="shared" si="6"/>
        <v>45945</v>
      </c>
    </row>
    <row r="1329" hidden="1">
      <c r="A1329" s="3" t="str">
        <f t="shared" si="3"/>
        <v>SL-20251006-FMC-CS 008-8</v>
      </c>
      <c r="B1329" s="2">
        <f t="array" ref="B1329">INDEX(helper!$A$3:$A3996,ROUNDUP((ROW()-1)/COUNTA(helper!$D$3:$D3996),0))</f>
        <v>45936</v>
      </c>
      <c r="C1329" s="5" t="str">
        <f t="array" ref="C1329">IF(B1329="","",INDEX(helper!$D$3:$D3996,MOD(ROW()-2,COUNTA(helper!$D$3:$D3996))+1))</f>
        <v>FMC</v>
      </c>
      <c r="D1329" s="3" t="str">
        <f t="array" ref="D1329">IF(B1329="","",INDEX(helper!$E$3:$E3996,MOD(ROW()-2,COUNTA(helper!$D$3:$D3996))+1))</f>
        <v>CS 008</v>
      </c>
      <c r="E1329" s="3">
        <f t="array" ref="E1329">IF(B1329="","",INDEX(helper!$F$3:$F3996,MOD(ROW()-2,COUNTA(helper!$D$3:$D3996))+1))</f>
        <v>8</v>
      </c>
      <c r="F1329" s="3">
        <f>IF(B1329="","",SUMIFS('inventory ledger'!$H:$H,'inventory ledger'!$C:$C,C1329,'inventory ledger'!$D:$D,D1329,'inventory ledger'!$E:$E,E1329,'inventory ledger'!$A:$A,"&lt;="&amp;B1329+TIME(23,59,59))-SUMIFS('inventory ledger'!$I:$I,'inventory ledger'!$C:$C,C1329,'inventory ledger'!$D:$D,D1329,'inventory ledger'!$E:$E,E1329,'inventory ledger'!$A:$A,"&lt;="&amp;B1329+TIME(23,59,59)))</f>
        <v>0</v>
      </c>
      <c r="G1329" s="3">
        <f>IFERROR(__xludf.DUMMYFUNCTION("IF(F1329&lt;=0,0,IFERROR(ROUNDUP(F1329/INDEX(FILTER('warehouse config'!$D:$D,('warehouse config'!$B:$B=C1329)*('warehouse config'!$C:$C=D1329)*('warehouse config'!$G:$G&lt;=B1329)*(('warehouse config'!$H:$H&gt;=B1329)+ISBLANK('warehouse config'!$H:$H))),1)),0))"),0.0)</f>
        <v>0</v>
      </c>
      <c r="H1329" s="3">
        <f>IFERROR(__xludf.DUMMYFUNCTION("IFERROR(INDEX(FILTER('cost master'!$E:$E,('cost master'!$B:$B=C1329)*('cost master'!$D:$D=""Storage cost per pallet / week"")*('cost master'!$G:$G&lt;=B1329)*(('cost master'!$H:$H&gt;=B1329)+ISBLANK('cost master'!$H:$H))),1),0)"),3.9)</f>
        <v>3.9</v>
      </c>
      <c r="I1329" s="3">
        <f t="shared" si="4"/>
        <v>0</v>
      </c>
      <c r="J1329" s="27">
        <f t="shared" si="5"/>
        <v>45916</v>
      </c>
      <c r="K1329" s="27">
        <f t="shared" si="6"/>
        <v>45945</v>
      </c>
    </row>
    <row r="1330" hidden="1">
      <c r="A1330" s="3" t="str">
        <f t="shared" si="3"/>
        <v>SL-20251006-FMC-CS 009-8</v>
      </c>
      <c r="B1330" s="2">
        <f t="array" ref="B1330">INDEX(helper!$A$3:$A3996,ROUNDUP((ROW()-1)/COUNTA(helper!$D$3:$D3996),0))</f>
        <v>45936</v>
      </c>
      <c r="C1330" s="5" t="str">
        <f t="array" ref="C1330">IF(B1330="","",INDEX(helper!$D$3:$D3996,MOD(ROW()-2,COUNTA(helper!$D$3:$D3996))+1))</f>
        <v>FMC</v>
      </c>
      <c r="D1330" s="3" t="str">
        <f t="array" ref="D1330">IF(B1330="","",INDEX(helper!$E$3:$E3996,MOD(ROW()-2,COUNTA(helper!$D$3:$D3996))+1))</f>
        <v>CS 009</v>
      </c>
      <c r="E1330" s="3">
        <f t="array" ref="E1330">IF(B1330="","",INDEX(helper!$F$3:$F3996,MOD(ROW()-2,COUNTA(helper!$D$3:$D3996))+1))</f>
        <v>8</v>
      </c>
      <c r="F1330" s="3">
        <f>IF(B1330="","",SUMIFS('inventory ledger'!$H:$H,'inventory ledger'!$C:$C,C1330,'inventory ledger'!$D:$D,D1330,'inventory ledger'!$E:$E,E1330,'inventory ledger'!$A:$A,"&lt;="&amp;B1330+TIME(23,59,59))-SUMIFS('inventory ledger'!$I:$I,'inventory ledger'!$C:$C,C1330,'inventory ledger'!$D:$D,D1330,'inventory ledger'!$E:$E,E1330,'inventory ledger'!$A:$A,"&lt;="&amp;B1330+TIME(23,59,59)))</f>
        <v>0</v>
      </c>
      <c r="G1330" s="3">
        <f>IFERROR(__xludf.DUMMYFUNCTION("IF(F1330&lt;=0,0,IFERROR(ROUNDUP(F1330/INDEX(FILTER('warehouse config'!$D:$D,('warehouse config'!$B:$B=C1330)*('warehouse config'!$C:$C=D1330)*('warehouse config'!$G:$G&lt;=B1330)*(('warehouse config'!$H:$H&gt;=B1330)+ISBLANK('warehouse config'!$H:$H))),1)),0))"),0.0)</f>
        <v>0</v>
      </c>
      <c r="H1330" s="3">
        <f>IFERROR(__xludf.DUMMYFUNCTION("IFERROR(INDEX(FILTER('cost master'!$E:$E,('cost master'!$B:$B=C1330)*('cost master'!$D:$D=""Storage cost per pallet / week"")*('cost master'!$G:$G&lt;=B1330)*(('cost master'!$H:$H&gt;=B1330)+ISBLANK('cost master'!$H:$H))),1),0)"),3.9)</f>
        <v>3.9</v>
      </c>
      <c r="I1330" s="3">
        <f t="shared" si="4"/>
        <v>0</v>
      </c>
      <c r="J1330" s="27">
        <f t="shared" si="5"/>
        <v>45916</v>
      </c>
      <c r="K1330" s="27">
        <f t="shared" si="6"/>
        <v>45945</v>
      </c>
    </row>
    <row r="1331" hidden="1">
      <c r="A1331" s="3" t="str">
        <f t="shared" si="3"/>
        <v>SL-20251006-FMC-CS 010-8</v>
      </c>
      <c r="B1331" s="2">
        <f t="array" ref="B1331">INDEX(helper!$A$3:$A3996,ROUNDUP((ROW()-1)/COUNTA(helper!$D$3:$D3996),0))</f>
        <v>45936</v>
      </c>
      <c r="C1331" s="5" t="str">
        <f t="array" ref="C1331">IF(B1331="","",INDEX(helper!$D$3:$D3996,MOD(ROW()-2,COUNTA(helper!$D$3:$D3996))+1))</f>
        <v>FMC</v>
      </c>
      <c r="D1331" s="3" t="str">
        <f t="array" ref="D1331">IF(B1331="","",INDEX(helper!$E$3:$E3996,MOD(ROW()-2,COUNTA(helper!$D$3:$D3996))+1))</f>
        <v>CS 010</v>
      </c>
      <c r="E1331" s="3">
        <f t="array" ref="E1331">IF(B1331="","",INDEX(helper!$F$3:$F3996,MOD(ROW()-2,COUNTA(helper!$D$3:$D3996))+1))</f>
        <v>8</v>
      </c>
      <c r="F1331" s="3">
        <f>IF(B1331="","",SUMIFS('inventory ledger'!$H:$H,'inventory ledger'!$C:$C,C1331,'inventory ledger'!$D:$D,D1331,'inventory ledger'!$E:$E,E1331,'inventory ledger'!$A:$A,"&lt;="&amp;B1331+TIME(23,59,59))-SUMIFS('inventory ledger'!$I:$I,'inventory ledger'!$C:$C,C1331,'inventory ledger'!$D:$D,D1331,'inventory ledger'!$E:$E,E1331,'inventory ledger'!$A:$A,"&lt;="&amp;B1331+TIME(23,59,59)))</f>
        <v>0</v>
      </c>
      <c r="G1331" s="3">
        <f>IFERROR(__xludf.DUMMYFUNCTION("IF(F1331&lt;=0,0,IFERROR(ROUNDUP(F1331/INDEX(FILTER('warehouse config'!$D:$D,('warehouse config'!$B:$B=C1331)*('warehouse config'!$C:$C=D1331)*('warehouse config'!$G:$G&lt;=B1331)*(('warehouse config'!$H:$H&gt;=B1331)+ISBLANK('warehouse config'!$H:$H))),1)),0))"),0.0)</f>
        <v>0</v>
      </c>
      <c r="H1331" s="3">
        <f>IFERROR(__xludf.DUMMYFUNCTION("IFERROR(INDEX(FILTER('cost master'!$E:$E,('cost master'!$B:$B=C1331)*('cost master'!$D:$D=""Storage cost per pallet / week"")*('cost master'!$G:$G&lt;=B1331)*(('cost master'!$H:$H&gt;=B1331)+ISBLANK('cost master'!$H:$H))),1),0)"),3.9)</f>
        <v>3.9</v>
      </c>
      <c r="I1331" s="3">
        <f t="shared" si="4"/>
        <v>0</v>
      </c>
      <c r="J1331" s="27">
        <f t="shared" si="5"/>
        <v>45916</v>
      </c>
      <c r="K1331" s="27">
        <f t="shared" si="6"/>
        <v>45945</v>
      </c>
    </row>
    <row r="1332" hidden="1">
      <c r="A1332" s="3" t="str">
        <f t="shared" si="3"/>
        <v>SL-20251006-FMC-CS 007-9</v>
      </c>
      <c r="B1332" s="2">
        <f t="array" ref="B1332">INDEX(helper!$A$3:$A3996,ROUNDUP((ROW()-1)/COUNTA(helper!$D$3:$D3996),0))</f>
        <v>45936</v>
      </c>
      <c r="C1332" s="5" t="str">
        <f t="array" ref="C1332">IF(B1332="","",INDEX(helper!$D$3:$D3996,MOD(ROW()-2,COUNTA(helper!$D$3:$D3996))+1))</f>
        <v>FMC</v>
      </c>
      <c r="D1332" s="3" t="str">
        <f t="array" ref="D1332">IF(B1332="","",INDEX(helper!$E$3:$E3996,MOD(ROW()-2,COUNTA(helper!$D$3:$D3996))+1))</f>
        <v>CS 007</v>
      </c>
      <c r="E1332" s="3">
        <f t="array" ref="E1332">IF(B1332="","",INDEX(helper!$F$3:$F3996,MOD(ROW()-2,COUNTA(helper!$D$3:$D3996))+1))</f>
        <v>9</v>
      </c>
      <c r="F1332" s="3">
        <f>IF(B1332="","",SUMIFS('inventory ledger'!$H:$H,'inventory ledger'!$C:$C,C1332,'inventory ledger'!$D:$D,D1332,'inventory ledger'!$E:$E,E1332,'inventory ledger'!$A:$A,"&lt;="&amp;B1332+TIME(23,59,59))-SUMIFS('inventory ledger'!$I:$I,'inventory ledger'!$C:$C,C1332,'inventory ledger'!$D:$D,D1332,'inventory ledger'!$E:$E,E1332,'inventory ledger'!$A:$A,"&lt;="&amp;B1332+TIME(23,59,59)))</f>
        <v>0</v>
      </c>
      <c r="G1332" s="3">
        <f>IFERROR(__xludf.DUMMYFUNCTION("IF(F1332&lt;=0,0,IFERROR(ROUNDUP(F1332/INDEX(FILTER('warehouse config'!$D:$D,('warehouse config'!$B:$B=C1332)*('warehouse config'!$C:$C=D1332)*('warehouse config'!$G:$G&lt;=B1332)*(('warehouse config'!$H:$H&gt;=B1332)+ISBLANK('warehouse config'!$H:$H))),1)),0))"),0.0)</f>
        <v>0</v>
      </c>
      <c r="H1332" s="3">
        <f>IFERROR(__xludf.DUMMYFUNCTION("IFERROR(INDEX(FILTER('cost master'!$E:$E,('cost master'!$B:$B=C1332)*('cost master'!$D:$D=""Storage cost per pallet / week"")*('cost master'!$G:$G&lt;=B1332)*(('cost master'!$H:$H&gt;=B1332)+ISBLANK('cost master'!$H:$H))),1),0)"),3.9)</f>
        <v>3.9</v>
      </c>
      <c r="I1332" s="3">
        <f t="shared" si="4"/>
        <v>0</v>
      </c>
      <c r="J1332" s="27">
        <f t="shared" si="5"/>
        <v>45916</v>
      </c>
      <c r="K1332" s="27">
        <f t="shared" si="6"/>
        <v>45945</v>
      </c>
    </row>
    <row r="1333" hidden="1">
      <c r="A1333" s="3" t="str">
        <f t="shared" si="3"/>
        <v>SL-20251006-FMC-CS 008-9</v>
      </c>
      <c r="B1333" s="2">
        <f t="array" ref="B1333">INDEX(helper!$A$3:$A3996,ROUNDUP((ROW()-1)/COUNTA(helper!$D$3:$D3996),0))</f>
        <v>45936</v>
      </c>
      <c r="C1333" s="5" t="str">
        <f t="array" ref="C1333">IF(B1333="","",INDEX(helper!$D$3:$D3996,MOD(ROW()-2,COUNTA(helper!$D$3:$D3996))+1))</f>
        <v>FMC</v>
      </c>
      <c r="D1333" s="3" t="str">
        <f t="array" ref="D1333">IF(B1333="","",INDEX(helper!$E$3:$E3996,MOD(ROW()-2,COUNTA(helper!$D$3:$D3996))+1))</f>
        <v>CS 008</v>
      </c>
      <c r="E1333" s="3">
        <f t="array" ref="E1333">IF(B1333="","",INDEX(helper!$F$3:$F3996,MOD(ROW()-2,COUNTA(helper!$D$3:$D3996))+1))</f>
        <v>9</v>
      </c>
      <c r="F1333" s="3">
        <f>IF(B1333="","",SUMIFS('inventory ledger'!$H:$H,'inventory ledger'!$C:$C,C1333,'inventory ledger'!$D:$D,D1333,'inventory ledger'!$E:$E,E1333,'inventory ledger'!$A:$A,"&lt;="&amp;B1333+TIME(23,59,59))-SUMIFS('inventory ledger'!$I:$I,'inventory ledger'!$C:$C,C1333,'inventory ledger'!$D:$D,D1333,'inventory ledger'!$E:$E,E1333,'inventory ledger'!$A:$A,"&lt;="&amp;B1333+TIME(23,59,59)))</f>
        <v>2</v>
      </c>
      <c r="G1333" s="3">
        <f>IFERROR(__xludf.DUMMYFUNCTION("IF(F1333&lt;=0,0,IFERROR(ROUNDUP(F1333/INDEX(FILTER('warehouse config'!$D:$D,('warehouse config'!$B:$B=C1333)*('warehouse config'!$C:$C=D1333)*('warehouse config'!$G:$G&lt;=B1333)*(('warehouse config'!$H:$H&gt;=B1333)+ISBLANK('warehouse config'!$H:$H))),1)),0))"),1.0)</f>
        <v>1</v>
      </c>
      <c r="H1333" s="3">
        <f>IFERROR(__xludf.DUMMYFUNCTION("IFERROR(INDEX(FILTER('cost master'!$E:$E,('cost master'!$B:$B=C1333)*('cost master'!$D:$D=""Storage cost per pallet / week"")*('cost master'!$G:$G&lt;=B1333)*(('cost master'!$H:$H&gt;=B1333)+ISBLANK('cost master'!$H:$H))),1),0)"),3.9)</f>
        <v>3.9</v>
      </c>
      <c r="I1333" s="3">
        <f t="shared" si="4"/>
        <v>3.9</v>
      </c>
      <c r="J1333" s="27">
        <f t="shared" si="5"/>
        <v>45916</v>
      </c>
      <c r="K1333" s="27">
        <f t="shared" si="6"/>
        <v>45945</v>
      </c>
    </row>
    <row r="1334" hidden="1">
      <c r="A1334" s="3" t="str">
        <f t="shared" si="3"/>
        <v>SL-20251006-FMC-CS 009-9</v>
      </c>
      <c r="B1334" s="2">
        <f t="array" ref="B1334">INDEX(helper!$A$3:$A3996,ROUNDUP((ROW()-1)/COUNTA(helper!$D$3:$D3996),0))</f>
        <v>45936</v>
      </c>
      <c r="C1334" s="5" t="str">
        <f t="array" ref="C1334">IF(B1334="","",INDEX(helper!$D$3:$D3996,MOD(ROW()-2,COUNTA(helper!$D$3:$D3996))+1))</f>
        <v>FMC</v>
      </c>
      <c r="D1334" s="3" t="str">
        <f t="array" ref="D1334">IF(B1334="","",INDEX(helper!$E$3:$E3996,MOD(ROW()-2,COUNTA(helper!$D$3:$D3996))+1))</f>
        <v>CS 009</v>
      </c>
      <c r="E1334" s="3">
        <f t="array" ref="E1334">IF(B1334="","",INDEX(helper!$F$3:$F3996,MOD(ROW()-2,COUNTA(helper!$D$3:$D3996))+1))</f>
        <v>9</v>
      </c>
      <c r="F1334" s="3">
        <f>IF(B1334="","",SUMIFS('inventory ledger'!$H:$H,'inventory ledger'!$C:$C,C1334,'inventory ledger'!$D:$D,D1334,'inventory ledger'!$E:$E,E1334,'inventory ledger'!$A:$A,"&lt;="&amp;B1334+TIME(23,59,59))-SUMIFS('inventory ledger'!$I:$I,'inventory ledger'!$C:$C,C1334,'inventory ledger'!$D:$D,D1334,'inventory ledger'!$E:$E,E1334,'inventory ledger'!$A:$A,"&lt;="&amp;B1334+TIME(23,59,59)))</f>
        <v>0</v>
      </c>
      <c r="G1334" s="3">
        <f>IFERROR(__xludf.DUMMYFUNCTION("IF(F1334&lt;=0,0,IFERROR(ROUNDUP(F1334/INDEX(FILTER('warehouse config'!$D:$D,('warehouse config'!$B:$B=C1334)*('warehouse config'!$C:$C=D1334)*('warehouse config'!$G:$G&lt;=B1334)*(('warehouse config'!$H:$H&gt;=B1334)+ISBLANK('warehouse config'!$H:$H))),1)),0))"),0.0)</f>
        <v>0</v>
      </c>
      <c r="H1334" s="3">
        <f>IFERROR(__xludf.DUMMYFUNCTION("IFERROR(INDEX(FILTER('cost master'!$E:$E,('cost master'!$B:$B=C1334)*('cost master'!$D:$D=""Storage cost per pallet / week"")*('cost master'!$G:$G&lt;=B1334)*(('cost master'!$H:$H&gt;=B1334)+ISBLANK('cost master'!$H:$H))),1),0)"),3.9)</f>
        <v>3.9</v>
      </c>
      <c r="I1334" s="3">
        <f t="shared" si="4"/>
        <v>0</v>
      </c>
      <c r="J1334" s="27">
        <f t="shared" si="5"/>
        <v>45916</v>
      </c>
      <c r="K1334" s="27">
        <f t="shared" si="6"/>
        <v>45945</v>
      </c>
    </row>
    <row r="1335" hidden="1">
      <c r="A1335" s="3" t="str">
        <f t="shared" si="3"/>
        <v>SL-20251006-FMC-CS 010-9</v>
      </c>
      <c r="B1335" s="2">
        <f t="array" ref="B1335">INDEX(helper!$A$3:$A3996,ROUNDUP((ROW()-1)/COUNTA(helper!$D$3:$D3996),0))</f>
        <v>45936</v>
      </c>
      <c r="C1335" s="5" t="str">
        <f t="array" ref="C1335">IF(B1335="","",INDEX(helper!$D$3:$D3996,MOD(ROW()-2,COUNTA(helper!$D$3:$D3996))+1))</f>
        <v>FMC</v>
      </c>
      <c r="D1335" s="3" t="str">
        <f t="array" ref="D1335">IF(B1335="","",INDEX(helper!$E$3:$E3996,MOD(ROW()-2,COUNTA(helper!$D$3:$D3996))+1))</f>
        <v>CS 010</v>
      </c>
      <c r="E1335" s="3">
        <f t="array" ref="E1335">IF(B1335="","",INDEX(helper!$F$3:$F3996,MOD(ROW()-2,COUNTA(helper!$D$3:$D3996))+1))</f>
        <v>9</v>
      </c>
      <c r="F1335" s="3">
        <f>IF(B1335="","",SUMIFS('inventory ledger'!$H:$H,'inventory ledger'!$C:$C,C1335,'inventory ledger'!$D:$D,D1335,'inventory ledger'!$E:$E,E1335,'inventory ledger'!$A:$A,"&lt;="&amp;B1335+TIME(23,59,59))-SUMIFS('inventory ledger'!$I:$I,'inventory ledger'!$C:$C,C1335,'inventory ledger'!$D:$D,D1335,'inventory ledger'!$E:$E,E1335,'inventory ledger'!$A:$A,"&lt;="&amp;B1335+TIME(23,59,59)))</f>
        <v>0</v>
      </c>
      <c r="G1335" s="3">
        <f>IFERROR(__xludf.DUMMYFUNCTION("IF(F1335&lt;=0,0,IFERROR(ROUNDUP(F1335/INDEX(FILTER('warehouse config'!$D:$D,('warehouse config'!$B:$B=C1335)*('warehouse config'!$C:$C=D1335)*('warehouse config'!$G:$G&lt;=B1335)*(('warehouse config'!$H:$H&gt;=B1335)+ISBLANK('warehouse config'!$H:$H))),1)),0))"),0.0)</f>
        <v>0</v>
      </c>
      <c r="H1335" s="3">
        <f>IFERROR(__xludf.DUMMYFUNCTION("IFERROR(INDEX(FILTER('cost master'!$E:$E,('cost master'!$B:$B=C1335)*('cost master'!$D:$D=""Storage cost per pallet / week"")*('cost master'!$G:$G&lt;=B1335)*(('cost master'!$H:$H&gt;=B1335)+ISBLANK('cost master'!$H:$H))),1),0)"),3.9)</f>
        <v>3.9</v>
      </c>
      <c r="I1335" s="3">
        <f t="shared" si="4"/>
        <v>0</v>
      </c>
      <c r="J1335" s="27">
        <f t="shared" si="5"/>
        <v>45916</v>
      </c>
      <c r="K1335" s="27">
        <f t="shared" si="6"/>
        <v>45945</v>
      </c>
    </row>
    <row r="1336" hidden="1">
      <c r="A1336" s="3" t="str">
        <f t="shared" si="3"/>
        <v>SL-20251006-FMC-CS-CDS-001-9</v>
      </c>
      <c r="B1336" s="2">
        <f t="array" ref="B1336">INDEX(helper!$A$3:$A3996,ROUNDUP((ROW()-1)/COUNTA(helper!$D$3:$D3996),0))</f>
        <v>45936</v>
      </c>
      <c r="C1336" s="5" t="str">
        <f t="array" ref="C1336">IF(B1336="","",INDEX(helper!$D$3:$D3996,MOD(ROW()-2,COUNTA(helper!$D$3:$D3996))+1))</f>
        <v>FMC</v>
      </c>
      <c r="D1336" s="3" t="str">
        <f t="array" ref="D1336">IF(B1336="","",INDEX(helper!$E$3:$E3996,MOD(ROW()-2,COUNTA(helper!$D$3:$D3996))+1))</f>
        <v>CS-CDS-001</v>
      </c>
      <c r="E1336" s="3">
        <f t="array" ref="E1336">IF(B1336="","",INDEX(helper!$F$3:$F3996,MOD(ROW()-2,COUNTA(helper!$D$3:$D3996))+1))</f>
        <v>9</v>
      </c>
      <c r="F1336" s="3">
        <f>IF(B1336="","",SUMIFS('inventory ledger'!$H:$H,'inventory ledger'!$C:$C,C1336,'inventory ledger'!$D:$D,D1336,'inventory ledger'!$E:$E,E1336,'inventory ledger'!$A:$A,"&lt;="&amp;B1336+TIME(23,59,59))-SUMIFS('inventory ledger'!$I:$I,'inventory ledger'!$C:$C,C1336,'inventory ledger'!$D:$D,D1336,'inventory ledger'!$E:$E,E1336,'inventory ledger'!$A:$A,"&lt;="&amp;B1336+TIME(23,59,59)))</f>
        <v>0</v>
      </c>
      <c r="G1336" s="3">
        <f>IFERROR(__xludf.DUMMYFUNCTION("IF(F1336&lt;=0,0,IFERROR(ROUNDUP(F1336/INDEX(FILTER('warehouse config'!$D:$D,('warehouse config'!$B:$B=C1336)*('warehouse config'!$C:$C=D1336)*('warehouse config'!$G:$G&lt;=B1336)*(('warehouse config'!$H:$H&gt;=B1336)+ISBLANK('warehouse config'!$H:$H))),1)),0))"),0.0)</f>
        <v>0</v>
      </c>
      <c r="H1336" s="3">
        <f>IFERROR(__xludf.DUMMYFUNCTION("IFERROR(INDEX(FILTER('cost master'!$E:$E,('cost master'!$B:$B=C1336)*('cost master'!$D:$D=""Storage cost per pallet / week"")*('cost master'!$G:$G&lt;=B1336)*(('cost master'!$H:$H&gt;=B1336)+ISBLANK('cost master'!$H:$H))),1),0)"),3.9)</f>
        <v>3.9</v>
      </c>
      <c r="I1336" s="3">
        <f t="shared" si="4"/>
        <v>0</v>
      </c>
      <c r="J1336" s="27">
        <f t="shared" si="5"/>
        <v>45916</v>
      </c>
      <c r="K1336" s="27">
        <f t="shared" si="6"/>
        <v>45945</v>
      </c>
    </row>
    <row r="1337" hidden="1">
      <c r="A1337" s="3" t="str">
        <f t="shared" si="3"/>
        <v>SL-20251006-FMC-CS-CDS-002-9</v>
      </c>
      <c r="B1337" s="2">
        <f t="array" ref="B1337">INDEX(helper!$A$3:$A3996,ROUNDUP((ROW()-1)/COUNTA(helper!$D$3:$D3996),0))</f>
        <v>45936</v>
      </c>
      <c r="C1337" s="5" t="str">
        <f t="array" ref="C1337">IF(B1337="","",INDEX(helper!$D$3:$D3996,MOD(ROW()-2,COUNTA(helper!$D$3:$D3996))+1))</f>
        <v>FMC</v>
      </c>
      <c r="D1337" s="3" t="str">
        <f t="array" ref="D1337">IF(B1337="","",INDEX(helper!$E$3:$E3996,MOD(ROW()-2,COUNTA(helper!$D$3:$D3996))+1))</f>
        <v>CS-CDS-002</v>
      </c>
      <c r="E1337" s="3">
        <f t="array" ref="E1337">IF(B1337="","",INDEX(helper!$F$3:$F3996,MOD(ROW()-2,COUNTA(helper!$D$3:$D3996))+1))</f>
        <v>9</v>
      </c>
      <c r="F1337" s="3">
        <f>IF(B1337="","",SUMIFS('inventory ledger'!$H:$H,'inventory ledger'!$C:$C,C1337,'inventory ledger'!$D:$D,D1337,'inventory ledger'!$E:$E,E1337,'inventory ledger'!$A:$A,"&lt;="&amp;B1337+TIME(23,59,59))-SUMIFS('inventory ledger'!$I:$I,'inventory ledger'!$C:$C,C1337,'inventory ledger'!$D:$D,D1337,'inventory ledger'!$E:$E,E1337,'inventory ledger'!$A:$A,"&lt;="&amp;B1337+TIME(23,59,59)))</f>
        <v>0</v>
      </c>
      <c r="G1337" s="3">
        <f>IFERROR(__xludf.DUMMYFUNCTION("IF(F1337&lt;=0,0,IFERROR(ROUNDUP(F1337/INDEX(FILTER('warehouse config'!$D:$D,('warehouse config'!$B:$B=C1337)*('warehouse config'!$C:$C=D1337)*('warehouse config'!$G:$G&lt;=B1337)*(('warehouse config'!$H:$H&gt;=B1337)+ISBLANK('warehouse config'!$H:$H))),1)),0))"),0.0)</f>
        <v>0</v>
      </c>
      <c r="H1337" s="3">
        <f>IFERROR(__xludf.DUMMYFUNCTION("IFERROR(INDEX(FILTER('cost master'!$E:$E,('cost master'!$B:$B=C1337)*('cost master'!$D:$D=""Storage cost per pallet / week"")*('cost master'!$G:$G&lt;=B1337)*(('cost master'!$H:$H&gt;=B1337)+ISBLANK('cost master'!$H:$H))),1),0)"),3.9)</f>
        <v>3.9</v>
      </c>
      <c r="I1337" s="3">
        <f t="shared" si="4"/>
        <v>0</v>
      </c>
      <c r="J1337" s="27">
        <f t="shared" si="5"/>
        <v>45916</v>
      </c>
      <c r="K1337" s="27">
        <f t="shared" si="6"/>
        <v>45945</v>
      </c>
    </row>
    <row r="1338" hidden="1">
      <c r="A1338" s="3" t="str">
        <f t="shared" si="3"/>
        <v>SL-20251006-FMC-CS 007-10</v>
      </c>
      <c r="B1338" s="2">
        <f t="array" ref="B1338">INDEX(helper!$A$3:$A3996,ROUNDUP((ROW()-1)/COUNTA(helper!$D$3:$D3996),0))</f>
        <v>45936</v>
      </c>
      <c r="C1338" s="5" t="str">
        <f t="array" ref="C1338">IF(B1338="","",INDEX(helper!$D$3:$D3996,MOD(ROW()-2,COUNTA(helper!$D$3:$D3996))+1))</f>
        <v>FMC</v>
      </c>
      <c r="D1338" s="3" t="str">
        <f t="array" ref="D1338">IF(B1338="","",INDEX(helper!$E$3:$E3996,MOD(ROW()-2,COUNTA(helper!$D$3:$D3996))+1))</f>
        <v>CS 007</v>
      </c>
      <c r="E1338" s="3">
        <f t="array" ref="E1338">IF(B1338="","",INDEX(helper!$F$3:$F3996,MOD(ROW()-2,COUNTA(helper!$D$3:$D3996))+1))</f>
        <v>10</v>
      </c>
      <c r="F1338" s="3">
        <f>IF(B1338="","",SUMIFS('inventory ledger'!$H:$H,'inventory ledger'!$C:$C,C1338,'inventory ledger'!$D:$D,D1338,'inventory ledger'!$E:$E,E1338,'inventory ledger'!$A:$A,"&lt;="&amp;B1338+TIME(23,59,59))-SUMIFS('inventory ledger'!$I:$I,'inventory ledger'!$C:$C,C1338,'inventory ledger'!$D:$D,D1338,'inventory ledger'!$E:$E,E1338,'inventory ledger'!$A:$A,"&lt;="&amp;B1338+TIME(23,59,59)))</f>
        <v>0</v>
      </c>
      <c r="G1338" s="3">
        <f>IFERROR(__xludf.DUMMYFUNCTION("IF(F1338&lt;=0,0,IFERROR(ROUNDUP(F1338/INDEX(FILTER('warehouse config'!$D:$D,('warehouse config'!$B:$B=C1338)*('warehouse config'!$C:$C=D1338)*('warehouse config'!$G:$G&lt;=B1338)*(('warehouse config'!$H:$H&gt;=B1338)+ISBLANK('warehouse config'!$H:$H))),1)),0))"),0.0)</f>
        <v>0</v>
      </c>
      <c r="H1338" s="3">
        <f>IFERROR(__xludf.DUMMYFUNCTION("IFERROR(INDEX(FILTER('cost master'!$E:$E,('cost master'!$B:$B=C1338)*('cost master'!$D:$D=""Storage cost per pallet / week"")*('cost master'!$G:$G&lt;=B1338)*(('cost master'!$H:$H&gt;=B1338)+ISBLANK('cost master'!$H:$H))),1),0)"),3.9)</f>
        <v>3.9</v>
      </c>
      <c r="I1338" s="3">
        <f t="shared" si="4"/>
        <v>0</v>
      </c>
      <c r="J1338" s="27">
        <f t="shared" si="5"/>
        <v>45916</v>
      </c>
      <c r="K1338" s="27">
        <f t="shared" si="6"/>
        <v>45945</v>
      </c>
    </row>
    <row r="1339" hidden="1">
      <c r="A1339" s="3" t="str">
        <f t="shared" si="3"/>
        <v>SL-20251006-FMC-CS 009-10</v>
      </c>
      <c r="B1339" s="2">
        <f t="array" ref="B1339">INDEX(helper!$A$3:$A3996,ROUNDUP((ROW()-1)/COUNTA(helper!$D$3:$D3996),0))</f>
        <v>45936</v>
      </c>
      <c r="C1339" s="5" t="str">
        <f t="array" ref="C1339">IF(B1339="","",INDEX(helper!$D$3:$D3996,MOD(ROW()-2,COUNTA(helper!$D$3:$D3996))+1))</f>
        <v>FMC</v>
      </c>
      <c r="D1339" s="3" t="str">
        <f t="array" ref="D1339">IF(B1339="","",INDEX(helper!$E$3:$E3996,MOD(ROW()-2,COUNTA(helper!$D$3:$D3996))+1))</f>
        <v>CS 009</v>
      </c>
      <c r="E1339" s="3">
        <f t="array" ref="E1339">IF(B1339="","",INDEX(helper!$F$3:$F3996,MOD(ROW()-2,COUNTA(helper!$D$3:$D3996))+1))</f>
        <v>10</v>
      </c>
      <c r="F1339" s="3">
        <f>IF(B1339="","",SUMIFS('inventory ledger'!$H:$H,'inventory ledger'!$C:$C,C1339,'inventory ledger'!$D:$D,D1339,'inventory ledger'!$E:$E,E1339,'inventory ledger'!$A:$A,"&lt;="&amp;B1339+TIME(23,59,59))-SUMIFS('inventory ledger'!$I:$I,'inventory ledger'!$C:$C,C1339,'inventory ledger'!$D:$D,D1339,'inventory ledger'!$E:$E,E1339,'inventory ledger'!$A:$A,"&lt;="&amp;B1339+TIME(23,59,59)))</f>
        <v>0</v>
      </c>
      <c r="G1339" s="3">
        <f>IFERROR(__xludf.DUMMYFUNCTION("IF(F1339&lt;=0,0,IFERROR(ROUNDUP(F1339/INDEX(FILTER('warehouse config'!$D:$D,('warehouse config'!$B:$B=C1339)*('warehouse config'!$C:$C=D1339)*('warehouse config'!$G:$G&lt;=B1339)*(('warehouse config'!$H:$H&gt;=B1339)+ISBLANK('warehouse config'!$H:$H))),1)),0))"),0.0)</f>
        <v>0</v>
      </c>
      <c r="H1339" s="3">
        <f>IFERROR(__xludf.DUMMYFUNCTION("IFERROR(INDEX(FILTER('cost master'!$E:$E,('cost master'!$B:$B=C1339)*('cost master'!$D:$D=""Storage cost per pallet / week"")*('cost master'!$G:$G&lt;=B1339)*(('cost master'!$H:$H&gt;=B1339)+ISBLANK('cost master'!$H:$H))),1),0)"),3.9)</f>
        <v>3.9</v>
      </c>
      <c r="I1339" s="3">
        <f t="shared" si="4"/>
        <v>0</v>
      </c>
      <c r="J1339" s="27">
        <f t="shared" si="5"/>
        <v>45916</v>
      </c>
      <c r="K1339" s="27">
        <f t="shared" si="6"/>
        <v>45945</v>
      </c>
    </row>
    <row r="1340" hidden="1">
      <c r="A1340" s="3" t="str">
        <f t="shared" si="3"/>
        <v>SL-20251006-FMC-CS 010-10</v>
      </c>
      <c r="B1340" s="2">
        <f t="array" ref="B1340">INDEX(helper!$A$3:$A3996,ROUNDUP((ROW()-1)/COUNTA(helper!$D$3:$D3996),0))</f>
        <v>45936</v>
      </c>
      <c r="C1340" s="5" t="str">
        <f t="array" ref="C1340">IF(B1340="","",INDEX(helper!$D$3:$D3996,MOD(ROW()-2,COUNTA(helper!$D$3:$D3996))+1))</f>
        <v>FMC</v>
      </c>
      <c r="D1340" s="3" t="str">
        <f t="array" ref="D1340">IF(B1340="","",INDEX(helper!$E$3:$E3996,MOD(ROW()-2,COUNTA(helper!$D$3:$D3996))+1))</f>
        <v>CS 010</v>
      </c>
      <c r="E1340" s="3">
        <f t="array" ref="E1340">IF(B1340="","",INDEX(helper!$F$3:$F3996,MOD(ROW()-2,COUNTA(helper!$D$3:$D3996))+1))</f>
        <v>10</v>
      </c>
      <c r="F1340" s="3">
        <f>IF(B1340="","",SUMIFS('inventory ledger'!$H:$H,'inventory ledger'!$C:$C,C1340,'inventory ledger'!$D:$D,D1340,'inventory ledger'!$E:$E,E1340,'inventory ledger'!$A:$A,"&lt;="&amp;B1340+TIME(23,59,59))-SUMIFS('inventory ledger'!$I:$I,'inventory ledger'!$C:$C,C1340,'inventory ledger'!$D:$D,D1340,'inventory ledger'!$E:$E,E1340,'inventory ledger'!$A:$A,"&lt;="&amp;B1340+TIME(23,59,59)))</f>
        <v>13</v>
      </c>
      <c r="G1340" s="3">
        <f>IFERROR(__xludf.DUMMYFUNCTION("IF(F1340&lt;=0,0,IFERROR(ROUNDUP(F1340/INDEX(FILTER('warehouse config'!$D:$D,('warehouse config'!$B:$B=C1340)*('warehouse config'!$C:$C=D1340)*('warehouse config'!$G:$G&lt;=B1340)*(('warehouse config'!$H:$H&gt;=B1340)+ISBLANK('warehouse config'!$H:$H))),1)),0))"),1.0)</f>
        <v>1</v>
      </c>
      <c r="H1340" s="3">
        <f>IFERROR(__xludf.DUMMYFUNCTION("IFERROR(INDEX(FILTER('cost master'!$E:$E,('cost master'!$B:$B=C1340)*('cost master'!$D:$D=""Storage cost per pallet / week"")*('cost master'!$G:$G&lt;=B1340)*(('cost master'!$H:$H&gt;=B1340)+ISBLANK('cost master'!$H:$H))),1),0)"),3.9)</f>
        <v>3.9</v>
      </c>
      <c r="I1340" s="3">
        <f t="shared" si="4"/>
        <v>3.9</v>
      </c>
      <c r="J1340" s="27">
        <f t="shared" si="5"/>
        <v>45916</v>
      </c>
      <c r="K1340" s="27">
        <f t="shared" si="6"/>
        <v>45945</v>
      </c>
    </row>
    <row r="1341" hidden="1">
      <c r="A1341" s="3" t="str">
        <f t="shared" si="3"/>
        <v>SL-20251006-FMC-CS-CDS-001-10</v>
      </c>
      <c r="B1341" s="2">
        <f t="array" ref="B1341">INDEX(helper!$A$3:$A3996,ROUNDUP((ROW()-1)/COUNTA(helper!$D$3:$D3996),0))</f>
        <v>45936</v>
      </c>
      <c r="C1341" s="5" t="str">
        <f t="array" ref="C1341">IF(B1341="","",INDEX(helper!$D$3:$D3996,MOD(ROW()-2,COUNTA(helper!$D$3:$D3996))+1))</f>
        <v>FMC</v>
      </c>
      <c r="D1341" s="3" t="str">
        <f t="array" ref="D1341">IF(B1341="","",INDEX(helper!$E$3:$E3996,MOD(ROW()-2,COUNTA(helper!$D$3:$D3996))+1))</f>
        <v>CS-CDS-001</v>
      </c>
      <c r="E1341" s="3">
        <f t="array" ref="E1341">IF(B1341="","",INDEX(helper!$F$3:$F3996,MOD(ROW()-2,COUNTA(helper!$D$3:$D3996))+1))</f>
        <v>10</v>
      </c>
      <c r="F1341" s="3">
        <f>IF(B1341="","",SUMIFS('inventory ledger'!$H:$H,'inventory ledger'!$C:$C,C1341,'inventory ledger'!$D:$D,D1341,'inventory ledger'!$E:$E,E1341,'inventory ledger'!$A:$A,"&lt;="&amp;B1341+TIME(23,59,59))-SUMIFS('inventory ledger'!$I:$I,'inventory ledger'!$C:$C,C1341,'inventory ledger'!$D:$D,D1341,'inventory ledger'!$E:$E,E1341,'inventory ledger'!$A:$A,"&lt;="&amp;B1341+TIME(23,59,59)))</f>
        <v>0</v>
      </c>
      <c r="G1341" s="3">
        <f>IFERROR(__xludf.DUMMYFUNCTION("IF(F1341&lt;=0,0,IFERROR(ROUNDUP(F1341/INDEX(FILTER('warehouse config'!$D:$D,('warehouse config'!$B:$B=C1341)*('warehouse config'!$C:$C=D1341)*('warehouse config'!$G:$G&lt;=B1341)*(('warehouse config'!$H:$H&gt;=B1341)+ISBLANK('warehouse config'!$H:$H))),1)),0))"),0.0)</f>
        <v>0</v>
      </c>
      <c r="H1341" s="3">
        <f>IFERROR(__xludf.DUMMYFUNCTION("IFERROR(INDEX(FILTER('cost master'!$E:$E,('cost master'!$B:$B=C1341)*('cost master'!$D:$D=""Storage cost per pallet / week"")*('cost master'!$G:$G&lt;=B1341)*(('cost master'!$H:$H&gt;=B1341)+ISBLANK('cost master'!$H:$H))),1),0)"),3.9)</f>
        <v>3.9</v>
      </c>
      <c r="I1341" s="3">
        <f t="shared" si="4"/>
        <v>0</v>
      </c>
      <c r="J1341" s="27">
        <f t="shared" si="5"/>
        <v>45916</v>
      </c>
      <c r="K1341" s="27">
        <f t="shared" si="6"/>
        <v>45945</v>
      </c>
    </row>
    <row r="1342">
      <c r="A1342" s="3" t="str">
        <f t="shared" si="3"/>
        <v>SL-20251006-FMC-CS 007-11</v>
      </c>
      <c r="B1342" s="2">
        <f t="array" ref="B1342">INDEX(helper!$A$3:$A3996,ROUNDUP((ROW()-1)/COUNTA(helper!$D$3:$D3996),0))</f>
        <v>45936</v>
      </c>
      <c r="C1342" s="5" t="str">
        <f t="array" ref="C1342">IF(B1342="","",INDEX(helper!$D$3:$D3996,MOD(ROW()-2,COUNTA(helper!$D$3:$D3996))+1))</f>
        <v>FMC</v>
      </c>
      <c r="D1342" s="3" t="str">
        <f t="array" ref="D1342">IF(B1342="","",INDEX(helper!$E$3:$E3996,MOD(ROW()-2,COUNTA(helper!$D$3:$D3996))+1))</f>
        <v>CS 007</v>
      </c>
      <c r="E1342" s="3">
        <f t="array" ref="E1342">IF(B1342="","",INDEX(helper!$F$3:$F3996,MOD(ROW()-2,COUNTA(helper!$D$3:$D3996))+1))</f>
        <v>11</v>
      </c>
      <c r="F1342" s="3">
        <f>IF(B1342="","",SUMIFS('inventory ledger'!$H:$H,'inventory ledger'!$C:$C,C1342,'inventory ledger'!$D:$D,D1342,'inventory ledger'!$E:$E,E1342,'inventory ledger'!$A:$A,"&lt;="&amp;B1342+TIME(23,59,59))-SUMIFS('inventory ledger'!$I:$I,'inventory ledger'!$C:$C,C1342,'inventory ledger'!$D:$D,D1342,'inventory ledger'!$E:$E,E1342,'inventory ledger'!$A:$A,"&lt;="&amp;B1342+TIME(23,59,59)))</f>
        <v>-1</v>
      </c>
      <c r="G1342" s="3">
        <f>IFERROR(__xludf.DUMMYFUNCTION("IF(F1342&lt;=0,0,IFERROR(ROUNDUP(F1342/INDEX(FILTER('warehouse config'!$D:$D,('warehouse config'!$B:$B=C1342)*('warehouse config'!$C:$C=D1342)*('warehouse config'!$G:$G&lt;=B1342)*(('warehouse config'!$H:$H&gt;=B1342)+ISBLANK('warehouse config'!$H:$H))),1)),0))"),0.0)</f>
        <v>0</v>
      </c>
      <c r="H1342" s="3">
        <f>IFERROR(__xludf.DUMMYFUNCTION("IFERROR(INDEX(FILTER('cost master'!$E:$E,('cost master'!$B:$B=C1342)*('cost master'!$D:$D=""Storage cost per pallet / week"")*('cost master'!$G:$G&lt;=B1342)*(('cost master'!$H:$H&gt;=B1342)+ISBLANK('cost master'!$H:$H))),1),0)"),3.9)</f>
        <v>3.9</v>
      </c>
      <c r="I1342" s="3">
        <f t="shared" si="4"/>
        <v>0</v>
      </c>
      <c r="J1342" s="27">
        <f t="shared" si="5"/>
        <v>45916</v>
      </c>
      <c r="K1342" s="27">
        <f t="shared" si="6"/>
        <v>45945</v>
      </c>
    </row>
    <row r="1343" hidden="1">
      <c r="A1343" s="3" t="str">
        <f t="shared" si="3"/>
        <v>SL-20251006-FMC-CS 009-11</v>
      </c>
      <c r="B1343" s="2">
        <f t="array" ref="B1343">INDEX(helper!$A$3:$A3996,ROUNDUP((ROW()-1)/COUNTA(helper!$D$3:$D3996),0))</f>
        <v>45936</v>
      </c>
      <c r="C1343" s="5" t="str">
        <f t="array" ref="C1343">IF(B1343="","",INDEX(helper!$D$3:$D3996,MOD(ROW()-2,COUNTA(helper!$D$3:$D3996))+1))</f>
        <v>FMC</v>
      </c>
      <c r="D1343" s="3" t="str">
        <f t="array" ref="D1343">IF(B1343="","",INDEX(helper!$E$3:$E3996,MOD(ROW()-2,COUNTA(helper!$D$3:$D3996))+1))</f>
        <v>CS 009</v>
      </c>
      <c r="E1343" s="3">
        <f t="array" ref="E1343">IF(B1343="","",INDEX(helper!$F$3:$F3996,MOD(ROW()-2,COUNTA(helper!$D$3:$D3996))+1))</f>
        <v>11</v>
      </c>
      <c r="F1343" s="3">
        <f>IF(B1343="","",SUMIFS('inventory ledger'!$H:$H,'inventory ledger'!$C:$C,C1343,'inventory ledger'!$D:$D,D1343,'inventory ledger'!$E:$E,E1343,'inventory ledger'!$A:$A,"&lt;="&amp;B1343+TIME(23,59,59))-SUMIFS('inventory ledger'!$I:$I,'inventory ledger'!$C:$C,C1343,'inventory ledger'!$D:$D,D1343,'inventory ledger'!$E:$E,E1343,'inventory ledger'!$A:$A,"&lt;="&amp;B1343+TIME(23,59,59)))</f>
        <v>0</v>
      </c>
      <c r="G1343" s="3">
        <f>IFERROR(__xludf.DUMMYFUNCTION("IF(F1343&lt;=0,0,IFERROR(ROUNDUP(F1343/INDEX(FILTER('warehouse config'!$D:$D,('warehouse config'!$B:$B=C1343)*('warehouse config'!$C:$C=D1343)*('warehouse config'!$G:$G&lt;=B1343)*(('warehouse config'!$H:$H&gt;=B1343)+ISBLANK('warehouse config'!$H:$H))),1)),0))"),0.0)</f>
        <v>0</v>
      </c>
      <c r="H1343" s="3">
        <f>IFERROR(__xludf.DUMMYFUNCTION("IFERROR(INDEX(FILTER('cost master'!$E:$E,('cost master'!$B:$B=C1343)*('cost master'!$D:$D=""Storage cost per pallet / week"")*('cost master'!$G:$G&lt;=B1343)*(('cost master'!$H:$H&gt;=B1343)+ISBLANK('cost master'!$H:$H))),1),0)"),3.9)</f>
        <v>3.9</v>
      </c>
      <c r="I1343" s="3">
        <f t="shared" si="4"/>
        <v>0</v>
      </c>
      <c r="J1343" s="27">
        <f t="shared" si="5"/>
        <v>45916</v>
      </c>
      <c r="K1343" s="27">
        <f t="shared" si="6"/>
        <v>45945</v>
      </c>
    </row>
    <row r="1344" hidden="1">
      <c r="A1344" s="3" t="str">
        <f t="shared" si="3"/>
        <v>SL-20251006-FMC-CS 010-11</v>
      </c>
      <c r="B1344" s="2">
        <f t="array" ref="B1344">INDEX(helper!$A$3:$A3996,ROUNDUP((ROW()-1)/COUNTA(helper!$D$3:$D3996),0))</f>
        <v>45936</v>
      </c>
      <c r="C1344" s="5" t="str">
        <f t="array" ref="C1344">IF(B1344="","",INDEX(helper!$D$3:$D3996,MOD(ROW()-2,COUNTA(helper!$D$3:$D3996))+1))</f>
        <v>FMC</v>
      </c>
      <c r="D1344" s="3" t="str">
        <f t="array" ref="D1344">IF(B1344="","",INDEX(helper!$E$3:$E3996,MOD(ROW()-2,COUNTA(helper!$D$3:$D3996))+1))</f>
        <v>CS 010</v>
      </c>
      <c r="E1344" s="3">
        <f t="array" ref="E1344">IF(B1344="","",INDEX(helper!$F$3:$F3996,MOD(ROW()-2,COUNTA(helper!$D$3:$D3996))+1))</f>
        <v>11</v>
      </c>
      <c r="F1344" s="3">
        <f>IF(B1344="","",SUMIFS('inventory ledger'!$H:$H,'inventory ledger'!$C:$C,C1344,'inventory ledger'!$D:$D,D1344,'inventory ledger'!$E:$E,E1344,'inventory ledger'!$A:$A,"&lt;="&amp;B1344+TIME(23,59,59))-SUMIFS('inventory ledger'!$I:$I,'inventory ledger'!$C:$C,C1344,'inventory ledger'!$D:$D,D1344,'inventory ledger'!$E:$E,E1344,'inventory ledger'!$A:$A,"&lt;="&amp;B1344+TIME(23,59,59)))</f>
        <v>6</v>
      </c>
      <c r="G1344" s="3">
        <f>IFERROR(__xludf.DUMMYFUNCTION("IF(F1344&lt;=0,0,IFERROR(ROUNDUP(F1344/INDEX(FILTER('warehouse config'!$D:$D,('warehouse config'!$B:$B=C1344)*('warehouse config'!$C:$C=D1344)*('warehouse config'!$G:$G&lt;=B1344)*(('warehouse config'!$H:$H&gt;=B1344)+ISBLANK('warehouse config'!$H:$H))),1)),0))"),1.0)</f>
        <v>1</v>
      </c>
      <c r="H1344" s="3">
        <f>IFERROR(__xludf.DUMMYFUNCTION("IFERROR(INDEX(FILTER('cost master'!$E:$E,('cost master'!$B:$B=C1344)*('cost master'!$D:$D=""Storage cost per pallet / week"")*('cost master'!$G:$G&lt;=B1344)*(('cost master'!$H:$H&gt;=B1344)+ISBLANK('cost master'!$H:$H))),1),0)"),3.9)</f>
        <v>3.9</v>
      </c>
      <c r="I1344" s="3">
        <f t="shared" si="4"/>
        <v>3.9</v>
      </c>
      <c r="J1344" s="27">
        <f t="shared" si="5"/>
        <v>45916</v>
      </c>
      <c r="K1344" s="27">
        <f t="shared" si="6"/>
        <v>45945</v>
      </c>
    </row>
    <row r="1345" hidden="1">
      <c r="A1345" s="3" t="str">
        <f t="shared" si="3"/>
        <v>SL-20251006-Vglobal-CS 007-12</v>
      </c>
      <c r="B1345" s="2">
        <f t="array" ref="B1345">INDEX(helper!$A$3:$A3996,ROUNDUP((ROW()-1)/COUNTA(helper!$D$3:$D3996),0))</f>
        <v>45936</v>
      </c>
      <c r="C1345" s="5" t="str">
        <f t="array" ref="C1345">IF(B1345="","",INDEX(helper!$D$3:$D3996,MOD(ROW()-2,COUNTA(helper!$D$3:$D3996))+1))</f>
        <v>Vglobal</v>
      </c>
      <c r="D1345" s="3" t="str">
        <f t="array" ref="D1345">IF(B1345="","",INDEX(helper!$E$3:$E3996,MOD(ROW()-2,COUNTA(helper!$D$3:$D3996))+1))</f>
        <v>CS 007</v>
      </c>
      <c r="E1345" s="3">
        <f t="array" ref="E1345">IF(B1345="","",INDEX(helper!$F$3:$F3996,MOD(ROW()-2,COUNTA(helper!$D$3:$D3996))+1))</f>
        <v>12</v>
      </c>
      <c r="F1345" s="3">
        <f>IF(B1345="","",SUMIFS('inventory ledger'!$H:$H,'inventory ledger'!$C:$C,C1345,'inventory ledger'!$D:$D,D1345,'inventory ledger'!$E:$E,E1345,'inventory ledger'!$A:$A,"&lt;="&amp;B1345+TIME(23,59,59))-SUMIFS('inventory ledger'!$I:$I,'inventory ledger'!$C:$C,C1345,'inventory ledger'!$D:$D,D1345,'inventory ledger'!$E:$E,E1345,'inventory ledger'!$A:$A,"&lt;="&amp;B1345+TIME(23,59,59)))</f>
        <v>0</v>
      </c>
      <c r="G1345" s="3">
        <f>IFERROR(__xludf.DUMMYFUNCTION("IF(F1345&lt;=0,0,IFERROR(ROUNDUP(F1345/INDEX(FILTER('warehouse config'!$D:$D,('warehouse config'!$B:$B=C1345)*('warehouse config'!$C:$C=D1345)*('warehouse config'!$G:$G&lt;=B1345)*(('warehouse config'!$H:$H&gt;=B1345)+ISBLANK('warehouse config'!$H:$H))),1)),0))"),0.0)</f>
        <v>0</v>
      </c>
      <c r="H1345" s="3">
        <f>IFERROR(__xludf.DUMMYFUNCTION("IFERROR(INDEX(FILTER('cost master'!$E:$E,('cost master'!$B:$B=C1345)*('cost master'!$D:$D=""Storage cost per pallet / week"")*('cost master'!$G:$G&lt;=B1345)*(('cost master'!$H:$H&gt;=B1345)+ISBLANK('cost master'!$H:$H))),1),0)"),2.6)</f>
        <v>2.6</v>
      </c>
      <c r="I1345" s="3">
        <f t="shared" si="4"/>
        <v>0</v>
      </c>
      <c r="J1345" s="27">
        <f t="shared" si="5"/>
        <v>45916</v>
      </c>
      <c r="K1345" s="27">
        <f t="shared" si="6"/>
        <v>45945</v>
      </c>
    </row>
    <row r="1346" hidden="1">
      <c r="A1346" s="3" t="str">
        <f t="shared" si="3"/>
        <v>SL-20251006-Vglobal-CS 011-12</v>
      </c>
      <c r="B1346" s="2">
        <f t="array" ref="B1346">INDEX(helper!$A$3:$A3996,ROUNDUP((ROW()-1)/COUNTA(helper!$D$3:$D3996),0))</f>
        <v>45936</v>
      </c>
      <c r="C1346" s="5" t="str">
        <f t="array" ref="C1346">IF(B1346="","",INDEX(helper!$D$3:$D3996,MOD(ROW()-2,COUNTA(helper!$D$3:$D3996))+1))</f>
        <v>Vglobal</v>
      </c>
      <c r="D1346" s="3" t="str">
        <f t="array" ref="D1346">IF(B1346="","",INDEX(helper!$E$3:$E3996,MOD(ROW()-2,COUNTA(helper!$D$3:$D3996))+1))</f>
        <v>CS 011</v>
      </c>
      <c r="E1346" s="3">
        <f t="array" ref="E1346">IF(B1346="","",INDEX(helper!$F$3:$F3996,MOD(ROW()-2,COUNTA(helper!$D$3:$D3996))+1))</f>
        <v>12</v>
      </c>
      <c r="F1346" s="3">
        <f>IF(B1346="","",SUMIFS('inventory ledger'!$H:$H,'inventory ledger'!$C:$C,C1346,'inventory ledger'!$D:$D,D1346,'inventory ledger'!$E:$E,E1346,'inventory ledger'!$A:$A,"&lt;="&amp;B1346+TIME(23,59,59))-SUMIFS('inventory ledger'!$I:$I,'inventory ledger'!$C:$C,C1346,'inventory ledger'!$D:$D,D1346,'inventory ledger'!$E:$E,E1346,'inventory ledger'!$A:$A,"&lt;="&amp;B1346+TIME(23,59,59)))</f>
        <v>0</v>
      </c>
      <c r="G1346" s="3">
        <f>IFERROR(__xludf.DUMMYFUNCTION("IF(F1346&lt;=0,0,IFERROR(ROUNDUP(F1346/INDEX(FILTER('warehouse config'!$D:$D,('warehouse config'!$B:$B=C1346)*('warehouse config'!$C:$C=D1346)*('warehouse config'!$G:$G&lt;=B1346)*(('warehouse config'!$H:$H&gt;=B1346)+ISBLANK('warehouse config'!$H:$H))),1)),0))"),0.0)</f>
        <v>0</v>
      </c>
      <c r="H1346" s="3">
        <f>IFERROR(__xludf.DUMMYFUNCTION("IFERROR(INDEX(FILTER('cost master'!$E:$E,('cost master'!$B:$B=C1346)*('cost master'!$D:$D=""Storage cost per pallet / week"")*('cost master'!$G:$G&lt;=B1346)*(('cost master'!$H:$H&gt;=B1346)+ISBLANK('cost master'!$H:$H))),1),0)"),2.6)</f>
        <v>2.6</v>
      </c>
      <c r="I1346" s="3">
        <f t="shared" si="4"/>
        <v>0</v>
      </c>
      <c r="J1346" s="27">
        <f t="shared" si="5"/>
        <v>45916</v>
      </c>
      <c r="K1346" s="27">
        <f t="shared" si="6"/>
        <v>45945</v>
      </c>
    </row>
    <row r="1347" hidden="1">
      <c r="A1347" s="3" t="str">
        <f t="shared" si="3"/>
        <v>SL-20251006-Vglobal-CS 008-12</v>
      </c>
      <c r="B1347" s="2">
        <f t="array" ref="B1347">INDEX(helper!$A$3:$A3996,ROUNDUP((ROW()-1)/COUNTA(helper!$D$3:$D3996),0))</f>
        <v>45936</v>
      </c>
      <c r="C1347" s="5" t="str">
        <f t="array" ref="C1347">IF(B1347="","",INDEX(helper!$D$3:$D3996,MOD(ROW()-2,COUNTA(helper!$D$3:$D3996))+1))</f>
        <v>Vglobal</v>
      </c>
      <c r="D1347" s="3" t="str">
        <f t="array" ref="D1347">IF(B1347="","",INDEX(helper!$E$3:$E3996,MOD(ROW()-2,COUNTA(helper!$D$3:$D3996))+1))</f>
        <v>CS 008</v>
      </c>
      <c r="E1347" s="3">
        <f t="array" ref="E1347">IF(B1347="","",INDEX(helper!$F$3:$F3996,MOD(ROW()-2,COUNTA(helper!$D$3:$D3996))+1))</f>
        <v>12</v>
      </c>
      <c r="F1347" s="3">
        <f>IF(B1347="","",SUMIFS('inventory ledger'!$H:$H,'inventory ledger'!$C:$C,C1347,'inventory ledger'!$D:$D,D1347,'inventory ledger'!$E:$E,E1347,'inventory ledger'!$A:$A,"&lt;="&amp;B1347+TIME(23,59,59))-SUMIFS('inventory ledger'!$I:$I,'inventory ledger'!$C:$C,C1347,'inventory ledger'!$D:$D,D1347,'inventory ledger'!$E:$E,E1347,'inventory ledger'!$A:$A,"&lt;="&amp;B1347+TIME(23,59,59)))</f>
        <v>0</v>
      </c>
      <c r="G1347" s="3">
        <f>IFERROR(__xludf.DUMMYFUNCTION("IF(F1347&lt;=0,0,IFERROR(ROUNDUP(F1347/INDEX(FILTER('warehouse config'!$D:$D,('warehouse config'!$B:$B=C1347)*('warehouse config'!$C:$C=D1347)*('warehouse config'!$G:$G&lt;=B1347)*(('warehouse config'!$H:$H&gt;=B1347)+ISBLANK('warehouse config'!$H:$H))),1)),0))"),0.0)</f>
        <v>0</v>
      </c>
      <c r="H1347" s="3">
        <f>IFERROR(__xludf.DUMMYFUNCTION("IFERROR(INDEX(FILTER('cost master'!$E:$E,('cost master'!$B:$B=C1347)*('cost master'!$D:$D=""Storage cost per pallet / week"")*('cost master'!$G:$G&lt;=B1347)*(('cost master'!$H:$H&gt;=B1347)+ISBLANK('cost master'!$H:$H))),1),0)"),2.6)</f>
        <v>2.6</v>
      </c>
      <c r="I1347" s="3">
        <f t="shared" si="4"/>
        <v>0</v>
      </c>
      <c r="J1347" s="27">
        <f t="shared" si="5"/>
        <v>45916</v>
      </c>
      <c r="K1347" s="27">
        <f t="shared" si="6"/>
        <v>45945</v>
      </c>
    </row>
    <row r="1348" hidden="1">
      <c r="A1348" s="3" t="str">
        <f t="shared" si="3"/>
        <v>SL-20251006-Vglobal-CS 010-12</v>
      </c>
      <c r="B1348" s="2">
        <f t="array" ref="B1348">INDEX(helper!$A$3:$A3996,ROUNDUP((ROW()-1)/COUNTA(helper!$D$3:$D3996),0))</f>
        <v>45936</v>
      </c>
      <c r="C1348" s="5" t="str">
        <f t="array" ref="C1348">IF(B1348="","",INDEX(helper!$D$3:$D3996,MOD(ROW()-2,COUNTA(helper!$D$3:$D3996))+1))</f>
        <v>Vglobal</v>
      </c>
      <c r="D1348" s="3" t="str">
        <f t="array" ref="D1348">IF(B1348="","",INDEX(helper!$E$3:$E3996,MOD(ROW()-2,COUNTA(helper!$D$3:$D3996))+1))</f>
        <v>CS 010</v>
      </c>
      <c r="E1348" s="3">
        <f t="array" ref="E1348">IF(B1348="","",INDEX(helper!$F$3:$F3996,MOD(ROW()-2,COUNTA(helper!$D$3:$D3996))+1))</f>
        <v>12</v>
      </c>
      <c r="F1348" s="3">
        <f>IF(B1348="","",SUMIFS('inventory ledger'!$H:$H,'inventory ledger'!$C:$C,C1348,'inventory ledger'!$D:$D,D1348,'inventory ledger'!$E:$E,E1348,'inventory ledger'!$A:$A,"&lt;="&amp;B1348+TIME(23,59,59))-SUMIFS('inventory ledger'!$I:$I,'inventory ledger'!$C:$C,C1348,'inventory ledger'!$D:$D,D1348,'inventory ledger'!$E:$E,E1348,'inventory ledger'!$A:$A,"&lt;="&amp;B1348+TIME(23,59,59)))</f>
        <v>70</v>
      </c>
      <c r="G1348" s="3">
        <f>IFERROR(__xludf.DUMMYFUNCTION("IF(F1348&lt;=0,0,IFERROR(ROUNDUP(F1348/INDEX(FILTER('warehouse config'!$D:$D,('warehouse config'!$B:$B=C1348)*('warehouse config'!$C:$C=D1348)*('warehouse config'!$G:$G&lt;=B1348)*(('warehouse config'!$H:$H&gt;=B1348)+ISBLANK('warehouse config'!$H:$H))),1)),0))"),3.0)</f>
        <v>3</v>
      </c>
      <c r="H1348" s="3">
        <f>IFERROR(__xludf.DUMMYFUNCTION("IFERROR(INDEX(FILTER('cost master'!$E:$E,('cost master'!$B:$B=C1348)*('cost master'!$D:$D=""Storage cost per pallet / week"")*('cost master'!$G:$G&lt;=B1348)*(('cost master'!$H:$H&gt;=B1348)+ISBLANK('cost master'!$H:$H))),1),0)"),2.6)</f>
        <v>2.6</v>
      </c>
      <c r="I1348" s="3">
        <f t="shared" si="4"/>
        <v>7.8</v>
      </c>
      <c r="J1348" s="27">
        <f t="shared" si="5"/>
        <v>45916</v>
      </c>
      <c r="K1348" s="27">
        <f t="shared" si="6"/>
        <v>45945</v>
      </c>
    </row>
    <row r="1349" hidden="1">
      <c r="A1349" s="3" t="str">
        <f t="shared" si="3"/>
        <v>SL-20251006-Vglobal-CS 009-12</v>
      </c>
      <c r="B1349" s="2">
        <f t="array" ref="B1349">INDEX(helper!$A$3:$A3996,ROUNDUP((ROW()-1)/COUNTA(helper!$D$3:$D3996),0))</f>
        <v>45936</v>
      </c>
      <c r="C1349" s="5" t="str">
        <f t="array" ref="C1349">IF(B1349="","",INDEX(helper!$D$3:$D3996,MOD(ROW()-2,COUNTA(helper!$D$3:$D3996))+1))</f>
        <v>Vglobal</v>
      </c>
      <c r="D1349" s="3" t="str">
        <f t="array" ref="D1349">IF(B1349="","",INDEX(helper!$E$3:$E3996,MOD(ROW()-2,COUNTA(helper!$D$3:$D3996))+1))</f>
        <v>CS 009</v>
      </c>
      <c r="E1349" s="3">
        <f t="array" ref="E1349">IF(B1349="","",INDEX(helper!$F$3:$F3996,MOD(ROW()-2,COUNTA(helper!$D$3:$D3996))+1))</f>
        <v>12</v>
      </c>
      <c r="F1349" s="3">
        <f>IF(B1349="","",SUMIFS('inventory ledger'!$H:$H,'inventory ledger'!$C:$C,C1349,'inventory ledger'!$D:$D,D1349,'inventory ledger'!$E:$E,E1349,'inventory ledger'!$A:$A,"&lt;="&amp;B1349+TIME(23,59,59))-SUMIFS('inventory ledger'!$I:$I,'inventory ledger'!$C:$C,C1349,'inventory ledger'!$D:$D,D1349,'inventory ledger'!$E:$E,E1349,'inventory ledger'!$A:$A,"&lt;="&amp;B1349+TIME(23,59,59)))</f>
        <v>0</v>
      </c>
      <c r="G1349" s="3">
        <f>IFERROR(__xludf.DUMMYFUNCTION("IF(F1349&lt;=0,0,IFERROR(ROUNDUP(F1349/INDEX(FILTER('warehouse config'!$D:$D,('warehouse config'!$B:$B=C1349)*('warehouse config'!$C:$C=D1349)*('warehouse config'!$G:$G&lt;=B1349)*(('warehouse config'!$H:$H&gt;=B1349)+ISBLANK('warehouse config'!$H:$H))),1)),0))"),0.0)</f>
        <v>0</v>
      </c>
      <c r="H1349" s="3">
        <f>IFERROR(__xludf.DUMMYFUNCTION("IFERROR(INDEX(FILTER('cost master'!$E:$E,('cost master'!$B:$B=C1349)*('cost master'!$D:$D=""Storage cost per pallet / week"")*('cost master'!$G:$G&lt;=B1349)*(('cost master'!$H:$H&gt;=B1349)+ISBLANK('cost master'!$H:$H))),1),0)"),2.6)</f>
        <v>2.6</v>
      </c>
      <c r="I1349" s="3">
        <f t="shared" si="4"/>
        <v>0</v>
      </c>
      <c r="J1349" s="27">
        <f t="shared" si="5"/>
        <v>45916</v>
      </c>
      <c r="K1349" s="27">
        <f t="shared" si="6"/>
        <v>45945</v>
      </c>
    </row>
    <row r="1350" hidden="1">
      <c r="A1350" s="3" t="str">
        <f t="shared" si="3"/>
        <v>SL-20251006-Vglobal-CS 012-12</v>
      </c>
      <c r="B1350" s="2">
        <f t="array" ref="B1350">INDEX(helper!$A$3:$A3996,ROUNDUP((ROW()-1)/COUNTA(helper!$D$3:$D3996),0))</f>
        <v>45936</v>
      </c>
      <c r="C1350" s="5" t="str">
        <f t="array" ref="C1350">IF(B1350="","",INDEX(helper!$D$3:$D3996,MOD(ROW()-2,COUNTA(helper!$D$3:$D3996))+1))</f>
        <v>Vglobal</v>
      </c>
      <c r="D1350" s="3" t="str">
        <f t="array" ref="D1350">IF(B1350="","",INDEX(helper!$E$3:$E3996,MOD(ROW()-2,COUNTA(helper!$D$3:$D3996))+1))</f>
        <v>CS 012</v>
      </c>
      <c r="E1350" s="3">
        <f t="array" ref="E1350">IF(B1350="","",INDEX(helper!$F$3:$F3996,MOD(ROW()-2,COUNTA(helper!$D$3:$D3996))+1))</f>
        <v>12</v>
      </c>
      <c r="F1350" s="3">
        <f>IF(B1350="","",SUMIFS('inventory ledger'!$H:$H,'inventory ledger'!$C:$C,C1350,'inventory ledger'!$D:$D,D1350,'inventory ledger'!$E:$E,E1350,'inventory ledger'!$A:$A,"&lt;="&amp;B1350+TIME(23,59,59))-SUMIFS('inventory ledger'!$I:$I,'inventory ledger'!$C:$C,C1350,'inventory ledger'!$D:$D,D1350,'inventory ledger'!$E:$E,E1350,'inventory ledger'!$A:$A,"&lt;="&amp;B1350+TIME(23,59,59)))</f>
        <v>0</v>
      </c>
      <c r="G1350" s="3">
        <f>IFERROR(__xludf.DUMMYFUNCTION("IF(F1350&lt;=0,0,IFERROR(ROUNDUP(F1350/INDEX(FILTER('warehouse config'!$D:$D,('warehouse config'!$B:$B=C1350)*('warehouse config'!$C:$C=D1350)*('warehouse config'!$G:$G&lt;=B1350)*(('warehouse config'!$H:$H&gt;=B1350)+ISBLANK('warehouse config'!$H:$H))),1)),0))"),0.0)</f>
        <v>0</v>
      </c>
      <c r="H1350" s="3">
        <f>IFERROR(__xludf.DUMMYFUNCTION("IFERROR(INDEX(FILTER('cost master'!$E:$E,('cost master'!$B:$B=C1350)*('cost master'!$D:$D=""Storage cost per pallet / week"")*('cost master'!$G:$G&lt;=B1350)*(('cost master'!$H:$H&gt;=B1350)+ISBLANK('cost master'!$H:$H))),1),0)"),2.6)</f>
        <v>2.6</v>
      </c>
      <c r="I1350" s="3">
        <f t="shared" si="4"/>
        <v>0</v>
      </c>
      <c r="J1350" s="27">
        <f t="shared" si="5"/>
        <v>45916</v>
      </c>
      <c r="K1350" s="27">
        <f t="shared" si="6"/>
        <v>45945</v>
      </c>
    </row>
    <row r="1351" hidden="1">
      <c r="A1351" s="3" t="str">
        <f t="shared" si="3"/>
        <v>SL-20251006-Vglobal-CS-CDS-001-3</v>
      </c>
      <c r="B1351" s="2">
        <f t="array" ref="B1351">INDEX(helper!$A$3:$A3996,ROUNDUP((ROW()-1)/COUNTA(helper!$D$3:$D3996),0))</f>
        <v>45936</v>
      </c>
      <c r="C1351" s="5" t="str">
        <f t="array" ref="C1351">IF(B1351="","",INDEX(helper!$D$3:$D3996,MOD(ROW()-2,COUNTA(helper!$D$3:$D3996))+1))</f>
        <v>Vglobal</v>
      </c>
      <c r="D1351" s="3" t="str">
        <f t="array" ref="D1351">IF(B1351="","",INDEX(helper!$E$3:$E3996,MOD(ROW()-2,COUNTA(helper!$D$3:$D3996))+1))</f>
        <v>CS-CDS-001</v>
      </c>
      <c r="E1351" s="3">
        <f t="array" ref="E1351">IF(B1351="","",INDEX(helper!$F$3:$F3996,MOD(ROW()-2,COUNTA(helper!$D$3:$D3996))+1))</f>
        <v>3</v>
      </c>
      <c r="F1351" s="3">
        <f>IF(B1351="","",SUMIFS('inventory ledger'!$H:$H,'inventory ledger'!$C:$C,C1351,'inventory ledger'!$D:$D,D1351,'inventory ledger'!$E:$E,E1351,'inventory ledger'!$A:$A,"&lt;="&amp;B1351+TIME(23,59,59))-SUMIFS('inventory ledger'!$I:$I,'inventory ledger'!$C:$C,C1351,'inventory ledger'!$D:$D,D1351,'inventory ledger'!$E:$E,E1351,'inventory ledger'!$A:$A,"&lt;="&amp;B1351+TIME(23,59,59)))</f>
        <v>1</v>
      </c>
      <c r="G1351" s="3">
        <f>IFERROR(__xludf.DUMMYFUNCTION("IF(F1351&lt;=0,0,IFERROR(ROUNDUP(F1351/INDEX(FILTER('warehouse config'!$D:$D,('warehouse config'!$B:$B=C1351)*('warehouse config'!$C:$C=D1351)*('warehouse config'!$G:$G&lt;=B1351)*(('warehouse config'!$H:$H&gt;=B1351)+ISBLANK('warehouse config'!$H:$H))),1)),0))"),1.0)</f>
        <v>1</v>
      </c>
      <c r="H1351" s="3">
        <f>IFERROR(__xludf.DUMMYFUNCTION("IFERROR(INDEX(FILTER('cost master'!$E:$E,('cost master'!$B:$B=C1351)*('cost master'!$D:$D=""Storage cost per pallet / week"")*('cost master'!$G:$G&lt;=B1351)*(('cost master'!$H:$H&gt;=B1351)+ISBLANK('cost master'!$H:$H))),1),0)"),2.6)</f>
        <v>2.6</v>
      </c>
      <c r="I1351" s="3">
        <f t="shared" si="4"/>
        <v>2.6</v>
      </c>
      <c r="J1351" s="27">
        <f t="shared" si="5"/>
        <v>45916</v>
      </c>
      <c r="K1351" s="27">
        <f t="shared" si="6"/>
        <v>45945</v>
      </c>
    </row>
    <row r="1352" hidden="1">
      <c r="A1352" s="3" t="str">
        <f t="shared" si="3"/>
        <v>SL-20251006-Vglobal-CS-CDS-002-3</v>
      </c>
      <c r="B1352" s="2">
        <f t="array" ref="B1352">INDEX(helper!$A$3:$A3996,ROUNDUP((ROW()-1)/COUNTA(helper!$D$3:$D3996),0))</f>
        <v>45936</v>
      </c>
      <c r="C1352" s="5" t="str">
        <f t="array" ref="C1352">IF(B1352="","",INDEX(helper!$D$3:$D3996,MOD(ROW()-2,COUNTA(helper!$D$3:$D3996))+1))</f>
        <v>Vglobal</v>
      </c>
      <c r="D1352" s="3" t="str">
        <f t="array" ref="D1352">IF(B1352="","",INDEX(helper!$E$3:$E3996,MOD(ROW()-2,COUNTA(helper!$D$3:$D3996))+1))</f>
        <v>CS-CDS-002</v>
      </c>
      <c r="E1352" s="3">
        <f t="array" ref="E1352">IF(B1352="","",INDEX(helper!$F$3:$F3996,MOD(ROW()-2,COUNTA(helper!$D$3:$D3996))+1))</f>
        <v>3</v>
      </c>
      <c r="F1352" s="3">
        <f>IF(B1352="","",SUMIFS('inventory ledger'!$H:$H,'inventory ledger'!$C:$C,C1352,'inventory ledger'!$D:$D,D1352,'inventory ledger'!$E:$E,E1352,'inventory ledger'!$A:$A,"&lt;="&amp;B1352+TIME(23,59,59))-SUMIFS('inventory ledger'!$I:$I,'inventory ledger'!$C:$C,C1352,'inventory ledger'!$D:$D,D1352,'inventory ledger'!$E:$E,E1352,'inventory ledger'!$A:$A,"&lt;="&amp;B1352+TIME(23,59,59)))</f>
        <v>0</v>
      </c>
      <c r="G1352" s="3">
        <f>IFERROR(__xludf.DUMMYFUNCTION("IF(F1352&lt;=0,0,IFERROR(ROUNDUP(F1352/INDEX(FILTER('warehouse config'!$D:$D,('warehouse config'!$B:$B=C1352)*('warehouse config'!$C:$C=D1352)*('warehouse config'!$G:$G&lt;=B1352)*(('warehouse config'!$H:$H&gt;=B1352)+ISBLANK('warehouse config'!$H:$H))),1)),0))"),0.0)</f>
        <v>0</v>
      </c>
      <c r="H1352" s="3">
        <f>IFERROR(__xludf.DUMMYFUNCTION("IFERROR(INDEX(FILTER('cost master'!$E:$E,('cost master'!$B:$B=C1352)*('cost master'!$D:$D=""Storage cost per pallet / week"")*('cost master'!$G:$G&lt;=B1352)*(('cost master'!$H:$H&gt;=B1352)+ISBLANK('cost master'!$H:$H))),1),0)"),2.6)</f>
        <v>2.6</v>
      </c>
      <c r="I1352" s="3">
        <f t="shared" si="4"/>
        <v>0</v>
      </c>
      <c r="J1352" s="27">
        <f t="shared" si="5"/>
        <v>45916</v>
      </c>
      <c r="K1352" s="27">
        <f t="shared" si="6"/>
        <v>45945</v>
      </c>
    </row>
    <row r="1353" hidden="1">
      <c r="A1353" s="3" t="str">
        <f t="shared" si="3"/>
        <v>SL-20251006-4as-CS-CDS-001-4</v>
      </c>
      <c r="B1353" s="2">
        <f t="array" ref="B1353">INDEX(helper!$A$3:$A3996,ROUNDUP((ROW()-1)/COUNTA(helper!$D$3:$D3996),0))</f>
        <v>45936</v>
      </c>
      <c r="C1353" s="5" t="str">
        <f t="array" ref="C1353">IF(B1353="","",INDEX(helper!$D$3:$D3996,MOD(ROW()-2,COUNTA(helper!$D$3:$D3996))+1))</f>
        <v>4as</v>
      </c>
      <c r="D1353" s="3" t="str">
        <f t="array" ref="D1353">IF(B1353="","",INDEX(helper!$E$3:$E3996,MOD(ROW()-2,COUNTA(helper!$D$3:$D3996))+1))</f>
        <v>CS-CDS-001</v>
      </c>
      <c r="E1353" s="3">
        <f t="array" ref="E1353">IF(B1353="","",INDEX(helper!$F$3:$F3996,MOD(ROW()-2,COUNTA(helper!$D$3:$D3996))+1))</f>
        <v>4</v>
      </c>
      <c r="F1353" s="3">
        <f>IF(B1353="","",SUMIFS('inventory ledger'!$H:$H,'inventory ledger'!$C:$C,C1353,'inventory ledger'!$D:$D,D1353,'inventory ledger'!$E:$E,E1353,'inventory ledger'!$A:$A,"&lt;="&amp;B1353+TIME(23,59,59))-SUMIFS('inventory ledger'!$I:$I,'inventory ledger'!$C:$C,C1353,'inventory ledger'!$D:$D,D1353,'inventory ledger'!$E:$E,E1353,'inventory ledger'!$A:$A,"&lt;="&amp;B1353+TIME(23,59,59)))</f>
        <v>0</v>
      </c>
      <c r="G1353" s="3">
        <f>IFERROR(__xludf.DUMMYFUNCTION("IF(F1353&lt;=0,0,IFERROR(ROUNDUP(F1353/INDEX(FILTER('warehouse config'!$D:$D,('warehouse config'!$B:$B=C1353)*('warehouse config'!$C:$C=D1353)*('warehouse config'!$G:$G&lt;=B1353)*(('warehouse config'!$H:$H&gt;=B1353)+ISBLANK('warehouse config'!$H:$H))),1)),0))"),0.0)</f>
        <v>0</v>
      </c>
      <c r="H1353" s="3">
        <f>IFERROR(__xludf.DUMMYFUNCTION("IFERROR(INDEX(FILTER('cost master'!$E:$E,('cost master'!$B:$B=C1353)*('cost master'!$D:$D=""Storage cost per pallet / week"")*('cost master'!$G:$G&lt;=B1353)*(('cost master'!$H:$H&gt;=B1353)+ISBLANK('cost master'!$H:$H))),1),0)"),9.0)</f>
        <v>9</v>
      </c>
      <c r="I1353" s="3">
        <f t="shared" si="4"/>
        <v>0</v>
      </c>
      <c r="J1353" s="27">
        <f t="shared" si="5"/>
        <v>45916</v>
      </c>
      <c r="K1353" s="27">
        <f t="shared" si="6"/>
        <v>45945</v>
      </c>
    </row>
    <row r="1354" hidden="1">
      <c r="A1354" s="3" t="str">
        <f t="shared" si="3"/>
        <v>SL-20251006-4as-CS-CDS-002-4</v>
      </c>
      <c r="B1354" s="2">
        <f t="array" ref="B1354">INDEX(helper!$A$3:$A3996,ROUNDUP((ROW()-1)/COUNTA(helper!$D$3:$D3996),0))</f>
        <v>45936</v>
      </c>
      <c r="C1354" s="5" t="str">
        <f t="array" ref="C1354">IF(B1354="","",INDEX(helper!$D$3:$D3996,MOD(ROW()-2,COUNTA(helper!$D$3:$D3996))+1))</f>
        <v>4as</v>
      </c>
      <c r="D1354" s="3" t="str">
        <f t="array" ref="D1354">IF(B1354="","",INDEX(helper!$E$3:$E3996,MOD(ROW()-2,COUNTA(helper!$D$3:$D3996))+1))</f>
        <v>CS-CDS-002</v>
      </c>
      <c r="E1354" s="3">
        <f t="array" ref="E1354">IF(B1354="","",INDEX(helper!$F$3:$F3996,MOD(ROW()-2,COUNTA(helper!$D$3:$D3996))+1))</f>
        <v>4</v>
      </c>
      <c r="F1354" s="3">
        <f>IF(B1354="","",SUMIFS('inventory ledger'!$H:$H,'inventory ledger'!$C:$C,C1354,'inventory ledger'!$D:$D,D1354,'inventory ledger'!$E:$E,E1354,'inventory ledger'!$A:$A,"&lt;="&amp;B1354+TIME(23,59,59))-SUMIFS('inventory ledger'!$I:$I,'inventory ledger'!$C:$C,C1354,'inventory ledger'!$D:$D,D1354,'inventory ledger'!$E:$E,E1354,'inventory ledger'!$A:$A,"&lt;="&amp;B1354+TIME(23,59,59)))</f>
        <v>0</v>
      </c>
      <c r="G1354" s="3">
        <f>IFERROR(__xludf.DUMMYFUNCTION("IF(F1354&lt;=0,0,IFERROR(ROUNDUP(F1354/INDEX(FILTER('warehouse config'!$D:$D,('warehouse config'!$B:$B=C1354)*('warehouse config'!$C:$C=D1354)*('warehouse config'!$G:$G&lt;=B1354)*(('warehouse config'!$H:$H&gt;=B1354)+ISBLANK('warehouse config'!$H:$H))),1)),0))"),0.0)</f>
        <v>0</v>
      </c>
      <c r="H1354" s="3">
        <f>IFERROR(__xludf.DUMMYFUNCTION("IFERROR(INDEX(FILTER('cost master'!$E:$E,('cost master'!$B:$B=C1354)*('cost master'!$D:$D=""Storage cost per pallet / week"")*('cost master'!$G:$G&lt;=B1354)*(('cost master'!$H:$H&gt;=B1354)+ISBLANK('cost master'!$H:$H))),1),0)"),9.0)</f>
        <v>9</v>
      </c>
      <c r="I1354" s="3">
        <f t="shared" si="4"/>
        <v>0</v>
      </c>
      <c r="J1354" s="27">
        <f t="shared" si="5"/>
        <v>45916</v>
      </c>
      <c r="K1354" s="27">
        <f t="shared" si="6"/>
        <v>45945</v>
      </c>
    </row>
    <row r="1355" hidden="1">
      <c r="A1355" s="3" t="str">
        <f t="shared" si="3"/>
        <v>SL-20251006-Vglobal-CS 007-13</v>
      </c>
      <c r="B1355" s="2">
        <f t="array" ref="B1355">INDEX(helper!$A$3:$A3996,ROUNDUP((ROW()-1)/COUNTA(helper!$D$3:$D3996),0))</f>
        <v>45936</v>
      </c>
      <c r="C1355" s="5" t="str">
        <f t="array" ref="C1355">IF(B1355="","",INDEX(helper!$D$3:$D3996,MOD(ROW()-2,COUNTA(helper!$D$3:$D3996))+1))</f>
        <v>Vglobal</v>
      </c>
      <c r="D1355" s="3" t="str">
        <f t="array" ref="D1355">IF(B1355="","",INDEX(helper!$E$3:$E3996,MOD(ROW()-2,COUNTA(helper!$D$3:$D3996))+1))</f>
        <v>CS 007</v>
      </c>
      <c r="E1355" s="3">
        <f t="array" ref="E1355">IF(B1355="","",INDEX(helper!$F$3:$F3996,MOD(ROW()-2,COUNTA(helper!$D$3:$D3996))+1))</f>
        <v>13</v>
      </c>
      <c r="F1355" s="3">
        <f>IF(B1355="","",SUMIFS('inventory ledger'!$H:$H,'inventory ledger'!$C:$C,C1355,'inventory ledger'!$D:$D,D1355,'inventory ledger'!$E:$E,E1355,'inventory ledger'!$A:$A,"&lt;="&amp;B1355+TIME(23,59,59))-SUMIFS('inventory ledger'!$I:$I,'inventory ledger'!$C:$C,C1355,'inventory ledger'!$D:$D,D1355,'inventory ledger'!$E:$E,E1355,'inventory ledger'!$A:$A,"&lt;="&amp;B1355+TIME(23,59,59)))</f>
        <v>45</v>
      </c>
      <c r="G1355" s="3">
        <f>IFERROR(__xludf.DUMMYFUNCTION("IF(F1355&lt;=0,0,IFERROR(ROUNDUP(F1355/INDEX(FILTER('warehouse config'!$D:$D,('warehouse config'!$B:$B=C1355)*('warehouse config'!$C:$C=D1355)*('warehouse config'!$G:$G&lt;=B1355)*(('warehouse config'!$H:$H&gt;=B1355)+ISBLANK('warehouse config'!$H:$H))),1)),0))"),3.0)</f>
        <v>3</v>
      </c>
      <c r="H1355" s="3">
        <f>IFERROR(__xludf.DUMMYFUNCTION("IFERROR(INDEX(FILTER('cost master'!$E:$E,('cost master'!$B:$B=C1355)*('cost master'!$D:$D=""Storage cost per pallet / week"")*('cost master'!$G:$G&lt;=B1355)*(('cost master'!$H:$H&gt;=B1355)+ISBLANK('cost master'!$H:$H))),1),0)"),2.6)</f>
        <v>2.6</v>
      </c>
      <c r="I1355" s="3">
        <f t="shared" si="4"/>
        <v>7.8</v>
      </c>
      <c r="J1355" s="27">
        <f t="shared" si="5"/>
        <v>45916</v>
      </c>
      <c r="K1355" s="27">
        <f t="shared" si="6"/>
        <v>45945</v>
      </c>
    </row>
    <row r="1356" hidden="1">
      <c r="A1356" s="3" t="str">
        <f t="shared" si="3"/>
        <v>SL-20251006-Vglobal-CS 011-13</v>
      </c>
      <c r="B1356" s="2">
        <f t="array" ref="B1356">INDEX(helper!$A$3:$A3996,ROUNDUP((ROW()-1)/COUNTA(helper!$D$3:$D3996),0))</f>
        <v>45936</v>
      </c>
      <c r="C1356" s="5" t="str">
        <f t="array" ref="C1356">IF(B1356="","",INDEX(helper!$D$3:$D3996,MOD(ROW()-2,COUNTA(helper!$D$3:$D3996))+1))</f>
        <v>Vglobal</v>
      </c>
      <c r="D1356" s="3" t="str">
        <f t="array" ref="D1356">IF(B1356="","",INDEX(helper!$E$3:$E3996,MOD(ROW()-2,COUNTA(helper!$D$3:$D3996))+1))</f>
        <v>CS 011</v>
      </c>
      <c r="E1356" s="3">
        <f t="array" ref="E1356">IF(B1356="","",INDEX(helper!$F$3:$F3996,MOD(ROW()-2,COUNTA(helper!$D$3:$D3996))+1))</f>
        <v>13</v>
      </c>
      <c r="F1356" s="3">
        <f>IF(B1356="","",SUMIFS('inventory ledger'!$H:$H,'inventory ledger'!$C:$C,C1356,'inventory ledger'!$D:$D,D1356,'inventory ledger'!$E:$E,E1356,'inventory ledger'!$A:$A,"&lt;="&amp;B1356+TIME(23,59,59))-SUMIFS('inventory ledger'!$I:$I,'inventory ledger'!$C:$C,C1356,'inventory ledger'!$D:$D,D1356,'inventory ledger'!$E:$E,E1356,'inventory ledger'!$A:$A,"&lt;="&amp;B1356+TIME(23,59,59)))</f>
        <v>0</v>
      </c>
      <c r="G1356" s="3">
        <f>IFERROR(__xludf.DUMMYFUNCTION("IF(F1356&lt;=0,0,IFERROR(ROUNDUP(F1356/INDEX(FILTER('warehouse config'!$D:$D,('warehouse config'!$B:$B=C1356)*('warehouse config'!$C:$C=D1356)*('warehouse config'!$G:$G&lt;=B1356)*(('warehouse config'!$H:$H&gt;=B1356)+ISBLANK('warehouse config'!$H:$H))),1)),0))"),0.0)</f>
        <v>0</v>
      </c>
      <c r="H1356" s="3">
        <f>IFERROR(__xludf.DUMMYFUNCTION("IFERROR(INDEX(FILTER('cost master'!$E:$E,('cost master'!$B:$B=C1356)*('cost master'!$D:$D=""Storage cost per pallet / week"")*('cost master'!$G:$G&lt;=B1356)*(('cost master'!$H:$H&gt;=B1356)+ISBLANK('cost master'!$H:$H))),1),0)"),2.6)</f>
        <v>2.6</v>
      </c>
      <c r="I1356" s="3">
        <f t="shared" si="4"/>
        <v>0</v>
      </c>
      <c r="J1356" s="27">
        <f t="shared" si="5"/>
        <v>45916</v>
      </c>
      <c r="K1356" s="27">
        <f t="shared" si="6"/>
        <v>45945</v>
      </c>
    </row>
    <row r="1357" hidden="1">
      <c r="A1357" s="3" t="str">
        <f t="shared" si="3"/>
        <v>SL-20251006-Vglobal-CS 008-13</v>
      </c>
      <c r="B1357" s="2">
        <f t="array" ref="B1357">INDEX(helper!$A$3:$A3996,ROUNDUP((ROW()-1)/COUNTA(helper!$D$3:$D3996),0))</f>
        <v>45936</v>
      </c>
      <c r="C1357" s="5" t="str">
        <f t="array" ref="C1357">IF(B1357="","",INDEX(helper!$D$3:$D3996,MOD(ROW()-2,COUNTA(helper!$D$3:$D3996))+1))</f>
        <v>Vglobal</v>
      </c>
      <c r="D1357" s="3" t="str">
        <f t="array" ref="D1357">IF(B1357="","",INDEX(helper!$E$3:$E3996,MOD(ROW()-2,COUNTA(helper!$D$3:$D3996))+1))</f>
        <v>CS 008</v>
      </c>
      <c r="E1357" s="3">
        <f t="array" ref="E1357">IF(B1357="","",INDEX(helper!$F$3:$F3996,MOD(ROW()-2,COUNTA(helper!$D$3:$D3996))+1))</f>
        <v>13</v>
      </c>
      <c r="F1357" s="3">
        <f>IF(B1357="","",SUMIFS('inventory ledger'!$H:$H,'inventory ledger'!$C:$C,C1357,'inventory ledger'!$D:$D,D1357,'inventory ledger'!$E:$E,E1357,'inventory ledger'!$A:$A,"&lt;="&amp;B1357+TIME(23,59,59))-SUMIFS('inventory ledger'!$I:$I,'inventory ledger'!$C:$C,C1357,'inventory ledger'!$D:$D,D1357,'inventory ledger'!$E:$E,E1357,'inventory ledger'!$A:$A,"&lt;="&amp;B1357+TIME(23,59,59)))</f>
        <v>20</v>
      </c>
      <c r="G1357" s="3">
        <f>IFERROR(__xludf.DUMMYFUNCTION("IF(F1357&lt;=0,0,IFERROR(ROUNDUP(F1357/INDEX(FILTER('warehouse config'!$D:$D,('warehouse config'!$B:$B=C1357)*('warehouse config'!$C:$C=D1357)*('warehouse config'!$G:$G&lt;=B1357)*(('warehouse config'!$H:$H&gt;=B1357)+ISBLANK('warehouse config'!$H:$H))),1)),0))"),1.0)</f>
        <v>1</v>
      </c>
      <c r="H1357" s="3">
        <f>IFERROR(__xludf.DUMMYFUNCTION("IFERROR(INDEX(FILTER('cost master'!$E:$E,('cost master'!$B:$B=C1357)*('cost master'!$D:$D=""Storage cost per pallet / week"")*('cost master'!$G:$G&lt;=B1357)*(('cost master'!$H:$H&gt;=B1357)+ISBLANK('cost master'!$H:$H))),1),0)"),2.6)</f>
        <v>2.6</v>
      </c>
      <c r="I1357" s="3">
        <f t="shared" si="4"/>
        <v>2.6</v>
      </c>
      <c r="J1357" s="27">
        <f t="shared" si="5"/>
        <v>45916</v>
      </c>
      <c r="K1357" s="27">
        <f t="shared" si="6"/>
        <v>45945</v>
      </c>
    </row>
    <row r="1358" hidden="1">
      <c r="A1358" s="3" t="str">
        <f t="shared" si="3"/>
        <v>SL-20251006-Vglobal-CS 010-13</v>
      </c>
      <c r="B1358" s="2">
        <f t="array" ref="B1358">INDEX(helper!$A$3:$A3996,ROUNDUP((ROW()-1)/COUNTA(helper!$D$3:$D3996),0))</f>
        <v>45936</v>
      </c>
      <c r="C1358" s="5" t="str">
        <f t="array" ref="C1358">IF(B1358="","",INDEX(helper!$D$3:$D3996,MOD(ROW()-2,COUNTA(helper!$D$3:$D3996))+1))</f>
        <v>Vglobal</v>
      </c>
      <c r="D1358" s="3" t="str">
        <f t="array" ref="D1358">IF(B1358="","",INDEX(helper!$E$3:$E3996,MOD(ROW()-2,COUNTA(helper!$D$3:$D3996))+1))</f>
        <v>CS 010</v>
      </c>
      <c r="E1358" s="3">
        <f t="array" ref="E1358">IF(B1358="","",INDEX(helper!$F$3:$F3996,MOD(ROW()-2,COUNTA(helper!$D$3:$D3996))+1))</f>
        <v>13</v>
      </c>
      <c r="F1358" s="3">
        <f>IF(B1358="","",SUMIFS('inventory ledger'!$H:$H,'inventory ledger'!$C:$C,C1358,'inventory ledger'!$D:$D,D1358,'inventory ledger'!$E:$E,E1358,'inventory ledger'!$A:$A,"&lt;="&amp;B1358+TIME(23,59,59))-SUMIFS('inventory ledger'!$I:$I,'inventory ledger'!$C:$C,C1358,'inventory ledger'!$D:$D,D1358,'inventory ledger'!$E:$E,E1358,'inventory ledger'!$A:$A,"&lt;="&amp;B1358+TIME(23,59,59)))</f>
        <v>80</v>
      </c>
      <c r="G1358" s="3">
        <f>IFERROR(__xludf.DUMMYFUNCTION("IF(F1358&lt;=0,0,IFERROR(ROUNDUP(F1358/INDEX(FILTER('warehouse config'!$D:$D,('warehouse config'!$B:$B=C1358)*('warehouse config'!$C:$C=D1358)*('warehouse config'!$G:$G&lt;=B1358)*(('warehouse config'!$H:$H&gt;=B1358)+ISBLANK('warehouse config'!$H:$H))),1)),0))"),4.0)</f>
        <v>4</v>
      </c>
      <c r="H1358" s="3">
        <f>IFERROR(__xludf.DUMMYFUNCTION("IFERROR(INDEX(FILTER('cost master'!$E:$E,('cost master'!$B:$B=C1358)*('cost master'!$D:$D=""Storage cost per pallet / week"")*('cost master'!$G:$G&lt;=B1358)*(('cost master'!$H:$H&gt;=B1358)+ISBLANK('cost master'!$H:$H))),1),0)"),2.6)</f>
        <v>2.6</v>
      </c>
      <c r="I1358" s="3">
        <f t="shared" si="4"/>
        <v>10.4</v>
      </c>
      <c r="J1358" s="27">
        <f t="shared" si="5"/>
        <v>45916</v>
      </c>
      <c r="K1358" s="27">
        <f t="shared" si="6"/>
        <v>45945</v>
      </c>
    </row>
    <row r="1359" hidden="1">
      <c r="A1359" s="3" t="str">
        <f t="shared" si="3"/>
        <v>SL-20251006-Vglobal-CS 009-13</v>
      </c>
      <c r="B1359" s="2">
        <f t="array" ref="B1359">INDEX(helper!$A$3:$A3996,ROUNDUP((ROW()-1)/COUNTA(helper!$D$3:$D3996),0))</f>
        <v>45936</v>
      </c>
      <c r="C1359" s="5" t="str">
        <f t="array" ref="C1359">IF(B1359="","",INDEX(helper!$D$3:$D3996,MOD(ROW()-2,COUNTA(helper!$D$3:$D3996))+1))</f>
        <v>Vglobal</v>
      </c>
      <c r="D1359" s="3" t="str">
        <f t="array" ref="D1359">IF(B1359="","",INDEX(helper!$E$3:$E3996,MOD(ROW()-2,COUNTA(helper!$D$3:$D3996))+1))</f>
        <v>CS 009</v>
      </c>
      <c r="E1359" s="3">
        <f t="array" ref="E1359">IF(B1359="","",INDEX(helper!$F$3:$F3996,MOD(ROW()-2,COUNTA(helper!$D$3:$D3996))+1))</f>
        <v>13</v>
      </c>
      <c r="F1359" s="3">
        <f>IF(B1359="","",SUMIFS('inventory ledger'!$H:$H,'inventory ledger'!$C:$C,C1359,'inventory ledger'!$D:$D,D1359,'inventory ledger'!$E:$E,E1359,'inventory ledger'!$A:$A,"&lt;="&amp;B1359+TIME(23,59,59))-SUMIFS('inventory ledger'!$I:$I,'inventory ledger'!$C:$C,C1359,'inventory ledger'!$D:$D,D1359,'inventory ledger'!$E:$E,E1359,'inventory ledger'!$A:$A,"&lt;="&amp;B1359+TIME(23,59,59)))</f>
        <v>0</v>
      </c>
      <c r="G1359" s="3">
        <f>IFERROR(__xludf.DUMMYFUNCTION("IF(F1359&lt;=0,0,IFERROR(ROUNDUP(F1359/INDEX(FILTER('warehouse config'!$D:$D,('warehouse config'!$B:$B=C1359)*('warehouse config'!$C:$C=D1359)*('warehouse config'!$G:$G&lt;=B1359)*(('warehouse config'!$H:$H&gt;=B1359)+ISBLANK('warehouse config'!$H:$H))),1)),0))"),0.0)</f>
        <v>0</v>
      </c>
      <c r="H1359" s="3">
        <f>IFERROR(__xludf.DUMMYFUNCTION("IFERROR(INDEX(FILTER('cost master'!$E:$E,('cost master'!$B:$B=C1359)*('cost master'!$D:$D=""Storage cost per pallet / week"")*('cost master'!$G:$G&lt;=B1359)*(('cost master'!$H:$H&gt;=B1359)+ISBLANK('cost master'!$H:$H))),1),0)"),2.6)</f>
        <v>2.6</v>
      </c>
      <c r="I1359" s="3">
        <f t="shared" si="4"/>
        <v>0</v>
      </c>
      <c r="J1359" s="27">
        <f t="shared" si="5"/>
        <v>45916</v>
      </c>
      <c r="K1359" s="27">
        <f t="shared" si="6"/>
        <v>45945</v>
      </c>
    </row>
    <row r="1360" hidden="1">
      <c r="A1360" s="3" t="str">
        <f t="shared" si="3"/>
        <v>SL-20251006-Vglobal-CS 012-13</v>
      </c>
      <c r="B1360" s="2">
        <f t="array" ref="B1360">INDEX(helper!$A$3:$A3996,ROUNDUP((ROW()-1)/COUNTA(helper!$D$3:$D3996),0))</f>
        <v>45936</v>
      </c>
      <c r="C1360" s="5" t="str">
        <f t="array" ref="C1360">IF(B1360="","",INDEX(helper!$D$3:$D3996,MOD(ROW()-2,COUNTA(helper!$D$3:$D3996))+1))</f>
        <v>Vglobal</v>
      </c>
      <c r="D1360" s="3" t="str">
        <f t="array" ref="D1360">IF(B1360="","",INDEX(helper!$E$3:$E3996,MOD(ROW()-2,COUNTA(helper!$D$3:$D3996))+1))</f>
        <v>CS 012</v>
      </c>
      <c r="E1360" s="3">
        <f t="array" ref="E1360">IF(B1360="","",INDEX(helper!$F$3:$F3996,MOD(ROW()-2,COUNTA(helper!$D$3:$D3996))+1))</f>
        <v>13</v>
      </c>
      <c r="F1360" s="3">
        <f>IF(B1360="","",SUMIFS('inventory ledger'!$H:$H,'inventory ledger'!$C:$C,C1360,'inventory ledger'!$D:$D,D1360,'inventory ledger'!$E:$E,E1360,'inventory ledger'!$A:$A,"&lt;="&amp;B1360+TIME(23,59,59))-SUMIFS('inventory ledger'!$I:$I,'inventory ledger'!$C:$C,C1360,'inventory ledger'!$D:$D,D1360,'inventory ledger'!$E:$E,E1360,'inventory ledger'!$A:$A,"&lt;="&amp;B1360+TIME(23,59,59)))</f>
        <v>0</v>
      </c>
      <c r="G1360" s="3">
        <f>IFERROR(__xludf.DUMMYFUNCTION("IF(F1360&lt;=0,0,IFERROR(ROUNDUP(F1360/INDEX(FILTER('warehouse config'!$D:$D,('warehouse config'!$B:$B=C1360)*('warehouse config'!$C:$C=D1360)*('warehouse config'!$G:$G&lt;=B1360)*(('warehouse config'!$H:$H&gt;=B1360)+ISBLANK('warehouse config'!$H:$H))),1)),0))"),0.0)</f>
        <v>0</v>
      </c>
      <c r="H1360" s="3">
        <f>IFERROR(__xludf.DUMMYFUNCTION("IFERROR(INDEX(FILTER('cost master'!$E:$E,('cost master'!$B:$B=C1360)*('cost master'!$D:$D=""Storage cost per pallet / week"")*('cost master'!$G:$G&lt;=B1360)*(('cost master'!$H:$H&gt;=B1360)+ISBLANK('cost master'!$H:$H))),1),0)"),2.6)</f>
        <v>2.6</v>
      </c>
      <c r="I1360" s="3">
        <f t="shared" si="4"/>
        <v>0</v>
      </c>
      <c r="J1360" s="27">
        <f t="shared" si="5"/>
        <v>45916</v>
      </c>
      <c r="K1360" s="27">
        <f t="shared" si="6"/>
        <v>45945</v>
      </c>
    </row>
    <row r="1361">
      <c r="A1361" s="3" t="str">
        <f t="shared" si="3"/>
        <v>SL-20251006-FMC-CS 008-11</v>
      </c>
      <c r="B1361" s="2">
        <f t="array" ref="B1361">INDEX(helper!$A$3:$A3996,ROUNDUP((ROW()-1)/COUNTA(helper!$D$3:$D3996),0))</f>
        <v>45936</v>
      </c>
      <c r="C1361" s="5" t="str">
        <f t="array" ref="C1361">IF(B1361="","",INDEX(helper!$D$3:$D3996,MOD(ROW()-2,COUNTA(helper!$D$3:$D3996))+1))</f>
        <v>FMC</v>
      </c>
      <c r="D1361" s="3" t="str">
        <f t="array" ref="D1361">IF(B1361="","",INDEX(helper!$E$3:$E3996,MOD(ROW()-2,COUNTA(helper!$D$3:$D3996))+1))</f>
        <v>CS 008</v>
      </c>
      <c r="E1361" s="3">
        <f t="array" ref="E1361">IF(B1361="","",INDEX(helper!$F$3:$F3996,MOD(ROW()-2,COUNTA(helper!$D$3:$D3996))+1))</f>
        <v>11</v>
      </c>
      <c r="F1361" s="3">
        <f>IF(B1361="","",SUMIFS('inventory ledger'!$H:$H,'inventory ledger'!$C:$C,C1361,'inventory ledger'!$D:$D,D1361,'inventory ledger'!$E:$E,E1361,'inventory ledger'!$A:$A,"&lt;="&amp;B1361+TIME(23,59,59))-SUMIFS('inventory ledger'!$I:$I,'inventory ledger'!$C:$C,C1361,'inventory ledger'!$D:$D,D1361,'inventory ledger'!$E:$E,E1361,'inventory ledger'!$A:$A,"&lt;="&amp;B1361+TIME(23,59,59)))</f>
        <v>-2</v>
      </c>
      <c r="G1361" s="3">
        <f>IFERROR(__xludf.DUMMYFUNCTION("IF(F1361&lt;=0,0,IFERROR(ROUNDUP(F1361/INDEX(FILTER('warehouse config'!$D:$D,('warehouse config'!$B:$B=C1361)*('warehouse config'!$C:$C=D1361)*('warehouse config'!$G:$G&lt;=B1361)*(('warehouse config'!$H:$H&gt;=B1361)+ISBLANK('warehouse config'!$H:$H))),1)),0))"),0.0)</f>
        <v>0</v>
      </c>
      <c r="H1361" s="3">
        <f>IFERROR(__xludf.DUMMYFUNCTION("IFERROR(INDEX(FILTER('cost master'!$E:$E,('cost master'!$B:$B=C1361)*('cost master'!$D:$D=""Storage cost per pallet / week"")*('cost master'!$G:$G&lt;=B1361)*(('cost master'!$H:$H&gt;=B1361)+ISBLANK('cost master'!$H:$H))),1),0)"),3.9)</f>
        <v>3.9</v>
      </c>
      <c r="I1361" s="3">
        <f t="shared" si="4"/>
        <v>0</v>
      </c>
      <c r="J1361" s="27">
        <f t="shared" si="5"/>
        <v>45916</v>
      </c>
      <c r="K1361" s="27">
        <f t="shared" si="6"/>
        <v>45945</v>
      </c>
    </row>
    <row r="1362" hidden="1">
      <c r="A1362" s="3" t="str">
        <f t="shared" si="3"/>
        <v>SL-20251013-FMC-CS 007-8</v>
      </c>
      <c r="B1362" s="2">
        <f t="array" ref="B1362">INDEX(helper!$A$3:$A3996,ROUNDUP((ROW()-1)/COUNTA(helper!$D$3:$D3996),0))</f>
        <v>45943</v>
      </c>
      <c r="C1362" s="5" t="str">
        <f t="array" ref="C1362">IF(B1362="","",INDEX(helper!$D$3:$D3996,MOD(ROW()-2,COUNTA(helper!$D$3:$D3996))+1))</f>
        <v>FMC</v>
      </c>
      <c r="D1362" s="3" t="str">
        <f t="array" ref="D1362">IF(B1362="","",INDEX(helper!$E$3:$E3996,MOD(ROW()-2,COUNTA(helper!$D$3:$D3996))+1))</f>
        <v>CS 007</v>
      </c>
      <c r="E1362" s="3">
        <f t="array" ref="E1362">IF(B1362="","",INDEX(helper!$F$3:$F3996,MOD(ROW()-2,COUNTA(helper!$D$3:$D3996))+1))</f>
        <v>8</v>
      </c>
      <c r="F1362" s="3">
        <f>IF(B1362="","",SUMIFS('inventory ledger'!$H:$H,'inventory ledger'!$C:$C,C1362,'inventory ledger'!$D:$D,D1362,'inventory ledger'!$E:$E,E1362,'inventory ledger'!$A:$A,"&lt;="&amp;B1362+TIME(23,59,59))-SUMIFS('inventory ledger'!$I:$I,'inventory ledger'!$C:$C,C1362,'inventory ledger'!$D:$D,D1362,'inventory ledger'!$E:$E,E1362,'inventory ledger'!$A:$A,"&lt;="&amp;B1362+TIME(23,59,59)))</f>
        <v>0</v>
      </c>
      <c r="G1362" s="3">
        <f>IFERROR(__xludf.DUMMYFUNCTION("IF(F1362&lt;=0,0,IFERROR(ROUNDUP(F1362/INDEX(FILTER('warehouse config'!$D:$D,('warehouse config'!$B:$B=C1362)*('warehouse config'!$C:$C=D1362)*('warehouse config'!$G:$G&lt;=B1362)*(('warehouse config'!$H:$H&gt;=B1362)+ISBLANK('warehouse config'!$H:$H))),1)),0))"),0.0)</f>
        <v>0</v>
      </c>
      <c r="H1362" s="3">
        <f>IFERROR(__xludf.DUMMYFUNCTION("IFERROR(INDEX(FILTER('cost master'!$E:$E,('cost master'!$B:$B=C1362)*('cost master'!$D:$D=""Storage cost per pallet / week"")*('cost master'!$G:$G&lt;=B1362)*(('cost master'!$H:$H&gt;=B1362)+ISBLANK('cost master'!$H:$H))),1),0)"),3.9)</f>
        <v>3.9</v>
      </c>
      <c r="I1362" s="3">
        <f t="shared" si="4"/>
        <v>0</v>
      </c>
      <c r="J1362" s="27">
        <f t="shared" si="5"/>
        <v>45916</v>
      </c>
      <c r="K1362" s="27">
        <f t="shared" si="6"/>
        <v>45945</v>
      </c>
    </row>
    <row r="1363" hidden="1">
      <c r="A1363" s="3" t="str">
        <f t="shared" si="3"/>
        <v>SL-20251013-FMC-CS 008-8</v>
      </c>
      <c r="B1363" s="2">
        <f t="array" ref="B1363">INDEX(helper!$A$3:$A3996,ROUNDUP((ROW()-1)/COUNTA(helper!$D$3:$D3996),0))</f>
        <v>45943</v>
      </c>
      <c r="C1363" s="5" t="str">
        <f t="array" ref="C1363">IF(B1363="","",INDEX(helper!$D$3:$D3996,MOD(ROW()-2,COUNTA(helper!$D$3:$D3996))+1))</f>
        <v>FMC</v>
      </c>
      <c r="D1363" s="3" t="str">
        <f t="array" ref="D1363">IF(B1363="","",INDEX(helper!$E$3:$E3996,MOD(ROW()-2,COUNTA(helper!$D$3:$D3996))+1))</f>
        <v>CS 008</v>
      </c>
      <c r="E1363" s="3">
        <f t="array" ref="E1363">IF(B1363="","",INDEX(helper!$F$3:$F3996,MOD(ROW()-2,COUNTA(helper!$D$3:$D3996))+1))</f>
        <v>8</v>
      </c>
      <c r="F1363" s="3">
        <f>IF(B1363="","",SUMIFS('inventory ledger'!$H:$H,'inventory ledger'!$C:$C,C1363,'inventory ledger'!$D:$D,D1363,'inventory ledger'!$E:$E,E1363,'inventory ledger'!$A:$A,"&lt;="&amp;B1363+TIME(23,59,59))-SUMIFS('inventory ledger'!$I:$I,'inventory ledger'!$C:$C,C1363,'inventory ledger'!$D:$D,D1363,'inventory ledger'!$E:$E,E1363,'inventory ledger'!$A:$A,"&lt;="&amp;B1363+TIME(23,59,59)))</f>
        <v>0</v>
      </c>
      <c r="G1363" s="3">
        <f>IFERROR(__xludf.DUMMYFUNCTION("IF(F1363&lt;=0,0,IFERROR(ROUNDUP(F1363/INDEX(FILTER('warehouse config'!$D:$D,('warehouse config'!$B:$B=C1363)*('warehouse config'!$C:$C=D1363)*('warehouse config'!$G:$G&lt;=B1363)*(('warehouse config'!$H:$H&gt;=B1363)+ISBLANK('warehouse config'!$H:$H))),1)),0))"),0.0)</f>
        <v>0</v>
      </c>
      <c r="H1363" s="3">
        <f>IFERROR(__xludf.DUMMYFUNCTION("IFERROR(INDEX(FILTER('cost master'!$E:$E,('cost master'!$B:$B=C1363)*('cost master'!$D:$D=""Storage cost per pallet / week"")*('cost master'!$G:$G&lt;=B1363)*(('cost master'!$H:$H&gt;=B1363)+ISBLANK('cost master'!$H:$H))),1),0)"),3.9)</f>
        <v>3.9</v>
      </c>
      <c r="I1363" s="3">
        <f t="shared" si="4"/>
        <v>0</v>
      </c>
      <c r="J1363" s="27">
        <f t="shared" si="5"/>
        <v>45916</v>
      </c>
      <c r="K1363" s="27">
        <f t="shared" si="6"/>
        <v>45945</v>
      </c>
    </row>
    <row r="1364" hidden="1">
      <c r="A1364" s="3" t="str">
        <f t="shared" si="3"/>
        <v>SL-20251013-FMC-CS 009-8</v>
      </c>
      <c r="B1364" s="2">
        <f t="array" ref="B1364">INDEX(helper!$A$3:$A3996,ROUNDUP((ROW()-1)/COUNTA(helper!$D$3:$D3996),0))</f>
        <v>45943</v>
      </c>
      <c r="C1364" s="5" t="str">
        <f t="array" ref="C1364">IF(B1364="","",INDEX(helper!$D$3:$D3996,MOD(ROW()-2,COUNTA(helper!$D$3:$D3996))+1))</f>
        <v>FMC</v>
      </c>
      <c r="D1364" s="3" t="str">
        <f t="array" ref="D1364">IF(B1364="","",INDEX(helper!$E$3:$E3996,MOD(ROW()-2,COUNTA(helper!$D$3:$D3996))+1))</f>
        <v>CS 009</v>
      </c>
      <c r="E1364" s="3">
        <f t="array" ref="E1364">IF(B1364="","",INDEX(helper!$F$3:$F3996,MOD(ROW()-2,COUNTA(helper!$D$3:$D3996))+1))</f>
        <v>8</v>
      </c>
      <c r="F1364" s="3">
        <f>IF(B1364="","",SUMIFS('inventory ledger'!$H:$H,'inventory ledger'!$C:$C,C1364,'inventory ledger'!$D:$D,D1364,'inventory ledger'!$E:$E,E1364,'inventory ledger'!$A:$A,"&lt;="&amp;B1364+TIME(23,59,59))-SUMIFS('inventory ledger'!$I:$I,'inventory ledger'!$C:$C,C1364,'inventory ledger'!$D:$D,D1364,'inventory ledger'!$E:$E,E1364,'inventory ledger'!$A:$A,"&lt;="&amp;B1364+TIME(23,59,59)))</f>
        <v>0</v>
      </c>
      <c r="G1364" s="3">
        <f>IFERROR(__xludf.DUMMYFUNCTION("IF(F1364&lt;=0,0,IFERROR(ROUNDUP(F1364/INDEX(FILTER('warehouse config'!$D:$D,('warehouse config'!$B:$B=C1364)*('warehouse config'!$C:$C=D1364)*('warehouse config'!$G:$G&lt;=B1364)*(('warehouse config'!$H:$H&gt;=B1364)+ISBLANK('warehouse config'!$H:$H))),1)),0))"),0.0)</f>
        <v>0</v>
      </c>
      <c r="H1364" s="3">
        <f>IFERROR(__xludf.DUMMYFUNCTION("IFERROR(INDEX(FILTER('cost master'!$E:$E,('cost master'!$B:$B=C1364)*('cost master'!$D:$D=""Storage cost per pallet / week"")*('cost master'!$G:$G&lt;=B1364)*(('cost master'!$H:$H&gt;=B1364)+ISBLANK('cost master'!$H:$H))),1),0)"),3.9)</f>
        <v>3.9</v>
      </c>
      <c r="I1364" s="3">
        <f t="shared" si="4"/>
        <v>0</v>
      </c>
      <c r="J1364" s="27">
        <f t="shared" si="5"/>
        <v>45916</v>
      </c>
      <c r="K1364" s="27">
        <f t="shared" si="6"/>
        <v>45945</v>
      </c>
    </row>
    <row r="1365" hidden="1">
      <c r="A1365" s="3" t="str">
        <f t="shared" si="3"/>
        <v>SL-20251013-FMC-CS 010-8</v>
      </c>
      <c r="B1365" s="2">
        <f t="array" ref="B1365">INDEX(helper!$A$3:$A3996,ROUNDUP((ROW()-1)/COUNTA(helper!$D$3:$D3996),0))</f>
        <v>45943</v>
      </c>
      <c r="C1365" s="5" t="str">
        <f t="array" ref="C1365">IF(B1365="","",INDEX(helper!$D$3:$D3996,MOD(ROW()-2,COUNTA(helper!$D$3:$D3996))+1))</f>
        <v>FMC</v>
      </c>
      <c r="D1365" s="3" t="str">
        <f t="array" ref="D1365">IF(B1365="","",INDEX(helper!$E$3:$E3996,MOD(ROW()-2,COUNTA(helper!$D$3:$D3996))+1))</f>
        <v>CS 010</v>
      </c>
      <c r="E1365" s="3">
        <f t="array" ref="E1365">IF(B1365="","",INDEX(helper!$F$3:$F3996,MOD(ROW()-2,COUNTA(helper!$D$3:$D3996))+1))</f>
        <v>8</v>
      </c>
      <c r="F1365" s="3">
        <f>IF(B1365="","",SUMIFS('inventory ledger'!$H:$H,'inventory ledger'!$C:$C,C1365,'inventory ledger'!$D:$D,D1365,'inventory ledger'!$E:$E,E1365,'inventory ledger'!$A:$A,"&lt;="&amp;B1365+TIME(23,59,59))-SUMIFS('inventory ledger'!$I:$I,'inventory ledger'!$C:$C,C1365,'inventory ledger'!$D:$D,D1365,'inventory ledger'!$E:$E,E1365,'inventory ledger'!$A:$A,"&lt;="&amp;B1365+TIME(23,59,59)))</f>
        <v>0</v>
      </c>
      <c r="G1365" s="3">
        <f>IFERROR(__xludf.DUMMYFUNCTION("IF(F1365&lt;=0,0,IFERROR(ROUNDUP(F1365/INDEX(FILTER('warehouse config'!$D:$D,('warehouse config'!$B:$B=C1365)*('warehouse config'!$C:$C=D1365)*('warehouse config'!$G:$G&lt;=B1365)*(('warehouse config'!$H:$H&gt;=B1365)+ISBLANK('warehouse config'!$H:$H))),1)),0))"),0.0)</f>
        <v>0</v>
      </c>
      <c r="H1365" s="3">
        <f>IFERROR(__xludf.DUMMYFUNCTION("IFERROR(INDEX(FILTER('cost master'!$E:$E,('cost master'!$B:$B=C1365)*('cost master'!$D:$D=""Storage cost per pallet / week"")*('cost master'!$G:$G&lt;=B1365)*(('cost master'!$H:$H&gt;=B1365)+ISBLANK('cost master'!$H:$H))),1),0)"),3.9)</f>
        <v>3.9</v>
      </c>
      <c r="I1365" s="3">
        <f t="shared" si="4"/>
        <v>0</v>
      </c>
      <c r="J1365" s="27">
        <f t="shared" si="5"/>
        <v>45916</v>
      </c>
      <c r="K1365" s="27">
        <f t="shared" si="6"/>
        <v>45945</v>
      </c>
    </row>
    <row r="1366" hidden="1">
      <c r="A1366" s="3" t="str">
        <f t="shared" si="3"/>
        <v>SL-20251013-FMC-CS 007-9</v>
      </c>
      <c r="B1366" s="2">
        <f t="array" ref="B1366">INDEX(helper!$A$3:$A3996,ROUNDUP((ROW()-1)/COUNTA(helper!$D$3:$D3996),0))</f>
        <v>45943</v>
      </c>
      <c r="C1366" s="5" t="str">
        <f t="array" ref="C1366">IF(B1366="","",INDEX(helper!$D$3:$D3996,MOD(ROW()-2,COUNTA(helper!$D$3:$D3996))+1))</f>
        <v>FMC</v>
      </c>
      <c r="D1366" s="3" t="str">
        <f t="array" ref="D1366">IF(B1366="","",INDEX(helper!$E$3:$E3996,MOD(ROW()-2,COUNTA(helper!$D$3:$D3996))+1))</f>
        <v>CS 007</v>
      </c>
      <c r="E1366" s="3">
        <f t="array" ref="E1366">IF(B1366="","",INDEX(helper!$F$3:$F3996,MOD(ROW()-2,COUNTA(helper!$D$3:$D3996))+1))</f>
        <v>9</v>
      </c>
      <c r="F1366" s="3">
        <f>IF(B1366="","",SUMIFS('inventory ledger'!$H:$H,'inventory ledger'!$C:$C,C1366,'inventory ledger'!$D:$D,D1366,'inventory ledger'!$E:$E,E1366,'inventory ledger'!$A:$A,"&lt;="&amp;B1366+TIME(23,59,59))-SUMIFS('inventory ledger'!$I:$I,'inventory ledger'!$C:$C,C1366,'inventory ledger'!$D:$D,D1366,'inventory ledger'!$E:$E,E1366,'inventory ledger'!$A:$A,"&lt;="&amp;B1366+TIME(23,59,59)))</f>
        <v>0</v>
      </c>
      <c r="G1366" s="3">
        <f>IFERROR(__xludf.DUMMYFUNCTION("IF(F1366&lt;=0,0,IFERROR(ROUNDUP(F1366/INDEX(FILTER('warehouse config'!$D:$D,('warehouse config'!$B:$B=C1366)*('warehouse config'!$C:$C=D1366)*('warehouse config'!$G:$G&lt;=B1366)*(('warehouse config'!$H:$H&gt;=B1366)+ISBLANK('warehouse config'!$H:$H))),1)),0))"),0.0)</f>
        <v>0</v>
      </c>
      <c r="H1366" s="3">
        <f>IFERROR(__xludf.DUMMYFUNCTION("IFERROR(INDEX(FILTER('cost master'!$E:$E,('cost master'!$B:$B=C1366)*('cost master'!$D:$D=""Storage cost per pallet / week"")*('cost master'!$G:$G&lt;=B1366)*(('cost master'!$H:$H&gt;=B1366)+ISBLANK('cost master'!$H:$H))),1),0)"),3.9)</f>
        <v>3.9</v>
      </c>
      <c r="I1366" s="3">
        <f t="shared" si="4"/>
        <v>0</v>
      </c>
      <c r="J1366" s="27">
        <f t="shared" si="5"/>
        <v>45916</v>
      </c>
      <c r="K1366" s="27">
        <f t="shared" si="6"/>
        <v>45945</v>
      </c>
    </row>
    <row r="1367" hidden="1">
      <c r="A1367" s="3" t="str">
        <f t="shared" si="3"/>
        <v>SL-20251013-FMC-CS 008-9</v>
      </c>
      <c r="B1367" s="2">
        <f t="array" ref="B1367">INDEX(helper!$A$3:$A3996,ROUNDUP((ROW()-1)/COUNTA(helper!$D$3:$D3996),0))</f>
        <v>45943</v>
      </c>
      <c r="C1367" s="5" t="str">
        <f t="array" ref="C1367">IF(B1367="","",INDEX(helper!$D$3:$D3996,MOD(ROW()-2,COUNTA(helper!$D$3:$D3996))+1))</f>
        <v>FMC</v>
      </c>
      <c r="D1367" s="3" t="str">
        <f t="array" ref="D1367">IF(B1367="","",INDEX(helper!$E$3:$E3996,MOD(ROW()-2,COUNTA(helper!$D$3:$D3996))+1))</f>
        <v>CS 008</v>
      </c>
      <c r="E1367" s="3">
        <f t="array" ref="E1367">IF(B1367="","",INDEX(helper!$F$3:$F3996,MOD(ROW()-2,COUNTA(helper!$D$3:$D3996))+1))</f>
        <v>9</v>
      </c>
      <c r="F1367" s="3">
        <f>IF(B1367="","",SUMIFS('inventory ledger'!$H:$H,'inventory ledger'!$C:$C,C1367,'inventory ledger'!$D:$D,D1367,'inventory ledger'!$E:$E,E1367,'inventory ledger'!$A:$A,"&lt;="&amp;B1367+TIME(23,59,59))-SUMIFS('inventory ledger'!$I:$I,'inventory ledger'!$C:$C,C1367,'inventory ledger'!$D:$D,D1367,'inventory ledger'!$E:$E,E1367,'inventory ledger'!$A:$A,"&lt;="&amp;B1367+TIME(23,59,59)))</f>
        <v>2</v>
      </c>
      <c r="G1367" s="3">
        <f>IFERROR(__xludf.DUMMYFUNCTION("IF(F1367&lt;=0,0,IFERROR(ROUNDUP(F1367/INDEX(FILTER('warehouse config'!$D:$D,('warehouse config'!$B:$B=C1367)*('warehouse config'!$C:$C=D1367)*('warehouse config'!$G:$G&lt;=B1367)*(('warehouse config'!$H:$H&gt;=B1367)+ISBLANK('warehouse config'!$H:$H))),1)),0))"),1.0)</f>
        <v>1</v>
      </c>
      <c r="H1367" s="3">
        <f>IFERROR(__xludf.DUMMYFUNCTION("IFERROR(INDEX(FILTER('cost master'!$E:$E,('cost master'!$B:$B=C1367)*('cost master'!$D:$D=""Storage cost per pallet / week"")*('cost master'!$G:$G&lt;=B1367)*(('cost master'!$H:$H&gt;=B1367)+ISBLANK('cost master'!$H:$H))),1),0)"),3.9)</f>
        <v>3.9</v>
      </c>
      <c r="I1367" s="3">
        <f t="shared" si="4"/>
        <v>3.9</v>
      </c>
      <c r="J1367" s="27">
        <f t="shared" si="5"/>
        <v>45916</v>
      </c>
      <c r="K1367" s="27">
        <f t="shared" si="6"/>
        <v>45945</v>
      </c>
    </row>
    <row r="1368" hidden="1">
      <c r="A1368" s="3" t="str">
        <f t="shared" si="3"/>
        <v>SL-20251013-FMC-CS 009-9</v>
      </c>
      <c r="B1368" s="2">
        <f t="array" ref="B1368">INDEX(helper!$A$3:$A3996,ROUNDUP((ROW()-1)/COUNTA(helper!$D$3:$D3996),0))</f>
        <v>45943</v>
      </c>
      <c r="C1368" s="5" t="str">
        <f t="array" ref="C1368">IF(B1368="","",INDEX(helper!$D$3:$D3996,MOD(ROW()-2,COUNTA(helper!$D$3:$D3996))+1))</f>
        <v>FMC</v>
      </c>
      <c r="D1368" s="3" t="str">
        <f t="array" ref="D1368">IF(B1368="","",INDEX(helper!$E$3:$E3996,MOD(ROW()-2,COUNTA(helper!$D$3:$D3996))+1))</f>
        <v>CS 009</v>
      </c>
      <c r="E1368" s="3">
        <f t="array" ref="E1368">IF(B1368="","",INDEX(helper!$F$3:$F3996,MOD(ROW()-2,COUNTA(helper!$D$3:$D3996))+1))</f>
        <v>9</v>
      </c>
      <c r="F1368" s="3">
        <f>IF(B1368="","",SUMIFS('inventory ledger'!$H:$H,'inventory ledger'!$C:$C,C1368,'inventory ledger'!$D:$D,D1368,'inventory ledger'!$E:$E,E1368,'inventory ledger'!$A:$A,"&lt;="&amp;B1368+TIME(23,59,59))-SUMIFS('inventory ledger'!$I:$I,'inventory ledger'!$C:$C,C1368,'inventory ledger'!$D:$D,D1368,'inventory ledger'!$E:$E,E1368,'inventory ledger'!$A:$A,"&lt;="&amp;B1368+TIME(23,59,59)))</f>
        <v>0</v>
      </c>
      <c r="G1368" s="3">
        <f>IFERROR(__xludf.DUMMYFUNCTION("IF(F1368&lt;=0,0,IFERROR(ROUNDUP(F1368/INDEX(FILTER('warehouse config'!$D:$D,('warehouse config'!$B:$B=C1368)*('warehouse config'!$C:$C=D1368)*('warehouse config'!$G:$G&lt;=B1368)*(('warehouse config'!$H:$H&gt;=B1368)+ISBLANK('warehouse config'!$H:$H))),1)),0))"),0.0)</f>
        <v>0</v>
      </c>
      <c r="H1368" s="3">
        <f>IFERROR(__xludf.DUMMYFUNCTION("IFERROR(INDEX(FILTER('cost master'!$E:$E,('cost master'!$B:$B=C1368)*('cost master'!$D:$D=""Storage cost per pallet / week"")*('cost master'!$G:$G&lt;=B1368)*(('cost master'!$H:$H&gt;=B1368)+ISBLANK('cost master'!$H:$H))),1),0)"),3.9)</f>
        <v>3.9</v>
      </c>
      <c r="I1368" s="3">
        <f t="shared" si="4"/>
        <v>0</v>
      </c>
      <c r="J1368" s="27">
        <f t="shared" si="5"/>
        <v>45916</v>
      </c>
      <c r="K1368" s="27">
        <f t="shared" si="6"/>
        <v>45945</v>
      </c>
    </row>
    <row r="1369" hidden="1">
      <c r="A1369" s="3" t="str">
        <f t="shared" si="3"/>
        <v>SL-20251013-FMC-CS 010-9</v>
      </c>
      <c r="B1369" s="2">
        <f t="array" ref="B1369">INDEX(helper!$A$3:$A3996,ROUNDUP((ROW()-1)/COUNTA(helper!$D$3:$D3996),0))</f>
        <v>45943</v>
      </c>
      <c r="C1369" s="5" t="str">
        <f t="array" ref="C1369">IF(B1369="","",INDEX(helper!$D$3:$D3996,MOD(ROW()-2,COUNTA(helper!$D$3:$D3996))+1))</f>
        <v>FMC</v>
      </c>
      <c r="D1369" s="3" t="str">
        <f t="array" ref="D1369">IF(B1369="","",INDEX(helper!$E$3:$E3996,MOD(ROW()-2,COUNTA(helper!$D$3:$D3996))+1))</f>
        <v>CS 010</v>
      </c>
      <c r="E1369" s="3">
        <f t="array" ref="E1369">IF(B1369="","",INDEX(helper!$F$3:$F3996,MOD(ROW()-2,COUNTA(helper!$D$3:$D3996))+1))</f>
        <v>9</v>
      </c>
      <c r="F1369" s="3">
        <f>IF(B1369="","",SUMIFS('inventory ledger'!$H:$H,'inventory ledger'!$C:$C,C1369,'inventory ledger'!$D:$D,D1369,'inventory ledger'!$E:$E,E1369,'inventory ledger'!$A:$A,"&lt;="&amp;B1369+TIME(23,59,59))-SUMIFS('inventory ledger'!$I:$I,'inventory ledger'!$C:$C,C1369,'inventory ledger'!$D:$D,D1369,'inventory ledger'!$E:$E,E1369,'inventory ledger'!$A:$A,"&lt;="&amp;B1369+TIME(23,59,59)))</f>
        <v>0</v>
      </c>
      <c r="G1369" s="3">
        <f>IFERROR(__xludf.DUMMYFUNCTION("IF(F1369&lt;=0,0,IFERROR(ROUNDUP(F1369/INDEX(FILTER('warehouse config'!$D:$D,('warehouse config'!$B:$B=C1369)*('warehouse config'!$C:$C=D1369)*('warehouse config'!$G:$G&lt;=B1369)*(('warehouse config'!$H:$H&gt;=B1369)+ISBLANK('warehouse config'!$H:$H))),1)),0))"),0.0)</f>
        <v>0</v>
      </c>
      <c r="H1369" s="3">
        <f>IFERROR(__xludf.DUMMYFUNCTION("IFERROR(INDEX(FILTER('cost master'!$E:$E,('cost master'!$B:$B=C1369)*('cost master'!$D:$D=""Storage cost per pallet / week"")*('cost master'!$G:$G&lt;=B1369)*(('cost master'!$H:$H&gt;=B1369)+ISBLANK('cost master'!$H:$H))),1),0)"),3.9)</f>
        <v>3.9</v>
      </c>
      <c r="I1369" s="3">
        <f t="shared" si="4"/>
        <v>0</v>
      </c>
      <c r="J1369" s="27">
        <f t="shared" si="5"/>
        <v>45916</v>
      </c>
      <c r="K1369" s="27">
        <f t="shared" si="6"/>
        <v>45945</v>
      </c>
    </row>
    <row r="1370" hidden="1">
      <c r="A1370" s="3" t="str">
        <f t="shared" si="3"/>
        <v>SL-20251013-FMC-CS-CDS-001-9</v>
      </c>
      <c r="B1370" s="2">
        <f t="array" ref="B1370">INDEX(helper!$A$3:$A3996,ROUNDUP((ROW()-1)/COUNTA(helper!$D$3:$D3996),0))</f>
        <v>45943</v>
      </c>
      <c r="C1370" s="5" t="str">
        <f t="array" ref="C1370">IF(B1370="","",INDEX(helper!$D$3:$D3996,MOD(ROW()-2,COUNTA(helper!$D$3:$D3996))+1))</f>
        <v>FMC</v>
      </c>
      <c r="D1370" s="3" t="str">
        <f t="array" ref="D1370">IF(B1370="","",INDEX(helper!$E$3:$E3996,MOD(ROW()-2,COUNTA(helper!$D$3:$D3996))+1))</f>
        <v>CS-CDS-001</v>
      </c>
      <c r="E1370" s="3">
        <f t="array" ref="E1370">IF(B1370="","",INDEX(helper!$F$3:$F3996,MOD(ROW()-2,COUNTA(helper!$D$3:$D3996))+1))</f>
        <v>9</v>
      </c>
      <c r="F1370" s="3">
        <f>IF(B1370="","",SUMIFS('inventory ledger'!$H:$H,'inventory ledger'!$C:$C,C1370,'inventory ledger'!$D:$D,D1370,'inventory ledger'!$E:$E,E1370,'inventory ledger'!$A:$A,"&lt;="&amp;B1370+TIME(23,59,59))-SUMIFS('inventory ledger'!$I:$I,'inventory ledger'!$C:$C,C1370,'inventory ledger'!$D:$D,D1370,'inventory ledger'!$E:$E,E1370,'inventory ledger'!$A:$A,"&lt;="&amp;B1370+TIME(23,59,59)))</f>
        <v>0</v>
      </c>
      <c r="G1370" s="3">
        <f>IFERROR(__xludf.DUMMYFUNCTION("IF(F1370&lt;=0,0,IFERROR(ROUNDUP(F1370/INDEX(FILTER('warehouse config'!$D:$D,('warehouse config'!$B:$B=C1370)*('warehouse config'!$C:$C=D1370)*('warehouse config'!$G:$G&lt;=B1370)*(('warehouse config'!$H:$H&gt;=B1370)+ISBLANK('warehouse config'!$H:$H))),1)),0))"),0.0)</f>
        <v>0</v>
      </c>
      <c r="H1370" s="3">
        <f>IFERROR(__xludf.DUMMYFUNCTION("IFERROR(INDEX(FILTER('cost master'!$E:$E,('cost master'!$B:$B=C1370)*('cost master'!$D:$D=""Storage cost per pallet / week"")*('cost master'!$G:$G&lt;=B1370)*(('cost master'!$H:$H&gt;=B1370)+ISBLANK('cost master'!$H:$H))),1),0)"),3.9)</f>
        <v>3.9</v>
      </c>
      <c r="I1370" s="3">
        <f t="shared" si="4"/>
        <v>0</v>
      </c>
      <c r="J1370" s="27">
        <f t="shared" si="5"/>
        <v>45916</v>
      </c>
      <c r="K1370" s="27">
        <f t="shared" si="6"/>
        <v>45945</v>
      </c>
    </row>
    <row r="1371" hidden="1">
      <c r="A1371" s="3" t="str">
        <f t="shared" si="3"/>
        <v>SL-20251013-FMC-CS-CDS-002-9</v>
      </c>
      <c r="B1371" s="2">
        <f t="array" ref="B1371">INDEX(helper!$A$3:$A3996,ROUNDUP((ROW()-1)/COUNTA(helper!$D$3:$D3996),0))</f>
        <v>45943</v>
      </c>
      <c r="C1371" s="5" t="str">
        <f t="array" ref="C1371">IF(B1371="","",INDEX(helper!$D$3:$D3996,MOD(ROW()-2,COUNTA(helper!$D$3:$D3996))+1))</f>
        <v>FMC</v>
      </c>
      <c r="D1371" s="3" t="str">
        <f t="array" ref="D1371">IF(B1371="","",INDEX(helper!$E$3:$E3996,MOD(ROW()-2,COUNTA(helper!$D$3:$D3996))+1))</f>
        <v>CS-CDS-002</v>
      </c>
      <c r="E1371" s="3">
        <f t="array" ref="E1371">IF(B1371="","",INDEX(helper!$F$3:$F3996,MOD(ROW()-2,COUNTA(helper!$D$3:$D3996))+1))</f>
        <v>9</v>
      </c>
      <c r="F1371" s="3">
        <f>IF(B1371="","",SUMIFS('inventory ledger'!$H:$H,'inventory ledger'!$C:$C,C1371,'inventory ledger'!$D:$D,D1371,'inventory ledger'!$E:$E,E1371,'inventory ledger'!$A:$A,"&lt;="&amp;B1371+TIME(23,59,59))-SUMIFS('inventory ledger'!$I:$I,'inventory ledger'!$C:$C,C1371,'inventory ledger'!$D:$D,D1371,'inventory ledger'!$E:$E,E1371,'inventory ledger'!$A:$A,"&lt;="&amp;B1371+TIME(23,59,59)))</f>
        <v>0</v>
      </c>
      <c r="G1371" s="3">
        <f>IFERROR(__xludf.DUMMYFUNCTION("IF(F1371&lt;=0,0,IFERROR(ROUNDUP(F1371/INDEX(FILTER('warehouse config'!$D:$D,('warehouse config'!$B:$B=C1371)*('warehouse config'!$C:$C=D1371)*('warehouse config'!$G:$G&lt;=B1371)*(('warehouse config'!$H:$H&gt;=B1371)+ISBLANK('warehouse config'!$H:$H))),1)),0))"),0.0)</f>
        <v>0</v>
      </c>
      <c r="H1371" s="3">
        <f>IFERROR(__xludf.DUMMYFUNCTION("IFERROR(INDEX(FILTER('cost master'!$E:$E,('cost master'!$B:$B=C1371)*('cost master'!$D:$D=""Storage cost per pallet / week"")*('cost master'!$G:$G&lt;=B1371)*(('cost master'!$H:$H&gt;=B1371)+ISBLANK('cost master'!$H:$H))),1),0)"),3.9)</f>
        <v>3.9</v>
      </c>
      <c r="I1371" s="3">
        <f t="shared" si="4"/>
        <v>0</v>
      </c>
      <c r="J1371" s="27">
        <f t="shared" si="5"/>
        <v>45916</v>
      </c>
      <c r="K1371" s="27">
        <f t="shared" si="6"/>
        <v>45945</v>
      </c>
    </row>
    <row r="1372" hidden="1">
      <c r="A1372" s="3" t="str">
        <f t="shared" si="3"/>
        <v>SL-20251013-FMC-CS 007-10</v>
      </c>
      <c r="B1372" s="2">
        <f t="array" ref="B1372">INDEX(helper!$A$3:$A3996,ROUNDUP((ROW()-1)/COUNTA(helper!$D$3:$D3996),0))</f>
        <v>45943</v>
      </c>
      <c r="C1372" s="5" t="str">
        <f t="array" ref="C1372">IF(B1372="","",INDEX(helper!$D$3:$D3996,MOD(ROW()-2,COUNTA(helper!$D$3:$D3996))+1))</f>
        <v>FMC</v>
      </c>
      <c r="D1372" s="3" t="str">
        <f t="array" ref="D1372">IF(B1372="","",INDEX(helper!$E$3:$E3996,MOD(ROW()-2,COUNTA(helper!$D$3:$D3996))+1))</f>
        <v>CS 007</v>
      </c>
      <c r="E1372" s="3">
        <f t="array" ref="E1372">IF(B1372="","",INDEX(helper!$F$3:$F3996,MOD(ROW()-2,COUNTA(helper!$D$3:$D3996))+1))</f>
        <v>10</v>
      </c>
      <c r="F1372" s="3">
        <f>IF(B1372="","",SUMIFS('inventory ledger'!$H:$H,'inventory ledger'!$C:$C,C1372,'inventory ledger'!$D:$D,D1372,'inventory ledger'!$E:$E,E1372,'inventory ledger'!$A:$A,"&lt;="&amp;B1372+TIME(23,59,59))-SUMIFS('inventory ledger'!$I:$I,'inventory ledger'!$C:$C,C1372,'inventory ledger'!$D:$D,D1372,'inventory ledger'!$E:$E,E1372,'inventory ledger'!$A:$A,"&lt;="&amp;B1372+TIME(23,59,59)))</f>
        <v>0</v>
      </c>
      <c r="G1372" s="3">
        <f>IFERROR(__xludf.DUMMYFUNCTION("IF(F1372&lt;=0,0,IFERROR(ROUNDUP(F1372/INDEX(FILTER('warehouse config'!$D:$D,('warehouse config'!$B:$B=C1372)*('warehouse config'!$C:$C=D1372)*('warehouse config'!$G:$G&lt;=B1372)*(('warehouse config'!$H:$H&gt;=B1372)+ISBLANK('warehouse config'!$H:$H))),1)),0))"),0.0)</f>
        <v>0</v>
      </c>
      <c r="H1372" s="3">
        <f>IFERROR(__xludf.DUMMYFUNCTION("IFERROR(INDEX(FILTER('cost master'!$E:$E,('cost master'!$B:$B=C1372)*('cost master'!$D:$D=""Storage cost per pallet / week"")*('cost master'!$G:$G&lt;=B1372)*(('cost master'!$H:$H&gt;=B1372)+ISBLANK('cost master'!$H:$H))),1),0)"),3.9)</f>
        <v>3.9</v>
      </c>
      <c r="I1372" s="3">
        <f t="shared" si="4"/>
        <v>0</v>
      </c>
      <c r="J1372" s="27">
        <f t="shared" si="5"/>
        <v>45916</v>
      </c>
      <c r="K1372" s="27">
        <f t="shared" si="6"/>
        <v>45945</v>
      </c>
    </row>
    <row r="1373" hidden="1">
      <c r="A1373" s="3" t="str">
        <f t="shared" si="3"/>
        <v>SL-20251013-FMC-CS 009-10</v>
      </c>
      <c r="B1373" s="2">
        <f t="array" ref="B1373">INDEX(helper!$A$3:$A3996,ROUNDUP((ROW()-1)/COUNTA(helper!$D$3:$D3996),0))</f>
        <v>45943</v>
      </c>
      <c r="C1373" s="5" t="str">
        <f t="array" ref="C1373">IF(B1373="","",INDEX(helper!$D$3:$D3996,MOD(ROW()-2,COUNTA(helper!$D$3:$D3996))+1))</f>
        <v>FMC</v>
      </c>
      <c r="D1373" s="3" t="str">
        <f t="array" ref="D1373">IF(B1373="","",INDEX(helper!$E$3:$E3996,MOD(ROW()-2,COUNTA(helper!$D$3:$D3996))+1))</f>
        <v>CS 009</v>
      </c>
      <c r="E1373" s="3">
        <f t="array" ref="E1373">IF(B1373="","",INDEX(helper!$F$3:$F3996,MOD(ROW()-2,COUNTA(helper!$D$3:$D3996))+1))</f>
        <v>10</v>
      </c>
      <c r="F1373" s="3">
        <f>IF(B1373="","",SUMIFS('inventory ledger'!$H:$H,'inventory ledger'!$C:$C,C1373,'inventory ledger'!$D:$D,D1373,'inventory ledger'!$E:$E,E1373,'inventory ledger'!$A:$A,"&lt;="&amp;B1373+TIME(23,59,59))-SUMIFS('inventory ledger'!$I:$I,'inventory ledger'!$C:$C,C1373,'inventory ledger'!$D:$D,D1373,'inventory ledger'!$E:$E,E1373,'inventory ledger'!$A:$A,"&lt;="&amp;B1373+TIME(23,59,59)))</f>
        <v>0</v>
      </c>
      <c r="G1373" s="3">
        <f>IFERROR(__xludf.DUMMYFUNCTION("IF(F1373&lt;=0,0,IFERROR(ROUNDUP(F1373/INDEX(FILTER('warehouse config'!$D:$D,('warehouse config'!$B:$B=C1373)*('warehouse config'!$C:$C=D1373)*('warehouse config'!$G:$G&lt;=B1373)*(('warehouse config'!$H:$H&gt;=B1373)+ISBLANK('warehouse config'!$H:$H))),1)),0))"),0.0)</f>
        <v>0</v>
      </c>
      <c r="H1373" s="3">
        <f>IFERROR(__xludf.DUMMYFUNCTION("IFERROR(INDEX(FILTER('cost master'!$E:$E,('cost master'!$B:$B=C1373)*('cost master'!$D:$D=""Storage cost per pallet / week"")*('cost master'!$G:$G&lt;=B1373)*(('cost master'!$H:$H&gt;=B1373)+ISBLANK('cost master'!$H:$H))),1),0)"),3.9)</f>
        <v>3.9</v>
      </c>
      <c r="I1373" s="3">
        <f t="shared" si="4"/>
        <v>0</v>
      </c>
      <c r="J1373" s="27">
        <f t="shared" si="5"/>
        <v>45916</v>
      </c>
      <c r="K1373" s="27">
        <f t="shared" si="6"/>
        <v>45945</v>
      </c>
    </row>
    <row r="1374" hidden="1">
      <c r="A1374" s="3" t="str">
        <f t="shared" si="3"/>
        <v>SL-20251013-FMC-CS 010-10</v>
      </c>
      <c r="B1374" s="2">
        <f t="array" ref="B1374">INDEX(helper!$A$3:$A3996,ROUNDUP((ROW()-1)/COUNTA(helper!$D$3:$D3996),0))</f>
        <v>45943</v>
      </c>
      <c r="C1374" s="5" t="str">
        <f t="array" ref="C1374">IF(B1374="","",INDEX(helper!$D$3:$D3996,MOD(ROW()-2,COUNTA(helper!$D$3:$D3996))+1))</f>
        <v>FMC</v>
      </c>
      <c r="D1374" s="3" t="str">
        <f t="array" ref="D1374">IF(B1374="","",INDEX(helper!$E$3:$E3996,MOD(ROW()-2,COUNTA(helper!$D$3:$D3996))+1))</f>
        <v>CS 010</v>
      </c>
      <c r="E1374" s="3">
        <f t="array" ref="E1374">IF(B1374="","",INDEX(helper!$F$3:$F3996,MOD(ROW()-2,COUNTA(helper!$D$3:$D3996))+1))</f>
        <v>10</v>
      </c>
      <c r="F1374" s="3">
        <f>IF(B1374="","",SUMIFS('inventory ledger'!$H:$H,'inventory ledger'!$C:$C,C1374,'inventory ledger'!$D:$D,D1374,'inventory ledger'!$E:$E,E1374,'inventory ledger'!$A:$A,"&lt;="&amp;B1374+TIME(23,59,59))-SUMIFS('inventory ledger'!$I:$I,'inventory ledger'!$C:$C,C1374,'inventory ledger'!$D:$D,D1374,'inventory ledger'!$E:$E,E1374,'inventory ledger'!$A:$A,"&lt;="&amp;B1374+TIME(23,59,59)))</f>
        <v>13</v>
      </c>
      <c r="G1374" s="3">
        <f>IFERROR(__xludf.DUMMYFUNCTION("IF(F1374&lt;=0,0,IFERROR(ROUNDUP(F1374/INDEX(FILTER('warehouse config'!$D:$D,('warehouse config'!$B:$B=C1374)*('warehouse config'!$C:$C=D1374)*('warehouse config'!$G:$G&lt;=B1374)*(('warehouse config'!$H:$H&gt;=B1374)+ISBLANK('warehouse config'!$H:$H))),1)),0))"),1.0)</f>
        <v>1</v>
      </c>
      <c r="H1374" s="3">
        <f>IFERROR(__xludf.DUMMYFUNCTION("IFERROR(INDEX(FILTER('cost master'!$E:$E,('cost master'!$B:$B=C1374)*('cost master'!$D:$D=""Storage cost per pallet / week"")*('cost master'!$G:$G&lt;=B1374)*(('cost master'!$H:$H&gt;=B1374)+ISBLANK('cost master'!$H:$H))),1),0)"),3.9)</f>
        <v>3.9</v>
      </c>
      <c r="I1374" s="3">
        <f t="shared" si="4"/>
        <v>3.9</v>
      </c>
      <c r="J1374" s="27">
        <f t="shared" si="5"/>
        <v>45916</v>
      </c>
      <c r="K1374" s="27">
        <f t="shared" si="6"/>
        <v>45945</v>
      </c>
    </row>
    <row r="1375" hidden="1">
      <c r="A1375" s="3" t="str">
        <f t="shared" si="3"/>
        <v>SL-20251013-FMC-CS-CDS-001-10</v>
      </c>
      <c r="B1375" s="2">
        <f t="array" ref="B1375">INDEX(helper!$A$3:$A3996,ROUNDUP((ROW()-1)/COUNTA(helper!$D$3:$D3996),0))</f>
        <v>45943</v>
      </c>
      <c r="C1375" s="5" t="str">
        <f t="array" ref="C1375">IF(B1375="","",INDEX(helper!$D$3:$D3996,MOD(ROW()-2,COUNTA(helper!$D$3:$D3996))+1))</f>
        <v>FMC</v>
      </c>
      <c r="D1375" s="3" t="str">
        <f t="array" ref="D1375">IF(B1375="","",INDEX(helper!$E$3:$E3996,MOD(ROW()-2,COUNTA(helper!$D$3:$D3996))+1))</f>
        <v>CS-CDS-001</v>
      </c>
      <c r="E1375" s="3">
        <f t="array" ref="E1375">IF(B1375="","",INDEX(helper!$F$3:$F3996,MOD(ROW()-2,COUNTA(helper!$D$3:$D3996))+1))</f>
        <v>10</v>
      </c>
      <c r="F1375" s="3">
        <f>IF(B1375="","",SUMIFS('inventory ledger'!$H:$H,'inventory ledger'!$C:$C,C1375,'inventory ledger'!$D:$D,D1375,'inventory ledger'!$E:$E,E1375,'inventory ledger'!$A:$A,"&lt;="&amp;B1375+TIME(23,59,59))-SUMIFS('inventory ledger'!$I:$I,'inventory ledger'!$C:$C,C1375,'inventory ledger'!$D:$D,D1375,'inventory ledger'!$E:$E,E1375,'inventory ledger'!$A:$A,"&lt;="&amp;B1375+TIME(23,59,59)))</f>
        <v>0</v>
      </c>
      <c r="G1375" s="3">
        <f>IFERROR(__xludf.DUMMYFUNCTION("IF(F1375&lt;=0,0,IFERROR(ROUNDUP(F1375/INDEX(FILTER('warehouse config'!$D:$D,('warehouse config'!$B:$B=C1375)*('warehouse config'!$C:$C=D1375)*('warehouse config'!$G:$G&lt;=B1375)*(('warehouse config'!$H:$H&gt;=B1375)+ISBLANK('warehouse config'!$H:$H))),1)),0))"),0.0)</f>
        <v>0</v>
      </c>
      <c r="H1375" s="3">
        <f>IFERROR(__xludf.DUMMYFUNCTION("IFERROR(INDEX(FILTER('cost master'!$E:$E,('cost master'!$B:$B=C1375)*('cost master'!$D:$D=""Storage cost per pallet / week"")*('cost master'!$G:$G&lt;=B1375)*(('cost master'!$H:$H&gt;=B1375)+ISBLANK('cost master'!$H:$H))),1),0)"),3.9)</f>
        <v>3.9</v>
      </c>
      <c r="I1375" s="3">
        <f t="shared" si="4"/>
        <v>0</v>
      </c>
      <c r="J1375" s="27">
        <f t="shared" si="5"/>
        <v>45916</v>
      </c>
      <c r="K1375" s="27">
        <f t="shared" si="6"/>
        <v>45945</v>
      </c>
    </row>
    <row r="1376">
      <c r="A1376" s="3" t="str">
        <f t="shared" si="3"/>
        <v>SL-20251013-FMC-CS 007-11</v>
      </c>
      <c r="B1376" s="2">
        <f t="array" ref="B1376">INDEX(helper!$A$3:$A3996,ROUNDUP((ROW()-1)/COUNTA(helper!$D$3:$D3996),0))</f>
        <v>45943</v>
      </c>
      <c r="C1376" s="5" t="str">
        <f t="array" ref="C1376">IF(B1376="","",INDEX(helper!$D$3:$D3996,MOD(ROW()-2,COUNTA(helper!$D$3:$D3996))+1))</f>
        <v>FMC</v>
      </c>
      <c r="D1376" s="3" t="str">
        <f t="array" ref="D1376">IF(B1376="","",INDEX(helper!$E$3:$E3996,MOD(ROW()-2,COUNTA(helper!$D$3:$D3996))+1))</f>
        <v>CS 007</v>
      </c>
      <c r="E1376" s="3">
        <f t="array" ref="E1376">IF(B1376="","",INDEX(helper!$F$3:$F3996,MOD(ROW()-2,COUNTA(helper!$D$3:$D3996))+1))</f>
        <v>11</v>
      </c>
      <c r="F1376" s="3">
        <f>IF(B1376="","",SUMIFS('inventory ledger'!$H:$H,'inventory ledger'!$C:$C,C1376,'inventory ledger'!$D:$D,D1376,'inventory ledger'!$E:$E,E1376,'inventory ledger'!$A:$A,"&lt;="&amp;B1376+TIME(23,59,59))-SUMIFS('inventory ledger'!$I:$I,'inventory ledger'!$C:$C,C1376,'inventory ledger'!$D:$D,D1376,'inventory ledger'!$E:$E,E1376,'inventory ledger'!$A:$A,"&lt;="&amp;B1376+TIME(23,59,59)))</f>
        <v>-1</v>
      </c>
      <c r="G1376" s="3">
        <f>IFERROR(__xludf.DUMMYFUNCTION("IF(F1376&lt;=0,0,IFERROR(ROUNDUP(F1376/INDEX(FILTER('warehouse config'!$D:$D,('warehouse config'!$B:$B=C1376)*('warehouse config'!$C:$C=D1376)*('warehouse config'!$G:$G&lt;=B1376)*(('warehouse config'!$H:$H&gt;=B1376)+ISBLANK('warehouse config'!$H:$H))),1)),0))"),0.0)</f>
        <v>0</v>
      </c>
      <c r="H1376" s="3">
        <f>IFERROR(__xludf.DUMMYFUNCTION("IFERROR(INDEX(FILTER('cost master'!$E:$E,('cost master'!$B:$B=C1376)*('cost master'!$D:$D=""Storage cost per pallet / week"")*('cost master'!$G:$G&lt;=B1376)*(('cost master'!$H:$H&gt;=B1376)+ISBLANK('cost master'!$H:$H))),1),0)"),3.9)</f>
        <v>3.9</v>
      </c>
      <c r="I1376" s="3">
        <f t="shared" si="4"/>
        <v>0</v>
      </c>
      <c r="J1376" s="27">
        <f t="shared" si="5"/>
        <v>45916</v>
      </c>
      <c r="K1376" s="27">
        <f t="shared" si="6"/>
        <v>45945</v>
      </c>
    </row>
    <row r="1377" hidden="1">
      <c r="A1377" s="3" t="str">
        <f t="shared" si="3"/>
        <v>SL-20251013-FMC-CS 009-11</v>
      </c>
      <c r="B1377" s="2">
        <f t="array" ref="B1377">INDEX(helper!$A$3:$A3996,ROUNDUP((ROW()-1)/COUNTA(helper!$D$3:$D3996),0))</f>
        <v>45943</v>
      </c>
      <c r="C1377" s="5" t="str">
        <f t="array" ref="C1377">IF(B1377="","",INDEX(helper!$D$3:$D3996,MOD(ROW()-2,COUNTA(helper!$D$3:$D3996))+1))</f>
        <v>FMC</v>
      </c>
      <c r="D1377" s="3" t="str">
        <f t="array" ref="D1377">IF(B1377="","",INDEX(helper!$E$3:$E3996,MOD(ROW()-2,COUNTA(helper!$D$3:$D3996))+1))</f>
        <v>CS 009</v>
      </c>
      <c r="E1377" s="3">
        <f t="array" ref="E1377">IF(B1377="","",INDEX(helper!$F$3:$F3996,MOD(ROW()-2,COUNTA(helper!$D$3:$D3996))+1))</f>
        <v>11</v>
      </c>
      <c r="F1377" s="3">
        <f>IF(B1377="","",SUMIFS('inventory ledger'!$H:$H,'inventory ledger'!$C:$C,C1377,'inventory ledger'!$D:$D,D1377,'inventory ledger'!$E:$E,E1377,'inventory ledger'!$A:$A,"&lt;="&amp;B1377+TIME(23,59,59))-SUMIFS('inventory ledger'!$I:$I,'inventory ledger'!$C:$C,C1377,'inventory ledger'!$D:$D,D1377,'inventory ledger'!$E:$E,E1377,'inventory ledger'!$A:$A,"&lt;="&amp;B1377+TIME(23,59,59)))</f>
        <v>0</v>
      </c>
      <c r="G1377" s="3">
        <f>IFERROR(__xludf.DUMMYFUNCTION("IF(F1377&lt;=0,0,IFERROR(ROUNDUP(F1377/INDEX(FILTER('warehouse config'!$D:$D,('warehouse config'!$B:$B=C1377)*('warehouse config'!$C:$C=D1377)*('warehouse config'!$G:$G&lt;=B1377)*(('warehouse config'!$H:$H&gt;=B1377)+ISBLANK('warehouse config'!$H:$H))),1)),0))"),0.0)</f>
        <v>0</v>
      </c>
      <c r="H1377" s="3">
        <f>IFERROR(__xludf.DUMMYFUNCTION("IFERROR(INDEX(FILTER('cost master'!$E:$E,('cost master'!$B:$B=C1377)*('cost master'!$D:$D=""Storage cost per pallet / week"")*('cost master'!$G:$G&lt;=B1377)*(('cost master'!$H:$H&gt;=B1377)+ISBLANK('cost master'!$H:$H))),1),0)"),3.9)</f>
        <v>3.9</v>
      </c>
      <c r="I1377" s="3">
        <f t="shared" si="4"/>
        <v>0</v>
      </c>
      <c r="J1377" s="27">
        <f t="shared" si="5"/>
        <v>45916</v>
      </c>
      <c r="K1377" s="27">
        <f t="shared" si="6"/>
        <v>45945</v>
      </c>
    </row>
    <row r="1378" hidden="1">
      <c r="A1378" s="3" t="str">
        <f t="shared" si="3"/>
        <v>SL-20251013-FMC-CS 010-11</v>
      </c>
      <c r="B1378" s="2">
        <f t="array" ref="B1378">INDEX(helper!$A$3:$A3996,ROUNDUP((ROW()-1)/COUNTA(helper!$D$3:$D3996),0))</f>
        <v>45943</v>
      </c>
      <c r="C1378" s="5" t="str">
        <f t="array" ref="C1378">IF(B1378="","",INDEX(helper!$D$3:$D3996,MOD(ROW()-2,COUNTA(helper!$D$3:$D3996))+1))</f>
        <v>FMC</v>
      </c>
      <c r="D1378" s="3" t="str">
        <f t="array" ref="D1378">IF(B1378="","",INDEX(helper!$E$3:$E3996,MOD(ROW()-2,COUNTA(helper!$D$3:$D3996))+1))</f>
        <v>CS 010</v>
      </c>
      <c r="E1378" s="3">
        <f t="array" ref="E1378">IF(B1378="","",INDEX(helper!$F$3:$F3996,MOD(ROW()-2,COUNTA(helper!$D$3:$D3996))+1))</f>
        <v>11</v>
      </c>
      <c r="F1378" s="3">
        <f>IF(B1378="","",SUMIFS('inventory ledger'!$H:$H,'inventory ledger'!$C:$C,C1378,'inventory ledger'!$D:$D,D1378,'inventory ledger'!$E:$E,E1378,'inventory ledger'!$A:$A,"&lt;="&amp;B1378+TIME(23,59,59))-SUMIFS('inventory ledger'!$I:$I,'inventory ledger'!$C:$C,C1378,'inventory ledger'!$D:$D,D1378,'inventory ledger'!$E:$E,E1378,'inventory ledger'!$A:$A,"&lt;="&amp;B1378+TIME(23,59,59)))</f>
        <v>6</v>
      </c>
      <c r="G1378" s="3">
        <f>IFERROR(__xludf.DUMMYFUNCTION("IF(F1378&lt;=0,0,IFERROR(ROUNDUP(F1378/INDEX(FILTER('warehouse config'!$D:$D,('warehouse config'!$B:$B=C1378)*('warehouse config'!$C:$C=D1378)*('warehouse config'!$G:$G&lt;=B1378)*(('warehouse config'!$H:$H&gt;=B1378)+ISBLANK('warehouse config'!$H:$H))),1)),0))"),1.0)</f>
        <v>1</v>
      </c>
      <c r="H1378" s="3">
        <f>IFERROR(__xludf.DUMMYFUNCTION("IFERROR(INDEX(FILTER('cost master'!$E:$E,('cost master'!$B:$B=C1378)*('cost master'!$D:$D=""Storage cost per pallet / week"")*('cost master'!$G:$G&lt;=B1378)*(('cost master'!$H:$H&gt;=B1378)+ISBLANK('cost master'!$H:$H))),1),0)"),3.9)</f>
        <v>3.9</v>
      </c>
      <c r="I1378" s="3">
        <f t="shared" si="4"/>
        <v>3.9</v>
      </c>
      <c r="J1378" s="27">
        <f t="shared" si="5"/>
        <v>45916</v>
      </c>
      <c r="K1378" s="27">
        <f t="shared" si="6"/>
        <v>45945</v>
      </c>
    </row>
    <row r="1379" hidden="1">
      <c r="A1379" s="3" t="str">
        <f t="shared" si="3"/>
        <v>SL-20251013-Vglobal-CS 007-12</v>
      </c>
      <c r="B1379" s="2">
        <f t="array" ref="B1379">INDEX(helper!$A$3:$A3996,ROUNDUP((ROW()-1)/COUNTA(helper!$D$3:$D3996),0))</f>
        <v>45943</v>
      </c>
      <c r="C1379" s="5" t="str">
        <f t="array" ref="C1379">IF(B1379="","",INDEX(helper!$D$3:$D3996,MOD(ROW()-2,COUNTA(helper!$D$3:$D3996))+1))</f>
        <v>Vglobal</v>
      </c>
      <c r="D1379" s="3" t="str">
        <f t="array" ref="D1379">IF(B1379="","",INDEX(helper!$E$3:$E3996,MOD(ROW()-2,COUNTA(helper!$D$3:$D3996))+1))</f>
        <v>CS 007</v>
      </c>
      <c r="E1379" s="3">
        <f t="array" ref="E1379">IF(B1379="","",INDEX(helper!$F$3:$F3996,MOD(ROW()-2,COUNTA(helper!$D$3:$D3996))+1))</f>
        <v>12</v>
      </c>
      <c r="F1379" s="3">
        <f>IF(B1379="","",SUMIFS('inventory ledger'!$H:$H,'inventory ledger'!$C:$C,C1379,'inventory ledger'!$D:$D,D1379,'inventory ledger'!$E:$E,E1379,'inventory ledger'!$A:$A,"&lt;="&amp;B1379+TIME(23,59,59))-SUMIFS('inventory ledger'!$I:$I,'inventory ledger'!$C:$C,C1379,'inventory ledger'!$D:$D,D1379,'inventory ledger'!$E:$E,E1379,'inventory ledger'!$A:$A,"&lt;="&amp;B1379+TIME(23,59,59)))</f>
        <v>0</v>
      </c>
      <c r="G1379" s="3">
        <f>IFERROR(__xludf.DUMMYFUNCTION("IF(F1379&lt;=0,0,IFERROR(ROUNDUP(F1379/INDEX(FILTER('warehouse config'!$D:$D,('warehouse config'!$B:$B=C1379)*('warehouse config'!$C:$C=D1379)*('warehouse config'!$G:$G&lt;=B1379)*(('warehouse config'!$H:$H&gt;=B1379)+ISBLANK('warehouse config'!$H:$H))),1)),0))"),0.0)</f>
        <v>0</v>
      </c>
      <c r="H1379" s="3">
        <f>IFERROR(__xludf.DUMMYFUNCTION("IFERROR(INDEX(FILTER('cost master'!$E:$E,('cost master'!$B:$B=C1379)*('cost master'!$D:$D=""Storage cost per pallet / week"")*('cost master'!$G:$G&lt;=B1379)*(('cost master'!$H:$H&gt;=B1379)+ISBLANK('cost master'!$H:$H))),1),0)"),2.6)</f>
        <v>2.6</v>
      </c>
      <c r="I1379" s="3">
        <f t="shared" si="4"/>
        <v>0</v>
      </c>
      <c r="J1379" s="27">
        <f t="shared" si="5"/>
        <v>45916</v>
      </c>
      <c r="K1379" s="27">
        <f t="shared" si="6"/>
        <v>45945</v>
      </c>
    </row>
    <row r="1380" hidden="1">
      <c r="A1380" s="3" t="str">
        <f t="shared" si="3"/>
        <v>SL-20251013-Vglobal-CS 011-12</v>
      </c>
      <c r="B1380" s="2">
        <f t="array" ref="B1380">INDEX(helper!$A$3:$A3996,ROUNDUP((ROW()-1)/COUNTA(helper!$D$3:$D3996),0))</f>
        <v>45943</v>
      </c>
      <c r="C1380" s="5" t="str">
        <f t="array" ref="C1380">IF(B1380="","",INDEX(helper!$D$3:$D3996,MOD(ROW()-2,COUNTA(helper!$D$3:$D3996))+1))</f>
        <v>Vglobal</v>
      </c>
      <c r="D1380" s="3" t="str">
        <f t="array" ref="D1380">IF(B1380="","",INDEX(helper!$E$3:$E3996,MOD(ROW()-2,COUNTA(helper!$D$3:$D3996))+1))</f>
        <v>CS 011</v>
      </c>
      <c r="E1380" s="3">
        <f t="array" ref="E1380">IF(B1380="","",INDEX(helper!$F$3:$F3996,MOD(ROW()-2,COUNTA(helper!$D$3:$D3996))+1))</f>
        <v>12</v>
      </c>
      <c r="F1380" s="3">
        <f>IF(B1380="","",SUMIFS('inventory ledger'!$H:$H,'inventory ledger'!$C:$C,C1380,'inventory ledger'!$D:$D,D1380,'inventory ledger'!$E:$E,E1380,'inventory ledger'!$A:$A,"&lt;="&amp;B1380+TIME(23,59,59))-SUMIFS('inventory ledger'!$I:$I,'inventory ledger'!$C:$C,C1380,'inventory ledger'!$D:$D,D1380,'inventory ledger'!$E:$E,E1380,'inventory ledger'!$A:$A,"&lt;="&amp;B1380+TIME(23,59,59)))</f>
        <v>0</v>
      </c>
      <c r="G1380" s="3">
        <f>IFERROR(__xludf.DUMMYFUNCTION("IF(F1380&lt;=0,0,IFERROR(ROUNDUP(F1380/INDEX(FILTER('warehouse config'!$D:$D,('warehouse config'!$B:$B=C1380)*('warehouse config'!$C:$C=D1380)*('warehouse config'!$G:$G&lt;=B1380)*(('warehouse config'!$H:$H&gt;=B1380)+ISBLANK('warehouse config'!$H:$H))),1)),0))"),0.0)</f>
        <v>0</v>
      </c>
      <c r="H1380" s="3">
        <f>IFERROR(__xludf.DUMMYFUNCTION("IFERROR(INDEX(FILTER('cost master'!$E:$E,('cost master'!$B:$B=C1380)*('cost master'!$D:$D=""Storage cost per pallet / week"")*('cost master'!$G:$G&lt;=B1380)*(('cost master'!$H:$H&gt;=B1380)+ISBLANK('cost master'!$H:$H))),1),0)"),2.6)</f>
        <v>2.6</v>
      </c>
      <c r="I1380" s="3">
        <f t="shared" si="4"/>
        <v>0</v>
      </c>
      <c r="J1380" s="27">
        <f t="shared" si="5"/>
        <v>45916</v>
      </c>
      <c r="K1380" s="27">
        <f t="shared" si="6"/>
        <v>45945</v>
      </c>
    </row>
    <row r="1381" hidden="1">
      <c r="A1381" s="3" t="str">
        <f t="shared" si="3"/>
        <v>SL-20251013-Vglobal-CS 008-12</v>
      </c>
      <c r="B1381" s="2">
        <f t="array" ref="B1381">INDEX(helper!$A$3:$A3996,ROUNDUP((ROW()-1)/COUNTA(helper!$D$3:$D3996),0))</f>
        <v>45943</v>
      </c>
      <c r="C1381" s="5" t="str">
        <f t="array" ref="C1381">IF(B1381="","",INDEX(helper!$D$3:$D3996,MOD(ROW()-2,COUNTA(helper!$D$3:$D3996))+1))</f>
        <v>Vglobal</v>
      </c>
      <c r="D1381" s="3" t="str">
        <f t="array" ref="D1381">IF(B1381="","",INDEX(helper!$E$3:$E3996,MOD(ROW()-2,COUNTA(helper!$D$3:$D3996))+1))</f>
        <v>CS 008</v>
      </c>
      <c r="E1381" s="3">
        <f t="array" ref="E1381">IF(B1381="","",INDEX(helper!$F$3:$F3996,MOD(ROW()-2,COUNTA(helper!$D$3:$D3996))+1))</f>
        <v>12</v>
      </c>
      <c r="F1381" s="3">
        <f>IF(B1381="","",SUMIFS('inventory ledger'!$H:$H,'inventory ledger'!$C:$C,C1381,'inventory ledger'!$D:$D,D1381,'inventory ledger'!$E:$E,E1381,'inventory ledger'!$A:$A,"&lt;="&amp;B1381+TIME(23,59,59))-SUMIFS('inventory ledger'!$I:$I,'inventory ledger'!$C:$C,C1381,'inventory ledger'!$D:$D,D1381,'inventory ledger'!$E:$E,E1381,'inventory ledger'!$A:$A,"&lt;="&amp;B1381+TIME(23,59,59)))</f>
        <v>0</v>
      </c>
      <c r="G1381" s="3">
        <f>IFERROR(__xludf.DUMMYFUNCTION("IF(F1381&lt;=0,0,IFERROR(ROUNDUP(F1381/INDEX(FILTER('warehouse config'!$D:$D,('warehouse config'!$B:$B=C1381)*('warehouse config'!$C:$C=D1381)*('warehouse config'!$G:$G&lt;=B1381)*(('warehouse config'!$H:$H&gt;=B1381)+ISBLANK('warehouse config'!$H:$H))),1)),0))"),0.0)</f>
        <v>0</v>
      </c>
      <c r="H1381" s="3">
        <f>IFERROR(__xludf.DUMMYFUNCTION("IFERROR(INDEX(FILTER('cost master'!$E:$E,('cost master'!$B:$B=C1381)*('cost master'!$D:$D=""Storage cost per pallet / week"")*('cost master'!$G:$G&lt;=B1381)*(('cost master'!$H:$H&gt;=B1381)+ISBLANK('cost master'!$H:$H))),1),0)"),2.6)</f>
        <v>2.6</v>
      </c>
      <c r="I1381" s="3">
        <f t="shared" si="4"/>
        <v>0</v>
      </c>
      <c r="J1381" s="27">
        <f t="shared" si="5"/>
        <v>45916</v>
      </c>
      <c r="K1381" s="27">
        <f t="shared" si="6"/>
        <v>45945</v>
      </c>
    </row>
    <row r="1382" hidden="1">
      <c r="A1382" s="3" t="str">
        <f t="shared" si="3"/>
        <v>SL-20251013-Vglobal-CS 010-12</v>
      </c>
      <c r="B1382" s="2">
        <f t="array" ref="B1382">INDEX(helper!$A$3:$A3996,ROUNDUP((ROW()-1)/COUNTA(helper!$D$3:$D3996),0))</f>
        <v>45943</v>
      </c>
      <c r="C1382" s="5" t="str">
        <f t="array" ref="C1382">IF(B1382="","",INDEX(helper!$D$3:$D3996,MOD(ROW()-2,COUNTA(helper!$D$3:$D3996))+1))</f>
        <v>Vglobal</v>
      </c>
      <c r="D1382" s="3" t="str">
        <f t="array" ref="D1382">IF(B1382="","",INDEX(helper!$E$3:$E3996,MOD(ROW()-2,COUNTA(helper!$D$3:$D3996))+1))</f>
        <v>CS 010</v>
      </c>
      <c r="E1382" s="3">
        <f t="array" ref="E1382">IF(B1382="","",INDEX(helper!$F$3:$F3996,MOD(ROW()-2,COUNTA(helper!$D$3:$D3996))+1))</f>
        <v>12</v>
      </c>
      <c r="F1382" s="3">
        <f>IF(B1382="","",SUMIFS('inventory ledger'!$H:$H,'inventory ledger'!$C:$C,C1382,'inventory ledger'!$D:$D,D1382,'inventory ledger'!$E:$E,E1382,'inventory ledger'!$A:$A,"&lt;="&amp;B1382+TIME(23,59,59))-SUMIFS('inventory ledger'!$I:$I,'inventory ledger'!$C:$C,C1382,'inventory ledger'!$D:$D,D1382,'inventory ledger'!$E:$E,E1382,'inventory ledger'!$A:$A,"&lt;="&amp;B1382+TIME(23,59,59)))</f>
        <v>70</v>
      </c>
      <c r="G1382" s="3">
        <f>IFERROR(__xludf.DUMMYFUNCTION("IF(F1382&lt;=0,0,IFERROR(ROUNDUP(F1382/INDEX(FILTER('warehouse config'!$D:$D,('warehouse config'!$B:$B=C1382)*('warehouse config'!$C:$C=D1382)*('warehouse config'!$G:$G&lt;=B1382)*(('warehouse config'!$H:$H&gt;=B1382)+ISBLANK('warehouse config'!$H:$H))),1)),0))"),3.0)</f>
        <v>3</v>
      </c>
      <c r="H1382" s="3">
        <f>IFERROR(__xludf.DUMMYFUNCTION("IFERROR(INDEX(FILTER('cost master'!$E:$E,('cost master'!$B:$B=C1382)*('cost master'!$D:$D=""Storage cost per pallet / week"")*('cost master'!$G:$G&lt;=B1382)*(('cost master'!$H:$H&gt;=B1382)+ISBLANK('cost master'!$H:$H))),1),0)"),2.6)</f>
        <v>2.6</v>
      </c>
      <c r="I1382" s="3">
        <f t="shared" si="4"/>
        <v>7.8</v>
      </c>
      <c r="J1382" s="27">
        <f t="shared" si="5"/>
        <v>45916</v>
      </c>
      <c r="K1382" s="27">
        <f t="shared" si="6"/>
        <v>45945</v>
      </c>
    </row>
    <row r="1383" hidden="1">
      <c r="A1383" s="3" t="str">
        <f t="shared" si="3"/>
        <v>SL-20251013-Vglobal-CS 009-12</v>
      </c>
      <c r="B1383" s="2">
        <f t="array" ref="B1383">INDEX(helper!$A$3:$A3996,ROUNDUP((ROW()-1)/COUNTA(helper!$D$3:$D3996),0))</f>
        <v>45943</v>
      </c>
      <c r="C1383" s="5" t="str">
        <f t="array" ref="C1383">IF(B1383="","",INDEX(helper!$D$3:$D3996,MOD(ROW()-2,COUNTA(helper!$D$3:$D3996))+1))</f>
        <v>Vglobal</v>
      </c>
      <c r="D1383" s="3" t="str">
        <f t="array" ref="D1383">IF(B1383="","",INDEX(helper!$E$3:$E3996,MOD(ROW()-2,COUNTA(helper!$D$3:$D3996))+1))</f>
        <v>CS 009</v>
      </c>
      <c r="E1383" s="3">
        <f t="array" ref="E1383">IF(B1383="","",INDEX(helper!$F$3:$F3996,MOD(ROW()-2,COUNTA(helper!$D$3:$D3996))+1))</f>
        <v>12</v>
      </c>
      <c r="F1383" s="3">
        <f>IF(B1383="","",SUMIFS('inventory ledger'!$H:$H,'inventory ledger'!$C:$C,C1383,'inventory ledger'!$D:$D,D1383,'inventory ledger'!$E:$E,E1383,'inventory ledger'!$A:$A,"&lt;="&amp;B1383+TIME(23,59,59))-SUMIFS('inventory ledger'!$I:$I,'inventory ledger'!$C:$C,C1383,'inventory ledger'!$D:$D,D1383,'inventory ledger'!$E:$E,E1383,'inventory ledger'!$A:$A,"&lt;="&amp;B1383+TIME(23,59,59)))</f>
        <v>0</v>
      </c>
      <c r="G1383" s="3">
        <f>IFERROR(__xludf.DUMMYFUNCTION("IF(F1383&lt;=0,0,IFERROR(ROUNDUP(F1383/INDEX(FILTER('warehouse config'!$D:$D,('warehouse config'!$B:$B=C1383)*('warehouse config'!$C:$C=D1383)*('warehouse config'!$G:$G&lt;=B1383)*(('warehouse config'!$H:$H&gt;=B1383)+ISBLANK('warehouse config'!$H:$H))),1)),0))"),0.0)</f>
        <v>0</v>
      </c>
      <c r="H1383" s="3">
        <f>IFERROR(__xludf.DUMMYFUNCTION("IFERROR(INDEX(FILTER('cost master'!$E:$E,('cost master'!$B:$B=C1383)*('cost master'!$D:$D=""Storage cost per pallet / week"")*('cost master'!$G:$G&lt;=B1383)*(('cost master'!$H:$H&gt;=B1383)+ISBLANK('cost master'!$H:$H))),1),0)"),2.6)</f>
        <v>2.6</v>
      </c>
      <c r="I1383" s="3">
        <f t="shared" si="4"/>
        <v>0</v>
      </c>
      <c r="J1383" s="27">
        <f t="shared" si="5"/>
        <v>45916</v>
      </c>
      <c r="K1383" s="27">
        <f t="shared" si="6"/>
        <v>45945</v>
      </c>
    </row>
    <row r="1384" hidden="1">
      <c r="A1384" s="3" t="str">
        <f t="shared" si="3"/>
        <v>SL-20251013-Vglobal-CS 012-12</v>
      </c>
      <c r="B1384" s="2">
        <f t="array" ref="B1384">INDEX(helper!$A$3:$A3996,ROUNDUP((ROW()-1)/COUNTA(helper!$D$3:$D3996),0))</f>
        <v>45943</v>
      </c>
      <c r="C1384" s="5" t="str">
        <f t="array" ref="C1384">IF(B1384="","",INDEX(helper!$D$3:$D3996,MOD(ROW()-2,COUNTA(helper!$D$3:$D3996))+1))</f>
        <v>Vglobal</v>
      </c>
      <c r="D1384" s="3" t="str">
        <f t="array" ref="D1384">IF(B1384="","",INDEX(helper!$E$3:$E3996,MOD(ROW()-2,COUNTA(helper!$D$3:$D3996))+1))</f>
        <v>CS 012</v>
      </c>
      <c r="E1384" s="3">
        <f t="array" ref="E1384">IF(B1384="","",INDEX(helper!$F$3:$F3996,MOD(ROW()-2,COUNTA(helper!$D$3:$D3996))+1))</f>
        <v>12</v>
      </c>
      <c r="F1384" s="3">
        <f>IF(B1384="","",SUMIFS('inventory ledger'!$H:$H,'inventory ledger'!$C:$C,C1384,'inventory ledger'!$D:$D,D1384,'inventory ledger'!$E:$E,E1384,'inventory ledger'!$A:$A,"&lt;="&amp;B1384+TIME(23,59,59))-SUMIFS('inventory ledger'!$I:$I,'inventory ledger'!$C:$C,C1384,'inventory ledger'!$D:$D,D1384,'inventory ledger'!$E:$E,E1384,'inventory ledger'!$A:$A,"&lt;="&amp;B1384+TIME(23,59,59)))</f>
        <v>0</v>
      </c>
      <c r="G1384" s="3">
        <f>IFERROR(__xludf.DUMMYFUNCTION("IF(F1384&lt;=0,0,IFERROR(ROUNDUP(F1384/INDEX(FILTER('warehouse config'!$D:$D,('warehouse config'!$B:$B=C1384)*('warehouse config'!$C:$C=D1384)*('warehouse config'!$G:$G&lt;=B1384)*(('warehouse config'!$H:$H&gt;=B1384)+ISBLANK('warehouse config'!$H:$H))),1)),0))"),0.0)</f>
        <v>0</v>
      </c>
      <c r="H1384" s="3">
        <f>IFERROR(__xludf.DUMMYFUNCTION("IFERROR(INDEX(FILTER('cost master'!$E:$E,('cost master'!$B:$B=C1384)*('cost master'!$D:$D=""Storage cost per pallet / week"")*('cost master'!$G:$G&lt;=B1384)*(('cost master'!$H:$H&gt;=B1384)+ISBLANK('cost master'!$H:$H))),1),0)"),2.6)</f>
        <v>2.6</v>
      </c>
      <c r="I1384" s="3">
        <f t="shared" si="4"/>
        <v>0</v>
      </c>
      <c r="J1384" s="27">
        <f t="shared" si="5"/>
        <v>45916</v>
      </c>
      <c r="K1384" s="27">
        <f t="shared" si="6"/>
        <v>45945</v>
      </c>
    </row>
    <row r="1385" hidden="1">
      <c r="A1385" s="3" t="str">
        <f t="shared" si="3"/>
        <v>SL-20251013-Vglobal-CS-CDS-001-3</v>
      </c>
      <c r="B1385" s="2">
        <f t="array" ref="B1385">INDEX(helper!$A$3:$A3996,ROUNDUP((ROW()-1)/COUNTA(helper!$D$3:$D3996),0))</f>
        <v>45943</v>
      </c>
      <c r="C1385" s="5" t="str">
        <f t="array" ref="C1385">IF(B1385="","",INDEX(helper!$D$3:$D3996,MOD(ROW()-2,COUNTA(helper!$D$3:$D3996))+1))</f>
        <v>Vglobal</v>
      </c>
      <c r="D1385" s="3" t="str">
        <f t="array" ref="D1385">IF(B1385="","",INDEX(helper!$E$3:$E3996,MOD(ROW()-2,COUNTA(helper!$D$3:$D3996))+1))</f>
        <v>CS-CDS-001</v>
      </c>
      <c r="E1385" s="3">
        <f t="array" ref="E1385">IF(B1385="","",INDEX(helper!$F$3:$F3996,MOD(ROW()-2,COUNTA(helper!$D$3:$D3996))+1))</f>
        <v>3</v>
      </c>
      <c r="F1385" s="3">
        <f>IF(B1385="","",SUMIFS('inventory ledger'!$H:$H,'inventory ledger'!$C:$C,C1385,'inventory ledger'!$D:$D,D1385,'inventory ledger'!$E:$E,E1385,'inventory ledger'!$A:$A,"&lt;="&amp;B1385+TIME(23,59,59))-SUMIFS('inventory ledger'!$I:$I,'inventory ledger'!$C:$C,C1385,'inventory ledger'!$D:$D,D1385,'inventory ledger'!$E:$E,E1385,'inventory ledger'!$A:$A,"&lt;="&amp;B1385+TIME(23,59,59)))</f>
        <v>1</v>
      </c>
      <c r="G1385" s="3">
        <f>IFERROR(__xludf.DUMMYFUNCTION("IF(F1385&lt;=0,0,IFERROR(ROUNDUP(F1385/INDEX(FILTER('warehouse config'!$D:$D,('warehouse config'!$B:$B=C1385)*('warehouse config'!$C:$C=D1385)*('warehouse config'!$G:$G&lt;=B1385)*(('warehouse config'!$H:$H&gt;=B1385)+ISBLANK('warehouse config'!$H:$H))),1)),0))"),1.0)</f>
        <v>1</v>
      </c>
      <c r="H1385" s="3">
        <f>IFERROR(__xludf.DUMMYFUNCTION("IFERROR(INDEX(FILTER('cost master'!$E:$E,('cost master'!$B:$B=C1385)*('cost master'!$D:$D=""Storage cost per pallet / week"")*('cost master'!$G:$G&lt;=B1385)*(('cost master'!$H:$H&gt;=B1385)+ISBLANK('cost master'!$H:$H))),1),0)"),2.6)</f>
        <v>2.6</v>
      </c>
      <c r="I1385" s="3">
        <f t="shared" si="4"/>
        <v>2.6</v>
      </c>
      <c r="J1385" s="27">
        <f t="shared" si="5"/>
        <v>45916</v>
      </c>
      <c r="K1385" s="27">
        <f t="shared" si="6"/>
        <v>45945</v>
      </c>
    </row>
    <row r="1386" hidden="1">
      <c r="A1386" s="3" t="str">
        <f t="shared" si="3"/>
        <v>SL-20251013-Vglobal-CS-CDS-002-3</v>
      </c>
      <c r="B1386" s="2">
        <f t="array" ref="B1386">INDEX(helper!$A$3:$A3996,ROUNDUP((ROW()-1)/COUNTA(helper!$D$3:$D3996),0))</f>
        <v>45943</v>
      </c>
      <c r="C1386" s="5" t="str">
        <f t="array" ref="C1386">IF(B1386="","",INDEX(helper!$D$3:$D3996,MOD(ROW()-2,COUNTA(helper!$D$3:$D3996))+1))</f>
        <v>Vglobal</v>
      </c>
      <c r="D1386" s="3" t="str">
        <f t="array" ref="D1386">IF(B1386="","",INDEX(helper!$E$3:$E3996,MOD(ROW()-2,COUNTA(helper!$D$3:$D3996))+1))</f>
        <v>CS-CDS-002</v>
      </c>
      <c r="E1386" s="3">
        <f t="array" ref="E1386">IF(B1386="","",INDEX(helper!$F$3:$F3996,MOD(ROW()-2,COUNTA(helper!$D$3:$D3996))+1))</f>
        <v>3</v>
      </c>
      <c r="F1386" s="3">
        <f>IF(B1386="","",SUMIFS('inventory ledger'!$H:$H,'inventory ledger'!$C:$C,C1386,'inventory ledger'!$D:$D,D1386,'inventory ledger'!$E:$E,E1386,'inventory ledger'!$A:$A,"&lt;="&amp;B1386+TIME(23,59,59))-SUMIFS('inventory ledger'!$I:$I,'inventory ledger'!$C:$C,C1386,'inventory ledger'!$D:$D,D1386,'inventory ledger'!$E:$E,E1386,'inventory ledger'!$A:$A,"&lt;="&amp;B1386+TIME(23,59,59)))</f>
        <v>0</v>
      </c>
      <c r="G1386" s="3">
        <f>IFERROR(__xludf.DUMMYFUNCTION("IF(F1386&lt;=0,0,IFERROR(ROUNDUP(F1386/INDEX(FILTER('warehouse config'!$D:$D,('warehouse config'!$B:$B=C1386)*('warehouse config'!$C:$C=D1386)*('warehouse config'!$G:$G&lt;=B1386)*(('warehouse config'!$H:$H&gt;=B1386)+ISBLANK('warehouse config'!$H:$H))),1)),0))"),0.0)</f>
        <v>0</v>
      </c>
      <c r="H1386" s="3">
        <f>IFERROR(__xludf.DUMMYFUNCTION("IFERROR(INDEX(FILTER('cost master'!$E:$E,('cost master'!$B:$B=C1386)*('cost master'!$D:$D=""Storage cost per pallet / week"")*('cost master'!$G:$G&lt;=B1386)*(('cost master'!$H:$H&gt;=B1386)+ISBLANK('cost master'!$H:$H))),1),0)"),2.6)</f>
        <v>2.6</v>
      </c>
      <c r="I1386" s="3">
        <f t="shared" si="4"/>
        <v>0</v>
      </c>
      <c r="J1386" s="27">
        <f t="shared" si="5"/>
        <v>45916</v>
      </c>
      <c r="K1386" s="27">
        <f t="shared" si="6"/>
        <v>45945</v>
      </c>
    </row>
    <row r="1387" hidden="1">
      <c r="A1387" s="3" t="str">
        <f t="shared" si="3"/>
        <v>SL-20251013-4as-CS-CDS-001-4</v>
      </c>
      <c r="B1387" s="2">
        <f t="array" ref="B1387">INDEX(helper!$A$3:$A3996,ROUNDUP((ROW()-1)/COUNTA(helper!$D$3:$D3996),0))</f>
        <v>45943</v>
      </c>
      <c r="C1387" s="5" t="str">
        <f t="array" ref="C1387">IF(B1387="","",INDEX(helper!$D$3:$D3996,MOD(ROW()-2,COUNTA(helper!$D$3:$D3996))+1))</f>
        <v>4as</v>
      </c>
      <c r="D1387" s="3" t="str">
        <f t="array" ref="D1387">IF(B1387="","",INDEX(helper!$E$3:$E3996,MOD(ROW()-2,COUNTA(helper!$D$3:$D3996))+1))</f>
        <v>CS-CDS-001</v>
      </c>
      <c r="E1387" s="3">
        <f t="array" ref="E1387">IF(B1387="","",INDEX(helper!$F$3:$F3996,MOD(ROW()-2,COUNTA(helper!$D$3:$D3996))+1))</f>
        <v>4</v>
      </c>
      <c r="F1387" s="3">
        <f>IF(B1387="","",SUMIFS('inventory ledger'!$H:$H,'inventory ledger'!$C:$C,C1387,'inventory ledger'!$D:$D,D1387,'inventory ledger'!$E:$E,E1387,'inventory ledger'!$A:$A,"&lt;="&amp;B1387+TIME(23,59,59))-SUMIFS('inventory ledger'!$I:$I,'inventory ledger'!$C:$C,C1387,'inventory ledger'!$D:$D,D1387,'inventory ledger'!$E:$E,E1387,'inventory ledger'!$A:$A,"&lt;="&amp;B1387+TIME(23,59,59)))</f>
        <v>0</v>
      </c>
      <c r="G1387" s="3">
        <f>IFERROR(__xludf.DUMMYFUNCTION("IF(F1387&lt;=0,0,IFERROR(ROUNDUP(F1387/INDEX(FILTER('warehouse config'!$D:$D,('warehouse config'!$B:$B=C1387)*('warehouse config'!$C:$C=D1387)*('warehouse config'!$G:$G&lt;=B1387)*(('warehouse config'!$H:$H&gt;=B1387)+ISBLANK('warehouse config'!$H:$H))),1)),0))"),0.0)</f>
        <v>0</v>
      </c>
      <c r="H1387" s="3">
        <f>IFERROR(__xludf.DUMMYFUNCTION("IFERROR(INDEX(FILTER('cost master'!$E:$E,('cost master'!$B:$B=C1387)*('cost master'!$D:$D=""Storage cost per pallet / week"")*('cost master'!$G:$G&lt;=B1387)*(('cost master'!$H:$H&gt;=B1387)+ISBLANK('cost master'!$H:$H))),1),0)"),9.0)</f>
        <v>9</v>
      </c>
      <c r="I1387" s="3">
        <f t="shared" si="4"/>
        <v>0</v>
      </c>
      <c r="J1387" s="27">
        <f t="shared" si="5"/>
        <v>45916</v>
      </c>
      <c r="K1387" s="27">
        <f t="shared" si="6"/>
        <v>45945</v>
      </c>
    </row>
    <row r="1388" hidden="1">
      <c r="A1388" s="3" t="str">
        <f t="shared" si="3"/>
        <v>SL-20251013-4as-CS-CDS-002-4</v>
      </c>
      <c r="B1388" s="2">
        <f t="array" ref="B1388">INDEX(helper!$A$3:$A3996,ROUNDUP((ROW()-1)/COUNTA(helper!$D$3:$D3996),0))</f>
        <v>45943</v>
      </c>
      <c r="C1388" s="5" t="str">
        <f t="array" ref="C1388">IF(B1388="","",INDEX(helper!$D$3:$D3996,MOD(ROW()-2,COUNTA(helper!$D$3:$D3996))+1))</f>
        <v>4as</v>
      </c>
      <c r="D1388" s="3" t="str">
        <f t="array" ref="D1388">IF(B1388="","",INDEX(helper!$E$3:$E3996,MOD(ROW()-2,COUNTA(helper!$D$3:$D3996))+1))</f>
        <v>CS-CDS-002</v>
      </c>
      <c r="E1388" s="3">
        <f t="array" ref="E1388">IF(B1388="","",INDEX(helper!$F$3:$F3996,MOD(ROW()-2,COUNTA(helper!$D$3:$D3996))+1))</f>
        <v>4</v>
      </c>
      <c r="F1388" s="3">
        <f>IF(B1388="","",SUMIFS('inventory ledger'!$H:$H,'inventory ledger'!$C:$C,C1388,'inventory ledger'!$D:$D,D1388,'inventory ledger'!$E:$E,E1388,'inventory ledger'!$A:$A,"&lt;="&amp;B1388+TIME(23,59,59))-SUMIFS('inventory ledger'!$I:$I,'inventory ledger'!$C:$C,C1388,'inventory ledger'!$D:$D,D1388,'inventory ledger'!$E:$E,E1388,'inventory ledger'!$A:$A,"&lt;="&amp;B1388+TIME(23,59,59)))</f>
        <v>0</v>
      </c>
      <c r="G1388" s="3">
        <f>IFERROR(__xludf.DUMMYFUNCTION("IF(F1388&lt;=0,0,IFERROR(ROUNDUP(F1388/INDEX(FILTER('warehouse config'!$D:$D,('warehouse config'!$B:$B=C1388)*('warehouse config'!$C:$C=D1388)*('warehouse config'!$G:$G&lt;=B1388)*(('warehouse config'!$H:$H&gt;=B1388)+ISBLANK('warehouse config'!$H:$H))),1)),0))"),0.0)</f>
        <v>0</v>
      </c>
      <c r="H1388" s="3">
        <f>IFERROR(__xludf.DUMMYFUNCTION("IFERROR(INDEX(FILTER('cost master'!$E:$E,('cost master'!$B:$B=C1388)*('cost master'!$D:$D=""Storage cost per pallet / week"")*('cost master'!$G:$G&lt;=B1388)*(('cost master'!$H:$H&gt;=B1388)+ISBLANK('cost master'!$H:$H))),1),0)"),9.0)</f>
        <v>9</v>
      </c>
      <c r="I1388" s="3">
        <f t="shared" si="4"/>
        <v>0</v>
      </c>
      <c r="J1388" s="27">
        <f t="shared" si="5"/>
        <v>45916</v>
      </c>
      <c r="K1388" s="27">
        <f t="shared" si="6"/>
        <v>45945</v>
      </c>
    </row>
    <row r="1389" hidden="1">
      <c r="A1389" s="3" t="str">
        <f t="shared" si="3"/>
        <v>SL-20251013-Vglobal-CS 007-13</v>
      </c>
      <c r="B1389" s="2">
        <f t="array" ref="B1389">INDEX(helper!$A$3:$A3996,ROUNDUP((ROW()-1)/COUNTA(helper!$D$3:$D3996),0))</f>
        <v>45943</v>
      </c>
      <c r="C1389" s="5" t="str">
        <f t="array" ref="C1389">IF(B1389="","",INDEX(helper!$D$3:$D3996,MOD(ROW()-2,COUNTA(helper!$D$3:$D3996))+1))</f>
        <v>Vglobal</v>
      </c>
      <c r="D1389" s="3" t="str">
        <f t="array" ref="D1389">IF(B1389="","",INDEX(helper!$E$3:$E3996,MOD(ROW()-2,COUNTA(helper!$D$3:$D3996))+1))</f>
        <v>CS 007</v>
      </c>
      <c r="E1389" s="3">
        <f t="array" ref="E1389">IF(B1389="","",INDEX(helper!$F$3:$F3996,MOD(ROW()-2,COUNTA(helper!$D$3:$D3996))+1))</f>
        <v>13</v>
      </c>
      <c r="F1389" s="3">
        <f>IF(B1389="","",SUMIFS('inventory ledger'!$H:$H,'inventory ledger'!$C:$C,C1389,'inventory ledger'!$D:$D,D1389,'inventory ledger'!$E:$E,E1389,'inventory ledger'!$A:$A,"&lt;="&amp;B1389+TIME(23,59,59))-SUMIFS('inventory ledger'!$I:$I,'inventory ledger'!$C:$C,C1389,'inventory ledger'!$D:$D,D1389,'inventory ledger'!$E:$E,E1389,'inventory ledger'!$A:$A,"&lt;="&amp;B1389+TIME(23,59,59)))</f>
        <v>45</v>
      </c>
      <c r="G1389" s="3">
        <f>IFERROR(__xludf.DUMMYFUNCTION("IF(F1389&lt;=0,0,IFERROR(ROUNDUP(F1389/INDEX(FILTER('warehouse config'!$D:$D,('warehouse config'!$B:$B=C1389)*('warehouse config'!$C:$C=D1389)*('warehouse config'!$G:$G&lt;=B1389)*(('warehouse config'!$H:$H&gt;=B1389)+ISBLANK('warehouse config'!$H:$H))),1)),0))"),3.0)</f>
        <v>3</v>
      </c>
      <c r="H1389" s="3">
        <f>IFERROR(__xludf.DUMMYFUNCTION("IFERROR(INDEX(FILTER('cost master'!$E:$E,('cost master'!$B:$B=C1389)*('cost master'!$D:$D=""Storage cost per pallet / week"")*('cost master'!$G:$G&lt;=B1389)*(('cost master'!$H:$H&gt;=B1389)+ISBLANK('cost master'!$H:$H))),1),0)"),2.6)</f>
        <v>2.6</v>
      </c>
      <c r="I1389" s="3">
        <f t="shared" si="4"/>
        <v>7.8</v>
      </c>
      <c r="J1389" s="27">
        <f t="shared" si="5"/>
        <v>45916</v>
      </c>
      <c r="K1389" s="27">
        <f t="shared" si="6"/>
        <v>45945</v>
      </c>
    </row>
    <row r="1390" hidden="1">
      <c r="A1390" s="3" t="str">
        <f t="shared" si="3"/>
        <v>SL-20251013-Vglobal-CS 011-13</v>
      </c>
      <c r="B1390" s="2">
        <f t="array" ref="B1390">INDEX(helper!$A$3:$A3996,ROUNDUP((ROW()-1)/COUNTA(helper!$D$3:$D3996),0))</f>
        <v>45943</v>
      </c>
      <c r="C1390" s="5" t="str">
        <f t="array" ref="C1390">IF(B1390="","",INDEX(helper!$D$3:$D3996,MOD(ROW()-2,COUNTA(helper!$D$3:$D3996))+1))</f>
        <v>Vglobal</v>
      </c>
      <c r="D1390" s="3" t="str">
        <f t="array" ref="D1390">IF(B1390="","",INDEX(helper!$E$3:$E3996,MOD(ROW()-2,COUNTA(helper!$D$3:$D3996))+1))</f>
        <v>CS 011</v>
      </c>
      <c r="E1390" s="3">
        <f t="array" ref="E1390">IF(B1390="","",INDEX(helper!$F$3:$F3996,MOD(ROW()-2,COUNTA(helper!$D$3:$D3996))+1))</f>
        <v>13</v>
      </c>
      <c r="F1390" s="3">
        <f>IF(B1390="","",SUMIFS('inventory ledger'!$H:$H,'inventory ledger'!$C:$C,C1390,'inventory ledger'!$D:$D,D1390,'inventory ledger'!$E:$E,E1390,'inventory ledger'!$A:$A,"&lt;="&amp;B1390+TIME(23,59,59))-SUMIFS('inventory ledger'!$I:$I,'inventory ledger'!$C:$C,C1390,'inventory ledger'!$D:$D,D1390,'inventory ledger'!$E:$E,E1390,'inventory ledger'!$A:$A,"&lt;="&amp;B1390+TIME(23,59,59)))</f>
        <v>0</v>
      </c>
      <c r="G1390" s="3">
        <f>IFERROR(__xludf.DUMMYFUNCTION("IF(F1390&lt;=0,0,IFERROR(ROUNDUP(F1390/INDEX(FILTER('warehouse config'!$D:$D,('warehouse config'!$B:$B=C1390)*('warehouse config'!$C:$C=D1390)*('warehouse config'!$G:$G&lt;=B1390)*(('warehouse config'!$H:$H&gt;=B1390)+ISBLANK('warehouse config'!$H:$H))),1)),0))"),0.0)</f>
        <v>0</v>
      </c>
      <c r="H1390" s="3">
        <f>IFERROR(__xludf.DUMMYFUNCTION("IFERROR(INDEX(FILTER('cost master'!$E:$E,('cost master'!$B:$B=C1390)*('cost master'!$D:$D=""Storage cost per pallet / week"")*('cost master'!$G:$G&lt;=B1390)*(('cost master'!$H:$H&gt;=B1390)+ISBLANK('cost master'!$H:$H))),1),0)"),2.6)</f>
        <v>2.6</v>
      </c>
      <c r="I1390" s="3">
        <f t="shared" si="4"/>
        <v>0</v>
      </c>
      <c r="J1390" s="27">
        <f t="shared" si="5"/>
        <v>45916</v>
      </c>
      <c r="K1390" s="27">
        <f t="shared" si="6"/>
        <v>45945</v>
      </c>
    </row>
    <row r="1391" hidden="1">
      <c r="A1391" s="3" t="str">
        <f t="shared" si="3"/>
        <v>SL-20251013-Vglobal-CS 008-13</v>
      </c>
      <c r="B1391" s="2">
        <f t="array" ref="B1391">INDEX(helper!$A$3:$A3996,ROUNDUP((ROW()-1)/COUNTA(helper!$D$3:$D3996),0))</f>
        <v>45943</v>
      </c>
      <c r="C1391" s="5" t="str">
        <f t="array" ref="C1391">IF(B1391="","",INDEX(helper!$D$3:$D3996,MOD(ROW()-2,COUNTA(helper!$D$3:$D3996))+1))</f>
        <v>Vglobal</v>
      </c>
      <c r="D1391" s="3" t="str">
        <f t="array" ref="D1391">IF(B1391="","",INDEX(helper!$E$3:$E3996,MOD(ROW()-2,COUNTA(helper!$D$3:$D3996))+1))</f>
        <v>CS 008</v>
      </c>
      <c r="E1391" s="3">
        <f t="array" ref="E1391">IF(B1391="","",INDEX(helper!$F$3:$F3996,MOD(ROW()-2,COUNTA(helper!$D$3:$D3996))+1))</f>
        <v>13</v>
      </c>
      <c r="F1391" s="3">
        <f>IF(B1391="","",SUMIFS('inventory ledger'!$H:$H,'inventory ledger'!$C:$C,C1391,'inventory ledger'!$D:$D,D1391,'inventory ledger'!$E:$E,E1391,'inventory ledger'!$A:$A,"&lt;="&amp;B1391+TIME(23,59,59))-SUMIFS('inventory ledger'!$I:$I,'inventory ledger'!$C:$C,C1391,'inventory ledger'!$D:$D,D1391,'inventory ledger'!$E:$E,E1391,'inventory ledger'!$A:$A,"&lt;="&amp;B1391+TIME(23,59,59)))</f>
        <v>20</v>
      </c>
      <c r="G1391" s="3">
        <f>IFERROR(__xludf.DUMMYFUNCTION("IF(F1391&lt;=0,0,IFERROR(ROUNDUP(F1391/INDEX(FILTER('warehouse config'!$D:$D,('warehouse config'!$B:$B=C1391)*('warehouse config'!$C:$C=D1391)*('warehouse config'!$G:$G&lt;=B1391)*(('warehouse config'!$H:$H&gt;=B1391)+ISBLANK('warehouse config'!$H:$H))),1)),0))"),1.0)</f>
        <v>1</v>
      </c>
      <c r="H1391" s="3">
        <f>IFERROR(__xludf.DUMMYFUNCTION("IFERROR(INDEX(FILTER('cost master'!$E:$E,('cost master'!$B:$B=C1391)*('cost master'!$D:$D=""Storage cost per pallet / week"")*('cost master'!$G:$G&lt;=B1391)*(('cost master'!$H:$H&gt;=B1391)+ISBLANK('cost master'!$H:$H))),1),0)"),2.6)</f>
        <v>2.6</v>
      </c>
      <c r="I1391" s="3">
        <f t="shared" si="4"/>
        <v>2.6</v>
      </c>
      <c r="J1391" s="27">
        <f t="shared" si="5"/>
        <v>45916</v>
      </c>
      <c r="K1391" s="27">
        <f t="shared" si="6"/>
        <v>45945</v>
      </c>
    </row>
    <row r="1392" hidden="1">
      <c r="A1392" s="3" t="str">
        <f t="shared" si="3"/>
        <v>SL-20251013-Vglobal-CS 010-13</v>
      </c>
      <c r="B1392" s="2">
        <f t="array" ref="B1392">INDEX(helper!$A$3:$A3996,ROUNDUP((ROW()-1)/COUNTA(helper!$D$3:$D3996),0))</f>
        <v>45943</v>
      </c>
      <c r="C1392" s="5" t="str">
        <f t="array" ref="C1392">IF(B1392="","",INDEX(helper!$D$3:$D3996,MOD(ROW()-2,COUNTA(helper!$D$3:$D3996))+1))</f>
        <v>Vglobal</v>
      </c>
      <c r="D1392" s="3" t="str">
        <f t="array" ref="D1392">IF(B1392="","",INDEX(helper!$E$3:$E3996,MOD(ROW()-2,COUNTA(helper!$D$3:$D3996))+1))</f>
        <v>CS 010</v>
      </c>
      <c r="E1392" s="3">
        <f t="array" ref="E1392">IF(B1392="","",INDEX(helper!$F$3:$F3996,MOD(ROW()-2,COUNTA(helper!$D$3:$D3996))+1))</f>
        <v>13</v>
      </c>
      <c r="F1392" s="3">
        <f>IF(B1392="","",SUMIFS('inventory ledger'!$H:$H,'inventory ledger'!$C:$C,C1392,'inventory ledger'!$D:$D,D1392,'inventory ledger'!$E:$E,E1392,'inventory ledger'!$A:$A,"&lt;="&amp;B1392+TIME(23,59,59))-SUMIFS('inventory ledger'!$I:$I,'inventory ledger'!$C:$C,C1392,'inventory ledger'!$D:$D,D1392,'inventory ledger'!$E:$E,E1392,'inventory ledger'!$A:$A,"&lt;="&amp;B1392+TIME(23,59,59)))</f>
        <v>80</v>
      </c>
      <c r="G1392" s="3">
        <f>IFERROR(__xludf.DUMMYFUNCTION("IF(F1392&lt;=0,0,IFERROR(ROUNDUP(F1392/INDEX(FILTER('warehouse config'!$D:$D,('warehouse config'!$B:$B=C1392)*('warehouse config'!$C:$C=D1392)*('warehouse config'!$G:$G&lt;=B1392)*(('warehouse config'!$H:$H&gt;=B1392)+ISBLANK('warehouse config'!$H:$H))),1)),0))"),4.0)</f>
        <v>4</v>
      </c>
      <c r="H1392" s="3">
        <f>IFERROR(__xludf.DUMMYFUNCTION("IFERROR(INDEX(FILTER('cost master'!$E:$E,('cost master'!$B:$B=C1392)*('cost master'!$D:$D=""Storage cost per pallet / week"")*('cost master'!$G:$G&lt;=B1392)*(('cost master'!$H:$H&gt;=B1392)+ISBLANK('cost master'!$H:$H))),1),0)"),2.6)</f>
        <v>2.6</v>
      </c>
      <c r="I1392" s="3">
        <f t="shared" si="4"/>
        <v>10.4</v>
      </c>
      <c r="J1392" s="27">
        <f t="shared" si="5"/>
        <v>45916</v>
      </c>
      <c r="K1392" s="27">
        <f t="shared" si="6"/>
        <v>45945</v>
      </c>
    </row>
    <row r="1393" hidden="1">
      <c r="A1393" s="3" t="str">
        <f t="shared" si="3"/>
        <v>SL-20251013-Vglobal-CS 009-13</v>
      </c>
      <c r="B1393" s="2">
        <f t="array" ref="B1393">INDEX(helper!$A$3:$A3996,ROUNDUP((ROW()-1)/COUNTA(helper!$D$3:$D3996),0))</f>
        <v>45943</v>
      </c>
      <c r="C1393" s="5" t="str">
        <f t="array" ref="C1393">IF(B1393="","",INDEX(helper!$D$3:$D3996,MOD(ROW()-2,COUNTA(helper!$D$3:$D3996))+1))</f>
        <v>Vglobal</v>
      </c>
      <c r="D1393" s="3" t="str">
        <f t="array" ref="D1393">IF(B1393="","",INDEX(helper!$E$3:$E3996,MOD(ROW()-2,COUNTA(helper!$D$3:$D3996))+1))</f>
        <v>CS 009</v>
      </c>
      <c r="E1393" s="3">
        <f t="array" ref="E1393">IF(B1393="","",INDEX(helper!$F$3:$F3996,MOD(ROW()-2,COUNTA(helper!$D$3:$D3996))+1))</f>
        <v>13</v>
      </c>
      <c r="F1393" s="3">
        <f>IF(B1393="","",SUMIFS('inventory ledger'!$H:$H,'inventory ledger'!$C:$C,C1393,'inventory ledger'!$D:$D,D1393,'inventory ledger'!$E:$E,E1393,'inventory ledger'!$A:$A,"&lt;="&amp;B1393+TIME(23,59,59))-SUMIFS('inventory ledger'!$I:$I,'inventory ledger'!$C:$C,C1393,'inventory ledger'!$D:$D,D1393,'inventory ledger'!$E:$E,E1393,'inventory ledger'!$A:$A,"&lt;="&amp;B1393+TIME(23,59,59)))</f>
        <v>0</v>
      </c>
      <c r="G1393" s="3">
        <f>IFERROR(__xludf.DUMMYFUNCTION("IF(F1393&lt;=0,0,IFERROR(ROUNDUP(F1393/INDEX(FILTER('warehouse config'!$D:$D,('warehouse config'!$B:$B=C1393)*('warehouse config'!$C:$C=D1393)*('warehouse config'!$G:$G&lt;=B1393)*(('warehouse config'!$H:$H&gt;=B1393)+ISBLANK('warehouse config'!$H:$H))),1)),0))"),0.0)</f>
        <v>0</v>
      </c>
      <c r="H1393" s="3">
        <f>IFERROR(__xludf.DUMMYFUNCTION("IFERROR(INDEX(FILTER('cost master'!$E:$E,('cost master'!$B:$B=C1393)*('cost master'!$D:$D=""Storage cost per pallet / week"")*('cost master'!$G:$G&lt;=B1393)*(('cost master'!$H:$H&gt;=B1393)+ISBLANK('cost master'!$H:$H))),1),0)"),2.6)</f>
        <v>2.6</v>
      </c>
      <c r="I1393" s="3">
        <f t="shared" si="4"/>
        <v>0</v>
      </c>
      <c r="J1393" s="27">
        <f t="shared" si="5"/>
        <v>45916</v>
      </c>
      <c r="K1393" s="27">
        <f t="shared" si="6"/>
        <v>45945</v>
      </c>
    </row>
    <row r="1394" hidden="1">
      <c r="A1394" s="3" t="str">
        <f t="shared" si="3"/>
        <v>SL-20251013-Vglobal-CS 012-13</v>
      </c>
      <c r="B1394" s="2">
        <f t="array" ref="B1394">INDEX(helper!$A$3:$A3996,ROUNDUP((ROW()-1)/COUNTA(helper!$D$3:$D3996),0))</f>
        <v>45943</v>
      </c>
      <c r="C1394" s="5" t="str">
        <f t="array" ref="C1394">IF(B1394="","",INDEX(helper!$D$3:$D3996,MOD(ROW()-2,COUNTA(helper!$D$3:$D3996))+1))</f>
        <v>Vglobal</v>
      </c>
      <c r="D1394" s="3" t="str">
        <f t="array" ref="D1394">IF(B1394="","",INDEX(helper!$E$3:$E3996,MOD(ROW()-2,COUNTA(helper!$D$3:$D3996))+1))</f>
        <v>CS 012</v>
      </c>
      <c r="E1394" s="3">
        <f t="array" ref="E1394">IF(B1394="","",INDEX(helper!$F$3:$F3996,MOD(ROW()-2,COUNTA(helper!$D$3:$D3996))+1))</f>
        <v>13</v>
      </c>
      <c r="F1394" s="3">
        <f>IF(B1394="","",SUMIFS('inventory ledger'!$H:$H,'inventory ledger'!$C:$C,C1394,'inventory ledger'!$D:$D,D1394,'inventory ledger'!$E:$E,E1394,'inventory ledger'!$A:$A,"&lt;="&amp;B1394+TIME(23,59,59))-SUMIFS('inventory ledger'!$I:$I,'inventory ledger'!$C:$C,C1394,'inventory ledger'!$D:$D,D1394,'inventory ledger'!$E:$E,E1394,'inventory ledger'!$A:$A,"&lt;="&amp;B1394+TIME(23,59,59)))</f>
        <v>0</v>
      </c>
      <c r="G1394" s="3">
        <f>IFERROR(__xludf.DUMMYFUNCTION("IF(F1394&lt;=0,0,IFERROR(ROUNDUP(F1394/INDEX(FILTER('warehouse config'!$D:$D,('warehouse config'!$B:$B=C1394)*('warehouse config'!$C:$C=D1394)*('warehouse config'!$G:$G&lt;=B1394)*(('warehouse config'!$H:$H&gt;=B1394)+ISBLANK('warehouse config'!$H:$H))),1)),0))"),0.0)</f>
        <v>0</v>
      </c>
      <c r="H1394" s="3">
        <f>IFERROR(__xludf.DUMMYFUNCTION("IFERROR(INDEX(FILTER('cost master'!$E:$E,('cost master'!$B:$B=C1394)*('cost master'!$D:$D=""Storage cost per pallet / week"")*('cost master'!$G:$G&lt;=B1394)*(('cost master'!$H:$H&gt;=B1394)+ISBLANK('cost master'!$H:$H))),1),0)"),2.6)</f>
        <v>2.6</v>
      </c>
      <c r="I1394" s="3">
        <f t="shared" si="4"/>
        <v>0</v>
      </c>
      <c r="J1394" s="27">
        <f t="shared" si="5"/>
        <v>45916</v>
      </c>
      <c r="K1394" s="27">
        <f t="shared" si="6"/>
        <v>45945</v>
      </c>
    </row>
    <row r="1395">
      <c r="A1395" s="3" t="str">
        <f t="shared" si="3"/>
        <v>SL-20251013-FMC-CS 008-11</v>
      </c>
      <c r="B1395" s="2">
        <f t="array" ref="B1395">INDEX(helper!$A$3:$A3996,ROUNDUP((ROW()-1)/COUNTA(helper!$D$3:$D3996),0))</f>
        <v>45943</v>
      </c>
      <c r="C1395" s="5" t="str">
        <f t="array" ref="C1395">IF(B1395="","",INDEX(helper!$D$3:$D3996,MOD(ROW()-2,COUNTA(helper!$D$3:$D3996))+1))</f>
        <v>FMC</v>
      </c>
      <c r="D1395" s="3" t="str">
        <f t="array" ref="D1395">IF(B1395="","",INDEX(helper!$E$3:$E3996,MOD(ROW()-2,COUNTA(helper!$D$3:$D3996))+1))</f>
        <v>CS 008</v>
      </c>
      <c r="E1395" s="3">
        <f t="array" ref="E1395">IF(B1395="","",INDEX(helper!$F$3:$F3996,MOD(ROW()-2,COUNTA(helper!$D$3:$D3996))+1))</f>
        <v>11</v>
      </c>
      <c r="F1395" s="3">
        <f>IF(B1395="","",SUMIFS('inventory ledger'!$H:$H,'inventory ledger'!$C:$C,C1395,'inventory ledger'!$D:$D,D1395,'inventory ledger'!$E:$E,E1395,'inventory ledger'!$A:$A,"&lt;="&amp;B1395+TIME(23,59,59))-SUMIFS('inventory ledger'!$I:$I,'inventory ledger'!$C:$C,C1395,'inventory ledger'!$D:$D,D1395,'inventory ledger'!$E:$E,E1395,'inventory ledger'!$A:$A,"&lt;="&amp;B1395+TIME(23,59,59)))</f>
        <v>-2</v>
      </c>
      <c r="G1395" s="3">
        <f>IFERROR(__xludf.DUMMYFUNCTION("IF(F1395&lt;=0,0,IFERROR(ROUNDUP(F1395/INDEX(FILTER('warehouse config'!$D:$D,('warehouse config'!$B:$B=C1395)*('warehouse config'!$C:$C=D1395)*('warehouse config'!$G:$G&lt;=B1395)*(('warehouse config'!$H:$H&gt;=B1395)+ISBLANK('warehouse config'!$H:$H))),1)),0))"),0.0)</f>
        <v>0</v>
      </c>
      <c r="H1395" s="3">
        <f>IFERROR(__xludf.DUMMYFUNCTION("IFERROR(INDEX(FILTER('cost master'!$E:$E,('cost master'!$B:$B=C1395)*('cost master'!$D:$D=""Storage cost per pallet / week"")*('cost master'!$G:$G&lt;=B1395)*(('cost master'!$H:$H&gt;=B1395)+ISBLANK('cost master'!$H:$H))),1),0)"),3.9)</f>
        <v>3.9</v>
      </c>
      <c r="I1395" s="3">
        <f t="shared" si="4"/>
        <v>0</v>
      </c>
      <c r="J1395" s="27">
        <f t="shared" si="5"/>
        <v>45916</v>
      </c>
      <c r="K1395" s="27">
        <f t="shared" si="6"/>
        <v>45945</v>
      </c>
    </row>
    <row r="1396" hidden="1">
      <c r="A1396" s="3" t="str">
        <f t="shared" si="3"/>
        <v>SL-20251020-FMC-CS 007-8</v>
      </c>
      <c r="B1396" s="2">
        <f t="array" ref="B1396">INDEX(helper!$A$3:$A3996,ROUNDUP((ROW()-1)/COUNTA(helper!$D$3:$D3996),0))</f>
        <v>45950</v>
      </c>
      <c r="C1396" s="5" t="str">
        <f t="array" ref="C1396">IF(B1396="","",INDEX(helper!$D$3:$D3996,MOD(ROW()-2,COUNTA(helper!$D$3:$D3996))+1))</f>
        <v>FMC</v>
      </c>
      <c r="D1396" s="3" t="str">
        <f t="array" ref="D1396">IF(B1396="","",INDEX(helper!$E$3:$E3996,MOD(ROW()-2,COUNTA(helper!$D$3:$D3996))+1))</f>
        <v>CS 007</v>
      </c>
      <c r="E1396" s="3">
        <f t="array" ref="E1396">IF(B1396="","",INDEX(helper!$F$3:$F3996,MOD(ROW()-2,COUNTA(helper!$D$3:$D3996))+1))</f>
        <v>8</v>
      </c>
      <c r="F1396" s="3">
        <f>IF(B1396="","",SUMIFS('inventory ledger'!$H:$H,'inventory ledger'!$C:$C,C1396,'inventory ledger'!$D:$D,D1396,'inventory ledger'!$E:$E,E1396,'inventory ledger'!$A:$A,"&lt;="&amp;B1396+TIME(23,59,59))-SUMIFS('inventory ledger'!$I:$I,'inventory ledger'!$C:$C,C1396,'inventory ledger'!$D:$D,D1396,'inventory ledger'!$E:$E,E1396,'inventory ledger'!$A:$A,"&lt;="&amp;B1396+TIME(23,59,59)))</f>
        <v>0</v>
      </c>
      <c r="G1396" s="3">
        <f>IFERROR(__xludf.DUMMYFUNCTION("IF(F1396&lt;=0,0,IFERROR(ROUNDUP(F1396/INDEX(FILTER('warehouse config'!$D:$D,('warehouse config'!$B:$B=C1396)*('warehouse config'!$C:$C=D1396)*('warehouse config'!$G:$G&lt;=B1396)*(('warehouse config'!$H:$H&gt;=B1396)+ISBLANK('warehouse config'!$H:$H))),1)),0))"),0.0)</f>
        <v>0</v>
      </c>
      <c r="H1396" s="3">
        <f>IFERROR(__xludf.DUMMYFUNCTION("IFERROR(INDEX(FILTER('cost master'!$E:$E,('cost master'!$B:$B=C1396)*('cost master'!$D:$D=""Storage cost per pallet / week"")*('cost master'!$G:$G&lt;=B1396)*(('cost master'!$H:$H&gt;=B1396)+ISBLANK('cost master'!$H:$H))),1),0)"),3.9)</f>
        <v>3.9</v>
      </c>
      <c r="I1396" s="3">
        <f t="shared" si="4"/>
        <v>0</v>
      </c>
      <c r="J1396" s="27">
        <f t="shared" si="5"/>
        <v>45946</v>
      </c>
      <c r="K1396" s="27">
        <f t="shared" si="6"/>
        <v>45976</v>
      </c>
    </row>
    <row r="1397" hidden="1">
      <c r="A1397" s="3" t="str">
        <f t="shared" si="3"/>
        <v>SL-20251020-FMC-CS 008-8</v>
      </c>
      <c r="B1397" s="2">
        <f t="array" ref="B1397">INDEX(helper!$A$3:$A3996,ROUNDUP((ROW()-1)/COUNTA(helper!$D$3:$D3996),0))</f>
        <v>45950</v>
      </c>
      <c r="C1397" s="5" t="str">
        <f t="array" ref="C1397">IF(B1397="","",INDEX(helper!$D$3:$D3996,MOD(ROW()-2,COUNTA(helper!$D$3:$D3996))+1))</f>
        <v>FMC</v>
      </c>
      <c r="D1397" s="3" t="str">
        <f t="array" ref="D1397">IF(B1397="","",INDEX(helper!$E$3:$E3996,MOD(ROW()-2,COUNTA(helper!$D$3:$D3996))+1))</f>
        <v>CS 008</v>
      </c>
      <c r="E1397" s="3">
        <f t="array" ref="E1397">IF(B1397="","",INDEX(helper!$F$3:$F3996,MOD(ROW()-2,COUNTA(helper!$D$3:$D3996))+1))</f>
        <v>8</v>
      </c>
      <c r="F1397" s="3">
        <f>IF(B1397="","",SUMIFS('inventory ledger'!$H:$H,'inventory ledger'!$C:$C,C1397,'inventory ledger'!$D:$D,D1397,'inventory ledger'!$E:$E,E1397,'inventory ledger'!$A:$A,"&lt;="&amp;B1397+TIME(23,59,59))-SUMIFS('inventory ledger'!$I:$I,'inventory ledger'!$C:$C,C1397,'inventory ledger'!$D:$D,D1397,'inventory ledger'!$E:$E,E1397,'inventory ledger'!$A:$A,"&lt;="&amp;B1397+TIME(23,59,59)))</f>
        <v>0</v>
      </c>
      <c r="G1397" s="3">
        <f>IFERROR(__xludf.DUMMYFUNCTION("IF(F1397&lt;=0,0,IFERROR(ROUNDUP(F1397/INDEX(FILTER('warehouse config'!$D:$D,('warehouse config'!$B:$B=C1397)*('warehouse config'!$C:$C=D1397)*('warehouse config'!$G:$G&lt;=B1397)*(('warehouse config'!$H:$H&gt;=B1397)+ISBLANK('warehouse config'!$H:$H))),1)),0))"),0.0)</f>
        <v>0</v>
      </c>
      <c r="H1397" s="3">
        <f>IFERROR(__xludf.DUMMYFUNCTION("IFERROR(INDEX(FILTER('cost master'!$E:$E,('cost master'!$B:$B=C1397)*('cost master'!$D:$D=""Storage cost per pallet / week"")*('cost master'!$G:$G&lt;=B1397)*(('cost master'!$H:$H&gt;=B1397)+ISBLANK('cost master'!$H:$H))),1),0)"),3.9)</f>
        <v>3.9</v>
      </c>
      <c r="I1397" s="3">
        <f t="shared" si="4"/>
        <v>0</v>
      </c>
      <c r="J1397" s="27">
        <f t="shared" si="5"/>
        <v>45946</v>
      </c>
      <c r="K1397" s="27">
        <f t="shared" si="6"/>
        <v>45976</v>
      </c>
    </row>
    <row r="1398" hidden="1">
      <c r="A1398" s="3" t="str">
        <f t="shared" si="3"/>
        <v>SL-20251020-FMC-CS 009-8</v>
      </c>
      <c r="B1398" s="2">
        <f t="array" ref="B1398">INDEX(helper!$A$3:$A3996,ROUNDUP((ROW()-1)/COUNTA(helper!$D$3:$D3996),0))</f>
        <v>45950</v>
      </c>
      <c r="C1398" s="5" t="str">
        <f t="array" ref="C1398">IF(B1398="","",INDEX(helper!$D$3:$D3996,MOD(ROW()-2,COUNTA(helper!$D$3:$D3996))+1))</f>
        <v>FMC</v>
      </c>
      <c r="D1398" s="3" t="str">
        <f t="array" ref="D1398">IF(B1398="","",INDEX(helper!$E$3:$E3996,MOD(ROW()-2,COUNTA(helper!$D$3:$D3996))+1))</f>
        <v>CS 009</v>
      </c>
      <c r="E1398" s="3">
        <f t="array" ref="E1398">IF(B1398="","",INDEX(helper!$F$3:$F3996,MOD(ROW()-2,COUNTA(helper!$D$3:$D3996))+1))</f>
        <v>8</v>
      </c>
      <c r="F1398" s="3">
        <f>IF(B1398="","",SUMIFS('inventory ledger'!$H:$H,'inventory ledger'!$C:$C,C1398,'inventory ledger'!$D:$D,D1398,'inventory ledger'!$E:$E,E1398,'inventory ledger'!$A:$A,"&lt;="&amp;B1398+TIME(23,59,59))-SUMIFS('inventory ledger'!$I:$I,'inventory ledger'!$C:$C,C1398,'inventory ledger'!$D:$D,D1398,'inventory ledger'!$E:$E,E1398,'inventory ledger'!$A:$A,"&lt;="&amp;B1398+TIME(23,59,59)))</f>
        <v>0</v>
      </c>
      <c r="G1398" s="3">
        <f>IFERROR(__xludf.DUMMYFUNCTION("IF(F1398&lt;=0,0,IFERROR(ROUNDUP(F1398/INDEX(FILTER('warehouse config'!$D:$D,('warehouse config'!$B:$B=C1398)*('warehouse config'!$C:$C=D1398)*('warehouse config'!$G:$G&lt;=B1398)*(('warehouse config'!$H:$H&gt;=B1398)+ISBLANK('warehouse config'!$H:$H))),1)),0))"),0.0)</f>
        <v>0</v>
      </c>
      <c r="H1398" s="3">
        <f>IFERROR(__xludf.DUMMYFUNCTION("IFERROR(INDEX(FILTER('cost master'!$E:$E,('cost master'!$B:$B=C1398)*('cost master'!$D:$D=""Storage cost per pallet / week"")*('cost master'!$G:$G&lt;=B1398)*(('cost master'!$H:$H&gt;=B1398)+ISBLANK('cost master'!$H:$H))),1),0)"),3.9)</f>
        <v>3.9</v>
      </c>
      <c r="I1398" s="3">
        <f t="shared" si="4"/>
        <v>0</v>
      </c>
      <c r="J1398" s="27">
        <f t="shared" si="5"/>
        <v>45946</v>
      </c>
      <c r="K1398" s="27">
        <f t="shared" si="6"/>
        <v>45976</v>
      </c>
    </row>
    <row r="1399" hidden="1">
      <c r="A1399" s="3" t="str">
        <f t="shared" si="3"/>
        <v>SL-20251020-FMC-CS 010-8</v>
      </c>
      <c r="B1399" s="2">
        <f t="array" ref="B1399">INDEX(helper!$A$3:$A3996,ROUNDUP((ROW()-1)/COUNTA(helper!$D$3:$D3996),0))</f>
        <v>45950</v>
      </c>
      <c r="C1399" s="5" t="str">
        <f t="array" ref="C1399">IF(B1399="","",INDEX(helper!$D$3:$D3996,MOD(ROW()-2,COUNTA(helper!$D$3:$D3996))+1))</f>
        <v>FMC</v>
      </c>
      <c r="D1399" s="3" t="str">
        <f t="array" ref="D1399">IF(B1399="","",INDEX(helper!$E$3:$E3996,MOD(ROW()-2,COUNTA(helper!$D$3:$D3996))+1))</f>
        <v>CS 010</v>
      </c>
      <c r="E1399" s="3">
        <f t="array" ref="E1399">IF(B1399="","",INDEX(helper!$F$3:$F3996,MOD(ROW()-2,COUNTA(helper!$D$3:$D3996))+1))</f>
        <v>8</v>
      </c>
      <c r="F1399" s="3">
        <f>IF(B1399="","",SUMIFS('inventory ledger'!$H:$H,'inventory ledger'!$C:$C,C1399,'inventory ledger'!$D:$D,D1399,'inventory ledger'!$E:$E,E1399,'inventory ledger'!$A:$A,"&lt;="&amp;B1399+TIME(23,59,59))-SUMIFS('inventory ledger'!$I:$I,'inventory ledger'!$C:$C,C1399,'inventory ledger'!$D:$D,D1399,'inventory ledger'!$E:$E,E1399,'inventory ledger'!$A:$A,"&lt;="&amp;B1399+TIME(23,59,59)))</f>
        <v>0</v>
      </c>
      <c r="G1399" s="3">
        <f>IFERROR(__xludf.DUMMYFUNCTION("IF(F1399&lt;=0,0,IFERROR(ROUNDUP(F1399/INDEX(FILTER('warehouse config'!$D:$D,('warehouse config'!$B:$B=C1399)*('warehouse config'!$C:$C=D1399)*('warehouse config'!$G:$G&lt;=B1399)*(('warehouse config'!$H:$H&gt;=B1399)+ISBLANK('warehouse config'!$H:$H))),1)),0))"),0.0)</f>
        <v>0</v>
      </c>
      <c r="H1399" s="3">
        <f>IFERROR(__xludf.DUMMYFUNCTION("IFERROR(INDEX(FILTER('cost master'!$E:$E,('cost master'!$B:$B=C1399)*('cost master'!$D:$D=""Storage cost per pallet / week"")*('cost master'!$G:$G&lt;=B1399)*(('cost master'!$H:$H&gt;=B1399)+ISBLANK('cost master'!$H:$H))),1),0)"),3.9)</f>
        <v>3.9</v>
      </c>
      <c r="I1399" s="3">
        <f t="shared" si="4"/>
        <v>0</v>
      </c>
      <c r="J1399" s="27">
        <f t="shared" si="5"/>
        <v>45946</v>
      </c>
      <c r="K1399" s="27">
        <f t="shared" si="6"/>
        <v>45976</v>
      </c>
    </row>
    <row r="1400" hidden="1">
      <c r="A1400" s="3" t="str">
        <f t="shared" si="3"/>
        <v>SL-20251020-FMC-CS 007-9</v>
      </c>
      <c r="B1400" s="2">
        <f t="array" ref="B1400">INDEX(helper!$A$3:$A3996,ROUNDUP((ROW()-1)/COUNTA(helper!$D$3:$D3996),0))</f>
        <v>45950</v>
      </c>
      <c r="C1400" s="5" t="str">
        <f t="array" ref="C1400">IF(B1400="","",INDEX(helper!$D$3:$D3996,MOD(ROW()-2,COUNTA(helper!$D$3:$D3996))+1))</f>
        <v>FMC</v>
      </c>
      <c r="D1400" s="3" t="str">
        <f t="array" ref="D1400">IF(B1400="","",INDEX(helper!$E$3:$E3996,MOD(ROW()-2,COUNTA(helper!$D$3:$D3996))+1))</f>
        <v>CS 007</v>
      </c>
      <c r="E1400" s="3">
        <f t="array" ref="E1400">IF(B1400="","",INDEX(helper!$F$3:$F3996,MOD(ROW()-2,COUNTA(helper!$D$3:$D3996))+1))</f>
        <v>9</v>
      </c>
      <c r="F1400" s="3">
        <f>IF(B1400="","",SUMIFS('inventory ledger'!$H:$H,'inventory ledger'!$C:$C,C1400,'inventory ledger'!$D:$D,D1400,'inventory ledger'!$E:$E,E1400,'inventory ledger'!$A:$A,"&lt;="&amp;B1400+TIME(23,59,59))-SUMIFS('inventory ledger'!$I:$I,'inventory ledger'!$C:$C,C1400,'inventory ledger'!$D:$D,D1400,'inventory ledger'!$E:$E,E1400,'inventory ledger'!$A:$A,"&lt;="&amp;B1400+TIME(23,59,59)))</f>
        <v>0</v>
      </c>
      <c r="G1400" s="3">
        <f>IFERROR(__xludf.DUMMYFUNCTION("IF(F1400&lt;=0,0,IFERROR(ROUNDUP(F1400/INDEX(FILTER('warehouse config'!$D:$D,('warehouse config'!$B:$B=C1400)*('warehouse config'!$C:$C=D1400)*('warehouse config'!$G:$G&lt;=B1400)*(('warehouse config'!$H:$H&gt;=B1400)+ISBLANK('warehouse config'!$H:$H))),1)),0))"),0.0)</f>
        <v>0</v>
      </c>
      <c r="H1400" s="3">
        <f>IFERROR(__xludf.DUMMYFUNCTION("IFERROR(INDEX(FILTER('cost master'!$E:$E,('cost master'!$B:$B=C1400)*('cost master'!$D:$D=""Storage cost per pallet / week"")*('cost master'!$G:$G&lt;=B1400)*(('cost master'!$H:$H&gt;=B1400)+ISBLANK('cost master'!$H:$H))),1),0)"),3.9)</f>
        <v>3.9</v>
      </c>
      <c r="I1400" s="3">
        <f t="shared" si="4"/>
        <v>0</v>
      </c>
      <c r="J1400" s="27">
        <f t="shared" si="5"/>
        <v>45946</v>
      </c>
      <c r="K1400" s="27">
        <f t="shared" si="6"/>
        <v>45976</v>
      </c>
    </row>
    <row r="1401" hidden="1">
      <c r="A1401" s="3" t="str">
        <f t="shared" si="3"/>
        <v>SL-20251020-FMC-CS 008-9</v>
      </c>
      <c r="B1401" s="2">
        <f t="array" ref="B1401">INDEX(helper!$A$3:$A3996,ROUNDUP((ROW()-1)/COUNTA(helper!$D$3:$D3996),0))</f>
        <v>45950</v>
      </c>
      <c r="C1401" s="5" t="str">
        <f t="array" ref="C1401">IF(B1401="","",INDEX(helper!$D$3:$D3996,MOD(ROW()-2,COUNTA(helper!$D$3:$D3996))+1))</f>
        <v>FMC</v>
      </c>
      <c r="D1401" s="3" t="str">
        <f t="array" ref="D1401">IF(B1401="","",INDEX(helper!$E$3:$E3996,MOD(ROW()-2,COUNTA(helper!$D$3:$D3996))+1))</f>
        <v>CS 008</v>
      </c>
      <c r="E1401" s="3">
        <f t="array" ref="E1401">IF(B1401="","",INDEX(helper!$F$3:$F3996,MOD(ROW()-2,COUNTA(helper!$D$3:$D3996))+1))</f>
        <v>9</v>
      </c>
      <c r="F1401" s="3">
        <f>IF(B1401="","",SUMIFS('inventory ledger'!$H:$H,'inventory ledger'!$C:$C,C1401,'inventory ledger'!$D:$D,D1401,'inventory ledger'!$E:$E,E1401,'inventory ledger'!$A:$A,"&lt;="&amp;B1401+TIME(23,59,59))-SUMIFS('inventory ledger'!$I:$I,'inventory ledger'!$C:$C,C1401,'inventory ledger'!$D:$D,D1401,'inventory ledger'!$E:$E,E1401,'inventory ledger'!$A:$A,"&lt;="&amp;B1401+TIME(23,59,59)))</f>
        <v>2</v>
      </c>
      <c r="G1401" s="3">
        <f>IFERROR(__xludf.DUMMYFUNCTION("IF(F1401&lt;=0,0,IFERROR(ROUNDUP(F1401/INDEX(FILTER('warehouse config'!$D:$D,('warehouse config'!$B:$B=C1401)*('warehouse config'!$C:$C=D1401)*('warehouse config'!$G:$G&lt;=B1401)*(('warehouse config'!$H:$H&gt;=B1401)+ISBLANK('warehouse config'!$H:$H))),1)),0))"),1.0)</f>
        <v>1</v>
      </c>
      <c r="H1401" s="3">
        <f>IFERROR(__xludf.DUMMYFUNCTION("IFERROR(INDEX(FILTER('cost master'!$E:$E,('cost master'!$B:$B=C1401)*('cost master'!$D:$D=""Storage cost per pallet / week"")*('cost master'!$G:$G&lt;=B1401)*(('cost master'!$H:$H&gt;=B1401)+ISBLANK('cost master'!$H:$H))),1),0)"),3.9)</f>
        <v>3.9</v>
      </c>
      <c r="I1401" s="3">
        <f t="shared" si="4"/>
        <v>3.9</v>
      </c>
      <c r="J1401" s="27">
        <f t="shared" si="5"/>
        <v>45946</v>
      </c>
      <c r="K1401" s="27">
        <f t="shared" si="6"/>
        <v>45976</v>
      </c>
    </row>
    <row r="1402" hidden="1">
      <c r="A1402" s="3" t="str">
        <f t="shared" si="3"/>
        <v>SL-20251020-FMC-CS 009-9</v>
      </c>
      <c r="B1402" s="2">
        <f t="array" ref="B1402">INDEX(helper!$A$3:$A3996,ROUNDUP((ROW()-1)/COUNTA(helper!$D$3:$D3996),0))</f>
        <v>45950</v>
      </c>
      <c r="C1402" s="5" t="str">
        <f t="array" ref="C1402">IF(B1402="","",INDEX(helper!$D$3:$D3996,MOD(ROW()-2,COUNTA(helper!$D$3:$D3996))+1))</f>
        <v>FMC</v>
      </c>
      <c r="D1402" s="3" t="str">
        <f t="array" ref="D1402">IF(B1402="","",INDEX(helper!$E$3:$E3996,MOD(ROW()-2,COUNTA(helper!$D$3:$D3996))+1))</f>
        <v>CS 009</v>
      </c>
      <c r="E1402" s="3">
        <f t="array" ref="E1402">IF(B1402="","",INDEX(helper!$F$3:$F3996,MOD(ROW()-2,COUNTA(helper!$D$3:$D3996))+1))</f>
        <v>9</v>
      </c>
      <c r="F1402" s="3">
        <f>IF(B1402="","",SUMIFS('inventory ledger'!$H:$H,'inventory ledger'!$C:$C,C1402,'inventory ledger'!$D:$D,D1402,'inventory ledger'!$E:$E,E1402,'inventory ledger'!$A:$A,"&lt;="&amp;B1402+TIME(23,59,59))-SUMIFS('inventory ledger'!$I:$I,'inventory ledger'!$C:$C,C1402,'inventory ledger'!$D:$D,D1402,'inventory ledger'!$E:$E,E1402,'inventory ledger'!$A:$A,"&lt;="&amp;B1402+TIME(23,59,59)))</f>
        <v>0</v>
      </c>
      <c r="G1402" s="3">
        <f>IFERROR(__xludf.DUMMYFUNCTION("IF(F1402&lt;=0,0,IFERROR(ROUNDUP(F1402/INDEX(FILTER('warehouse config'!$D:$D,('warehouse config'!$B:$B=C1402)*('warehouse config'!$C:$C=D1402)*('warehouse config'!$G:$G&lt;=B1402)*(('warehouse config'!$H:$H&gt;=B1402)+ISBLANK('warehouse config'!$H:$H))),1)),0))"),0.0)</f>
        <v>0</v>
      </c>
      <c r="H1402" s="3">
        <f>IFERROR(__xludf.DUMMYFUNCTION("IFERROR(INDEX(FILTER('cost master'!$E:$E,('cost master'!$B:$B=C1402)*('cost master'!$D:$D=""Storage cost per pallet / week"")*('cost master'!$G:$G&lt;=B1402)*(('cost master'!$H:$H&gt;=B1402)+ISBLANK('cost master'!$H:$H))),1),0)"),3.9)</f>
        <v>3.9</v>
      </c>
      <c r="I1402" s="3">
        <f t="shared" si="4"/>
        <v>0</v>
      </c>
      <c r="J1402" s="27">
        <f t="shared" si="5"/>
        <v>45946</v>
      </c>
      <c r="K1402" s="27">
        <f t="shared" si="6"/>
        <v>45976</v>
      </c>
    </row>
    <row r="1403" hidden="1">
      <c r="A1403" s="3" t="str">
        <f t="shared" si="3"/>
        <v>SL-20251020-FMC-CS 010-9</v>
      </c>
      <c r="B1403" s="2">
        <f t="array" ref="B1403">INDEX(helper!$A$3:$A3996,ROUNDUP((ROW()-1)/COUNTA(helper!$D$3:$D3996),0))</f>
        <v>45950</v>
      </c>
      <c r="C1403" s="5" t="str">
        <f t="array" ref="C1403">IF(B1403="","",INDEX(helper!$D$3:$D3996,MOD(ROW()-2,COUNTA(helper!$D$3:$D3996))+1))</f>
        <v>FMC</v>
      </c>
      <c r="D1403" s="3" t="str">
        <f t="array" ref="D1403">IF(B1403="","",INDEX(helper!$E$3:$E3996,MOD(ROW()-2,COUNTA(helper!$D$3:$D3996))+1))</f>
        <v>CS 010</v>
      </c>
      <c r="E1403" s="3">
        <f t="array" ref="E1403">IF(B1403="","",INDEX(helper!$F$3:$F3996,MOD(ROW()-2,COUNTA(helper!$D$3:$D3996))+1))</f>
        <v>9</v>
      </c>
      <c r="F1403" s="3">
        <f>IF(B1403="","",SUMIFS('inventory ledger'!$H:$H,'inventory ledger'!$C:$C,C1403,'inventory ledger'!$D:$D,D1403,'inventory ledger'!$E:$E,E1403,'inventory ledger'!$A:$A,"&lt;="&amp;B1403+TIME(23,59,59))-SUMIFS('inventory ledger'!$I:$I,'inventory ledger'!$C:$C,C1403,'inventory ledger'!$D:$D,D1403,'inventory ledger'!$E:$E,E1403,'inventory ledger'!$A:$A,"&lt;="&amp;B1403+TIME(23,59,59)))</f>
        <v>0</v>
      </c>
      <c r="G1403" s="3">
        <f>IFERROR(__xludf.DUMMYFUNCTION("IF(F1403&lt;=0,0,IFERROR(ROUNDUP(F1403/INDEX(FILTER('warehouse config'!$D:$D,('warehouse config'!$B:$B=C1403)*('warehouse config'!$C:$C=D1403)*('warehouse config'!$G:$G&lt;=B1403)*(('warehouse config'!$H:$H&gt;=B1403)+ISBLANK('warehouse config'!$H:$H))),1)),0))"),0.0)</f>
        <v>0</v>
      </c>
      <c r="H1403" s="3">
        <f>IFERROR(__xludf.DUMMYFUNCTION("IFERROR(INDEX(FILTER('cost master'!$E:$E,('cost master'!$B:$B=C1403)*('cost master'!$D:$D=""Storage cost per pallet / week"")*('cost master'!$G:$G&lt;=B1403)*(('cost master'!$H:$H&gt;=B1403)+ISBLANK('cost master'!$H:$H))),1),0)"),3.9)</f>
        <v>3.9</v>
      </c>
      <c r="I1403" s="3">
        <f t="shared" si="4"/>
        <v>0</v>
      </c>
      <c r="J1403" s="27">
        <f t="shared" si="5"/>
        <v>45946</v>
      </c>
      <c r="K1403" s="27">
        <f t="shared" si="6"/>
        <v>45976</v>
      </c>
    </row>
    <row r="1404" hidden="1">
      <c r="A1404" s="3" t="str">
        <f t="shared" si="3"/>
        <v>SL-20251020-FMC-CS-CDS-001-9</v>
      </c>
      <c r="B1404" s="2">
        <f t="array" ref="B1404">INDEX(helper!$A$3:$A3996,ROUNDUP((ROW()-1)/COUNTA(helper!$D$3:$D3996),0))</f>
        <v>45950</v>
      </c>
      <c r="C1404" s="5" t="str">
        <f t="array" ref="C1404">IF(B1404="","",INDEX(helper!$D$3:$D3996,MOD(ROW()-2,COUNTA(helper!$D$3:$D3996))+1))</f>
        <v>FMC</v>
      </c>
      <c r="D1404" s="3" t="str">
        <f t="array" ref="D1404">IF(B1404="","",INDEX(helper!$E$3:$E3996,MOD(ROW()-2,COUNTA(helper!$D$3:$D3996))+1))</f>
        <v>CS-CDS-001</v>
      </c>
      <c r="E1404" s="3">
        <f t="array" ref="E1404">IF(B1404="","",INDEX(helper!$F$3:$F3996,MOD(ROW()-2,COUNTA(helper!$D$3:$D3996))+1))</f>
        <v>9</v>
      </c>
      <c r="F1404" s="3">
        <f>IF(B1404="","",SUMIFS('inventory ledger'!$H:$H,'inventory ledger'!$C:$C,C1404,'inventory ledger'!$D:$D,D1404,'inventory ledger'!$E:$E,E1404,'inventory ledger'!$A:$A,"&lt;="&amp;B1404+TIME(23,59,59))-SUMIFS('inventory ledger'!$I:$I,'inventory ledger'!$C:$C,C1404,'inventory ledger'!$D:$D,D1404,'inventory ledger'!$E:$E,E1404,'inventory ledger'!$A:$A,"&lt;="&amp;B1404+TIME(23,59,59)))</f>
        <v>0</v>
      </c>
      <c r="G1404" s="3">
        <f>IFERROR(__xludf.DUMMYFUNCTION("IF(F1404&lt;=0,0,IFERROR(ROUNDUP(F1404/INDEX(FILTER('warehouse config'!$D:$D,('warehouse config'!$B:$B=C1404)*('warehouse config'!$C:$C=D1404)*('warehouse config'!$G:$G&lt;=B1404)*(('warehouse config'!$H:$H&gt;=B1404)+ISBLANK('warehouse config'!$H:$H))),1)),0))"),0.0)</f>
        <v>0</v>
      </c>
      <c r="H1404" s="3">
        <f>IFERROR(__xludf.DUMMYFUNCTION("IFERROR(INDEX(FILTER('cost master'!$E:$E,('cost master'!$B:$B=C1404)*('cost master'!$D:$D=""Storage cost per pallet / week"")*('cost master'!$G:$G&lt;=B1404)*(('cost master'!$H:$H&gt;=B1404)+ISBLANK('cost master'!$H:$H))),1),0)"),3.9)</f>
        <v>3.9</v>
      </c>
      <c r="I1404" s="3">
        <f t="shared" si="4"/>
        <v>0</v>
      </c>
      <c r="J1404" s="27">
        <f t="shared" si="5"/>
        <v>45946</v>
      </c>
      <c r="K1404" s="27">
        <f t="shared" si="6"/>
        <v>45976</v>
      </c>
    </row>
    <row r="1405" hidden="1">
      <c r="A1405" s="3" t="str">
        <f t="shared" si="3"/>
        <v>SL-20251020-FMC-CS-CDS-002-9</v>
      </c>
      <c r="B1405" s="2">
        <f t="array" ref="B1405">INDEX(helper!$A$3:$A3996,ROUNDUP((ROW()-1)/COUNTA(helper!$D$3:$D3996),0))</f>
        <v>45950</v>
      </c>
      <c r="C1405" s="5" t="str">
        <f t="array" ref="C1405">IF(B1405="","",INDEX(helper!$D$3:$D3996,MOD(ROW()-2,COUNTA(helper!$D$3:$D3996))+1))</f>
        <v>FMC</v>
      </c>
      <c r="D1405" s="3" t="str">
        <f t="array" ref="D1405">IF(B1405="","",INDEX(helper!$E$3:$E3996,MOD(ROW()-2,COUNTA(helper!$D$3:$D3996))+1))</f>
        <v>CS-CDS-002</v>
      </c>
      <c r="E1405" s="3">
        <f t="array" ref="E1405">IF(B1405="","",INDEX(helper!$F$3:$F3996,MOD(ROW()-2,COUNTA(helper!$D$3:$D3996))+1))</f>
        <v>9</v>
      </c>
      <c r="F1405" s="3">
        <f>IF(B1405="","",SUMIFS('inventory ledger'!$H:$H,'inventory ledger'!$C:$C,C1405,'inventory ledger'!$D:$D,D1405,'inventory ledger'!$E:$E,E1405,'inventory ledger'!$A:$A,"&lt;="&amp;B1405+TIME(23,59,59))-SUMIFS('inventory ledger'!$I:$I,'inventory ledger'!$C:$C,C1405,'inventory ledger'!$D:$D,D1405,'inventory ledger'!$E:$E,E1405,'inventory ledger'!$A:$A,"&lt;="&amp;B1405+TIME(23,59,59)))</f>
        <v>0</v>
      </c>
      <c r="G1405" s="3">
        <f>IFERROR(__xludf.DUMMYFUNCTION("IF(F1405&lt;=0,0,IFERROR(ROUNDUP(F1405/INDEX(FILTER('warehouse config'!$D:$D,('warehouse config'!$B:$B=C1405)*('warehouse config'!$C:$C=D1405)*('warehouse config'!$G:$G&lt;=B1405)*(('warehouse config'!$H:$H&gt;=B1405)+ISBLANK('warehouse config'!$H:$H))),1)),0))"),0.0)</f>
        <v>0</v>
      </c>
      <c r="H1405" s="3">
        <f>IFERROR(__xludf.DUMMYFUNCTION("IFERROR(INDEX(FILTER('cost master'!$E:$E,('cost master'!$B:$B=C1405)*('cost master'!$D:$D=""Storage cost per pallet / week"")*('cost master'!$G:$G&lt;=B1405)*(('cost master'!$H:$H&gt;=B1405)+ISBLANK('cost master'!$H:$H))),1),0)"),3.9)</f>
        <v>3.9</v>
      </c>
      <c r="I1405" s="3">
        <f t="shared" si="4"/>
        <v>0</v>
      </c>
      <c r="J1405" s="27">
        <f t="shared" si="5"/>
        <v>45946</v>
      </c>
      <c r="K1405" s="27">
        <f t="shared" si="6"/>
        <v>45976</v>
      </c>
    </row>
    <row r="1406" hidden="1">
      <c r="A1406" s="3" t="str">
        <f t="shared" si="3"/>
        <v>SL-20251020-FMC-CS 007-10</v>
      </c>
      <c r="B1406" s="2">
        <f t="array" ref="B1406">INDEX(helper!$A$3:$A3996,ROUNDUP((ROW()-1)/COUNTA(helper!$D$3:$D3996),0))</f>
        <v>45950</v>
      </c>
      <c r="C1406" s="5" t="str">
        <f t="array" ref="C1406">IF(B1406="","",INDEX(helper!$D$3:$D3996,MOD(ROW()-2,COUNTA(helper!$D$3:$D3996))+1))</f>
        <v>FMC</v>
      </c>
      <c r="D1406" s="3" t="str">
        <f t="array" ref="D1406">IF(B1406="","",INDEX(helper!$E$3:$E3996,MOD(ROW()-2,COUNTA(helper!$D$3:$D3996))+1))</f>
        <v>CS 007</v>
      </c>
      <c r="E1406" s="3">
        <f t="array" ref="E1406">IF(B1406="","",INDEX(helper!$F$3:$F3996,MOD(ROW()-2,COUNTA(helper!$D$3:$D3996))+1))</f>
        <v>10</v>
      </c>
      <c r="F1406" s="3">
        <f>IF(B1406="","",SUMIFS('inventory ledger'!$H:$H,'inventory ledger'!$C:$C,C1406,'inventory ledger'!$D:$D,D1406,'inventory ledger'!$E:$E,E1406,'inventory ledger'!$A:$A,"&lt;="&amp;B1406+TIME(23,59,59))-SUMIFS('inventory ledger'!$I:$I,'inventory ledger'!$C:$C,C1406,'inventory ledger'!$D:$D,D1406,'inventory ledger'!$E:$E,E1406,'inventory ledger'!$A:$A,"&lt;="&amp;B1406+TIME(23,59,59)))</f>
        <v>0</v>
      </c>
      <c r="G1406" s="3">
        <f>IFERROR(__xludf.DUMMYFUNCTION("IF(F1406&lt;=0,0,IFERROR(ROUNDUP(F1406/INDEX(FILTER('warehouse config'!$D:$D,('warehouse config'!$B:$B=C1406)*('warehouse config'!$C:$C=D1406)*('warehouse config'!$G:$G&lt;=B1406)*(('warehouse config'!$H:$H&gt;=B1406)+ISBLANK('warehouse config'!$H:$H))),1)),0))"),0.0)</f>
        <v>0</v>
      </c>
      <c r="H1406" s="3">
        <f>IFERROR(__xludf.DUMMYFUNCTION("IFERROR(INDEX(FILTER('cost master'!$E:$E,('cost master'!$B:$B=C1406)*('cost master'!$D:$D=""Storage cost per pallet / week"")*('cost master'!$G:$G&lt;=B1406)*(('cost master'!$H:$H&gt;=B1406)+ISBLANK('cost master'!$H:$H))),1),0)"),3.9)</f>
        <v>3.9</v>
      </c>
      <c r="I1406" s="3">
        <f t="shared" si="4"/>
        <v>0</v>
      </c>
      <c r="J1406" s="27">
        <f t="shared" si="5"/>
        <v>45946</v>
      </c>
      <c r="K1406" s="27">
        <f t="shared" si="6"/>
        <v>45976</v>
      </c>
    </row>
    <row r="1407" hidden="1">
      <c r="A1407" s="3" t="str">
        <f t="shared" si="3"/>
        <v>SL-20251020-FMC-CS 009-10</v>
      </c>
      <c r="B1407" s="2">
        <f t="array" ref="B1407">INDEX(helper!$A$3:$A3996,ROUNDUP((ROW()-1)/COUNTA(helper!$D$3:$D3996),0))</f>
        <v>45950</v>
      </c>
      <c r="C1407" s="5" t="str">
        <f t="array" ref="C1407">IF(B1407="","",INDEX(helper!$D$3:$D3996,MOD(ROW()-2,COUNTA(helper!$D$3:$D3996))+1))</f>
        <v>FMC</v>
      </c>
      <c r="D1407" s="3" t="str">
        <f t="array" ref="D1407">IF(B1407="","",INDEX(helper!$E$3:$E3996,MOD(ROW()-2,COUNTA(helper!$D$3:$D3996))+1))</f>
        <v>CS 009</v>
      </c>
      <c r="E1407" s="3">
        <f t="array" ref="E1407">IF(B1407="","",INDEX(helper!$F$3:$F3996,MOD(ROW()-2,COUNTA(helper!$D$3:$D3996))+1))</f>
        <v>10</v>
      </c>
      <c r="F1407" s="3">
        <f>IF(B1407="","",SUMIFS('inventory ledger'!$H:$H,'inventory ledger'!$C:$C,C1407,'inventory ledger'!$D:$D,D1407,'inventory ledger'!$E:$E,E1407,'inventory ledger'!$A:$A,"&lt;="&amp;B1407+TIME(23,59,59))-SUMIFS('inventory ledger'!$I:$I,'inventory ledger'!$C:$C,C1407,'inventory ledger'!$D:$D,D1407,'inventory ledger'!$E:$E,E1407,'inventory ledger'!$A:$A,"&lt;="&amp;B1407+TIME(23,59,59)))</f>
        <v>0</v>
      </c>
      <c r="G1407" s="3">
        <f>IFERROR(__xludf.DUMMYFUNCTION("IF(F1407&lt;=0,0,IFERROR(ROUNDUP(F1407/INDEX(FILTER('warehouse config'!$D:$D,('warehouse config'!$B:$B=C1407)*('warehouse config'!$C:$C=D1407)*('warehouse config'!$G:$G&lt;=B1407)*(('warehouse config'!$H:$H&gt;=B1407)+ISBLANK('warehouse config'!$H:$H))),1)),0))"),0.0)</f>
        <v>0</v>
      </c>
      <c r="H1407" s="3">
        <f>IFERROR(__xludf.DUMMYFUNCTION("IFERROR(INDEX(FILTER('cost master'!$E:$E,('cost master'!$B:$B=C1407)*('cost master'!$D:$D=""Storage cost per pallet / week"")*('cost master'!$G:$G&lt;=B1407)*(('cost master'!$H:$H&gt;=B1407)+ISBLANK('cost master'!$H:$H))),1),0)"),3.9)</f>
        <v>3.9</v>
      </c>
      <c r="I1407" s="3">
        <f t="shared" si="4"/>
        <v>0</v>
      </c>
      <c r="J1407" s="27">
        <f t="shared" si="5"/>
        <v>45946</v>
      </c>
      <c r="K1407" s="27">
        <f t="shared" si="6"/>
        <v>45976</v>
      </c>
    </row>
    <row r="1408" hidden="1">
      <c r="A1408" s="3" t="str">
        <f t="shared" si="3"/>
        <v>SL-20251020-FMC-CS 010-10</v>
      </c>
      <c r="B1408" s="2">
        <f t="array" ref="B1408">INDEX(helper!$A$3:$A3996,ROUNDUP((ROW()-1)/COUNTA(helper!$D$3:$D3996),0))</f>
        <v>45950</v>
      </c>
      <c r="C1408" s="5" t="str">
        <f t="array" ref="C1408">IF(B1408="","",INDEX(helper!$D$3:$D3996,MOD(ROW()-2,COUNTA(helper!$D$3:$D3996))+1))</f>
        <v>FMC</v>
      </c>
      <c r="D1408" s="3" t="str">
        <f t="array" ref="D1408">IF(B1408="","",INDEX(helper!$E$3:$E3996,MOD(ROW()-2,COUNTA(helper!$D$3:$D3996))+1))</f>
        <v>CS 010</v>
      </c>
      <c r="E1408" s="3">
        <f t="array" ref="E1408">IF(B1408="","",INDEX(helper!$F$3:$F3996,MOD(ROW()-2,COUNTA(helper!$D$3:$D3996))+1))</f>
        <v>10</v>
      </c>
      <c r="F1408" s="3">
        <f>IF(B1408="","",SUMIFS('inventory ledger'!$H:$H,'inventory ledger'!$C:$C,C1408,'inventory ledger'!$D:$D,D1408,'inventory ledger'!$E:$E,E1408,'inventory ledger'!$A:$A,"&lt;="&amp;B1408+TIME(23,59,59))-SUMIFS('inventory ledger'!$I:$I,'inventory ledger'!$C:$C,C1408,'inventory ledger'!$D:$D,D1408,'inventory ledger'!$E:$E,E1408,'inventory ledger'!$A:$A,"&lt;="&amp;B1408+TIME(23,59,59)))</f>
        <v>13</v>
      </c>
      <c r="G1408" s="3">
        <f>IFERROR(__xludf.DUMMYFUNCTION("IF(F1408&lt;=0,0,IFERROR(ROUNDUP(F1408/INDEX(FILTER('warehouse config'!$D:$D,('warehouse config'!$B:$B=C1408)*('warehouse config'!$C:$C=D1408)*('warehouse config'!$G:$G&lt;=B1408)*(('warehouse config'!$H:$H&gt;=B1408)+ISBLANK('warehouse config'!$H:$H))),1)),0))"),1.0)</f>
        <v>1</v>
      </c>
      <c r="H1408" s="3">
        <f>IFERROR(__xludf.DUMMYFUNCTION("IFERROR(INDEX(FILTER('cost master'!$E:$E,('cost master'!$B:$B=C1408)*('cost master'!$D:$D=""Storage cost per pallet / week"")*('cost master'!$G:$G&lt;=B1408)*(('cost master'!$H:$H&gt;=B1408)+ISBLANK('cost master'!$H:$H))),1),0)"),3.9)</f>
        <v>3.9</v>
      </c>
      <c r="I1408" s="3">
        <f t="shared" si="4"/>
        <v>3.9</v>
      </c>
      <c r="J1408" s="27">
        <f t="shared" si="5"/>
        <v>45946</v>
      </c>
      <c r="K1408" s="27">
        <f t="shared" si="6"/>
        <v>45976</v>
      </c>
    </row>
    <row r="1409" hidden="1">
      <c r="A1409" s="3" t="str">
        <f t="shared" si="3"/>
        <v>SL-20251020-FMC-CS-CDS-001-10</v>
      </c>
      <c r="B1409" s="2">
        <f t="array" ref="B1409">INDEX(helper!$A$3:$A3996,ROUNDUP((ROW()-1)/COUNTA(helper!$D$3:$D3996),0))</f>
        <v>45950</v>
      </c>
      <c r="C1409" s="5" t="str">
        <f t="array" ref="C1409">IF(B1409="","",INDEX(helper!$D$3:$D3996,MOD(ROW()-2,COUNTA(helper!$D$3:$D3996))+1))</f>
        <v>FMC</v>
      </c>
      <c r="D1409" s="3" t="str">
        <f t="array" ref="D1409">IF(B1409="","",INDEX(helper!$E$3:$E3996,MOD(ROW()-2,COUNTA(helper!$D$3:$D3996))+1))</f>
        <v>CS-CDS-001</v>
      </c>
      <c r="E1409" s="3">
        <f t="array" ref="E1409">IF(B1409="","",INDEX(helper!$F$3:$F3996,MOD(ROW()-2,COUNTA(helper!$D$3:$D3996))+1))</f>
        <v>10</v>
      </c>
      <c r="F1409" s="3">
        <f>IF(B1409="","",SUMIFS('inventory ledger'!$H:$H,'inventory ledger'!$C:$C,C1409,'inventory ledger'!$D:$D,D1409,'inventory ledger'!$E:$E,E1409,'inventory ledger'!$A:$A,"&lt;="&amp;B1409+TIME(23,59,59))-SUMIFS('inventory ledger'!$I:$I,'inventory ledger'!$C:$C,C1409,'inventory ledger'!$D:$D,D1409,'inventory ledger'!$E:$E,E1409,'inventory ledger'!$A:$A,"&lt;="&amp;B1409+TIME(23,59,59)))</f>
        <v>0</v>
      </c>
      <c r="G1409" s="3">
        <f>IFERROR(__xludf.DUMMYFUNCTION("IF(F1409&lt;=0,0,IFERROR(ROUNDUP(F1409/INDEX(FILTER('warehouse config'!$D:$D,('warehouse config'!$B:$B=C1409)*('warehouse config'!$C:$C=D1409)*('warehouse config'!$G:$G&lt;=B1409)*(('warehouse config'!$H:$H&gt;=B1409)+ISBLANK('warehouse config'!$H:$H))),1)),0))"),0.0)</f>
        <v>0</v>
      </c>
      <c r="H1409" s="3">
        <f>IFERROR(__xludf.DUMMYFUNCTION("IFERROR(INDEX(FILTER('cost master'!$E:$E,('cost master'!$B:$B=C1409)*('cost master'!$D:$D=""Storage cost per pallet / week"")*('cost master'!$G:$G&lt;=B1409)*(('cost master'!$H:$H&gt;=B1409)+ISBLANK('cost master'!$H:$H))),1),0)"),3.9)</f>
        <v>3.9</v>
      </c>
      <c r="I1409" s="3">
        <f t="shared" si="4"/>
        <v>0</v>
      </c>
      <c r="J1409" s="27">
        <f t="shared" si="5"/>
        <v>45946</v>
      </c>
      <c r="K1409" s="27">
        <f t="shared" si="6"/>
        <v>45976</v>
      </c>
    </row>
    <row r="1410">
      <c r="A1410" s="3" t="str">
        <f t="shared" si="3"/>
        <v>SL-20251020-FMC-CS 007-11</v>
      </c>
      <c r="B1410" s="2">
        <f t="array" ref="B1410">INDEX(helper!$A$3:$A3996,ROUNDUP((ROW()-1)/COUNTA(helper!$D$3:$D3996),0))</f>
        <v>45950</v>
      </c>
      <c r="C1410" s="5" t="str">
        <f t="array" ref="C1410">IF(B1410="","",INDEX(helper!$D$3:$D3996,MOD(ROW()-2,COUNTA(helper!$D$3:$D3996))+1))</f>
        <v>FMC</v>
      </c>
      <c r="D1410" s="3" t="str">
        <f t="array" ref="D1410">IF(B1410="","",INDEX(helper!$E$3:$E3996,MOD(ROW()-2,COUNTA(helper!$D$3:$D3996))+1))</f>
        <v>CS 007</v>
      </c>
      <c r="E1410" s="3">
        <f t="array" ref="E1410">IF(B1410="","",INDEX(helper!$F$3:$F3996,MOD(ROW()-2,COUNTA(helper!$D$3:$D3996))+1))</f>
        <v>11</v>
      </c>
      <c r="F1410" s="3">
        <f>IF(B1410="","",SUMIFS('inventory ledger'!$H:$H,'inventory ledger'!$C:$C,C1410,'inventory ledger'!$D:$D,D1410,'inventory ledger'!$E:$E,E1410,'inventory ledger'!$A:$A,"&lt;="&amp;B1410+TIME(23,59,59))-SUMIFS('inventory ledger'!$I:$I,'inventory ledger'!$C:$C,C1410,'inventory ledger'!$D:$D,D1410,'inventory ledger'!$E:$E,E1410,'inventory ledger'!$A:$A,"&lt;="&amp;B1410+TIME(23,59,59)))</f>
        <v>-1</v>
      </c>
      <c r="G1410" s="3">
        <f>IFERROR(__xludf.DUMMYFUNCTION("IF(F1410&lt;=0,0,IFERROR(ROUNDUP(F1410/INDEX(FILTER('warehouse config'!$D:$D,('warehouse config'!$B:$B=C1410)*('warehouse config'!$C:$C=D1410)*('warehouse config'!$G:$G&lt;=B1410)*(('warehouse config'!$H:$H&gt;=B1410)+ISBLANK('warehouse config'!$H:$H))),1)),0))"),0.0)</f>
        <v>0</v>
      </c>
      <c r="H1410" s="3">
        <f>IFERROR(__xludf.DUMMYFUNCTION("IFERROR(INDEX(FILTER('cost master'!$E:$E,('cost master'!$B:$B=C1410)*('cost master'!$D:$D=""Storage cost per pallet / week"")*('cost master'!$G:$G&lt;=B1410)*(('cost master'!$H:$H&gt;=B1410)+ISBLANK('cost master'!$H:$H))),1),0)"),3.9)</f>
        <v>3.9</v>
      </c>
      <c r="I1410" s="3">
        <f t="shared" si="4"/>
        <v>0</v>
      </c>
      <c r="J1410" s="27">
        <f t="shared" si="5"/>
        <v>45946</v>
      </c>
      <c r="K1410" s="27">
        <f t="shared" si="6"/>
        <v>45976</v>
      </c>
    </row>
    <row r="1411" hidden="1">
      <c r="A1411" s="3" t="str">
        <f t="shared" si="3"/>
        <v>SL-20251020-FMC-CS 009-11</v>
      </c>
      <c r="B1411" s="2">
        <f t="array" ref="B1411">INDEX(helper!$A$3:$A3996,ROUNDUP((ROW()-1)/COUNTA(helper!$D$3:$D3996),0))</f>
        <v>45950</v>
      </c>
      <c r="C1411" s="5" t="str">
        <f t="array" ref="C1411">IF(B1411="","",INDEX(helper!$D$3:$D3996,MOD(ROW()-2,COUNTA(helper!$D$3:$D3996))+1))</f>
        <v>FMC</v>
      </c>
      <c r="D1411" s="3" t="str">
        <f t="array" ref="D1411">IF(B1411="","",INDEX(helper!$E$3:$E3996,MOD(ROW()-2,COUNTA(helper!$D$3:$D3996))+1))</f>
        <v>CS 009</v>
      </c>
      <c r="E1411" s="3">
        <f t="array" ref="E1411">IF(B1411="","",INDEX(helper!$F$3:$F3996,MOD(ROW()-2,COUNTA(helper!$D$3:$D3996))+1))</f>
        <v>11</v>
      </c>
      <c r="F1411" s="3">
        <f>IF(B1411="","",SUMIFS('inventory ledger'!$H:$H,'inventory ledger'!$C:$C,C1411,'inventory ledger'!$D:$D,D1411,'inventory ledger'!$E:$E,E1411,'inventory ledger'!$A:$A,"&lt;="&amp;B1411+TIME(23,59,59))-SUMIFS('inventory ledger'!$I:$I,'inventory ledger'!$C:$C,C1411,'inventory ledger'!$D:$D,D1411,'inventory ledger'!$E:$E,E1411,'inventory ledger'!$A:$A,"&lt;="&amp;B1411+TIME(23,59,59)))</f>
        <v>0</v>
      </c>
      <c r="G1411" s="3">
        <f>IFERROR(__xludf.DUMMYFUNCTION("IF(F1411&lt;=0,0,IFERROR(ROUNDUP(F1411/INDEX(FILTER('warehouse config'!$D:$D,('warehouse config'!$B:$B=C1411)*('warehouse config'!$C:$C=D1411)*('warehouse config'!$G:$G&lt;=B1411)*(('warehouse config'!$H:$H&gt;=B1411)+ISBLANK('warehouse config'!$H:$H))),1)),0))"),0.0)</f>
        <v>0</v>
      </c>
      <c r="H1411" s="3">
        <f>IFERROR(__xludf.DUMMYFUNCTION("IFERROR(INDEX(FILTER('cost master'!$E:$E,('cost master'!$B:$B=C1411)*('cost master'!$D:$D=""Storage cost per pallet / week"")*('cost master'!$G:$G&lt;=B1411)*(('cost master'!$H:$H&gt;=B1411)+ISBLANK('cost master'!$H:$H))),1),0)"),3.9)</f>
        <v>3.9</v>
      </c>
      <c r="I1411" s="3">
        <f t="shared" si="4"/>
        <v>0</v>
      </c>
      <c r="J1411" s="27">
        <f t="shared" si="5"/>
        <v>45946</v>
      </c>
      <c r="K1411" s="27">
        <f t="shared" si="6"/>
        <v>45976</v>
      </c>
    </row>
    <row r="1412" hidden="1">
      <c r="A1412" s="3" t="str">
        <f t="shared" si="3"/>
        <v>SL-20251020-FMC-CS 010-11</v>
      </c>
      <c r="B1412" s="2">
        <f t="array" ref="B1412">INDEX(helper!$A$3:$A3996,ROUNDUP((ROW()-1)/COUNTA(helper!$D$3:$D3996),0))</f>
        <v>45950</v>
      </c>
      <c r="C1412" s="5" t="str">
        <f t="array" ref="C1412">IF(B1412="","",INDEX(helper!$D$3:$D3996,MOD(ROW()-2,COUNTA(helper!$D$3:$D3996))+1))</f>
        <v>FMC</v>
      </c>
      <c r="D1412" s="3" t="str">
        <f t="array" ref="D1412">IF(B1412="","",INDEX(helper!$E$3:$E3996,MOD(ROW()-2,COUNTA(helper!$D$3:$D3996))+1))</f>
        <v>CS 010</v>
      </c>
      <c r="E1412" s="3">
        <f t="array" ref="E1412">IF(B1412="","",INDEX(helper!$F$3:$F3996,MOD(ROW()-2,COUNTA(helper!$D$3:$D3996))+1))</f>
        <v>11</v>
      </c>
      <c r="F1412" s="3">
        <f>IF(B1412="","",SUMIFS('inventory ledger'!$H:$H,'inventory ledger'!$C:$C,C1412,'inventory ledger'!$D:$D,D1412,'inventory ledger'!$E:$E,E1412,'inventory ledger'!$A:$A,"&lt;="&amp;B1412+TIME(23,59,59))-SUMIFS('inventory ledger'!$I:$I,'inventory ledger'!$C:$C,C1412,'inventory ledger'!$D:$D,D1412,'inventory ledger'!$E:$E,E1412,'inventory ledger'!$A:$A,"&lt;="&amp;B1412+TIME(23,59,59)))</f>
        <v>6</v>
      </c>
      <c r="G1412" s="3">
        <f>IFERROR(__xludf.DUMMYFUNCTION("IF(F1412&lt;=0,0,IFERROR(ROUNDUP(F1412/INDEX(FILTER('warehouse config'!$D:$D,('warehouse config'!$B:$B=C1412)*('warehouse config'!$C:$C=D1412)*('warehouse config'!$G:$G&lt;=B1412)*(('warehouse config'!$H:$H&gt;=B1412)+ISBLANK('warehouse config'!$H:$H))),1)),0))"),1.0)</f>
        <v>1</v>
      </c>
      <c r="H1412" s="3">
        <f>IFERROR(__xludf.DUMMYFUNCTION("IFERROR(INDEX(FILTER('cost master'!$E:$E,('cost master'!$B:$B=C1412)*('cost master'!$D:$D=""Storage cost per pallet / week"")*('cost master'!$G:$G&lt;=B1412)*(('cost master'!$H:$H&gt;=B1412)+ISBLANK('cost master'!$H:$H))),1),0)"),3.9)</f>
        <v>3.9</v>
      </c>
      <c r="I1412" s="3">
        <f t="shared" si="4"/>
        <v>3.9</v>
      </c>
      <c r="J1412" s="27">
        <f t="shared" si="5"/>
        <v>45946</v>
      </c>
      <c r="K1412" s="27">
        <f t="shared" si="6"/>
        <v>45976</v>
      </c>
    </row>
    <row r="1413" hidden="1">
      <c r="A1413" s="3" t="str">
        <f t="shared" si="3"/>
        <v>SL-20251020-Vglobal-CS 007-12</v>
      </c>
      <c r="B1413" s="2">
        <f t="array" ref="B1413">INDEX(helper!$A$3:$A3996,ROUNDUP((ROW()-1)/COUNTA(helper!$D$3:$D3996),0))</f>
        <v>45950</v>
      </c>
      <c r="C1413" s="5" t="str">
        <f t="array" ref="C1413">IF(B1413="","",INDEX(helper!$D$3:$D3996,MOD(ROW()-2,COUNTA(helper!$D$3:$D3996))+1))</f>
        <v>Vglobal</v>
      </c>
      <c r="D1413" s="3" t="str">
        <f t="array" ref="D1413">IF(B1413="","",INDEX(helper!$E$3:$E3996,MOD(ROW()-2,COUNTA(helper!$D$3:$D3996))+1))</f>
        <v>CS 007</v>
      </c>
      <c r="E1413" s="3">
        <f t="array" ref="E1413">IF(B1413="","",INDEX(helper!$F$3:$F3996,MOD(ROW()-2,COUNTA(helper!$D$3:$D3996))+1))</f>
        <v>12</v>
      </c>
      <c r="F1413" s="3">
        <f>IF(B1413="","",SUMIFS('inventory ledger'!$H:$H,'inventory ledger'!$C:$C,C1413,'inventory ledger'!$D:$D,D1413,'inventory ledger'!$E:$E,E1413,'inventory ledger'!$A:$A,"&lt;="&amp;B1413+TIME(23,59,59))-SUMIFS('inventory ledger'!$I:$I,'inventory ledger'!$C:$C,C1413,'inventory ledger'!$D:$D,D1413,'inventory ledger'!$E:$E,E1413,'inventory ledger'!$A:$A,"&lt;="&amp;B1413+TIME(23,59,59)))</f>
        <v>0</v>
      </c>
      <c r="G1413" s="3">
        <f>IFERROR(__xludf.DUMMYFUNCTION("IF(F1413&lt;=0,0,IFERROR(ROUNDUP(F1413/INDEX(FILTER('warehouse config'!$D:$D,('warehouse config'!$B:$B=C1413)*('warehouse config'!$C:$C=D1413)*('warehouse config'!$G:$G&lt;=B1413)*(('warehouse config'!$H:$H&gt;=B1413)+ISBLANK('warehouse config'!$H:$H))),1)),0))"),0.0)</f>
        <v>0</v>
      </c>
      <c r="H1413" s="3">
        <f>IFERROR(__xludf.DUMMYFUNCTION("IFERROR(INDEX(FILTER('cost master'!$E:$E,('cost master'!$B:$B=C1413)*('cost master'!$D:$D=""Storage cost per pallet / week"")*('cost master'!$G:$G&lt;=B1413)*(('cost master'!$H:$H&gt;=B1413)+ISBLANK('cost master'!$H:$H))),1),0)"),2.6)</f>
        <v>2.6</v>
      </c>
      <c r="I1413" s="3">
        <f t="shared" si="4"/>
        <v>0</v>
      </c>
      <c r="J1413" s="27">
        <f t="shared" si="5"/>
        <v>45946</v>
      </c>
      <c r="K1413" s="27">
        <f t="shared" si="6"/>
        <v>45976</v>
      </c>
    </row>
    <row r="1414" hidden="1">
      <c r="A1414" s="3" t="str">
        <f t="shared" si="3"/>
        <v>SL-20251020-Vglobal-CS 011-12</v>
      </c>
      <c r="B1414" s="2">
        <f t="array" ref="B1414">INDEX(helper!$A$3:$A3996,ROUNDUP((ROW()-1)/COUNTA(helper!$D$3:$D3996),0))</f>
        <v>45950</v>
      </c>
      <c r="C1414" s="5" t="str">
        <f t="array" ref="C1414">IF(B1414="","",INDEX(helper!$D$3:$D3996,MOD(ROW()-2,COUNTA(helper!$D$3:$D3996))+1))</f>
        <v>Vglobal</v>
      </c>
      <c r="D1414" s="3" t="str">
        <f t="array" ref="D1414">IF(B1414="","",INDEX(helper!$E$3:$E3996,MOD(ROW()-2,COUNTA(helper!$D$3:$D3996))+1))</f>
        <v>CS 011</v>
      </c>
      <c r="E1414" s="3">
        <f t="array" ref="E1414">IF(B1414="","",INDEX(helper!$F$3:$F3996,MOD(ROW()-2,COUNTA(helper!$D$3:$D3996))+1))</f>
        <v>12</v>
      </c>
      <c r="F1414" s="3">
        <f>IF(B1414="","",SUMIFS('inventory ledger'!$H:$H,'inventory ledger'!$C:$C,C1414,'inventory ledger'!$D:$D,D1414,'inventory ledger'!$E:$E,E1414,'inventory ledger'!$A:$A,"&lt;="&amp;B1414+TIME(23,59,59))-SUMIFS('inventory ledger'!$I:$I,'inventory ledger'!$C:$C,C1414,'inventory ledger'!$D:$D,D1414,'inventory ledger'!$E:$E,E1414,'inventory ledger'!$A:$A,"&lt;="&amp;B1414+TIME(23,59,59)))</f>
        <v>0</v>
      </c>
      <c r="G1414" s="3">
        <f>IFERROR(__xludf.DUMMYFUNCTION("IF(F1414&lt;=0,0,IFERROR(ROUNDUP(F1414/INDEX(FILTER('warehouse config'!$D:$D,('warehouse config'!$B:$B=C1414)*('warehouse config'!$C:$C=D1414)*('warehouse config'!$G:$G&lt;=B1414)*(('warehouse config'!$H:$H&gt;=B1414)+ISBLANK('warehouse config'!$H:$H))),1)),0))"),0.0)</f>
        <v>0</v>
      </c>
      <c r="H1414" s="3">
        <f>IFERROR(__xludf.DUMMYFUNCTION("IFERROR(INDEX(FILTER('cost master'!$E:$E,('cost master'!$B:$B=C1414)*('cost master'!$D:$D=""Storage cost per pallet / week"")*('cost master'!$G:$G&lt;=B1414)*(('cost master'!$H:$H&gt;=B1414)+ISBLANK('cost master'!$H:$H))),1),0)"),2.6)</f>
        <v>2.6</v>
      </c>
      <c r="I1414" s="3">
        <f t="shared" si="4"/>
        <v>0</v>
      </c>
      <c r="J1414" s="27">
        <f t="shared" si="5"/>
        <v>45946</v>
      </c>
      <c r="K1414" s="27">
        <f t="shared" si="6"/>
        <v>45976</v>
      </c>
    </row>
    <row r="1415" hidden="1">
      <c r="A1415" s="3" t="str">
        <f t="shared" si="3"/>
        <v>SL-20251020-Vglobal-CS 008-12</v>
      </c>
      <c r="B1415" s="2">
        <f t="array" ref="B1415">INDEX(helper!$A$3:$A3996,ROUNDUP((ROW()-1)/COUNTA(helper!$D$3:$D3996),0))</f>
        <v>45950</v>
      </c>
      <c r="C1415" s="5" t="str">
        <f t="array" ref="C1415">IF(B1415="","",INDEX(helper!$D$3:$D3996,MOD(ROW()-2,COUNTA(helper!$D$3:$D3996))+1))</f>
        <v>Vglobal</v>
      </c>
      <c r="D1415" s="3" t="str">
        <f t="array" ref="D1415">IF(B1415="","",INDEX(helper!$E$3:$E3996,MOD(ROW()-2,COUNTA(helper!$D$3:$D3996))+1))</f>
        <v>CS 008</v>
      </c>
      <c r="E1415" s="3">
        <f t="array" ref="E1415">IF(B1415="","",INDEX(helper!$F$3:$F3996,MOD(ROW()-2,COUNTA(helper!$D$3:$D3996))+1))</f>
        <v>12</v>
      </c>
      <c r="F1415" s="3">
        <f>IF(B1415="","",SUMIFS('inventory ledger'!$H:$H,'inventory ledger'!$C:$C,C1415,'inventory ledger'!$D:$D,D1415,'inventory ledger'!$E:$E,E1415,'inventory ledger'!$A:$A,"&lt;="&amp;B1415+TIME(23,59,59))-SUMIFS('inventory ledger'!$I:$I,'inventory ledger'!$C:$C,C1415,'inventory ledger'!$D:$D,D1415,'inventory ledger'!$E:$E,E1415,'inventory ledger'!$A:$A,"&lt;="&amp;B1415+TIME(23,59,59)))</f>
        <v>0</v>
      </c>
      <c r="G1415" s="3">
        <f>IFERROR(__xludf.DUMMYFUNCTION("IF(F1415&lt;=0,0,IFERROR(ROUNDUP(F1415/INDEX(FILTER('warehouse config'!$D:$D,('warehouse config'!$B:$B=C1415)*('warehouse config'!$C:$C=D1415)*('warehouse config'!$G:$G&lt;=B1415)*(('warehouse config'!$H:$H&gt;=B1415)+ISBLANK('warehouse config'!$H:$H))),1)),0))"),0.0)</f>
        <v>0</v>
      </c>
      <c r="H1415" s="3">
        <f>IFERROR(__xludf.DUMMYFUNCTION("IFERROR(INDEX(FILTER('cost master'!$E:$E,('cost master'!$B:$B=C1415)*('cost master'!$D:$D=""Storage cost per pallet / week"")*('cost master'!$G:$G&lt;=B1415)*(('cost master'!$H:$H&gt;=B1415)+ISBLANK('cost master'!$H:$H))),1),0)"),2.6)</f>
        <v>2.6</v>
      </c>
      <c r="I1415" s="3">
        <f t="shared" si="4"/>
        <v>0</v>
      </c>
      <c r="J1415" s="27">
        <f t="shared" si="5"/>
        <v>45946</v>
      </c>
      <c r="K1415" s="27">
        <f t="shared" si="6"/>
        <v>45976</v>
      </c>
    </row>
    <row r="1416" hidden="1">
      <c r="A1416" s="3" t="str">
        <f t="shared" si="3"/>
        <v>SL-20251020-Vglobal-CS 010-12</v>
      </c>
      <c r="B1416" s="2">
        <f t="array" ref="B1416">INDEX(helper!$A$3:$A3996,ROUNDUP((ROW()-1)/COUNTA(helper!$D$3:$D3996),0))</f>
        <v>45950</v>
      </c>
      <c r="C1416" s="5" t="str">
        <f t="array" ref="C1416">IF(B1416="","",INDEX(helper!$D$3:$D3996,MOD(ROW()-2,COUNTA(helper!$D$3:$D3996))+1))</f>
        <v>Vglobal</v>
      </c>
      <c r="D1416" s="3" t="str">
        <f t="array" ref="D1416">IF(B1416="","",INDEX(helper!$E$3:$E3996,MOD(ROW()-2,COUNTA(helper!$D$3:$D3996))+1))</f>
        <v>CS 010</v>
      </c>
      <c r="E1416" s="3">
        <f t="array" ref="E1416">IF(B1416="","",INDEX(helper!$F$3:$F3996,MOD(ROW()-2,COUNTA(helper!$D$3:$D3996))+1))</f>
        <v>12</v>
      </c>
      <c r="F1416" s="3">
        <f>IF(B1416="","",SUMIFS('inventory ledger'!$H:$H,'inventory ledger'!$C:$C,C1416,'inventory ledger'!$D:$D,D1416,'inventory ledger'!$E:$E,E1416,'inventory ledger'!$A:$A,"&lt;="&amp;B1416+TIME(23,59,59))-SUMIFS('inventory ledger'!$I:$I,'inventory ledger'!$C:$C,C1416,'inventory ledger'!$D:$D,D1416,'inventory ledger'!$E:$E,E1416,'inventory ledger'!$A:$A,"&lt;="&amp;B1416+TIME(23,59,59)))</f>
        <v>70</v>
      </c>
      <c r="G1416" s="3">
        <f>IFERROR(__xludf.DUMMYFUNCTION("IF(F1416&lt;=0,0,IFERROR(ROUNDUP(F1416/INDEX(FILTER('warehouse config'!$D:$D,('warehouse config'!$B:$B=C1416)*('warehouse config'!$C:$C=D1416)*('warehouse config'!$G:$G&lt;=B1416)*(('warehouse config'!$H:$H&gt;=B1416)+ISBLANK('warehouse config'!$H:$H))),1)),0))"),3.0)</f>
        <v>3</v>
      </c>
      <c r="H1416" s="3">
        <f>IFERROR(__xludf.DUMMYFUNCTION("IFERROR(INDEX(FILTER('cost master'!$E:$E,('cost master'!$B:$B=C1416)*('cost master'!$D:$D=""Storage cost per pallet / week"")*('cost master'!$G:$G&lt;=B1416)*(('cost master'!$H:$H&gt;=B1416)+ISBLANK('cost master'!$H:$H))),1),0)"),2.6)</f>
        <v>2.6</v>
      </c>
      <c r="I1416" s="3">
        <f t="shared" si="4"/>
        <v>7.8</v>
      </c>
      <c r="J1416" s="27">
        <f t="shared" si="5"/>
        <v>45946</v>
      </c>
      <c r="K1416" s="27">
        <f t="shared" si="6"/>
        <v>45976</v>
      </c>
    </row>
    <row r="1417" hidden="1">
      <c r="A1417" s="3" t="str">
        <f t="shared" si="3"/>
        <v>SL-20251020-Vglobal-CS 009-12</v>
      </c>
      <c r="B1417" s="2">
        <f t="array" ref="B1417">INDEX(helper!$A$3:$A3996,ROUNDUP((ROW()-1)/COUNTA(helper!$D$3:$D3996),0))</f>
        <v>45950</v>
      </c>
      <c r="C1417" s="5" t="str">
        <f t="array" ref="C1417">IF(B1417="","",INDEX(helper!$D$3:$D3996,MOD(ROW()-2,COUNTA(helper!$D$3:$D3996))+1))</f>
        <v>Vglobal</v>
      </c>
      <c r="D1417" s="3" t="str">
        <f t="array" ref="D1417">IF(B1417="","",INDEX(helper!$E$3:$E3996,MOD(ROW()-2,COUNTA(helper!$D$3:$D3996))+1))</f>
        <v>CS 009</v>
      </c>
      <c r="E1417" s="3">
        <f t="array" ref="E1417">IF(B1417="","",INDEX(helper!$F$3:$F3996,MOD(ROW()-2,COUNTA(helper!$D$3:$D3996))+1))</f>
        <v>12</v>
      </c>
      <c r="F1417" s="3">
        <f>IF(B1417="","",SUMIFS('inventory ledger'!$H:$H,'inventory ledger'!$C:$C,C1417,'inventory ledger'!$D:$D,D1417,'inventory ledger'!$E:$E,E1417,'inventory ledger'!$A:$A,"&lt;="&amp;B1417+TIME(23,59,59))-SUMIFS('inventory ledger'!$I:$I,'inventory ledger'!$C:$C,C1417,'inventory ledger'!$D:$D,D1417,'inventory ledger'!$E:$E,E1417,'inventory ledger'!$A:$A,"&lt;="&amp;B1417+TIME(23,59,59)))</f>
        <v>0</v>
      </c>
      <c r="G1417" s="3">
        <f>IFERROR(__xludf.DUMMYFUNCTION("IF(F1417&lt;=0,0,IFERROR(ROUNDUP(F1417/INDEX(FILTER('warehouse config'!$D:$D,('warehouse config'!$B:$B=C1417)*('warehouse config'!$C:$C=D1417)*('warehouse config'!$G:$G&lt;=B1417)*(('warehouse config'!$H:$H&gt;=B1417)+ISBLANK('warehouse config'!$H:$H))),1)),0))"),0.0)</f>
        <v>0</v>
      </c>
      <c r="H1417" s="3">
        <f>IFERROR(__xludf.DUMMYFUNCTION("IFERROR(INDEX(FILTER('cost master'!$E:$E,('cost master'!$B:$B=C1417)*('cost master'!$D:$D=""Storage cost per pallet / week"")*('cost master'!$G:$G&lt;=B1417)*(('cost master'!$H:$H&gt;=B1417)+ISBLANK('cost master'!$H:$H))),1),0)"),2.6)</f>
        <v>2.6</v>
      </c>
      <c r="I1417" s="3">
        <f t="shared" si="4"/>
        <v>0</v>
      </c>
      <c r="J1417" s="27">
        <f t="shared" si="5"/>
        <v>45946</v>
      </c>
      <c r="K1417" s="27">
        <f t="shared" si="6"/>
        <v>45976</v>
      </c>
    </row>
    <row r="1418" hidden="1">
      <c r="A1418" s="3" t="str">
        <f t="shared" si="3"/>
        <v>SL-20251020-Vglobal-CS 012-12</v>
      </c>
      <c r="B1418" s="2">
        <f t="array" ref="B1418">INDEX(helper!$A$3:$A3996,ROUNDUP((ROW()-1)/COUNTA(helper!$D$3:$D3996),0))</f>
        <v>45950</v>
      </c>
      <c r="C1418" s="5" t="str">
        <f t="array" ref="C1418">IF(B1418="","",INDEX(helper!$D$3:$D3996,MOD(ROW()-2,COUNTA(helper!$D$3:$D3996))+1))</f>
        <v>Vglobal</v>
      </c>
      <c r="D1418" s="3" t="str">
        <f t="array" ref="D1418">IF(B1418="","",INDEX(helper!$E$3:$E3996,MOD(ROW()-2,COUNTA(helper!$D$3:$D3996))+1))</f>
        <v>CS 012</v>
      </c>
      <c r="E1418" s="3">
        <f t="array" ref="E1418">IF(B1418="","",INDEX(helper!$F$3:$F3996,MOD(ROW()-2,COUNTA(helper!$D$3:$D3996))+1))</f>
        <v>12</v>
      </c>
      <c r="F1418" s="3">
        <f>IF(B1418="","",SUMIFS('inventory ledger'!$H:$H,'inventory ledger'!$C:$C,C1418,'inventory ledger'!$D:$D,D1418,'inventory ledger'!$E:$E,E1418,'inventory ledger'!$A:$A,"&lt;="&amp;B1418+TIME(23,59,59))-SUMIFS('inventory ledger'!$I:$I,'inventory ledger'!$C:$C,C1418,'inventory ledger'!$D:$D,D1418,'inventory ledger'!$E:$E,E1418,'inventory ledger'!$A:$A,"&lt;="&amp;B1418+TIME(23,59,59)))</f>
        <v>0</v>
      </c>
      <c r="G1418" s="3">
        <f>IFERROR(__xludf.DUMMYFUNCTION("IF(F1418&lt;=0,0,IFERROR(ROUNDUP(F1418/INDEX(FILTER('warehouse config'!$D:$D,('warehouse config'!$B:$B=C1418)*('warehouse config'!$C:$C=D1418)*('warehouse config'!$G:$G&lt;=B1418)*(('warehouse config'!$H:$H&gt;=B1418)+ISBLANK('warehouse config'!$H:$H))),1)),0))"),0.0)</f>
        <v>0</v>
      </c>
      <c r="H1418" s="3">
        <f>IFERROR(__xludf.DUMMYFUNCTION("IFERROR(INDEX(FILTER('cost master'!$E:$E,('cost master'!$B:$B=C1418)*('cost master'!$D:$D=""Storage cost per pallet / week"")*('cost master'!$G:$G&lt;=B1418)*(('cost master'!$H:$H&gt;=B1418)+ISBLANK('cost master'!$H:$H))),1),0)"),2.6)</f>
        <v>2.6</v>
      </c>
      <c r="I1418" s="3">
        <f t="shared" si="4"/>
        <v>0</v>
      </c>
      <c r="J1418" s="27">
        <f t="shared" si="5"/>
        <v>45946</v>
      </c>
      <c r="K1418" s="27">
        <f t="shared" si="6"/>
        <v>45976</v>
      </c>
    </row>
    <row r="1419" hidden="1">
      <c r="A1419" s="3" t="str">
        <f t="shared" si="3"/>
        <v>SL-20251020-Vglobal-CS-CDS-001-3</v>
      </c>
      <c r="B1419" s="2">
        <f t="array" ref="B1419">INDEX(helper!$A$3:$A3996,ROUNDUP((ROW()-1)/COUNTA(helper!$D$3:$D3996),0))</f>
        <v>45950</v>
      </c>
      <c r="C1419" s="5" t="str">
        <f t="array" ref="C1419">IF(B1419="","",INDEX(helper!$D$3:$D3996,MOD(ROW()-2,COUNTA(helper!$D$3:$D3996))+1))</f>
        <v>Vglobal</v>
      </c>
      <c r="D1419" s="3" t="str">
        <f t="array" ref="D1419">IF(B1419="","",INDEX(helper!$E$3:$E3996,MOD(ROW()-2,COUNTA(helper!$D$3:$D3996))+1))</f>
        <v>CS-CDS-001</v>
      </c>
      <c r="E1419" s="3">
        <f t="array" ref="E1419">IF(B1419="","",INDEX(helper!$F$3:$F3996,MOD(ROW()-2,COUNTA(helper!$D$3:$D3996))+1))</f>
        <v>3</v>
      </c>
      <c r="F1419" s="3">
        <f>IF(B1419="","",SUMIFS('inventory ledger'!$H:$H,'inventory ledger'!$C:$C,C1419,'inventory ledger'!$D:$D,D1419,'inventory ledger'!$E:$E,E1419,'inventory ledger'!$A:$A,"&lt;="&amp;B1419+TIME(23,59,59))-SUMIFS('inventory ledger'!$I:$I,'inventory ledger'!$C:$C,C1419,'inventory ledger'!$D:$D,D1419,'inventory ledger'!$E:$E,E1419,'inventory ledger'!$A:$A,"&lt;="&amp;B1419+TIME(23,59,59)))</f>
        <v>1</v>
      </c>
      <c r="G1419" s="3">
        <f>IFERROR(__xludf.DUMMYFUNCTION("IF(F1419&lt;=0,0,IFERROR(ROUNDUP(F1419/INDEX(FILTER('warehouse config'!$D:$D,('warehouse config'!$B:$B=C1419)*('warehouse config'!$C:$C=D1419)*('warehouse config'!$G:$G&lt;=B1419)*(('warehouse config'!$H:$H&gt;=B1419)+ISBLANK('warehouse config'!$H:$H))),1)),0))"),1.0)</f>
        <v>1</v>
      </c>
      <c r="H1419" s="3">
        <f>IFERROR(__xludf.DUMMYFUNCTION("IFERROR(INDEX(FILTER('cost master'!$E:$E,('cost master'!$B:$B=C1419)*('cost master'!$D:$D=""Storage cost per pallet / week"")*('cost master'!$G:$G&lt;=B1419)*(('cost master'!$H:$H&gt;=B1419)+ISBLANK('cost master'!$H:$H))),1),0)"),2.6)</f>
        <v>2.6</v>
      </c>
      <c r="I1419" s="3">
        <f t="shared" si="4"/>
        <v>2.6</v>
      </c>
      <c r="J1419" s="27">
        <f t="shared" si="5"/>
        <v>45946</v>
      </c>
      <c r="K1419" s="27">
        <f t="shared" si="6"/>
        <v>45976</v>
      </c>
    </row>
    <row r="1420" hidden="1">
      <c r="A1420" s="3" t="str">
        <f t="shared" si="3"/>
        <v>SL-20251020-Vglobal-CS-CDS-002-3</v>
      </c>
      <c r="B1420" s="2">
        <f t="array" ref="B1420">INDEX(helper!$A$3:$A3996,ROUNDUP((ROW()-1)/COUNTA(helper!$D$3:$D3996),0))</f>
        <v>45950</v>
      </c>
      <c r="C1420" s="5" t="str">
        <f t="array" ref="C1420">IF(B1420="","",INDEX(helper!$D$3:$D3996,MOD(ROW()-2,COUNTA(helper!$D$3:$D3996))+1))</f>
        <v>Vglobal</v>
      </c>
      <c r="D1420" s="3" t="str">
        <f t="array" ref="D1420">IF(B1420="","",INDEX(helper!$E$3:$E3996,MOD(ROW()-2,COUNTA(helper!$D$3:$D3996))+1))</f>
        <v>CS-CDS-002</v>
      </c>
      <c r="E1420" s="3">
        <f t="array" ref="E1420">IF(B1420="","",INDEX(helper!$F$3:$F3996,MOD(ROW()-2,COUNTA(helper!$D$3:$D3996))+1))</f>
        <v>3</v>
      </c>
      <c r="F1420" s="3">
        <f>IF(B1420="","",SUMIFS('inventory ledger'!$H:$H,'inventory ledger'!$C:$C,C1420,'inventory ledger'!$D:$D,D1420,'inventory ledger'!$E:$E,E1420,'inventory ledger'!$A:$A,"&lt;="&amp;B1420+TIME(23,59,59))-SUMIFS('inventory ledger'!$I:$I,'inventory ledger'!$C:$C,C1420,'inventory ledger'!$D:$D,D1420,'inventory ledger'!$E:$E,E1420,'inventory ledger'!$A:$A,"&lt;="&amp;B1420+TIME(23,59,59)))</f>
        <v>0</v>
      </c>
      <c r="G1420" s="3">
        <f>IFERROR(__xludf.DUMMYFUNCTION("IF(F1420&lt;=0,0,IFERROR(ROUNDUP(F1420/INDEX(FILTER('warehouse config'!$D:$D,('warehouse config'!$B:$B=C1420)*('warehouse config'!$C:$C=D1420)*('warehouse config'!$G:$G&lt;=B1420)*(('warehouse config'!$H:$H&gt;=B1420)+ISBLANK('warehouse config'!$H:$H))),1)),0))"),0.0)</f>
        <v>0</v>
      </c>
      <c r="H1420" s="3">
        <f>IFERROR(__xludf.DUMMYFUNCTION("IFERROR(INDEX(FILTER('cost master'!$E:$E,('cost master'!$B:$B=C1420)*('cost master'!$D:$D=""Storage cost per pallet / week"")*('cost master'!$G:$G&lt;=B1420)*(('cost master'!$H:$H&gt;=B1420)+ISBLANK('cost master'!$H:$H))),1),0)"),2.6)</f>
        <v>2.6</v>
      </c>
      <c r="I1420" s="3">
        <f t="shared" si="4"/>
        <v>0</v>
      </c>
      <c r="J1420" s="27">
        <f t="shared" si="5"/>
        <v>45946</v>
      </c>
      <c r="K1420" s="27">
        <f t="shared" si="6"/>
        <v>45976</v>
      </c>
    </row>
    <row r="1421" hidden="1">
      <c r="A1421" s="3" t="str">
        <f t="shared" si="3"/>
        <v>SL-20251020-4as-CS-CDS-001-4</v>
      </c>
      <c r="B1421" s="2">
        <f t="array" ref="B1421">INDEX(helper!$A$3:$A3996,ROUNDUP((ROW()-1)/COUNTA(helper!$D$3:$D3996),0))</f>
        <v>45950</v>
      </c>
      <c r="C1421" s="5" t="str">
        <f t="array" ref="C1421">IF(B1421="","",INDEX(helper!$D$3:$D3996,MOD(ROW()-2,COUNTA(helper!$D$3:$D3996))+1))</f>
        <v>4as</v>
      </c>
      <c r="D1421" s="3" t="str">
        <f t="array" ref="D1421">IF(B1421="","",INDEX(helper!$E$3:$E3996,MOD(ROW()-2,COUNTA(helper!$D$3:$D3996))+1))</f>
        <v>CS-CDS-001</v>
      </c>
      <c r="E1421" s="3">
        <f t="array" ref="E1421">IF(B1421="","",INDEX(helper!$F$3:$F3996,MOD(ROW()-2,COUNTA(helper!$D$3:$D3996))+1))</f>
        <v>4</v>
      </c>
      <c r="F1421" s="3">
        <f>IF(B1421="","",SUMIFS('inventory ledger'!$H:$H,'inventory ledger'!$C:$C,C1421,'inventory ledger'!$D:$D,D1421,'inventory ledger'!$E:$E,E1421,'inventory ledger'!$A:$A,"&lt;="&amp;B1421+TIME(23,59,59))-SUMIFS('inventory ledger'!$I:$I,'inventory ledger'!$C:$C,C1421,'inventory ledger'!$D:$D,D1421,'inventory ledger'!$E:$E,E1421,'inventory ledger'!$A:$A,"&lt;="&amp;B1421+TIME(23,59,59)))</f>
        <v>0</v>
      </c>
      <c r="G1421" s="3">
        <f>IFERROR(__xludf.DUMMYFUNCTION("IF(F1421&lt;=0,0,IFERROR(ROUNDUP(F1421/INDEX(FILTER('warehouse config'!$D:$D,('warehouse config'!$B:$B=C1421)*('warehouse config'!$C:$C=D1421)*('warehouse config'!$G:$G&lt;=B1421)*(('warehouse config'!$H:$H&gt;=B1421)+ISBLANK('warehouse config'!$H:$H))),1)),0))"),0.0)</f>
        <v>0</v>
      </c>
      <c r="H1421" s="3">
        <f>IFERROR(__xludf.DUMMYFUNCTION("IFERROR(INDEX(FILTER('cost master'!$E:$E,('cost master'!$B:$B=C1421)*('cost master'!$D:$D=""Storage cost per pallet / week"")*('cost master'!$G:$G&lt;=B1421)*(('cost master'!$H:$H&gt;=B1421)+ISBLANK('cost master'!$H:$H))),1),0)"),9.0)</f>
        <v>9</v>
      </c>
      <c r="I1421" s="3">
        <f t="shared" si="4"/>
        <v>0</v>
      </c>
      <c r="J1421" s="27">
        <f t="shared" si="5"/>
        <v>45946</v>
      </c>
      <c r="K1421" s="27">
        <f t="shared" si="6"/>
        <v>45976</v>
      </c>
    </row>
    <row r="1422" hidden="1">
      <c r="A1422" s="3" t="str">
        <f t="shared" si="3"/>
        <v>SL-20251020-4as-CS-CDS-002-4</v>
      </c>
      <c r="B1422" s="2">
        <f t="array" ref="B1422">INDEX(helper!$A$3:$A3996,ROUNDUP((ROW()-1)/COUNTA(helper!$D$3:$D3996),0))</f>
        <v>45950</v>
      </c>
      <c r="C1422" s="5" t="str">
        <f t="array" ref="C1422">IF(B1422="","",INDEX(helper!$D$3:$D3996,MOD(ROW()-2,COUNTA(helper!$D$3:$D3996))+1))</f>
        <v>4as</v>
      </c>
      <c r="D1422" s="3" t="str">
        <f t="array" ref="D1422">IF(B1422="","",INDEX(helper!$E$3:$E3996,MOD(ROW()-2,COUNTA(helper!$D$3:$D3996))+1))</f>
        <v>CS-CDS-002</v>
      </c>
      <c r="E1422" s="3">
        <f t="array" ref="E1422">IF(B1422="","",INDEX(helper!$F$3:$F3996,MOD(ROW()-2,COUNTA(helper!$D$3:$D3996))+1))</f>
        <v>4</v>
      </c>
      <c r="F1422" s="3">
        <f>IF(B1422="","",SUMIFS('inventory ledger'!$H:$H,'inventory ledger'!$C:$C,C1422,'inventory ledger'!$D:$D,D1422,'inventory ledger'!$E:$E,E1422,'inventory ledger'!$A:$A,"&lt;="&amp;B1422+TIME(23,59,59))-SUMIFS('inventory ledger'!$I:$I,'inventory ledger'!$C:$C,C1422,'inventory ledger'!$D:$D,D1422,'inventory ledger'!$E:$E,E1422,'inventory ledger'!$A:$A,"&lt;="&amp;B1422+TIME(23,59,59)))</f>
        <v>0</v>
      </c>
      <c r="G1422" s="3">
        <f>IFERROR(__xludf.DUMMYFUNCTION("IF(F1422&lt;=0,0,IFERROR(ROUNDUP(F1422/INDEX(FILTER('warehouse config'!$D:$D,('warehouse config'!$B:$B=C1422)*('warehouse config'!$C:$C=D1422)*('warehouse config'!$G:$G&lt;=B1422)*(('warehouse config'!$H:$H&gt;=B1422)+ISBLANK('warehouse config'!$H:$H))),1)),0))"),0.0)</f>
        <v>0</v>
      </c>
      <c r="H1422" s="3">
        <f>IFERROR(__xludf.DUMMYFUNCTION("IFERROR(INDEX(FILTER('cost master'!$E:$E,('cost master'!$B:$B=C1422)*('cost master'!$D:$D=""Storage cost per pallet / week"")*('cost master'!$G:$G&lt;=B1422)*(('cost master'!$H:$H&gt;=B1422)+ISBLANK('cost master'!$H:$H))),1),0)"),9.0)</f>
        <v>9</v>
      </c>
      <c r="I1422" s="3">
        <f t="shared" si="4"/>
        <v>0</v>
      </c>
      <c r="J1422" s="27">
        <f t="shared" si="5"/>
        <v>45946</v>
      </c>
      <c r="K1422" s="27">
        <f t="shared" si="6"/>
        <v>45976</v>
      </c>
    </row>
    <row r="1423" hidden="1">
      <c r="A1423" s="3" t="str">
        <f t="shared" si="3"/>
        <v>SL-20251020-Vglobal-CS 007-13</v>
      </c>
      <c r="B1423" s="2">
        <f t="array" ref="B1423">INDEX(helper!$A$3:$A3996,ROUNDUP((ROW()-1)/COUNTA(helper!$D$3:$D3996),0))</f>
        <v>45950</v>
      </c>
      <c r="C1423" s="5" t="str">
        <f t="array" ref="C1423">IF(B1423="","",INDEX(helper!$D$3:$D3996,MOD(ROW()-2,COUNTA(helper!$D$3:$D3996))+1))</f>
        <v>Vglobal</v>
      </c>
      <c r="D1423" s="3" t="str">
        <f t="array" ref="D1423">IF(B1423="","",INDEX(helper!$E$3:$E3996,MOD(ROW()-2,COUNTA(helper!$D$3:$D3996))+1))</f>
        <v>CS 007</v>
      </c>
      <c r="E1423" s="3">
        <f t="array" ref="E1423">IF(B1423="","",INDEX(helper!$F$3:$F3996,MOD(ROW()-2,COUNTA(helper!$D$3:$D3996))+1))</f>
        <v>13</v>
      </c>
      <c r="F1423" s="3">
        <f>IF(B1423="","",SUMIFS('inventory ledger'!$H:$H,'inventory ledger'!$C:$C,C1423,'inventory ledger'!$D:$D,D1423,'inventory ledger'!$E:$E,E1423,'inventory ledger'!$A:$A,"&lt;="&amp;B1423+TIME(23,59,59))-SUMIFS('inventory ledger'!$I:$I,'inventory ledger'!$C:$C,C1423,'inventory ledger'!$D:$D,D1423,'inventory ledger'!$E:$E,E1423,'inventory ledger'!$A:$A,"&lt;="&amp;B1423+TIME(23,59,59)))</f>
        <v>45</v>
      </c>
      <c r="G1423" s="3">
        <f>IFERROR(__xludf.DUMMYFUNCTION("IF(F1423&lt;=0,0,IFERROR(ROUNDUP(F1423/INDEX(FILTER('warehouse config'!$D:$D,('warehouse config'!$B:$B=C1423)*('warehouse config'!$C:$C=D1423)*('warehouse config'!$G:$G&lt;=B1423)*(('warehouse config'!$H:$H&gt;=B1423)+ISBLANK('warehouse config'!$H:$H))),1)),0))"),3.0)</f>
        <v>3</v>
      </c>
      <c r="H1423" s="3">
        <f>IFERROR(__xludf.DUMMYFUNCTION("IFERROR(INDEX(FILTER('cost master'!$E:$E,('cost master'!$B:$B=C1423)*('cost master'!$D:$D=""Storage cost per pallet / week"")*('cost master'!$G:$G&lt;=B1423)*(('cost master'!$H:$H&gt;=B1423)+ISBLANK('cost master'!$H:$H))),1),0)"),2.6)</f>
        <v>2.6</v>
      </c>
      <c r="I1423" s="3">
        <f t="shared" si="4"/>
        <v>7.8</v>
      </c>
      <c r="J1423" s="27">
        <f t="shared" si="5"/>
        <v>45946</v>
      </c>
      <c r="K1423" s="27">
        <f t="shared" si="6"/>
        <v>45976</v>
      </c>
    </row>
    <row r="1424" hidden="1">
      <c r="A1424" s="3" t="str">
        <f t="shared" si="3"/>
        <v>SL-20251020-Vglobal-CS 011-13</v>
      </c>
      <c r="B1424" s="2">
        <f t="array" ref="B1424">INDEX(helper!$A$3:$A3996,ROUNDUP((ROW()-1)/COUNTA(helper!$D$3:$D3996),0))</f>
        <v>45950</v>
      </c>
      <c r="C1424" s="5" t="str">
        <f t="array" ref="C1424">IF(B1424="","",INDEX(helper!$D$3:$D3996,MOD(ROW()-2,COUNTA(helper!$D$3:$D3996))+1))</f>
        <v>Vglobal</v>
      </c>
      <c r="D1424" s="3" t="str">
        <f t="array" ref="D1424">IF(B1424="","",INDEX(helper!$E$3:$E3996,MOD(ROW()-2,COUNTA(helper!$D$3:$D3996))+1))</f>
        <v>CS 011</v>
      </c>
      <c r="E1424" s="3">
        <f t="array" ref="E1424">IF(B1424="","",INDEX(helper!$F$3:$F3996,MOD(ROW()-2,COUNTA(helper!$D$3:$D3996))+1))</f>
        <v>13</v>
      </c>
      <c r="F1424" s="3">
        <f>IF(B1424="","",SUMIFS('inventory ledger'!$H:$H,'inventory ledger'!$C:$C,C1424,'inventory ledger'!$D:$D,D1424,'inventory ledger'!$E:$E,E1424,'inventory ledger'!$A:$A,"&lt;="&amp;B1424+TIME(23,59,59))-SUMIFS('inventory ledger'!$I:$I,'inventory ledger'!$C:$C,C1424,'inventory ledger'!$D:$D,D1424,'inventory ledger'!$E:$E,E1424,'inventory ledger'!$A:$A,"&lt;="&amp;B1424+TIME(23,59,59)))</f>
        <v>0</v>
      </c>
      <c r="G1424" s="3">
        <f>IFERROR(__xludf.DUMMYFUNCTION("IF(F1424&lt;=0,0,IFERROR(ROUNDUP(F1424/INDEX(FILTER('warehouse config'!$D:$D,('warehouse config'!$B:$B=C1424)*('warehouse config'!$C:$C=D1424)*('warehouse config'!$G:$G&lt;=B1424)*(('warehouse config'!$H:$H&gt;=B1424)+ISBLANK('warehouse config'!$H:$H))),1)),0))"),0.0)</f>
        <v>0</v>
      </c>
      <c r="H1424" s="3">
        <f>IFERROR(__xludf.DUMMYFUNCTION("IFERROR(INDEX(FILTER('cost master'!$E:$E,('cost master'!$B:$B=C1424)*('cost master'!$D:$D=""Storage cost per pallet / week"")*('cost master'!$G:$G&lt;=B1424)*(('cost master'!$H:$H&gt;=B1424)+ISBLANK('cost master'!$H:$H))),1),0)"),2.6)</f>
        <v>2.6</v>
      </c>
      <c r="I1424" s="3">
        <f t="shared" si="4"/>
        <v>0</v>
      </c>
      <c r="J1424" s="27">
        <f t="shared" si="5"/>
        <v>45946</v>
      </c>
      <c r="K1424" s="27">
        <f t="shared" si="6"/>
        <v>45976</v>
      </c>
    </row>
    <row r="1425" hidden="1">
      <c r="A1425" s="3" t="str">
        <f t="shared" si="3"/>
        <v>SL-20251020-Vglobal-CS 008-13</v>
      </c>
      <c r="B1425" s="2">
        <f t="array" ref="B1425">INDEX(helper!$A$3:$A3996,ROUNDUP((ROW()-1)/COUNTA(helper!$D$3:$D3996),0))</f>
        <v>45950</v>
      </c>
      <c r="C1425" s="5" t="str">
        <f t="array" ref="C1425">IF(B1425="","",INDEX(helper!$D$3:$D3996,MOD(ROW()-2,COUNTA(helper!$D$3:$D3996))+1))</f>
        <v>Vglobal</v>
      </c>
      <c r="D1425" s="3" t="str">
        <f t="array" ref="D1425">IF(B1425="","",INDEX(helper!$E$3:$E3996,MOD(ROW()-2,COUNTA(helper!$D$3:$D3996))+1))</f>
        <v>CS 008</v>
      </c>
      <c r="E1425" s="3">
        <f t="array" ref="E1425">IF(B1425="","",INDEX(helper!$F$3:$F3996,MOD(ROW()-2,COUNTA(helper!$D$3:$D3996))+1))</f>
        <v>13</v>
      </c>
      <c r="F1425" s="3">
        <f>IF(B1425="","",SUMIFS('inventory ledger'!$H:$H,'inventory ledger'!$C:$C,C1425,'inventory ledger'!$D:$D,D1425,'inventory ledger'!$E:$E,E1425,'inventory ledger'!$A:$A,"&lt;="&amp;B1425+TIME(23,59,59))-SUMIFS('inventory ledger'!$I:$I,'inventory ledger'!$C:$C,C1425,'inventory ledger'!$D:$D,D1425,'inventory ledger'!$E:$E,E1425,'inventory ledger'!$A:$A,"&lt;="&amp;B1425+TIME(23,59,59)))</f>
        <v>20</v>
      </c>
      <c r="G1425" s="3">
        <f>IFERROR(__xludf.DUMMYFUNCTION("IF(F1425&lt;=0,0,IFERROR(ROUNDUP(F1425/INDEX(FILTER('warehouse config'!$D:$D,('warehouse config'!$B:$B=C1425)*('warehouse config'!$C:$C=D1425)*('warehouse config'!$G:$G&lt;=B1425)*(('warehouse config'!$H:$H&gt;=B1425)+ISBLANK('warehouse config'!$H:$H))),1)),0))"),1.0)</f>
        <v>1</v>
      </c>
      <c r="H1425" s="3">
        <f>IFERROR(__xludf.DUMMYFUNCTION("IFERROR(INDEX(FILTER('cost master'!$E:$E,('cost master'!$B:$B=C1425)*('cost master'!$D:$D=""Storage cost per pallet / week"")*('cost master'!$G:$G&lt;=B1425)*(('cost master'!$H:$H&gt;=B1425)+ISBLANK('cost master'!$H:$H))),1),0)"),2.6)</f>
        <v>2.6</v>
      </c>
      <c r="I1425" s="3">
        <f t="shared" si="4"/>
        <v>2.6</v>
      </c>
      <c r="J1425" s="27">
        <f t="shared" si="5"/>
        <v>45946</v>
      </c>
      <c r="K1425" s="27">
        <f t="shared" si="6"/>
        <v>45976</v>
      </c>
    </row>
    <row r="1426" hidden="1">
      <c r="A1426" s="3" t="str">
        <f t="shared" si="3"/>
        <v>SL-20251020-Vglobal-CS 010-13</v>
      </c>
      <c r="B1426" s="2">
        <f t="array" ref="B1426">INDEX(helper!$A$3:$A3996,ROUNDUP((ROW()-1)/COUNTA(helper!$D$3:$D3996),0))</f>
        <v>45950</v>
      </c>
      <c r="C1426" s="5" t="str">
        <f t="array" ref="C1426">IF(B1426="","",INDEX(helper!$D$3:$D3996,MOD(ROW()-2,COUNTA(helper!$D$3:$D3996))+1))</f>
        <v>Vglobal</v>
      </c>
      <c r="D1426" s="3" t="str">
        <f t="array" ref="D1426">IF(B1426="","",INDEX(helper!$E$3:$E3996,MOD(ROW()-2,COUNTA(helper!$D$3:$D3996))+1))</f>
        <v>CS 010</v>
      </c>
      <c r="E1426" s="3">
        <f t="array" ref="E1426">IF(B1426="","",INDEX(helper!$F$3:$F3996,MOD(ROW()-2,COUNTA(helper!$D$3:$D3996))+1))</f>
        <v>13</v>
      </c>
      <c r="F1426" s="3">
        <f>IF(B1426="","",SUMIFS('inventory ledger'!$H:$H,'inventory ledger'!$C:$C,C1426,'inventory ledger'!$D:$D,D1426,'inventory ledger'!$E:$E,E1426,'inventory ledger'!$A:$A,"&lt;="&amp;B1426+TIME(23,59,59))-SUMIFS('inventory ledger'!$I:$I,'inventory ledger'!$C:$C,C1426,'inventory ledger'!$D:$D,D1426,'inventory ledger'!$E:$E,E1426,'inventory ledger'!$A:$A,"&lt;="&amp;B1426+TIME(23,59,59)))</f>
        <v>80</v>
      </c>
      <c r="G1426" s="3">
        <f>IFERROR(__xludf.DUMMYFUNCTION("IF(F1426&lt;=0,0,IFERROR(ROUNDUP(F1426/INDEX(FILTER('warehouse config'!$D:$D,('warehouse config'!$B:$B=C1426)*('warehouse config'!$C:$C=D1426)*('warehouse config'!$G:$G&lt;=B1426)*(('warehouse config'!$H:$H&gt;=B1426)+ISBLANK('warehouse config'!$H:$H))),1)),0))"),4.0)</f>
        <v>4</v>
      </c>
      <c r="H1426" s="3">
        <f>IFERROR(__xludf.DUMMYFUNCTION("IFERROR(INDEX(FILTER('cost master'!$E:$E,('cost master'!$B:$B=C1426)*('cost master'!$D:$D=""Storage cost per pallet / week"")*('cost master'!$G:$G&lt;=B1426)*(('cost master'!$H:$H&gt;=B1426)+ISBLANK('cost master'!$H:$H))),1),0)"),2.6)</f>
        <v>2.6</v>
      </c>
      <c r="I1426" s="3">
        <f t="shared" si="4"/>
        <v>10.4</v>
      </c>
      <c r="J1426" s="27">
        <f t="shared" si="5"/>
        <v>45946</v>
      </c>
      <c r="K1426" s="27">
        <f t="shared" si="6"/>
        <v>45976</v>
      </c>
    </row>
    <row r="1427" hidden="1">
      <c r="A1427" s="3" t="str">
        <f t="shared" si="3"/>
        <v>SL-20251020-Vglobal-CS 009-13</v>
      </c>
      <c r="B1427" s="2">
        <f t="array" ref="B1427">INDEX(helper!$A$3:$A3996,ROUNDUP((ROW()-1)/COUNTA(helper!$D$3:$D3996),0))</f>
        <v>45950</v>
      </c>
      <c r="C1427" s="5" t="str">
        <f t="array" ref="C1427">IF(B1427="","",INDEX(helper!$D$3:$D3996,MOD(ROW()-2,COUNTA(helper!$D$3:$D3996))+1))</f>
        <v>Vglobal</v>
      </c>
      <c r="D1427" s="3" t="str">
        <f t="array" ref="D1427">IF(B1427="","",INDEX(helper!$E$3:$E3996,MOD(ROW()-2,COUNTA(helper!$D$3:$D3996))+1))</f>
        <v>CS 009</v>
      </c>
      <c r="E1427" s="3">
        <f t="array" ref="E1427">IF(B1427="","",INDEX(helper!$F$3:$F3996,MOD(ROW()-2,COUNTA(helper!$D$3:$D3996))+1))</f>
        <v>13</v>
      </c>
      <c r="F1427" s="3">
        <f>IF(B1427="","",SUMIFS('inventory ledger'!$H:$H,'inventory ledger'!$C:$C,C1427,'inventory ledger'!$D:$D,D1427,'inventory ledger'!$E:$E,E1427,'inventory ledger'!$A:$A,"&lt;="&amp;B1427+TIME(23,59,59))-SUMIFS('inventory ledger'!$I:$I,'inventory ledger'!$C:$C,C1427,'inventory ledger'!$D:$D,D1427,'inventory ledger'!$E:$E,E1427,'inventory ledger'!$A:$A,"&lt;="&amp;B1427+TIME(23,59,59)))</f>
        <v>0</v>
      </c>
      <c r="G1427" s="3">
        <f>IFERROR(__xludf.DUMMYFUNCTION("IF(F1427&lt;=0,0,IFERROR(ROUNDUP(F1427/INDEX(FILTER('warehouse config'!$D:$D,('warehouse config'!$B:$B=C1427)*('warehouse config'!$C:$C=D1427)*('warehouse config'!$G:$G&lt;=B1427)*(('warehouse config'!$H:$H&gt;=B1427)+ISBLANK('warehouse config'!$H:$H))),1)),0))"),0.0)</f>
        <v>0</v>
      </c>
      <c r="H1427" s="3">
        <f>IFERROR(__xludf.DUMMYFUNCTION("IFERROR(INDEX(FILTER('cost master'!$E:$E,('cost master'!$B:$B=C1427)*('cost master'!$D:$D=""Storage cost per pallet / week"")*('cost master'!$G:$G&lt;=B1427)*(('cost master'!$H:$H&gt;=B1427)+ISBLANK('cost master'!$H:$H))),1),0)"),2.6)</f>
        <v>2.6</v>
      </c>
      <c r="I1427" s="3">
        <f t="shared" si="4"/>
        <v>0</v>
      </c>
      <c r="J1427" s="27">
        <f t="shared" si="5"/>
        <v>45946</v>
      </c>
      <c r="K1427" s="27">
        <f t="shared" si="6"/>
        <v>45976</v>
      </c>
    </row>
    <row r="1428" hidden="1">
      <c r="A1428" s="3" t="str">
        <f t="shared" si="3"/>
        <v>SL-20251020-Vglobal-CS 012-13</v>
      </c>
      <c r="B1428" s="2">
        <f t="array" ref="B1428">INDEX(helper!$A$3:$A3996,ROUNDUP((ROW()-1)/COUNTA(helper!$D$3:$D3996),0))</f>
        <v>45950</v>
      </c>
      <c r="C1428" s="5" t="str">
        <f t="array" ref="C1428">IF(B1428="","",INDEX(helper!$D$3:$D3996,MOD(ROW()-2,COUNTA(helper!$D$3:$D3996))+1))</f>
        <v>Vglobal</v>
      </c>
      <c r="D1428" s="3" t="str">
        <f t="array" ref="D1428">IF(B1428="","",INDEX(helper!$E$3:$E3996,MOD(ROW()-2,COUNTA(helper!$D$3:$D3996))+1))</f>
        <v>CS 012</v>
      </c>
      <c r="E1428" s="3">
        <f t="array" ref="E1428">IF(B1428="","",INDEX(helper!$F$3:$F3996,MOD(ROW()-2,COUNTA(helper!$D$3:$D3996))+1))</f>
        <v>13</v>
      </c>
      <c r="F1428" s="3">
        <f>IF(B1428="","",SUMIFS('inventory ledger'!$H:$H,'inventory ledger'!$C:$C,C1428,'inventory ledger'!$D:$D,D1428,'inventory ledger'!$E:$E,E1428,'inventory ledger'!$A:$A,"&lt;="&amp;B1428+TIME(23,59,59))-SUMIFS('inventory ledger'!$I:$I,'inventory ledger'!$C:$C,C1428,'inventory ledger'!$D:$D,D1428,'inventory ledger'!$E:$E,E1428,'inventory ledger'!$A:$A,"&lt;="&amp;B1428+TIME(23,59,59)))</f>
        <v>0</v>
      </c>
      <c r="G1428" s="3">
        <f>IFERROR(__xludf.DUMMYFUNCTION("IF(F1428&lt;=0,0,IFERROR(ROUNDUP(F1428/INDEX(FILTER('warehouse config'!$D:$D,('warehouse config'!$B:$B=C1428)*('warehouse config'!$C:$C=D1428)*('warehouse config'!$G:$G&lt;=B1428)*(('warehouse config'!$H:$H&gt;=B1428)+ISBLANK('warehouse config'!$H:$H))),1)),0))"),0.0)</f>
        <v>0</v>
      </c>
      <c r="H1428" s="3">
        <f>IFERROR(__xludf.DUMMYFUNCTION("IFERROR(INDEX(FILTER('cost master'!$E:$E,('cost master'!$B:$B=C1428)*('cost master'!$D:$D=""Storage cost per pallet / week"")*('cost master'!$G:$G&lt;=B1428)*(('cost master'!$H:$H&gt;=B1428)+ISBLANK('cost master'!$H:$H))),1),0)"),2.6)</f>
        <v>2.6</v>
      </c>
      <c r="I1428" s="3">
        <f t="shared" si="4"/>
        <v>0</v>
      </c>
      <c r="J1428" s="27">
        <f t="shared" si="5"/>
        <v>45946</v>
      </c>
      <c r="K1428" s="27">
        <f t="shared" si="6"/>
        <v>45976</v>
      </c>
    </row>
    <row r="1429">
      <c r="A1429" s="3" t="str">
        <f t="shared" si="3"/>
        <v>SL-20251020-FMC-CS 008-11</v>
      </c>
      <c r="B1429" s="2">
        <f t="array" ref="B1429">INDEX(helper!$A$3:$A3996,ROUNDUP((ROW()-1)/COUNTA(helper!$D$3:$D3996),0))</f>
        <v>45950</v>
      </c>
      <c r="C1429" s="5" t="str">
        <f t="array" ref="C1429">IF(B1429="","",INDEX(helper!$D$3:$D3996,MOD(ROW()-2,COUNTA(helper!$D$3:$D3996))+1))</f>
        <v>FMC</v>
      </c>
      <c r="D1429" s="3" t="str">
        <f t="array" ref="D1429">IF(B1429="","",INDEX(helper!$E$3:$E3996,MOD(ROW()-2,COUNTA(helper!$D$3:$D3996))+1))</f>
        <v>CS 008</v>
      </c>
      <c r="E1429" s="3">
        <f t="array" ref="E1429">IF(B1429="","",INDEX(helper!$F$3:$F3996,MOD(ROW()-2,COUNTA(helper!$D$3:$D3996))+1))</f>
        <v>11</v>
      </c>
      <c r="F1429" s="3">
        <f>IF(B1429="","",SUMIFS('inventory ledger'!$H:$H,'inventory ledger'!$C:$C,C1429,'inventory ledger'!$D:$D,D1429,'inventory ledger'!$E:$E,E1429,'inventory ledger'!$A:$A,"&lt;="&amp;B1429+TIME(23,59,59))-SUMIFS('inventory ledger'!$I:$I,'inventory ledger'!$C:$C,C1429,'inventory ledger'!$D:$D,D1429,'inventory ledger'!$E:$E,E1429,'inventory ledger'!$A:$A,"&lt;="&amp;B1429+TIME(23,59,59)))</f>
        <v>-2</v>
      </c>
      <c r="G1429" s="3">
        <f>IFERROR(__xludf.DUMMYFUNCTION("IF(F1429&lt;=0,0,IFERROR(ROUNDUP(F1429/INDEX(FILTER('warehouse config'!$D:$D,('warehouse config'!$B:$B=C1429)*('warehouse config'!$C:$C=D1429)*('warehouse config'!$G:$G&lt;=B1429)*(('warehouse config'!$H:$H&gt;=B1429)+ISBLANK('warehouse config'!$H:$H))),1)),0))"),0.0)</f>
        <v>0</v>
      </c>
      <c r="H1429" s="3">
        <f>IFERROR(__xludf.DUMMYFUNCTION("IFERROR(INDEX(FILTER('cost master'!$E:$E,('cost master'!$B:$B=C1429)*('cost master'!$D:$D=""Storage cost per pallet / week"")*('cost master'!$G:$G&lt;=B1429)*(('cost master'!$H:$H&gt;=B1429)+ISBLANK('cost master'!$H:$H))),1),0)"),3.9)</f>
        <v>3.9</v>
      </c>
      <c r="I1429" s="3">
        <f t="shared" si="4"/>
        <v>0</v>
      </c>
      <c r="J1429" s="27">
        <f t="shared" si="5"/>
        <v>45946</v>
      </c>
      <c r="K1429" s="27">
        <f t="shared" si="6"/>
        <v>45976</v>
      </c>
    </row>
    <row r="1430" hidden="1">
      <c r="A1430" s="3" t="str">
        <f t="shared" si="3"/>
        <v>SL-20251027-FMC-CS 007-8</v>
      </c>
      <c r="B1430" s="2">
        <f t="array" ref="B1430">INDEX(helper!$A$3:$A3996,ROUNDUP((ROW()-1)/COUNTA(helper!$D$3:$D3996),0))</f>
        <v>45957</v>
      </c>
      <c r="C1430" s="5" t="str">
        <f t="array" ref="C1430">IF(B1430="","",INDEX(helper!$D$3:$D3996,MOD(ROW()-2,COUNTA(helper!$D$3:$D3996))+1))</f>
        <v>FMC</v>
      </c>
      <c r="D1430" s="3" t="str">
        <f t="array" ref="D1430">IF(B1430="","",INDEX(helper!$E$3:$E3996,MOD(ROW()-2,COUNTA(helper!$D$3:$D3996))+1))</f>
        <v>CS 007</v>
      </c>
      <c r="E1430" s="3">
        <f t="array" ref="E1430">IF(B1430="","",INDEX(helper!$F$3:$F3996,MOD(ROW()-2,COUNTA(helper!$D$3:$D3996))+1))</f>
        <v>8</v>
      </c>
      <c r="F1430" s="3">
        <f>IF(B1430="","",SUMIFS('inventory ledger'!$H:$H,'inventory ledger'!$C:$C,C1430,'inventory ledger'!$D:$D,D1430,'inventory ledger'!$E:$E,E1430,'inventory ledger'!$A:$A,"&lt;="&amp;B1430+TIME(23,59,59))-SUMIFS('inventory ledger'!$I:$I,'inventory ledger'!$C:$C,C1430,'inventory ledger'!$D:$D,D1430,'inventory ledger'!$E:$E,E1430,'inventory ledger'!$A:$A,"&lt;="&amp;B1430+TIME(23,59,59)))</f>
        <v>0</v>
      </c>
      <c r="G1430" s="3">
        <f>IFERROR(__xludf.DUMMYFUNCTION("IF(F1430&lt;=0,0,IFERROR(ROUNDUP(F1430/INDEX(FILTER('warehouse config'!$D:$D,('warehouse config'!$B:$B=C1430)*('warehouse config'!$C:$C=D1430)*('warehouse config'!$G:$G&lt;=B1430)*(('warehouse config'!$H:$H&gt;=B1430)+ISBLANK('warehouse config'!$H:$H))),1)),0))"),0.0)</f>
        <v>0</v>
      </c>
      <c r="H1430" s="3">
        <f>IFERROR(__xludf.DUMMYFUNCTION("IFERROR(INDEX(FILTER('cost master'!$E:$E,('cost master'!$B:$B=C1430)*('cost master'!$D:$D=""Storage cost per pallet / week"")*('cost master'!$G:$G&lt;=B1430)*(('cost master'!$H:$H&gt;=B1430)+ISBLANK('cost master'!$H:$H))),1),0)"),3.9)</f>
        <v>3.9</v>
      </c>
      <c r="I1430" s="3">
        <f t="shared" si="4"/>
        <v>0</v>
      </c>
      <c r="J1430" s="27">
        <f t="shared" si="5"/>
        <v>45946</v>
      </c>
      <c r="K1430" s="27">
        <f t="shared" si="6"/>
        <v>45976</v>
      </c>
    </row>
    <row r="1431" hidden="1">
      <c r="A1431" s="3" t="str">
        <f t="shared" si="3"/>
        <v>SL-20251027-FMC-CS 008-8</v>
      </c>
      <c r="B1431" s="2">
        <f t="array" ref="B1431">INDEX(helper!$A$3:$A3996,ROUNDUP((ROW()-1)/COUNTA(helper!$D$3:$D3996),0))</f>
        <v>45957</v>
      </c>
      <c r="C1431" s="5" t="str">
        <f t="array" ref="C1431">IF(B1431="","",INDEX(helper!$D$3:$D3996,MOD(ROW()-2,COUNTA(helper!$D$3:$D3996))+1))</f>
        <v>FMC</v>
      </c>
      <c r="D1431" s="3" t="str">
        <f t="array" ref="D1431">IF(B1431="","",INDEX(helper!$E$3:$E3996,MOD(ROW()-2,COUNTA(helper!$D$3:$D3996))+1))</f>
        <v>CS 008</v>
      </c>
      <c r="E1431" s="3">
        <f t="array" ref="E1431">IF(B1431="","",INDEX(helper!$F$3:$F3996,MOD(ROW()-2,COUNTA(helper!$D$3:$D3996))+1))</f>
        <v>8</v>
      </c>
      <c r="F1431" s="3">
        <f>IF(B1431="","",SUMIFS('inventory ledger'!$H:$H,'inventory ledger'!$C:$C,C1431,'inventory ledger'!$D:$D,D1431,'inventory ledger'!$E:$E,E1431,'inventory ledger'!$A:$A,"&lt;="&amp;B1431+TIME(23,59,59))-SUMIFS('inventory ledger'!$I:$I,'inventory ledger'!$C:$C,C1431,'inventory ledger'!$D:$D,D1431,'inventory ledger'!$E:$E,E1431,'inventory ledger'!$A:$A,"&lt;="&amp;B1431+TIME(23,59,59)))</f>
        <v>0</v>
      </c>
      <c r="G1431" s="3">
        <f>IFERROR(__xludf.DUMMYFUNCTION("IF(F1431&lt;=0,0,IFERROR(ROUNDUP(F1431/INDEX(FILTER('warehouse config'!$D:$D,('warehouse config'!$B:$B=C1431)*('warehouse config'!$C:$C=D1431)*('warehouse config'!$G:$G&lt;=B1431)*(('warehouse config'!$H:$H&gt;=B1431)+ISBLANK('warehouse config'!$H:$H))),1)),0))"),0.0)</f>
        <v>0</v>
      </c>
      <c r="H1431" s="3">
        <f>IFERROR(__xludf.DUMMYFUNCTION("IFERROR(INDEX(FILTER('cost master'!$E:$E,('cost master'!$B:$B=C1431)*('cost master'!$D:$D=""Storage cost per pallet / week"")*('cost master'!$G:$G&lt;=B1431)*(('cost master'!$H:$H&gt;=B1431)+ISBLANK('cost master'!$H:$H))),1),0)"),3.9)</f>
        <v>3.9</v>
      </c>
      <c r="I1431" s="3">
        <f t="shared" si="4"/>
        <v>0</v>
      </c>
      <c r="J1431" s="27">
        <f t="shared" si="5"/>
        <v>45946</v>
      </c>
      <c r="K1431" s="27">
        <f t="shared" si="6"/>
        <v>45976</v>
      </c>
    </row>
    <row r="1432" hidden="1">
      <c r="A1432" s="3" t="str">
        <f t="shared" si="3"/>
        <v>SL-20251027-FMC-CS 009-8</v>
      </c>
      <c r="B1432" s="2">
        <f t="array" ref="B1432">INDEX(helper!$A$3:$A3996,ROUNDUP((ROW()-1)/COUNTA(helper!$D$3:$D3996),0))</f>
        <v>45957</v>
      </c>
      <c r="C1432" s="5" t="str">
        <f t="array" ref="C1432">IF(B1432="","",INDEX(helper!$D$3:$D3996,MOD(ROW()-2,COUNTA(helper!$D$3:$D3996))+1))</f>
        <v>FMC</v>
      </c>
      <c r="D1432" s="3" t="str">
        <f t="array" ref="D1432">IF(B1432="","",INDEX(helper!$E$3:$E3996,MOD(ROW()-2,COUNTA(helper!$D$3:$D3996))+1))</f>
        <v>CS 009</v>
      </c>
      <c r="E1432" s="3">
        <f t="array" ref="E1432">IF(B1432="","",INDEX(helper!$F$3:$F3996,MOD(ROW()-2,COUNTA(helper!$D$3:$D3996))+1))</f>
        <v>8</v>
      </c>
      <c r="F1432" s="3">
        <f>IF(B1432="","",SUMIFS('inventory ledger'!$H:$H,'inventory ledger'!$C:$C,C1432,'inventory ledger'!$D:$D,D1432,'inventory ledger'!$E:$E,E1432,'inventory ledger'!$A:$A,"&lt;="&amp;B1432+TIME(23,59,59))-SUMIFS('inventory ledger'!$I:$I,'inventory ledger'!$C:$C,C1432,'inventory ledger'!$D:$D,D1432,'inventory ledger'!$E:$E,E1432,'inventory ledger'!$A:$A,"&lt;="&amp;B1432+TIME(23,59,59)))</f>
        <v>0</v>
      </c>
      <c r="G1432" s="3">
        <f>IFERROR(__xludf.DUMMYFUNCTION("IF(F1432&lt;=0,0,IFERROR(ROUNDUP(F1432/INDEX(FILTER('warehouse config'!$D:$D,('warehouse config'!$B:$B=C1432)*('warehouse config'!$C:$C=D1432)*('warehouse config'!$G:$G&lt;=B1432)*(('warehouse config'!$H:$H&gt;=B1432)+ISBLANK('warehouse config'!$H:$H))),1)),0))"),0.0)</f>
        <v>0</v>
      </c>
      <c r="H1432" s="3">
        <f>IFERROR(__xludf.DUMMYFUNCTION("IFERROR(INDEX(FILTER('cost master'!$E:$E,('cost master'!$B:$B=C1432)*('cost master'!$D:$D=""Storage cost per pallet / week"")*('cost master'!$G:$G&lt;=B1432)*(('cost master'!$H:$H&gt;=B1432)+ISBLANK('cost master'!$H:$H))),1),0)"),3.9)</f>
        <v>3.9</v>
      </c>
      <c r="I1432" s="3">
        <f t="shared" si="4"/>
        <v>0</v>
      </c>
      <c r="J1432" s="27">
        <f t="shared" si="5"/>
        <v>45946</v>
      </c>
      <c r="K1432" s="27">
        <f t="shared" si="6"/>
        <v>45976</v>
      </c>
    </row>
    <row r="1433" hidden="1">
      <c r="A1433" s="3" t="str">
        <f t="shared" si="3"/>
        <v>SL-20251027-FMC-CS 010-8</v>
      </c>
      <c r="B1433" s="2">
        <f t="array" ref="B1433">INDEX(helper!$A$3:$A3996,ROUNDUP((ROW()-1)/COUNTA(helper!$D$3:$D3996),0))</f>
        <v>45957</v>
      </c>
      <c r="C1433" s="5" t="str">
        <f t="array" ref="C1433">IF(B1433="","",INDEX(helper!$D$3:$D3996,MOD(ROW()-2,COUNTA(helper!$D$3:$D3996))+1))</f>
        <v>FMC</v>
      </c>
      <c r="D1433" s="3" t="str">
        <f t="array" ref="D1433">IF(B1433="","",INDEX(helper!$E$3:$E3996,MOD(ROW()-2,COUNTA(helper!$D$3:$D3996))+1))</f>
        <v>CS 010</v>
      </c>
      <c r="E1433" s="3">
        <f t="array" ref="E1433">IF(B1433="","",INDEX(helper!$F$3:$F3996,MOD(ROW()-2,COUNTA(helper!$D$3:$D3996))+1))</f>
        <v>8</v>
      </c>
      <c r="F1433" s="3">
        <f>IF(B1433="","",SUMIFS('inventory ledger'!$H:$H,'inventory ledger'!$C:$C,C1433,'inventory ledger'!$D:$D,D1433,'inventory ledger'!$E:$E,E1433,'inventory ledger'!$A:$A,"&lt;="&amp;B1433+TIME(23,59,59))-SUMIFS('inventory ledger'!$I:$I,'inventory ledger'!$C:$C,C1433,'inventory ledger'!$D:$D,D1433,'inventory ledger'!$E:$E,E1433,'inventory ledger'!$A:$A,"&lt;="&amp;B1433+TIME(23,59,59)))</f>
        <v>0</v>
      </c>
      <c r="G1433" s="3">
        <f>IFERROR(__xludf.DUMMYFUNCTION("IF(F1433&lt;=0,0,IFERROR(ROUNDUP(F1433/INDEX(FILTER('warehouse config'!$D:$D,('warehouse config'!$B:$B=C1433)*('warehouse config'!$C:$C=D1433)*('warehouse config'!$G:$G&lt;=B1433)*(('warehouse config'!$H:$H&gt;=B1433)+ISBLANK('warehouse config'!$H:$H))),1)),0))"),0.0)</f>
        <v>0</v>
      </c>
      <c r="H1433" s="3">
        <f>IFERROR(__xludf.DUMMYFUNCTION("IFERROR(INDEX(FILTER('cost master'!$E:$E,('cost master'!$B:$B=C1433)*('cost master'!$D:$D=""Storage cost per pallet / week"")*('cost master'!$G:$G&lt;=B1433)*(('cost master'!$H:$H&gt;=B1433)+ISBLANK('cost master'!$H:$H))),1),0)"),3.9)</f>
        <v>3.9</v>
      </c>
      <c r="I1433" s="3">
        <f t="shared" si="4"/>
        <v>0</v>
      </c>
      <c r="J1433" s="27">
        <f t="shared" si="5"/>
        <v>45946</v>
      </c>
      <c r="K1433" s="27">
        <f t="shared" si="6"/>
        <v>45976</v>
      </c>
    </row>
    <row r="1434" hidden="1">
      <c r="A1434" s="3" t="str">
        <f t="shared" si="3"/>
        <v>SL-20251027-FMC-CS 007-9</v>
      </c>
      <c r="B1434" s="2">
        <f t="array" ref="B1434">INDEX(helper!$A$3:$A3996,ROUNDUP((ROW()-1)/COUNTA(helper!$D$3:$D3996),0))</f>
        <v>45957</v>
      </c>
      <c r="C1434" s="5" t="str">
        <f t="array" ref="C1434">IF(B1434="","",INDEX(helper!$D$3:$D3996,MOD(ROW()-2,COUNTA(helper!$D$3:$D3996))+1))</f>
        <v>FMC</v>
      </c>
      <c r="D1434" s="3" t="str">
        <f t="array" ref="D1434">IF(B1434="","",INDEX(helper!$E$3:$E3996,MOD(ROW()-2,COUNTA(helper!$D$3:$D3996))+1))</f>
        <v>CS 007</v>
      </c>
      <c r="E1434" s="3">
        <f t="array" ref="E1434">IF(B1434="","",INDEX(helper!$F$3:$F3996,MOD(ROW()-2,COUNTA(helper!$D$3:$D3996))+1))</f>
        <v>9</v>
      </c>
      <c r="F1434" s="3">
        <f>IF(B1434="","",SUMIFS('inventory ledger'!$H:$H,'inventory ledger'!$C:$C,C1434,'inventory ledger'!$D:$D,D1434,'inventory ledger'!$E:$E,E1434,'inventory ledger'!$A:$A,"&lt;="&amp;B1434+TIME(23,59,59))-SUMIFS('inventory ledger'!$I:$I,'inventory ledger'!$C:$C,C1434,'inventory ledger'!$D:$D,D1434,'inventory ledger'!$E:$E,E1434,'inventory ledger'!$A:$A,"&lt;="&amp;B1434+TIME(23,59,59)))</f>
        <v>0</v>
      </c>
      <c r="G1434" s="3">
        <f>IFERROR(__xludf.DUMMYFUNCTION("IF(F1434&lt;=0,0,IFERROR(ROUNDUP(F1434/INDEX(FILTER('warehouse config'!$D:$D,('warehouse config'!$B:$B=C1434)*('warehouse config'!$C:$C=D1434)*('warehouse config'!$G:$G&lt;=B1434)*(('warehouse config'!$H:$H&gt;=B1434)+ISBLANK('warehouse config'!$H:$H))),1)),0))"),0.0)</f>
        <v>0</v>
      </c>
      <c r="H1434" s="3">
        <f>IFERROR(__xludf.DUMMYFUNCTION("IFERROR(INDEX(FILTER('cost master'!$E:$E,('cost master'!$B:$B=C1434)*('cost master'!$D:$D=""Storage cost per pallet / week"")*('cost master'!$G:$G&lt;=B1434)*(('cost master'!$H:$H&gt;=B1434)+ISBLANK('cost master'!$H:$H))),1),0)"),3.9)</f>
        <v>3.9</v>
      </c>
      <c r="I1434" s="3">
        <f t="shared" si="4"/>
        <v>0</v>
      </c>
      <c r="J1434" s="27">
        <f t="shared" si="5"/>
        <v>45946</v>
      </c>
      <c r="K1434" s="27">
        <f t="shared" si="6"/>
        <v>45976</v>
      </c>
    </row>
    <row r="1435" hidden="1">
      <c r="A1435" s="3" t="str">
        <f t="shared" si="3"/>
        <v>SL-20251027-FMC-CS 008-9</v>
      </c>
      <c r="B1435" s="2">
        <f t="array" ref="B1435">INDEX(helper!$A$3:$A3996,ROUNDUP((ROW()-1)/COUNTA(helper!$D$3:$D3996),0))</f>
        <v>45957</v>
      </c>
      <c r="C1435" s="5" t="str">
        <f t="array" ref="C1435">IF(B1435="","",INDEX(helper!$D$3:$D3996,MOD(ROW()-2,COUNTA(helper!$D$3:$D3996))+1))</f>
        <v>FMC</v>
      </c>
      <c r="D1435" s="3" t="str">
        <f t="array" ref="D1435">IF(B1435="","",INDEX(helper!$E$3:$E3996,MOD(ROW()-2,COUNTA(helper!$D$3:$D3996))+1))</f>
        <v>CS 008</v>
      </c>
      <c r="E1435" s="3">
        <f t="array" ref="E1435">IF(B1435="","",INDEX(helper!$F$3:$F3996,MOD(ROW()-2,COUNTA(helper!$D$3:$D3996))+1))</f>
        <v>9</v>
      </c>
      <c r="F1435" s="3">
        <f>IF(B1435="","",SUMIFS('inventory ledger'!$H:$H,'inventory ledger'!$C:$C,C1435,'inventory ledger'!$D:$D,D1435,'inventory ledger'!$E:$E,E1435,'inventory ledger'!$A:$A,"&lt;="&amp;B1435+TIME(23,59,59))-SUMIFS('inventory ledger'!$I:$I,'inventory ledger'!$C:$C,C1435,'inventory ledger'!$D:$D,D1435,'inventory ledger'!$E:$E,E1435,'inventory ledger'!$A:$A,"&lt;="&amp;B1435+TIME(23,59,59)))</f>
        <v>2</v>
      </c>
      <c r="G1435" s="3">
        <f>IFERROR(__xludf.DUMMYFUNCTION("IF(F1435&lt;=0,0,IFERROR(ROUNDUP(F1435/INDEX(FILTER('warehouse config'!$D:$D,('warehouse config'!$B:$B=C1435)*('warehouse config'!$C:$C=D1435)*('warehouse config'!$G:$G&lt;=B1435)*(('warehouse config'!$H:$H&gt;=B1435)+ISBLANK('warehouse config'!$H:$H))),1)),0))"),1.0)</f>
        <v>1</v>
      </c>
      <c r="H1435" s="3">
        <f>IFERROR(__xludf.DUMMYFUNCTION("IFERROR(INDEX(FILTER('cost master'!$E:$E,('cost master'!$B:$B=C1435)*('cost master'!$D:$D=""Storage cost per pallet / week"")*('cost master'!$G:$G&lt;=B1435)*(('cost master'!$H:$H&gt;=B1435)+ISBLANK('cost master'!$H:$H))),1),0)"),3.9)</f>
        <v>3.9</v>
      </c>
      <c r="I1435" s="3">
        <f t="shared" si="4"/>
        <v>3.9</v>
      </c>
      <c r="J1435" s="27">
        <f t="shared" si="5"/>
        <v>45946</v>
      </c>
      <c r="K1435" s="27">
        <f t="shared" si="6"/>
        <v>45976</v>
      </c>
    </row>
    <row r="1436" hidden="1">
      <c r="A1436" s="3" t="str">
        <f t="shared" si="3"/>
        <v>SL-20251027-FMC-CS 009-9</v>
      </c>
      <c r="B1436" s="2">
        <f t="array" ref="B1436">INDEX(helper!$A$3:$A3996,ROUNDUP((ROW()-1)/COUNTA(helper!$D$3:$D3996),0))</f>
        <v>45957</v>
      </c>
      <c r="C1436" s="5" t="str">
        <f t="array" ref="C1436">IF(B1436="","",INDEX(helper!$D$3:$D3996,MOD(ROW()-2,COUNTA(helper!$D$3:$D3996))+1))</f>
        <v>FMC</v>
      </c>
      <c r="D1436" s="3" t="str">
        <f t="array" ref="D1436">IF(B1436="","",INDEX(helper!$E$3:$E3996,MOD(ROW()-2,COUNTA(helper!$D$3:$D3996))+1))</f>
        <v>CS 009</v>
      </c>
      <c r="E1436" s="3">
        <f t="array" ref="E1436">IF(B1436="","",INDEX(helper!$F$3:$F3996,MOD(ROW()-2,COUNTA(helper!$D$3:$D3996))+1))</f>
        <v>9</v>
      </c>
      <c r="F1436" s="3">
        <f>IF(B1436="","",SUMIFS('inventory ledger'!$H:$H,'inventory ledger'!$C:$C,C1436,'inventory ledger'!$D:$D,D1436,'inventory ledger'!$E:$E,E1436,'inventory ledger'!$A:$A,"&lt;="&amp;B1436+TIME(23,59,59))-SUMIFS('inventory ledger'!$I:$I,'inventory ledger'!$C:$C,C1436,'inventory ledger'!$D:$D,D1436,'inventory ledger'!$E:$E,E1436,'inventory ledger'!$A:$A,"&lt;="&amp;B1436+TIME(23,59,59)))</f>
        <v>0</v>
      </c>
      <c r="G1436" s="3">
        <f>IFERROR(__xludf.DUMMYFUNCTION("IF(F1436&lt;=0,0,IFERROR(ROUNDUP(F1436/INDEX(FILTER('warehouse config'!$D:$D,('warehouse config'!$B:$B=C1436)*('warehouse config'!$C:$C=D1436)*('warehouse config'!$G:$G&lt;=B1436)*(('warehouse config'!$H:$H&gt;=B1436)+ISBLANK('warehouse config'!$H:$H))),1)),0))"),0.0)</f>
        <v>0</v>
      </c>
      <c r="H1436" s="3">
        <f>IFERROR(__xludf.DUMMYFUNCTION("IFERROR(INDEX(FILTER('cost master'!$E:$E,('cost master'!$B:$B=C1436)*('cost master'!$D:$D=""Storage cost per pallet / week"")*('cost master'!$G:$G&lt;=B1436)*(('cost master'!$H:$H&gt;=B1436)+ISBLANK('cost master'!$H:$H))),1),0)"),3.9)</f>
        <v>3.9</v>
      </c>
      <c r="I1436" s="3">
        <f t="shared" si="4"/>
        <v>0</v>
      </c>
      <c r="J1436" s="27">
        <f t="shared" si="5"/>
        <v>45946</v>
      </c>
      <c r="K1436" s="27">
        <f t="shared" si="6"/>
        <v>45976</v>
      </c>
    </row>
    <row r="1437" hidden="1">
      <c r="A1437" s="3" t="str">
        <f t="shared" si="3"/>
        <v>SL-20251027-FMC-CS 010-9</v>
      </c>
      <c r="B1437" s="2">
        <f t="array" ref="B1437">INDEX(helper!$A$3:$A3996,ROUNDUP((ROW()-1)/COUNTA(helper!$D$3:$D3996),0))</f>
        <v>45957</v>
      </c>
      <c r="C1437" s="5" t="str">
        <f t="array" ref="C1437">IF(B1437="","",INDEX(helper!$D$3:$D3996,MOD(ROW()-2,COUNTA(helper!$D$3:$D3996))+1))</f>
        <v>FMC</v>
      </c>
      <c r="D1437" s="3" t="str">
        <f t="array" ref="D1437">IF(B1437="","",INDEX(helper!$E$3:$E3996,MOD(ROW()-2,COUNTA(helper!$D$3:$D3996))+1))</f>
        <v>CS 010</v>
      </c>
      <c r="E1437" s="3">
        <f t="array" ref="E1437">IF(B1437="","",INDEX(helper!$F$3:$F3996,MOD(ROW()-2,COUNTA(helper!$D$3:$D3996))+1))</f>
        <v>9</v>
      </c>
      <c r="F1437" s="3">
        <f>IF(B1437="","",SUMIFS('inventory ledger'!$H:$H,'inventory ledger'!$C:$C,C1437,'inventory ledger'!$D:$D,D1437,'inventory ledger'!$E:$E,E1437,'inventory ledger'!$A:$A,"&lt;="&amp;B1437+TIME(23,59,59))-SUMIFS('inventory ledger'!$I:$I,'inventory ledger'!$C:$C,C1437,'inventory ledger'!$D:$D,D1437,'inventory ledger'!$E:$E,E1437,'inventory ledger'!$A:$A,"&lt;="&amp;B1437+TIME(23,59,59)))</f>
        <v>0</v>
      </c>
      <c r="G1437" s="3">
        <f>IFERROR(__xludf.DUMMYFUNCTION("IF(F1437&lt;=0,0,IFERROR(ROUNDUP(F1437/INDEX(FILTER('warehouse config'!$D:$D,('warehouse config'!$B:$B=C1437)*('warehouse config'!$C:$C=D1437)*('warehouse config'!$G:$G&lt;=B1437)*(('warehouse config'!$H:$H&gt;=B1437)+ISBLANK('warehouse config'!$H:$H))),1)),0))"),0.0)</f>
        <v>0</v>
      </c>
      <c r="H1437" s="3">
        <f>IFERROR(__xludf.DUMMYFUNCTION("IFERROR(INDEX(FILTER('cost master'!$E:$E,('cost master'!$B:$B=C1437)*('cost master'!$D:$D=""Storage cost per pallet / week"")*('cost master'!$G:$G&lt;=B1437)*(('cost master'!$H:$H&gt;=B1437)+ISBLANK('cost master'!$H:$H))),1),0)"),3.9)</f>
        <v>3.9</v>
      </c>
      <c r="I1437" s="3">
        <f t="shared" si="4"/>
        <v>0</v>
      </c>
      <c r="J1437" s="27">
        <f t="shared" si="5"/>
        <v>45946</v>
      </c>
      <c r="K1437" s="27">
        <f t="shared" si="6"/>
        <v>45976</v>
      </c>
    </row>
    <row r="1438" hidden="1">
      <c r="A1438" s="3" t="str">
        <f t="shared" si="3"/>
        <v>SL-20251027-FMC-CS-CDS-001-9</v>
      </c>
      <c r="B1438" s="2">
        <f t="array" ref="B1438">INDEX(helper!$A$3:$A3996,ROUNDUP((ROW()-1)/COUNTA(helper!$D$3:$D3996),0))</f>
        <v>45957</v>
      </c>
      <c r="C1438" s="5" t="str">
        <f t="array" ref="C1438">IF(B1438="","",INDEX(helper!$D$3:$D3996,MOD(ROW()-2,COUNTA(helper!$D$3:$D3996))+1))</f>
        <v>FMC</v>
      </c>
      <c r="D1438" s="3" t="str">
        <f t="array" ref="D1438">IF(B1438="","",INDEX(helper!$E$3:$E3996,MOD(ROW()-2,COUNTA(helper!$D$3:$D3996))+1))</f>
        <v>CS-CDS-001</v>
      </c>
      <c r="E1438" s="3">
        <f t="array" ref="E1438">IF(B1438="","",INDEX(helper!$F$3:$F3996,MOD(ROW()-2,COUNTA(helper!$D$3:$D3996))+1))</f>
        <v>9</v>
      </c>
      <c r="F1438" s="3">
        <f>IF(B1438="","",SUMIFS('inventory ledger'!$H:$H,'inventory ledger'!$C:$C,C1438,'inventory ledger'!$D:$D,D1438,'inventory ledger'!$E:$E,E1438,'inventory ledger'!$A:$A,"&lt;="&amp;B1438+TIME(23,59,59))-SUMIFS('inventory ledger'!$I:$I,'inventory ledger'!$C:$C,C1438,'inventory ledger'!$D:$D,D1438,'inventory ledger'!$E:$E,E1438,'inventory ledger'!$A:$A,"&lt;="&amp;B1438+TIME(23,59,59)))</f>
        <v>0</v>
      </c>
      <c r="G1438" s="3">
        <f>IFERROR(__xludf.DUMMYFUNCTION("IF(F1438&lt;=0,0,IFERROR(ROUNDUP(F1438/INDEX(FILTER('warehouse config'!$D:$D,('warehouse config'!$B:$B=C1438)*('warehouse config'!$C:$C=D1438)*('warehouse config'!$G:$G&lt;=B1438)*(('warehouse config'!$H:$H&gt;=B1438)+ISBLANK('warehouse config'!$H:$H))),1)),0))"),0.0)</f>
        <v>0</v>
      </c>
      <c r="H1438" s="3">
        <f>IFERROR(__xludf.DUMMYFUNCTION("IFERROR(INDEX(FILTER('cost master'!$E:$E,('cost master'!$B:$B=C1438)*('cost master'!$D:$D=""Storage cost per pallet / week"")*('cost master'!$G:$G&lt;=B1438)*(('cost master'!$H:$H&gt;=B1438)+ISBLANK('cost master'!$H:$H))),1),0)"),3.9)</f>
        <v>3.9</v>
      </c>
      <c r="I1438" s="3">
        <f t="shared" si="4"/>
        <v>0</v>
      </c>
      <c r="J1438" s="27">
        <f t="shared" si="5"/>
        <v>45946</v>
      </c>
      <c r="K1438" s="27">
        <f t="shared" si="6"/>
        <v>45976</v>
      </c>
    </row>
    <row r="1439" hidden="1">
      <c r="A1439" s="3" t="str">
        <f t="shared" si="3"/>
        <v>SL-20251027-FMC-CS-CDS-002-9</v>
      </c>
      <c r="B1439" s="2">
        <f t="array" ref="B1439">INDEX(helper!$A$3:$A3996,ROUNDUP((ROW()-1)/COUNTA(helper!$D$3:$D3996),0))</f>
        <v>45957</v>
      </c>
      <c r="C1439" s="5" t="str">
        <f t="array" ref="C1439">IF(B1439="","",INDEX(helper!$D$3:$D3996,MOD(ROW()-2,COUNTA(helper!$D$3:$D3996))+1))</f>
        <v>FMC</v>
      </c>
      <c r="D1439" s="3" t="str">
        <f t="array" ref="D1439">IF(B1439="","",INDEX(helper!$E$3:$E3996,MOD(ROW()-2,COUNTA(helper!$D$3:$D3996))+1))</f>
        <v>CS-CDS-002</v>
      </c>
      <c r="E1439" s="3">
        <f t="array" ref="E1439">IF(B1439="","",INDEX(helper!$F$3:$F3996,MOD(ROW()-2,COUNTA(helper!$D$3:$D3996))+1))</f>
        <v>9</v>
      </c>
      <c r="F1439" s="3">
        <f>IF(B1439="","",SUMIFS('inventory ledger'!$H:$H,'inventory ledger'!$C:$C,C1439,'inventory ledger'!$D:$D,D1439,'inventory ledger'!$E:$E,E1439,'inventory ledger'!$A:$A,"&lt;="&amp;B1439+TIME(23,59,59))-SUMIFS('inventory ledger'!$I:$I,'inventory ledger'!$C:$C,C1439,'inventory ledger'!$D:$D,D1439,'inventory ledger'!$E:$E,E1439,'inventory ledger'!$A:$A,"&lt;="&amp;B1439+TIME(23,59,59)))</f>
        <v>0</v>
      </c>
      <c r="G1439" s="3">
        <f>IFERROR(__xludf.DUMMYFUNCTION("IF(F1439&lt;=0,0,IFERROR(ROUNDUP(F1439/INDEX(FILTER('warehouse config'!$D:$D,('warehouse config'!$B:$B=C1439)*('warehouse config'!$C:$C=D1439)*('warehouse config'!$G:$G&lt;=B1439)*(('warehouse config'!$H:$H&gt;=B1439)+ISBLANK('warehouse config'!$H:$H))),1)),0))"),0.0)</f>
        <v>0</v>
      </c>
      <c r="H1439" s="3">
        <f>IFERROR(__xludf.DUMMYFUNCTION("IFERROR(INDEX(FILTER('cost master'!$E:$E,('cost master'!$B:$B=C1439)*('cost master'!$D:$D=""Storage cost per pallet / week"")*('cost master'!$G:$G&lt;=B1439)*(('cost master'!$H:$H&gt;=B1439)+ISBLANK('cost master'!$H:$H))),1),0)"),3.9)</f>
        <v>3.9</v>
      </c>
      <c r="I1439" s="3">
        <f t="shared" si="4"/>
        <v>0</v>
      </c>
      <c r="J1439" s="27">
        <f t="shared" si="5"/>
        <v>45946</v>
      </c>
      <c r="K1439" s="27">
        <f t="shared" si="6"/>
        <v>45976</v>
      </c>
    </row>
    <row r="1440" hidden="1">
      <c r="A1440" s="3" t="str">
        <f t="shared" si="3"/>
        <v>SL-20251027-FMC-CS 007-10</v>
      </c>
      <c r="B1440" s="2">
        <f t="array" ref="B1440">INDEX(helper!$A$3:$A3996,ROUNDUP((ROW()-1)/COUNTA(helper!$D$3:$D3996),0))</f>
        <v>45957</v>
      </c>
      <c r="C1440" s="5" t="str">
        <f t="array" ref="C1440">IF(B1440="","",INDEX(helper!$D$3:$D3996,MOD(ROW()-2,COUNTA(helper!$D$3:$D3996))+1))</f>
        <v>FMC</v>
      </c>
      <c r="D1440" s="3" t="str">
        <f t="array" ref="D1440">IF(B1440="","",INDEX(helper!$E$3:$E3996,MOD(ROW()-2,COUNTA(helper!$D$3:$D3996))+1))</f>
        <v>CS 007</v>
      </c>
      <c r="E1440" s="3">
        <f t="array" ref="E1440">IF(B1440="","",INDEX(helper!$F$3:$F3996,MOD(ROW()-2,COUNTA(helper!$D$3:$D3996))+1))</f>
        <v>10</v>
      </c>
      <c r="F1440" s="3">
        <f>IF(B1440="","",SUMIFS('inventory ledger'!$H:$H,'inventory ledger'!$C:$C,C1440,'inventory ledger'!$D:$D,D1440,'inventory ledger'!$E:$E,E1440,'inventory ledger'!$A:$A,"&lt;="&amp;B1440+TIME(23,59,59))-SUMIFS('inventory ledger'!$I:$I,'inventory ledger'!$C:$C,C1440,'inventory ledger'!$D:$D,D1440,'inventory ledger'!$E:$E,E1440,'inventory ledger'!$A:$A,"&lt;="&amp;B1440+TIME(23,59,59)))</f>
        <v>0</v>
      </c>
      <c r="G1440" s="3">
        <f>IFERROR(__xludf.DUMMYFUNCTION("IF(F1440&lt;=0,0,IFERROR(ROUNDUP(F1440/INDEX(FILTER('warehouse config'!$D:$D,('warehouse config'!$B:$B=C1440)*('warehouse config'!$C:$C=D1440)*('warehouse config'!$G:$G&lt;=B1440)*(('warehouse config'!$H:$H&gt;=B1440)+ISBLANK('warehouse config'!$H:$H))),1)),0))"),0.0)</f>
        <v>0</v>
      </c>
      <c r="H1440" s="3">
        <f>IFERROR(__xludf.DUMMYFUNCTION("IFERROR(INDEX(FILTER('cost master'!$E:$E,('cost master'!$B:$B=C1440)*('cost master'!$D:$D=""Storage cost per pallet / week"")*('cost master'!$G:$G&lt;=B1440)*(('cost master'!$H:$H&gt;=B1440)+ISBLANK('cost master'!$H:$H))),1),0)"),3.9)</f>
        <v>3.9</v>
      </c>
      <c r="I1440" s="3">
        <f t="shared" si="4"/>
        <v>0</v>
      </c>
      <c r="J1440" s="27">
        <f t="shared" si="5"/>
        <v>45946</v>
      </c>
      <c r="K1440" s="27">
        <f t="shared" si="6"/>
        <v>45976</v>
      </c>
    </row>
    <row r="1441" hidden="1">
      <c r="A1441" s="3" t="str">
        <f t="shared" si="3"/>
        <v>SL-20251027-FMC-CS 009-10</v>
      </c>
      <c r="B1441" s="2">
        <f t="array" ref="B1441">INDEX(helper!$A$3:$A3996,ROUNDUP((ROW()-1)/COUNTA(helper!$D$3:$D3996),0))</f>
        <v>45957</v>
      </c>
      <c r="C1441" s="5" t="str">
        <f t="array" ref="C1441">IF(B1441="","",INDEX(helper!$D$3:$D3996,MOD(ROW()-2,COUNTA(helper!$D$3:$D3996))+1))</f>
        <v>FMC</v>
      </c>
      <c r="D1441" s="3" t="str">
        <f t="array" ref="D1441">IF(B1441="","",INDEX(helper!$E$3:$E3996,MOD(ROW()-2,COUNTA(helper!$D$3:$D3996))+1))</f>
        <v>CS 009</v>
      </c>
      <c r="E1441" s="3">
        <f t="array" ref="E1441">IF(B1441="","",INDEX(helper!$F$3:$F3996,MOD(ROW()-2,COUNTA(helper!$D$3:$D3996))+1))</f>
        <v>10</v>
      </c>
      <c r="F1441" s="3">
        <f>IF(B1441="","",SUMIFS('inventory ledger'!$H:$H,'inventory ledger'!$C:$C,C1441,'inventory ledger'!$D:$D,D1441,'inventory ledger'!$E:$E,E1441,'inventory ledger'!$A:$A,"&lt;="&amp;B1441+TIME(23,59,59))-SUMIFS('inventory ledger'!$I:$I,'inventory ledger'!$C:$C,C1441,'inventory ledger'!$D:$D,D1441,'inventory ledger'!$E:$E,E1441,'inventory ledger'!$A:$A,"&lt;="&amp;B1441+TIME(23,59,59)))</f>
        <v>0</v>
      </c>
      <c r="G1441" s="3">
        <f>IFERROR(__xludf.DUMMYFUNCTION("IF(F1441&lt;=0,0,IFERROR(ROUNDUP(F1441/INDEX(FILTER('warehouse config'!$D:$D,('warehouse config'!$B:$B=C1441)*('warehouse config'!$C:$C=D1441)*('warehouse config'!$G:$G&lt;=B1441)*(('warehouse config'!$H:$H&gt;=B1441)+ISBLANK('warehouse config'!$H:$H))),1)),0))"),0.0)</f>
        <v>0</v>
      </c>
      <c r="H1441" s="3">
        <f>IFERROR(__xludf.DUMMYFUNCTION("IFERROR(INDEX(FILTER('cost master'!$E:$E,('cost master'!$B:$B=C1441)*('cost master'!$D:$D=""Storage cost per pallet / week"")*('cost master'!$G:$G&lt;=B1441)*(('cost master'!$H:$H&gt;=B1441)+ISBLANK('cost master'!$H:$H))),1),0)"),3.9)</f>
        <v>3.9</v>
      </c>
      <c r="I1441" s="3">
        <f t="shared" si="4"/>
        <v>0</v>
      </c>
      <c r="J1441" s="27">
        <f t="shared" si="5"/>
        <v>45946</v>
      </c>
      <c r="K1441" s="27">
        <f t="shared" si="6"/>
        <v>45976</v>
      </c>
    </row>
    <row r="1442" hidden="1">
      <c r="A1442" s="3" t="str">
        <f t="shared" si="3"/>
        <v>SL-20251027-FMC-CS 010-10</v>
      </c>
      <c r="B1442" s="2">
        <f t="array" ref="B1442">INDEX(helper!$A$3:$A3996,ROUNDUP((ROW()-1)/COUNTA(helper!$D$3:$D3996),0))</f>
        <v>45957</v>
      </c>
      <c r="C1442" s="5" t="str">
        <f t="array" ref="C1442">IF(B1442="","",INDEX(helper!$D$3:$D3996,MOD(ROW()-2,COUNTA(helper!$D$3:$D3996))+1))</f>
        <v>FMC</v>
      </c>
      <c r="D1442" s="3" t="str">
        <f t="array" ref="D1442">IF(B1442="","",INDEX(helper!$E$3:$E3996,MOD(ROW()-2,COUNTA(helper!$D$3:$D3996))+1))</f>
        <v>CS 010</v>
      </c>
      <c r="E1442" s="3">
        <f t="array" ref="E1442">IF(B1442="","",INDEX(helper!$F$3:$F3996,MOD(ROW()-2,COUNTA(helper!$D$3:$D3996))+1))</f>
        <v>10</v>
      </c>
      <c r="F1442" s="3">
        <f>IF(B1442="","",SUMIFS('inventory ledger'!$H:$H,'inventory ledger'!$C:$C,C1442,'inventory ledger'!$D:$D,D1442,'inventory ledger'!$E:$E,E1442,'inventory ledger'!$A:$A,"&lt;="&amp;B1442+TIME(23,59,59))-SUMIFS('inventory ledger'!$I:$I,'inventory ledger'!$C:$C,C1442,'inventory ledger'!$D:$D,D1442,'inventory ledger'!$E:$E,E1442,'inventory ledger'!$A:$A,"&lt;="&amp;B1442+TIME(23,59,59)))</f>
        <v>13</v>
      </c>
      <c r="G1442" s="3">
        <f>IFERROR(__xludf.DUMMYFUNCTION("IF(F1442&lt;=0,0,IFERROR(ROUNDUP(F1442/INDEX(FILTER('warehouse config'!$D:$D,('warehouse config'!$B:$B=C1442)*('warehouse config'!$C:$C=D1442)*('warehouse config'!$G:$G&lt;=B1442)*(('warehouse config'!$H:$H&gt;=B1442)+ISBLANK('warehouse config'!$H:$H))),1)),0))"),1.0)</f>
        <v>1</v>
      </c>
      <c r="H1442" s="3">
        <f>IFERROR(__xludf.DUMMYFUNCTION("IFERROR(INDEX(FILTER('cost master'!$E:$E,('cost master'!$B:$B=C1442)*('cost master'!$D:$D=""Storage cost per pallet / week"")*('cost master'!$G:$G&lt;=B1442)*(('cost master'!$H:$H&gt;=B1442)+ISBLANK('cost master'!$H:$H))),1),0)"),3.9)</f>
        <v>3.9</v>
      </c>
      <c r="I1442" s="3">
        <f t="shared" si="4"/>
        <v>3.9</v>
      </c>
      <c r="J1442" s="27">
        <f t="shared" si="5"/>
        <v>45946</v>
      </c>
      <c r="K1442" s="27">
        <f t="shared" si="6"/>
        <v>45976</v>
      </c>
    </row>
    <row r="1443" hidden="1">
      <c r="A1443" s="3" t="str">
        <f t="shared" si="3"/>
        <v>SL-20251027-FMC-CS-CDS-001-10</v>
      </c>
      <c r="B1443" s="2">
        <f t="array" ref="B1443">INDEX(helper!$A$3:$A3996,ROUNDUP((ROW()-1)/COUNTA(helper!$D$3:$D3996),0))</f>
        <v>45957</v>
      </c>
      <c r="C1443" s="5" t="str">
        <f t="array" ref="C1443">IF(B1443="","",INDEX(helper!$D$3:$D3996,MOD(ROW()-2,COUNTA(helper!$D$3:$D3996))+1))</f>
        <v>FMC</v>
      </c>
      <c r="D1443" s="3" t="str">
        <f t="array" ref="D1443">IF(B1443="","",INDEX(helper!$E$3:$E3996,MOD(ROW()-2,COUNTA(helper!$D$3:$D3996))+1))</f>
        <v>CS-CDS-001</v>
      </c>
      <c r="E1443" s="3">
        <f t="array" ref="E1443">IF(B1443="","",INDEX(helper!$F$3:$F3996,MOD(ROW()-2,COUNTA(helper!$D$3:$D3996))+1))</f>
        <v>10</v>
      </c>
      <c r="F1443" s="3">
        <f>IF(B1443="","",SUMIFS('inventory ledger'!$H:$H,'inventory ledger'!$C:$C,C1443,'inventory ledger'!$D:$D,D1443,'inventory ledger'!$E:$E,E1443,'inventory ledger'!$A:$A,"&lt;="&amp;B1443+TIME(23,59,59))-SUMIFS('inventory ledger'!$I:$I,'inventory ledger'!$C:$C,C1443,'inventory ledger'!$D:$D,D1443,'inventory ledger'!$E:$E,E1443,'inventory ledger'!$A:$A,"&lt;="&amp;B1443+TIME(23,59,59)))</f>
        <v>0</v>
      </c>
      <c r="G1443" s="3">
        <f>IFERROR(__xludf.DUMMYFUNCTION("IF(F1443&lt;=0,0,IFERROR(ROUNDUP(F1443/INDEX(FILTER('warehouse config'!$D:$D,('warehouse config'!$B:$B=C1443)*('warehouse config'!$C:$C=D1443)*('warehouse config'!$G:$G&lt;=B1443)*(('warehouse config'!$H:$H&gt;=B1443)+ISBLANK('warehouse config'!$H:$H))),1)),0))"),0.0)</f>
        <v>0</v>
      </c>
      <c r="H1443" s="3">
        <f>IFERROR(__xludf.DUMMYFUNCTION("IFERROR(INDEX(FILTER('cost master'!$E:$E,('cost master'!$B:$B=C1443)*('cost master'!$D:$D=""Storage cost per pallet / week"")*('cost master'!$G:$G&lt;=B1443)*(('cost master'!$H:$H&gt;=B1443)+ISBLANK('cost master'!$H:$H))),1),0)"),3.9)</f>
        <v>3.9</v>
      </c>
      <c r="I1443" s="3">
        <f t="shared" si="4"/>
        <v>0</v>
      </c>
      <c r="J1443" s="27">
        <f t="shared" si="5"/>
        <v>45946</v>
      </c>
      <c r="K1443" s="27">
        <f t="shared" si="6"/>
        <v>45976</v>
      </c>
    </row>
    <row r="1444">
      <c r="A1444" s="3" t="str">
        <f t="shared" si="3"/>
        <v>SL-20251027-FMC-CS 007-11</v>
      </c>
      <c r="B1444" s="2">
        <f t="array" ref="B1444">INDEX(helper!$A$3:$A3996,ROUNDUP((ROW()-1)/COUNTA(helper!$D$3:$D3996),0))</f>
        <v>45957</v>
      </c>
      <c r="C1444" s="5" t="str">
        <f t="array" ref="C1444">IF(B1444="","",INDEX(helper!$D$3:$D3996,MOD(ROW()-2,COUNTA(helper!$D$3:$D3996))+1))</f>
        <v>FMC</v>
      </c>
      <c r="D1444" s="3" t="str">
        <f t="array" ref="D1444">IF(B1444="","",INDEX(helper!$E$3:$E3996,MOD(ROW()-2,COUNTA(helper!$D$3:$D3996))+1))</f>
        <v>CS 007</v>
      </c>
      <c r="E1444" s="3">
        <f t="array" ref="E1444">IF(B1444="","",INDEX(helper!$F$3:$F3996,MOD(ROW()-2,COUNTA(helper!$D$3:$D3996))+1))</f>
        <v>11</v>
      </c>
      <c r="F1444" s="3">
        <f>IF(B1444="","",SUMIFS('inventory ledger'!$H:$H,'inventory ledger'!$C:$C,C1444,'inventory ledger'!$D:$D,D1444,'inventory ledger'!$E:$E,E1444,'inventory ledger'!$A:$A,"&lt;="&amp;B1444+TIME(23,59,59))-SUMIFS('inventory ledger'!$I:$I,'inventory ledger'!$C:$C,C1444,'inventory ledger'!$D:$D,D1444,'inventory ledger'!$E:$E,E1444,'inventory ledger'!$A:$A,"&lt;="&amp;B1444+TIME(23,59,59)))</f>
        <v>-1</v>
      </c>
      <c r="G1444" s="3">
        <f>IFERROR(__xludf.DUMMYFUNCTION("IF(F1444&lt;=0,0,IFERROR(ROUNDUP(F1444/INDEX(FILTER('warehouse config'!$D:$D,('warehouse config'!$B:$B=C1444)*('warehouse config'!$C:$C=D1444)*('warehouse config'!$G:$G&lt;=B1444)*(('warehouse config'!$H:$H&gt;=B1444)+ISBLANK('warehouse config'!$H:$H))),1)),0))"),0.0)</f>
        <v>0</v>
      </c>
      <c r="H1444" s="3">
        <f>IFERROR(__xludf.DUMMYFUNCTION("IFERROR(INDEX(FILTER('cost master'!$E:$E,('cost master'!$B:$B=C1444)*('cost master'!$D:$D=""Storage cost per pallet / week"")*('cost master'!$G:$G&lt;=B1444)*(('cost master'!$H:$H&gt;=B1444)+ISBLANK('cost master'!$H:$H))),1),0)"),3.9)</f>
        <v>3.9</v>
      </c>
      <c r="I1444" s="3">
        <f t="shared" si="4"/>
        <v>0</v>
      </c>
      <c r="J1444" s="27">
        <f t="shared" si="5"/>
        <v>45946</v>
      </c>
      <c r="K1444" s="27">
        <f t="shared" si="6"/>
        <v>45976</v>
      </c>
    </row>
    <row r="1445" hidden="1">
      <c r="A1445" s="3" t="str">
        <f t="shared" si="3"/>
        <v>SL-20251027-FMC-CS 009-11</v>
      </c>
      <c r="B1445" s="2">
        <f t="array" ref="B1445">INDEX(helper!$A$3:$A3996,ROUNDUP((ROW()-1)/COUNTA(helper!$D$3:$D3996),0))</f>
        <v>45957</v>
      </c>
      <c r="C1445" s="5" t="str">
        <f t="array" ref="C1445">IF(B1445="","",INDEX(helper!$D$3:$D3996,MOD(ROW()-2,COUNTA(helper!$D$3:$D3996))+1))</f>
        <v>FMC</v>
      </c>
      <c r="D1445" s="3" t="str">
        <f t="array" ref="D1445">IF(B1445="","",INDEX(helper!$E$3:$E3996,MOD(ROW()-2,COUNTA(helper!$D$3:$D3996))+1))</f>
        <v>CS 009</v>
      </c>
      <c r="E1445" s="3">
        <f t="array" ref="E1445">IF(B1445="","",INDEX(helper!$F$3:$F3996,MOD(ROW()-2,COUNTA(helper!$D$3:$D3996))+1))</f>
        <v>11</v>
      </c>
      <c r="F1445" s="3">
        <f>IF(B1445="","",SUMIFS('inventory ledger'!$H:$H,'inventory ledger'!$C:$C,C1445,'inventory ledger'!$D:$D,D1445,'inventory ledger'!$E:$E,E1445,'inventory ledger'!$A:$A,"&lt;="&amp;B1445+TIME(23,59,59))-SUMIFS('inventory ledger'!$I:$I,'inventory ledger'!$C:$C,C1445,'inventory ledger'!$D:$D,D1445,'inventory ledger'!$E:$E,E1445,'inventory ledger'!$A:$A,"&lt;="&amp;B1445+TIME(23,59,59)))</f>
        <v>0</v>
      </c>
      <c r="G1445" s="3">
        <f>IFERROR(__xludf.DUMMYFUNCTION("IF(F1445&lt;=0,0,IFERROR(ROUNDUP(F1445/INDEX(FILTER('warehouse config'!$D:$D,('warehouse config'!$B:$B=C1445)*('warehouse config'!$C:$C=D1445)*('warehouse config'!$G:$G&lt;=B1445)*(('warehouse config'!$H:$H&gt;=B1445)+ISBLANK('warehouse config'!$H:$H))),1)),0))"),0.0)</f>
        <v>0</v>
      </c>
      <c r="H1445" s="3">
        <f>IFERROR(__xludf.DUMMYFUNCTION("IFERROR(INDEX(FILTER('cost master'!$E:$E,('cost master'!$B:$B=C1445)*('cost master'!$D:$D=""Storage cost per pallet / week"")*('cost master'!$G:$G&lt;=B1445)*(('cost master'!$H:$H&gt;=B1445)+ISBLANK('cost master'!$H:$H))),1),0)"),3.9)</f>
        <v>3.9</v>
      </c>
      <c r="I1445" s="3">
        <f t="shared" si="4"/>
        <v>0</v>
      </c>
      <c r="J1445" s="27">
        <f t="shared" si="5"/>
        <v>45946</v>
      </c>
      <c r="K1445" s="27">
        <f t="shared" si="6"/>
        <v>45976</v>
      </c>
    </row>
    <row r="1446" hidden="1">
      <c r="A1446" s="3" t="str">
        <f t="shared" si="3"/>
        <v>SL-20251027-FMC-CS 010-11</v>
      </c>
      <c r="B1446" s="2">
        <f t="array" ref="B1446">INDEX(helper!$A$3:$A3996,ROUNDUP((ROW()-1)/COUNTA(helper!$D$3:$D3996),0))</f>
        <v>45957</v>
      </c>
      <c r="C1446" s="5" t="str">
        <f t="array" ref="C1446">IF(B1446="","",INDEX(helper!$D$3:$D3996,MOD(ROW()-2,COUNTA(helper!$D$3:$D3996))+1))</f>
        <v>FMC</v>
      </c>
      <c r="D1446" s="3" t="str">
        <f t="array" ref="D1446">IF(B1446="","",INDEX(helper!$E$3:$E3996,MOD(ROW()-2,COUNTA(helper!$D$3:$D3996))+1))</f>
        <v>CS 010</v>
      </c>
      <c r="E1446" s="3">
        <f t="array" ref="E1446">IF(B1446="","",INDEX(helper!$F$3:$F3996,MOD(ROW()-2,COUNTA(helper!$D$3:$D3996))+1))</f>
        <v>11</v>
      </c>
      <c r="F1446" s="3">
        <f>IF(B1446="","",SUMIFS('inventory ledger'!$H:$H,'inventory ledger'!$C:$C,C1446,'inventory ledger'!$D:$D,D1446,'inventory ledger'!$E:$E,E1446,'inventory ledger'!$A:$A,"&lt;="&amp;B1446+TIME(23,59,59))-SUMIFS('inventory ledger'!$I:$I,'inventory ledger'!$C:$C,C1446,'inventory ledger'!$D:$D,D1446,'inventory ledger'!$E:$E,E1446,'inventory ledger'!$A:$A,"&lt;="&amp;B1446+TIME(23,59,59)))</f>
        <v>6</v>
      </c>
      <c r="G1446" s="3">
        <f>IFERROR(__xludf.DUMMYFUNCTION("IF(F1446&lt;=0,0,IFERROR(ROUNDUP(F1446/INDEX(FILTER('warehouse config'!$D:$D,('warehouse config'!$B:$B=C1446)*('warehouse config'!$C:$C=D1446)*('warehouse config'!$G:$G&lt;=B1446)*(('warehouse config'!$H:$H&gt;=B1446)+ISBLANK('warehouse config'!$H:$H))),1)),0))"),1.0)</f>
        <v>1</v>
      </c>
      <c r="H1446" s="3">
        <f>IFERROR(__xludf.DUMMYFUNCTION("IFERROR(INDEX(FILTER('cost master'!$E:$E,('cost master'!$B:$B=C1446)*('cost master'!$D:$D=""Storage cost per pallet / week"")*('cost master'!$G:$G&lt;=B1446)*(('cost master'!$H:$H&gt;=B1446)+ISBLANK('cost master'!$H:$H))),1),0)"),3.9)</f>
        <v>3.9</v>
      </c>
      <c r="I1446" s="3">
        <f t="shared" si="4"/>
        <v>3.9</v>
      </c>
      <c r="J1446" s="27">
        <f t="shared" si="5"/>
        <v>45946</v>
      </c>
      <c r="K1446" s="27">
        <f t="shared" si="6"/>
        <v>45976</v>
      </c>
    </row>
    <row r="1447" hidden="1">
      <c r="A1447" s="3" t="str">
        <f t="shared" si="3"/>
        <v>SL-20251027-Vglobal-CS 007-12</v>
      </c>
      <c r="B1447" s="2">
        <f t="array" ref="B1447">INDEX(helper!$A$3:$A3996,ROUNDUP((ROW()-1)/COUNTA(helper!$D$3:$D3996),0))</f>
        <v>45957</v>
      </c>
      <c r="C1447" s="5" t="str">
        <f t="array" ref="C1447">IF(B1447="","",INDEX(helper!$D$3:$D3996,MOD(ROW()-2,COUNTA(helper!$D$3:$D3996))+1))</f>
        <v>Vglobal</v>
      </c>
      <c r="D1447" s="3" t="str">
        <f t="array" ref="D1447">IF(B1447="","",INDEX(helper!$E$3:$E3996,MOD(ROW()-2,COUNTA(helper!$D$3:$D3996))+1))</f>
        <v>CS 007</v>
      </c>
      <c r="E1447" s="3">
        <f t="array" ref="E1447">IF(B1447="","",INDEX(helper!$F$3:$F3996,MOD(ROW()-2,COUNTA(helper!$D$3:$D3996))+1))</f>
        <v>12</v>
      </c>
      <c r="F1447" s="3">
        <f>IF(B1447="","",SUMIFS('inventory ledger'!$H:$H,'inventory ledger'!$C:$C,C1447,'inventory ledger'!$D:$D,D1447,'inventory ledger'!$E:$E,E1447,'inventory ledger'!$A:$A,"&lt;="&amp;B1447+TIME(23,59,59))-SUMIFS('inventory ledger'!$I:$I,'inventory ledger'!$C:$C,C1447,'inventory ledger'!$D:$D,D1447,'inventory ledger'!$E:$E,E1447,'inventory ledger'!$A:$A,"&lt;="&amp;B1447+TIME(23,59,59)))</f>
        <v>0</v>
      </c>
      <c r="G1447" s="3">
        <f>IFERROR(__xludf.DUMMYFUNCTION("IF(F1447&lt;=0,0,IFERROR(ROUNDUP(F1447/INDEX(FILTER('warehouse config'!$D:$D,('warehouse config'!$B:$B=C1447)*('warehouse config'!$C:$C=D1447)*('warehouse config'!$G:$G&lt;=B1447)*(('warehouse config'!$H:$H&gt;=B1447)+ISBLANK('warehouse config'!$H:$H))),1)),0))"),0.0)</f>
        <v>0</v>
      </c>
      <c r="H1447" s="3">
        <f>IFERROR(__xludf.DUMMYFUNCTION("IFERROR(INDEX(FILTER('cost master'!$E:$E,('cost master'!$B:$B=C1447)*('cost master'!$D:$D=""Storage cost per pallet / week"")*('cost master'!$G:$G&lt;=B1447)*(('cost master'!$H:$H&gt;=B1447)+ISBLANK('cost master'!$H:$H))),1),0)"),2.6)</f>
        <v>2.6</v>
      </c>
      <c r="I1447" s="3">
        <f t="shared" si="4"/>
        <v>0</v>
      </c>
      <c r="J1447" s="27">
        <f t="shared" si="5"/>
        <v>45946</v>
      </c>
      <c r="K1447" s="27">
        <f t="shared" si="6"/>
        <v>45976</v>
      </c>
    </row>
    <row r="1448" hidden="1">
      <c r="A1448" s="3" t="str">
        <f t="shared" si="3"/>
        <v>SL-20251027-Vglobal-CS 011-12</v>
      </c>
      <c r="B1448" s="2">
        <f t="array" ref="B1448">INDEX(helper!$A$3:$A3996,ROUNDUP((ROW()-1)/COUNTA(helper!$D$3:$D3996),0))</f>
        <v>45957</v>
      </c>
      <c r="C1448" s="5" t="str">
        <f t="array" ref="C1448">IF(B1448="","",INDEX(helper!$D$3:$D3996,MOD(ROW()-2,COUNTA(helper!$D$3:$D3996))+1))</f>
        <v>Vglobal</v>
      </c>
      <c r="D1448" s="3" t="str">
        <f t="array" ref="D1448">IF(B1448="","",INDEX(helper!$E$3:$E3996,MOD(ROW()-2,COUNTA(helper!$D$3:$D3996))+1))</f>
        <v>CS 011</v>
      </c>
      <c r="E1448" s="3">
        <f t="array" ref="E1448">IF(B1448="","",INDEX(helper!$F$3:$F3996,MOD(ROW()-2,COUNTA(helper!$D$3:$D3996))+1))</f>
        <v>12</v>
      </c>
      <c r="F1448" s="3">
        <f>IF(B1448="","",SUMIFS('inventory ledger'!$H:$H,'inventory ledger'!$C:$C,C1448,'inventory ledger'!$D:$D,D1448,'inventory ledger'!$E:$E,E1448,'inventory ledger'!$A:$A,"&lt;="&amp;B1448+TIME(23,59,59))-SUMIFS('inventory ledger'!$I:$I,'inventory ledger'!$C:$C,C1448,'inventory ledger'!$D:$D,D1448,'inventory ledger'!$E:$E,E1448,'inventory ledger'!$A:$A,"&lt;="&amp;B1448+TIME(23,59,59)))</f>
        <v>0</v>
      </c>
      <c r="G1448" s="3">
        <f>IFERROR(__xludf.DUMMYFUNCTION("IF(F1448&lt;=0,0,IFERROR(ROUNDUP(F1448/INDEX(FILTER('warehouse config'!$D:$D,('warehouse config'!$B:$B=C1448)*('warehouse config'!$C:$C=D1448)*('warehouse config'!$G:$G&lt;=B1448)*(('warehouse config'!$H:$H&gt;=B1448)+ISBLANK('warehouse config'!$H:$H))),1)),0))"),0.0)</f>
        <v>0</v>
      </c>
      <c r="H1448" s="3">
        <f>IFERROR(__xludf.DUMMYFUNCTION("IFERROR(INDEX(FILTER('cost master'!$E:$E,('cost master'!$B:$B=C1448)*('cost master'!$D:$D=""Storage cost per pallet / week"")*('cost master'!$G:$G&lt;=B1448)*(('cost master'!$H:$H&gt;=B1448)+ISBLANK('cost master'!$H:$H))),1),0)"),2.6)</f>
        <v>2.6</v>
      </c>
      <c r="I1448" s="3">
        <f t="shared" si="4"/>
        <v>0</v>
      </c>
      <c r="J1448" s="27">
        <f t="shared" si="5"/>
        <v>45946</v>
      </c>
      <c r="K1448" s="27">
        <f t="shared" si="6"/>
        <v>45976</v>
      </c>
    </row>
    <row r="1449" hidden="1">
      <c r="A1449" s="3" t="str">
        <f t="shared" si="3"/>
        <v>SL-20251027-Vglobal-CS 008-12</v>
      </c>
      <c r="B1449" s="2">
        <f t="array" ref="B1449">INDEX(helper!$A$3:$A3996,ROUNDUP((ROW()-1)/COUNTA(helper!$D$3:$D3996),0))</f>
        <v>45957</v>
      </c>
      <c r="C1449" s="5" t="str">
        <f t="array" ref="C1449">IF(B1449="","",INDEX(helper!$D$3:$D3996,MOD(ROW()-2,COUNTA(helper!$D$3:$D3996))+1))</f>
        <v>Vglobal</v>
      </c>
      <c r="D1449" s="3" t="str">
        <f t="array" ref="D1449">IF(B1449="","",INDEX(helper!$E$3:$E3996,MOD(ROW()-2,COUNTA(helper!$D$3:$D3996))+1))</f>
        <v>CS 008</v>
      </c>
      <c r="E1449" s="3">
        <f t="array" ref="E1449">IF(B1449="","",INDEX(helper!$F$3:$F3996,MOD(ROW()-2,COUNTA(helper!$D$3:$D3996))+1))</f>
        <v>12</v>
      </c>
      <c r="F1449" s="3">
        <f>IF(B1449="","",SUMIFS('inventory ledger'!$H:$H,'inventory ledger'!$C:$C,C1449,'inventory ledger'!$D:$D,D1449,'inventory ledger'!$E:$E,E1449,'inventory ledger'!$A:$A,"&lt;="&amp;B1449+TIME(23,59,59))-SUMIFS('inventory ledger'!$I:$I,'inventory ledger'!$C:$C,C1449,'inventory ledger'!$D:$D,D1449,'inventory ledger'!$E:$E,E1449,'inventory ledger'!$A:$A,"&lt;="&amp;B1449+TIME(23,59,59)))</f>
        <v>0</v>
      </c>
      <c r="G1449" s="3">
        <f>IFERROR(__xludf.DUMMYFUNCTION("IF(F1449&lt;=0,0,IFERROR(ROUNDUP(F1449/INDEX(FILTER('warehouse config'!$D:$D,('warehouse config'!$B:$B=C1449)*('warehouse config'!$C:$C=D1449)*('warehouse config'!$G:$G&lt;=B1449)*(('warehouse config'!$H:$H&gt;=B1449)+ISBLANK('warehouse config'!$H:$H))),1)),0))"),0.0)</f>
        <v>0</v>
      </c>
      <c r="H1449" s="3">
        <f>IFERROR(__xludf.DUMMYFUNCTION("IFERROR(INDEX(FILTER('cost master'!$E:$E,('cost master'!$B:$B=C1449)*('cost master'!$D:$D=""Storage cost per pallet / week"")*('cost master'!$G:$G&lt;=B1449)*(('cost master'!$H:$H&gt;=B1449)+ISBLANK('cost master'!$H:$H))),1),0)"),2.6)</f>
        <v>2.6</v>
      </c>
      <c r="I1449" s="3">
        <f t="shared" si="4"/>
        <v>0</v>
      </c>
      <c r="J1449" s="27">
        <f t="shared" si="5"/>
        <v>45946</v>
      </c>
      <c r="K1449" s="27">
        <f t="shared" si="6"/>
        <v>45976</v>
      </c>
    </row>
    <row r="1450" hidden="1">
      <c r="A1450" s="3" t="str">
        <f t="shared" si="3"/>
        <v>SL-20251027-Vglobal-CS 010-12</v>
      </c>
      <c r="B1450" s="2">
        <f t="array" ref="B1450">INDEX(helper!$A$3:$A3996,ROUNDUP((ROW()-1)/COUNTA(helper!$D$3:$D3996),0))</f>
        <v>45957</v>
      </c>
      <c r="C1450" s="5" t="str">
        <f t="array" ref="C1450">IF(B1450="","",INDEX(helper!$D$3:$D3996,MOD(ROW()-2,COUNTA(helper!$D$3:$D3996))+1))</f>
        <v>Vglobal</v>
      </c>
      <c r="D1450" s="3" t="str">
        <f t="array" ref="D1450">IF(B1450="","",INDEX(helper!$E$3:$E3996,MOD(ROW()-2,COUNTA(helper!$D$3:$D3996))+1))</f>
        <v>CS 010</v>
      </c>
      <c r="E1450" s="3">
        <f t="array" ref="E1450">IF(B1450="","",INDEX(helper!$F$3:$F3996,MOD(ROW()-2,COUNTA(helper!$D$3:$D3996))+1))</f>
        <v>12</v>
      </c>
      <c r="F1450" s="3">
        <f>IF(B1450="","",SUMIFS('inventory ledger'!$H:$H,'inventory ledger'!$C:$C,C1450,'inventory ledger'!$D:$D,D1450,'inventory ledger'!$E:$E,E1450,'inventory ledger'!$A:$A,"&lt;="&amp;B1450+TIME(23,59,59))-SUMIFS('inventory ledger'!$I:$I,'inventory ledger'!$C:$C,C1450,'inventory ledger'!$D:$D,D1450,'inventory ledger'!$E:$E,E1450,'inventory ledger'!$A:$A,"&lt;="&amp;B1450+TIME(23,59,59)))</f>
        <v>70</v>
      </c>
      <c r="G1450" s="3">
        <f>IFERROR(__xludf.DUMMYFUNCTION("IF(F1450&lt;=0,0,IFERROR(ROUNDUP(F1450/INDEX(FILTER('warehouse config'!$D:$D,('warehouse config'!$B:$B=C1450)*('warehouse config'!$C:$C=D1450)*('warehouse config'!$G:$G&lt;=B1450)*(('warehouse config'!$H:$H&gt;=B1450)+ISBLANK('warehouse config'!$H:$H))),1)),0))"),3.0)</f>
        <v>3</v>
      </c>
      <c r="H1450" s="3">
        <f>IFERROR(__xludf.DUMMYFUNCTION("IFERROR(INDEX(FILTER('cost master'!$E:$E,('cost master'!$B:$B=C1450)*('cost master'!$D:$D=""Storage cost per pallet / week"")*('cost master'!$G:$G&lt;=B1450)*(('cost master'!$H:$H&gt;=B1450)+ISBLANK('cost master'!$H:$H))),1),0)"),2.6)</f>
        <v>2.6</v>
      </c>
      <c r="I1450" s="3">
        <f t="shared" si="4"/>
        <v>7.8</v>
      </c>
      <c r="J1450" s="27">
        <f t="shared" si="5"/>
        <v>45946</v>
      </c>
      <c r="K1450" s="27">
        <f t="shared" si="6"/>
        <v>45976</v>
      </c>
    </row>
    <row r="1451" hidden="1">
      <c r="A1451" s="3" t="str">
        <f t="shared" si="3"/>
        <v>SL-20251027-Vglobal-CS 009-12</v>
      </c>
      <c r="B1451" s="2">
        <f t="array" ref="B1451">INDEX(helper!$A$3:$A3996,ROUNDUP((ROW()-1)/COUNTA(helper!$D$3:$D3996),0))</f>
        <v>45957</v>
      </c>
      <c r="C1451" s="5" t="str">
        <f t="array" ref="C1451">IF(B1451="","",INDEX(helper!$D$3:$D3996,MOD(ROW()-2,COUNTA(helper!$D$3:$D3996))+1))</f>
        <v>Vglobal</v>
      </c>
      <c r="D1451" s="3" t="str">
        <f t="array" ref="D1451">IF(B1451="","",INDEX(helper!$E$3:$E3996,MOD(ROW()-2,COUNTA(helper!$D$3:$D3996))+1))</f>
        <v>CS 009</v>
      </c>
      <c r="E1451" s="3">
        <f t="array" ref="E1451">IF(B1451="","",INDEX(helper!$F$3:$F3996,MOD(ROW()-2,COUNTA(helper!$D$3:$D3996))+1))</f>
        <v>12</v>
      </c>
      <c r="F1451" s="3">
        <f>IF(B1451="","",SUMIFS('inventory ledger'!$H:$H,'inventory ledger'!$C:$C,C1451,'inventory ledger'!$D:$D,D1451,'inventory ledger'!$E:$E,E1451,'inventory ledger'!$A:$A,"&lt;="&amp;B1451+TIME(23,59,59))-SUMIFS('inventory ledger'!$I:$I,'inventory ledger'!$C:$C,C1451,'inventory ledger'!$D:$D,D1451,'inventory ledger'!$E:$E,E1451,'inventory ledger'!$A:$A,"&lt;="&amp;B1451+TIME(23,59,59)))</f>
        <v>0</v>
      </c>
      <c r="G1451" s="3">
        <f>IFERROR(__xludf.DUMMYFUNCTION("IF(F1451&lt;=0,0,IFERROR(ROUNDUP(F1451/INDEX(FILTER('warehouse config'!$D:$D,('warehouse config'!$B:$B=C1451)*('warehouse config'!$C:$C=D1451)*('warehouse config'!$G:$G&lt;=B1451)*(('warehouse config'!$H:$H&gt;=B1451)+ISBLANK('warehouse config'!$H:$H))),1)),0))"),0.0)</f>
        <v>0</v>
      </c>
      <c r="H1451" s="3">
        <f>IFERROR(__xludf.DUMMYFUNCTION("IFERROR(INDEX(FILTER('cost master'!$E:$E,('cost master'!$B:$B=C1451)*('cost master'!$D:$D=""Storage cost per pallet / week"")*('cost master'!$G:$G&lt;=B1451)*(('cost master'!$H:$H&gt;=B1451)+ISBLANK('cost master'!$H:$H))),1),0)"),2.6)</f>
        <v>2.6</v>
      </c>
      <c r="I1451" s="3">
        <f t="shared" si="4"/>
        <v>0</v>
      </c>
      <c r="J1451" s="27">
        <f t="shared" si="5"/>
        <v>45946</v>
      </c>
      <c r="K1451" s="27">
        <f t="shared" si="6"/>
        <v>45976</v>
      </c>
    </row>
    <row r="1452" hidden="1">
      <c r="A1452" s="3" t="str">
        <f t="shared" si="3"/>
        <v>SL-20251027-Vglobal-CS 012-12</v>
      </c>
      <c r="B1452" s="2">
        <f t="array" ref="B1452">INDEX(helper!$A$3:$A3996,ROUNDUP((ROW()-1)/COUNTA(helper!$D$3:$D3996),0))</f>
        <v>45957</v>
      </c>
      <c r="C1452" s="5" t="str">
        <f t="array" ref="C1452">IF(B1452="","",INDEX(helper!$D$3:$D3996,MOD(ROW()-2,COUNTA(helper!$D$3:$D3996))+1))</f>
        <v>Vglobal</v>
      </c>
      <c r="D1452" s="3" t="str">
        <f t="array" ref="D1452">IF(B1452="","",INDEX(helper!$E$3:$E3996,MOD(ROW()-2,COUNTA(helper!$D$3:$D3996))+1))</f>
        <v>CS 012</v>
      </c>
      <c r="E1452" s="3">
        <f t="array" ref="E1452">IF(B1452="","",INDEX(helper!$F$3:$F3996,MOD(ROW()-2,COUNTA(helper!$D$3:$D3996))+1))</f>
        <v>12</v>
      </c>
      <c r="F1452" s="3">
        <f>IF(B1452="","",SUMIFS('inventory ledger'!$H:$H,'inventory ledger'!$C:$C,C1452,'inventory ledger'!$D:$D,D1452,'inventory ledger'!$E:$E,E1452,'inventory ledger'!$A:$A,"&lt;="&amp;B1452+TIME(23,59,59))-SUMIFS('inventory ledger'!$I:$I,'inventory ledger'!$C:$C,C1452,'inventory ledger'!$D:$D,D1452,'inventory ledger'!$E:$E,E1452,'inventory ledger'!$A:$A,"&lt;="&amp;B1452+TIME(23,59,59)))</f>
        <v>0</v>
      </c>
      <c r="G1452" s="3">
        <f>IFERROR(__xludf.DUMMYFUNCTION("IF(F1452&lt;=0,0,IFERROR(ROUNDUP(F1452/INDEX(FILTER('warehouse config'!$D:$D,('warehouse config'!$B:$B=C1452)*('warehouse config'!$C:$C=D1452)*('warehouse config'!$G:$G&lt;=B1452)*(('warehouse config'!$H:$H&gt;=B1452)+ISBLANK('warehouse config'!$H:$H))),1)),0))"),0.0)</f>
        <v>0</v>
      </c>
      <c r="H1452" s="3">
        <f>IFERROR(__xludf.DUMMYFUNCTION("IFERROR(INDEX(FILTER('cost master'!$E:$E,('cost master'!$B:$B=C1452)*('cost master'!$D:$D=""Storage cost per pallet / week"")*('cost master'!$G:$G&lt;=B1452)*(('cost master'!$H:$H&gt;=B1452)+ISBLANK('cost master'!$H:$H))),1),0)"),2.6)</f>
        <v>2.6</v>
      </c>
      <c r="I1452" s="3">
        <f t="shared" si="4"/>
        <v>0</v>
      </c>
      <c r="J1452" s="27">
        <f t="shared" si="5"/>
        <v>45946</v>
      </c>
      <c r="K1452" s="27">
        <f t="shared" si="6"/>
        <v>45976</v>
      </c>
    </row>
    <row r="1453" hidden="1">
      <c r="A1453" s="3" t="str">
        <f t="shared" si="3"/>
        <v>SL-20251027-Vglobal-CS-CDS-001-3</v>
      </c>
      <c r="B1453" s="2">
        <f t="array" ref="B1453">INDEX(helper!$A$3:$A3996,ROUNDUP((ROW()-1)/COUNTA(helper!$D$3:$D3996),0))</f>
        <v>45957</v>
      </c>
      <c r="C1453" s="5" t="str">
        <f t="array" ref="C1453">IF(B1453="","",INDEX(helper!$D$3:$D3996,MOD(ROW()-2,COUNTA(helper!$D$3:$D3996))+1))</f>
        <v>Vglobal</v>
      </c>
      <c r="D1453" s="3" t="str">
        <f t="array" ref="D1453">IF(B1453="","",INDEX(helper!$E$3:$E3996,MOD(ROW()-2,COUNTA(helper!$D$3:$D3996))+1))</f>
        <v>CS-CDS-001</v>
      </c>
      <c r="E1453" s="3">
        <f t="array" ref="E1453">IF(B1453="","",INDEX(helper!$F$3:$F3996,MOD(ROW()-2,COUNTA(helper!$D$3:$D3996))+1))</f>
        <v>3</v>
      </c>
      <c r="F1453" s="3">
        <f>IF(B1453="","",SUMIFS('inventory ledger'!$H:$H,'inventory ledger'!$C:$C,C1453,'inventory ledger'!$D:$D,D1453,'inventory ledger'!$E:$E,E1453,'inventory ledger'!$A:$A,"&lt;="&amp;B1453+TIME(23,59,59))-SUMIFS('inventory ledger'!$I:$I,'inventory ledger'!$C:$C,C1453,'inventory ledger'!$D:$D,D1453,'inventory ledger'!$E:$E,E1453,'inventory ledger'!$A:$A,"&lt;="&amp;B1453+TIME(23,59,59)))</f>
        <v>1</v>
      </c>
      <c r="G1453" s="3">
        <f>IFERROR(__xludf.DUMMYFUNCTION("IF(F1453&lt;=0,0,IFERROR(ROUNDUP(F1453/INDEX(FILTER('warehouse config'!$D:$D,('warehouse config'!$B:$B=C1453)*('warehouse config'!$C:$C=D1453)*('warehouse config'!$G:$G&lt;=B1453)*(('warehouse config'!$H:$H&gt;=B1453)+ISBLANK('warehouse config'!$H:$H))),1)),0))"),1.0)</f>
        <v>1</v>
      </c>
      <c r="H1453" s="3">
        <f>IFERROR(__xludf.DUMMYFUNCTION("IFERROR(INDEX(FILTER('cost master'!$E:$E,('cost master'!$B:$B=C1453)*('cost master'!$D:$D=""Storage cost per pallet / week"")*('cost master'!$G:$G&lt;=B1453)*(('cost master'!$H:$H&gt;=B1453)+ISBLANK('cost master'!$H:$H))),1),0)"),2.6)</f>
        <v>2.6</v>
      </c>
      <c r="I1453" s="3">
        <f t="shared" si="4"/>
        <v>2.6</v>
      </c>
      <c r="J1453" s="27">
        <f t="shared" si="5"/>
        <v>45946</v>
      </c>
      <c r="K1453" s="27">
        <f t="shared" si="6"/>
        <v>45976</v>
      </c>
    </row>
    <row r="1454" hidden="1">
      <c r="A1454" s="3" t="str">
        <f t="shared" si="3"/>
        <v>SL-20251027-Vglobal-CS-CDS-002-3</v>
      </c>
      <c r="B1454" s="2">
        <f t="array" ref="B1454">INDEX(helper!$A$3:$A3996,ROUNDUP((ROW()-1)/COUNTA(helper!$D$3:$D3996),0))</f>
        <v>45957</v>
      </c>
      <c r="C1454" s="5" t="str">
        <f t="array" ref="C1454">IF(B1454="","",INDEX(helper!$D$3:$D3996,MOD(ROW()-2,COUNTA(helper!$D$3:$D3996))+1))</f>
        <v>Vglobal</v>
      </c>
      <c r="D1454" s="3" t="str">
        <f t="array" ref="D1454">IF(B1454="","",INDEX(helper!$E$3:$E3996,MOD(ROW()-2,COUNTA(helper!$D$3:$D3996))+1))</f>
        <v>CS-CDS-002</v>
      </c>
      <c r="E1454" s="3">
        <f t="array" ref="E1454">IF(B1454="","",INDEX(helper!$F$3:$F3996,MOD(ROW()-2,COUNTA(helper!$D$3:$D3996))+1))</f>
        <v>3</v>
      </c>
      <c r="F1454" s="3">
        <f>IF(B1454="","",SUMIFS('inventory ledger'!$H:$H,'inventory ledger'!$C:$C,C1454,'inventory ledger'!$D:$D,D1454,'inventory ledger'!$E:$E,E1454,'inventory ledger'!$A:$A,"&lt;="&amp;B1454+TIME(23,59,59))-SUMIFS('inventory ledger'!$I:$I,'inventory ledger'!$C:$C,C1454,'inventory ledger'!$D:$D,D1454,'inventory ledger'!$E:$E,E1454,'inventory ledger'!$A:$A,"&lt;="&amp;B1454+TIME(23,59,59)))</f>
        <v>0</v>
      </c>
      <c r="G1454" s="3">
        <f>IFERROR(__xludf.DUMMYFUNCTION("IF(F1454&lt;=0,0,IFERROR(ROUNDUP(F1454/INDEX(FILTER('warehouse config'!$D:$D,('warehouse config'!$B:$B=C1454)*('warehouse config'!$C:$C=D1454)*('warehouse config'!$G:$G&lt;=B1454)*(('warehouse config'!$H:$H&gt;=B1454)+ISBLANK('warehouse config'!$H:$H))),1)),0))"),0.0)</f>
        <v>0</v>
      </c>
      <c r="H1454" s="3">
        <f>IFERROR(__xludf.DUMMYFUNCTION("IFERROR(INDEX(FILTER('cost master'!$E:$E,('cost master'!$B:$B=C1454)*('cost master'!$D:$D=""Storage cost per pallet / week"")*('cost master'!$G:$G&lt;=B1454)*(('cost master'!$H:$H&gt;=B1454)+ISBLANK('cost master'!$H:$H))),1),0)"),2.6)</f>
        <v>2.6</v>
      </c>
      <c r="I1454" s="3">
        <f t="shared" si="4"/>
        <v>0</v>
      </c>
      <c r="J1454" s="27">
        <f t="shared" si="5"/>
        <v>45946</v>
      </c>
      <c r="K1454" s="27">
        <f t="shared" si="6"/>
        <v>45976</v>
      </c>
    </row>
    <row r="1455" hidden="1">
      <c r="A1455" s="3" t="str">
        <f t="shared" si="3"/>
        <v>SL-20251027-4as-CS-CDS-001-4</v>
      </c>
      <c r="B1455" s="2">
        <f t="array" ref="B1455">INDEX(helper!$A$3:$A3996,ROUNDUP((ROW()-1)/COUNTA(helper!$D$3:$D3996),0))</f>
        <v>45957</v>
      </c>
      <c r="C1455" s="5" t="str">
        <f t="array" ref="C1455">IF(B1455="","",INDEX(helper!$D$3:$D3996,MOD(ROW()-2,COUNTA(helper!$D$3:$D3996))+1))</f>
        <v>4as</v>
      </c>
      <c r="D1455" s="3" t="str">
        <f t="array" ref="D1455">IF(B1455="","",INDEX(helper!$E$3:$E3996,MOD(ROW()-2,COUNTA(helper!$D$3:$D3996))+1))</f>
        <v>CS-CDS-001</v>
      </c>
      <c r="E1455" s="3">
        <f t="array" ref="E1455">IF(B1455="","",INDEX(helper!$F$3:$F3996,MOD(ROW()-2,COUNTA(helper!$D$3:$D3996))+1))</f>
        <v>4</v>
      </c>
      <c r="F1455" s="3">
        <f>IF(B1455="","",SUMIFS('inventory ledger'!$H:$H,'inventory ledger'!$C:$C,C1455,'inventory ledger'!$D:$D,D1455,'inventory ledger'!$E:$E,E1455,'inventory ledger'!$A:$A,"&lt;="&amp;B1455+TIME(23,59,59))-SUMIFS('inventory ledger'!$I:$I,'inventory ledger'!$C:$C,C1455,'inventory ledger'!$D:$D,D1455,'inventory ledger'!$E:$E,E1455,'inventory ledger'!$A:$A,"&lt;="&amp;B1455+TIME(23,59,59)))</f>
        <v>0</v>
      </c>
      <c r="G1455" s="3">
        <f>IFERROR(__xludf.DUMMYFUNCTION("IF(F1455&lt;=0,0,IFERROR(ROUNDUP(F1455/INDEX(FILTER('warehouse config'!$D:$D,('warehouse config'!$B:$B=C1455)*('warehouse config'!$C:$C=D1455)*('warehouse config'!$G:$G&lt;=B1455)*(('warehouse config'!$H:$H&gt;=B1455)+ISBLANK('warehouse config'!$H:$H))),1)),0))"),0.0)</f>
        <v>0</v>
      </c>
      <c r="H1455" s="3">
        <f>IFERROR(__xludf.DUMMYFUNCTION("IFERROR(INDEX(FILTER('cost master'!$E:$E,('cost master'!$B:$B=C1455)*('cost master'!$D:$D=""Storage cost per pallet / week"")*('cost master'!$G:$G&lt;=B1455)*(('cost master'!$H:$H&gt;=B1455)+ISBLANK('cost master'!$H:$H))),1),0)"),9.0)</f>
        <v>9</v>
      </c>
      <c r="I1455" s="3">
        <f t="shared" si="4"/>
        <v>0</v>
      </c>
      <c r="J1455" s="27">
        <f t="shared" si="5"/>
        <v>45946</v>
      </c>
      <c r="K1455" s="27">
        <f t="shared" si="6"/>
        <v>45976</v>
      </c>
    </row>
    <row r="1456" hidden="1">
      <c r="A1456" s="3" t="str">
        <f t="shared" si="3"/>
        <v>SL-20251027-4as-CS-CDS-002-4</v>
      </c>
      <c r="B1456" s="2">
        <f t="array" ref="B1456">INDEX(helper!$A$3:$A3996,ROUNDUP((ROW()-1)/COUNTA(helper!$D$3:$D3996),0))</f>
        <v>45957</v>
      </c>
      <c r="C1456" s="5" t="str">
        <f t="array" ref="C1456">IF(B1456="","",INDEX(helper!$D$3:$D3996,MOD(ROW()-2,COUNTA(helper!$D$3:$D3996))+1))</f>
        <v>4as</v>
      </c>
      <c r="D1456" s="3" t="str">
        <f t="array" ref="D1456">IF(B1456="","",INDEX(helper!$E$3:$E3996,MOD(ROW()-2,COUNTA(helper!$D$3:$D3996))+1))</f>
        <v>CS-CDS-002</v>
      </c>
      <c r="E1456" s="3">
        <f t="array" ref="E1456">IF(B1456="","",INDEX(helper!$F$3:$F3996,MOD(ROW()-2,COUNTA(helper!$D$3:$D3996))+1))</f>
        <v>4</v>
      </c>
      <c r="F1456" s="3">
        <f>IF(B1456="","",SUMIFS('inventory ledger'!$H:$H,'inventory ledger'!$C:$C,C1456,'inventory ledger'!$D:$D,D1456,'inventory ledger'!$E:$E,E1456,'inventory ledger'!$A:$A,"&lt;="&amp;B1456+TIME(23,59,59))-SUMIFS('inventory ledger'!$I:$I,'inventory ledger'!$C:$C,C1456,'inventory ledger'!$D:$D,D1456,'inventory ledger'!$E:$E,E1456,'inventory ledger'!$A:$A,"&lt;="&amp;B1456+TIME(23,59,59)))</f>
        <v>0</v>
      </c>
      <c r="G1456" s="3">
        <f>IFERROR(__xludf.DUMMYFUNCTION("IF(F1456&lt;=0,0,IFERROR(ROUNDUP(F1456/INDEX(FILTER('warehouse config'!$D:$D,('warehouse config'!$B:$B=C1456)*('warehouse config'!$C:$C=D1456)*('warehouse config'!$G:$G&lt;=B1456)*(('warehouse config'!$H:$H&gt;=B1456)+ISBLANK('warehouse config'!$H:$H))),1)),0))"),0.0)</f>
        <v>0</v>
      </c>
      <c r="H1456" s="3">
        <f>IFERROR(__xludf.DUMMYFUNCTION("IFERROR(INDEX(FILTER('cost master'!$E:$E,('cost master'!$B:$B=C1456)*('cost master'!$D:$D=""Storage cost per pallet / week"")*('cost master'!$G:$G&lt;=B1456)*(('cost master'!$H:$H&gt;=B1456)+ISBLANK('cost master'!$H:$H))),1),0)"),9.0)</f>
        <v>9</v>
      </c>
      <c r="I1456" s="3">
        <f t="shared" si="4"/>
        <v>0</v>
      </c>
      <c r="J1456" s="27">
        <f t="shared" si="5"/>
        <v>45946</v>
      </c>
      <c r="K1456" s="27">
        <f t="shared" si="6"/>
        <v>45976</v>
      </c>
    </row>
    <row r="1457" hidden="1">
      <c r="A1457" s="3" t="str">
        <f t="shared" si="3"/>
        <v>SL-20251027-Vglobal-CS 007-13</v>
      </c>
      <c r="B1457" s="2">
        <f t="array" ref="B1457">INDEX(helper!$A$3:$A3996,ROUNDUP((ROW()-1)/COUNTA(helper!$D$3:$D3996),0))</f>
        <v>45957</v>
      </c>
      <c r="C1457" s="5" t="str">
        <f t="array" ref="C1457">IF(B1457="","",INDEX(helper!$D$3:$D3996,MOD(ROW()-2,COUNTA(helper!$D$3:$D3996))+1))</f>
        <v>Vglobal</v>
      </c>
      <c r="D1457" s="3" t="str">
        <f t="array" ref="D1457">IF(B1457="","",INDEX(helper!$E$3:$E3996,MOD(ROW()-2,COUNTA(helper!$D$3:$D3996))+1))</f>
        <v>CS 007</v>
      </c>
      <c r="E1457" s="3">
        <f t="array" ref="E1457">IF(B1457="","",INDEX(helper!$F$3:$F3996,MOD(ROW()-2,COUNTA(helper!$D$3:$D3996))+1))</f>
        <v>13</v>
      </c>
      <c r="F1457" s="3">
        <f>IF(B1457="","",SUMIFS('inventory ledger'!$H:$H,'inventory ledger'!$C:$C,C1457,'inventory ledger'!$D:$D,D1457,'inventory ledger'!$E:$E,E1457,'inventory ledger'!$A:$A,"&lt;="&amp;B1457+TIME(23,59,59))-SUMIFS('inventory ledger'!$I:$I,'inventory ledger'!$C:$C,C1457,'inventory ledger'!$D:$D,D1457,'inventory ledger'!$E:$E,E1457,'inventory ledger'!$A:$A,"&lt;="&amp;B1457+TIME(23,59,59)))</f>
        <v>45</v>
      </c>
      <c r="G1457" s="3">
        <f>IFERROR(__xludf.DUMMYFUNCTION("IF(F1457&lt;=0,0,IFERROR(ROUNDUP(F1457/INDEX(FILTER('warehouse config'!$D:$D,('warehouse config'!$B:$B=C1457)*('warehouse config'!$C:$C=D1457)*('warehouse config'!$G:$G&lt;=B1457)*(('warehouse config'!$H:$H&gt;=B1457)+ISBLANK('warehouse config'!$H:$H))),1)),0))"),3.0)</f>
        <v>3</v>
      </c>
      <c r="H1457" s="3">
        <f>IFERROR(__xludf.DUMMYFUNCTION("IFERROR(INDEX(FILTER('cost master'!$E:$E,('cost master'!$B:$B=C1457)*('cost master'!$D:$D=""Storage cost per pallet / week"")*('cost master'!$G:$G&lt;=B1457)*(('cost master'!$H:$H&gt;=B1457)+ISBLANK('cost master'!$H:$H))),1),0)"),2.6)</f>
        <v>2.6</v>
      </c>
      <c r="I1457" s="3">
        <f t="shared" si="4"/>
        <v>7.8</v>
      </c>
      <c r="J1457" s="27">
        <f t="shared" si="5"/>
        <v>45946</v>
      </c>
      <c r="K1457" s="27">
        <f t="shared" si="6"/>
        <v>45976</v>
      </c>
    </row>
    <row r="1458" hidden="1">
      <c r="A1458" s="3" t="str">
        <f t="shared" si="3"/>
        <v>SL-20251027-Vglobal-CS 011-13</v>
      </c>
      <c r="B1458" s="2">
        <f t="array" ref="B1458">INDEX(helper!$A$3:$A3996,ROUNDUP((ROW()-1)/COUNTA(helper!$D$3:$D3996),0))</f>
        <v>45957</v>
      </c>
      <c r="C1458" s="5" t="str">
        <f t="array" ref="C1458">IF(B1458="","",INDEX(helper!$D$3:$D3996,MOD(ROW()-2,COUNTA(helper!$D$3:$D3996))+1))</f>
        <v>Vglobal</v>
      </c>
      <c r="D1458" s="3" t="str">
        <f t="array" ref="D1458">IF(B1458="","",INDEX(helper!$E$3:$E3996,MOD(ROW()-2,COUNTA(helper!$D$3:$D3996))+1))</f>
        <v>CS 011</v>
      </c>
      <c r="E1458" s="3">
        <f t="array" ref="E1458">IF(B1458="","",INDEX(helper!$F$3:$F3996,MOD(ROW()-2,COUNTA(helper!$D$3:$D3996))+1))</f>
        <v>13</v>
      </c>
      <c r="F1458" s="3">
        <f>IF(B1458="","",SUMIFS('inventory ledger'!$H:$H,'inventory ledger'!$C:$C,C1458,'inventory ledger'!$D:$D,D1458,'inventory ledger'!$E:$E,E1458,'inventory ledger'!$A:$A,"&lt;="&amp;B1458+TIME(23,59,59))-SUMIFS('inventory ledger'!$I:$I,'inventory ledger'!$C:$C,C1458,'inventory ledger'!$D:$D,D1458,'inventory ledger'!$E:$E,E1458,'inventory ledger'!$A:$A,"&lt;="&amp;B1458+TIME(23,59,59)))</f>
        <v>0</v>
      </c>
      <c r="G1458" s="3">
        <f>IFERROR(__xludf.DUMMYFUNCTION("IF(F1458&lt;=0,0,IFERROR(ROUNDUP(F1458/INDEX(FILTER('warehouse config'!$D:$D,('warehouse config'!$B:$B=C1458)*('warehouse config'!$C:$C=D1458)*('warehouse config'!$G:$G&lt;=B1458)*(('warehouse config'!$H:$H&gt;=B1458)+ISBLANK('warehouse config'!$H:$H))),1)),0))"),0.0)</f>
        <v>0</v>
      </c>
      <c r="H1458" s="3">
        <f>IFERROR(__xludf.DUMMYFUNCTION("IFERROR(INDEX(FILTER('cost master'!$E:$E,('cost master'!$B:$B=C1458)*('cost master'!$D:$D=""Storage cost per pallet / week"")*('cost master'!$G:$G&lt;=B1458)*(('cost master'!$H:$H&gt;=B1458)+ISBLANK('cost master'!$H:$H))),1),0)"),2.6)</f>
        <v>2.6</v>
      </c>
      <c r="I1458" s="3">
        <f t="shared" si="4"/>
        <v>0</v>
      </c>
      <c r="J1458" s="27">
        <f t="shared" si="5"/>
        <v>45946</v>
      </c>
      <c r="K1458" s="27">
        <f t="shared" si="6"/>
        <v>45976</v>
      </c>
    </row>
    <row r="1459" hidden="1">
      <c r="A1459" s="3" t="str">
        <f t="shared" si="3"/>
        <v>SL-20251027-Vglobal-CS 008-13</v>
      </c>
      <c r="B1459" s="2">
        <f t="array" ref="B1459">INDEX(helper!$A$3:$A3996,ROUNDUP((ROW()-1)/COUNTA(helper!$D$3:$D3996),0))</f>
        <v>45957</v>
      </c>
      <c r="C1459" s="5" t="str">
        <f t="array" ref="C1459">IF(B1459="","",INDEX(helper!$D$3:$D3996,MOD(ROW()-2,COUNTA(helper!$D$3:$D3996))+1))</f>
        <v>Vglobal</v>
      </c>
      <c r="D1459" s="3" t="str">
        <f t="array" ref="D1459">IF(B1459="","",INDEX(helper!$E$3:$E3996,MOD(ROW()-2,COUNTA(helper!$D$3:$D3996))+1))</f>
        <v>CS 008</v>
      </c>
      <c r="E1459" s="3">
        <f t="array" ref="E1459">IF(B1459="","",INDEX(helper!$F$3:$F3996,MOD(ROW()-2,COUNTA(helper!$D$3:$D3996))+1))</f>
        <v>13</v>
      </c>
      <c r="F1459" s="3">
        <f>IF(B1459="","",SUMIFS('inventory ledger'!$H:$H,'inventory ledger'!$C:$C,C1459,'inventory ledger'!$D:$D,D1459,'inventory ledger'!$E:$E,E1459,'inventory ledger'!$A:$A,"&lt;="&amp;B1459+TIME(23,59,59))-SUMIFS('inventory ledger'!$I:$I,'inventory ledger'!$C:$C,C1459,'inventory ledger'!$D:$D,D1459,'inventory ledger'!$E:$E,E1459,'inventory ledger'!$A:$A,"&lt;="&amp;B1459+TIME(23,59,59)))</f>
        <v>20</v>
      </c>
      <c r="G1459" s="3">
        <f>IFERROR(__xludf.DUMMYFUNCTION("IF(F1459&lt;=0,0,IFERROR(ROUNDUP(F1459/INDEX(FILTER('warehouse config'!$D:$D,('warehouse config'!$B:$B=C1459)*('warehouse config'!$C:$C=D1459)*('warehouse config'!$G:$G&lt;=B1459)*(('warehouse config'!$H:$H&gt;=B1459)+ISBLANK('warehouse config'!$H:$H))),1)),0))"),1.0)</f>
        <v>1</v>
      </c>
      <c r="H1459" s="3">
        <f>IFERROR(__xludf.DUMMYFUNCTION("IFERROR(INDEX(FILTER('cost master'!$E:$E,('cost master'!$B:$B=C1459)*('cost master'!$D:$D=""Storage cost per pallet / week"")*('cost master'!$G:$G&lt;=B1459)*(('cost master'!$H:$H&gt;=B1459)+ISBLANK('cost master'!$H:$H))),1),0)"),2.6)</f>
        <v>2.6</v>
      </c>
      <c r="I1459" s="3">
        <f t="shared" si="4"/>
        <v>2.6</v>
      </c>
      <c r="J1459" s="27">
        <f t="shared" si="5"/>
        <v>45946</v>
      </c>
      <c r="K1459" s="27">
        <f t="shared" si="6"/>
        <v>45976</v>
      </c>
    </row>
    <row r="1460" hidden="1">
      <c r="A1460" s="3" t="str">
        <f t="shared" si="3"/>
        <v>SL-20251027-Vglobal-CS 010-13</v>
      </c>
      <c r="B1460" s="2">
        <f t="array" ref="B1460">INDEX(helper!$A$3:$A3996,ROUNDUP((ROW()-1)/COUNTA(helper!$D$3:$D3996),0))</f>
        <v>45957</v>
      </c>
      <c r="C1460" s="5" t="str">
        <f t="array" ref="C1460">IF(B1460="","",INDEX(helper!$D$3:$D3996,MOD(ROW()-2,COUNTA(helper!$D$3:$D3996))+1))</f>
        <v>Vglobal</v>
      </c>
      <c r="D1460" s="3" t="str">
        <f t="array" ref="D1460">IF(B1460="","",INDEX(helper!$E$3:$E3996,MOD(ROW()-2,COUNTA(helper!$D$3:$D3996))+1))</f>
        <v>CS 010</v>
      </c>
      <c r="E1460" s="3">
        <f t="array" ref="E1460">IF(B1460="","",INDEX(helper!$F$3:$F3996,MOD(ROW()-2,COUNTA(helper!$D$3:$D3996))+1))</f>
        <v>13</v>
      </c>
      <c r="F1460" s="3">
        <f>IF(B1460="","",SUMIFS('inventory ledger'!$H:$H,'inventory ledger'!$C:$C,C1460,'inventory ledger'!$D:$D,D1460,'inventory ledger'!$E:$E,E1460,'inventory ledger'!$A:$A,"&lt;="&amp;B1460+TIME(23,59,59))-SUMIFS('inventory ledger'!$I:$I,'inventory ledger'!$C:$C,C1460,'inventory ledger'!$D:$D,D1460,'inventory ledger'!$E:$E,E1460,'inventory ledger'!$A:$A,"&lt;="&amp;B1460+TIME(23,59,59)))</f>
        <v>80</v>
      </c>
      <c r="G1460" s="3">
        <f>IFERROR(__xludf.DUMMYFUNCTION("IF(F1460&lt;=0,0,IFERROR(ROUNDUP(F1460/INDEX(FILTER('warehouse config'!$D:$D,('warehouse config'!$B:$B=C1460)*('warehouse config'!$C:$C=D1460)*('warehouse config'!$G:$G&lt;=B1460)*(('warehouse config'!$H:$H&gt;=B1460)+ISBLANK('warehouse config'!$H:$H))),1)),0))"),4.0)</f>
        <v>4</v>
      </c>
      <c r="H1460" s="3">
        <f>IFERROR(__xludf.DUMMYFUNCTION("IFERROR(INDEX(FILTER('cost master'!$E:$E,('cost master'!$B:$B=C1460)*('cost master'!$D:$D=""Storage cost per pallet / week"")*('cost master'!$G:$G&lt;=B1460)*(('cost master'!$H:$H&gt;=B1460)+ISBLANK('cost master'!$H:$H))),1),0)"),2.6)</f>
        <v>2.6</v>
      </c>
      <c r="I1460" s="3">
        <f t="shared" si="4"/>
        <v>10.4</v>
      </c>
      <c r="J1460" s="27">
        <f t="shared" si="5"/>
        <v>45946</v>
      </c>
      <c r="K1460" s="27">
        <f t="shared" si="6"/>
        <v>45976</v>
      </c>
    </row>
    <row r="1461" hidden="1">
      <c r="A1461" s="3" t="str">
        <f t="shared" si="3"/>
        <v>SL-20251027-Vglobal-CS 009-13</v>
      </c>
      <c r="B1461" s="2">
        <f t="array" ref="B1461">INDEX(helper!$A$3:$A3996,ROUNDUP((ROW()-1)/COUNTA(helper!$D$3:$D3996),0))</f>
        <v>45957</v>
      </c>
      <c r="C1461" s="5" t="str">
        <f t="array" ref="C1461">IF(B1461="","",INDEX(helper!$D$3:$D3996,MOD(ROW()-2,COUNTA(helper!$D$3:$D3996))+1))</f>
        <v>Vglobal</v>
      </c>
      <c r="D1461" s="3" t="str">
        <f t="array" ref="D1461">IF(B1461="","",INDEX(helper!$E$3:$E3996,MOD(ROW()-2,COUNTA(helper!$D$3:$D3996))+1))</f>
        <v>CS 009</v>
      </c>
      <c r="E1461" s="3">
        <f t="array" ref="E1461">IF(B1461="","",INDEX(helper!$F$3:$F3996,MOD(ROW()-2,COUNTA(helper!$D$3:$D3996))+1))</f>
        <v>13</v>
      </c>
      <c r="F1461" s="3">
        <f>IF(B1461="","",SUMIFS('inventory ledger'!$H:$H,'inventory ledger'!$C:$C,C1461,'inventory ledger'!$D:$D,D1461,'inventory ledger'!$E:$E,E1461,'inventory ledger'!$A:$A,"&lt;="&amp;B1461+TIME(23,59,59))-SUMIFS('inventory ledger'!$I:$I,'inventory ledger'!$C:$C,C1461,'inventory ledger'!$D:$D,D1461,'inventory ledger'!$E:$E,E1461,'inventory ledger'!$A:$A,"&lt;="&amp;B1461+TIME(23,59,59)))</f>
        <v>0</v>
      </c>
      <c r="G1461" s="3">
        <f>IFERROR(__xludf.DUMMYFUNCTION("IF(F1461&lt;=0,0,IFERROR(ROUNDUP(F1461/INDEX(FILTER('warehouse config'!$D:$D,('warehouse config'!$B:$B=C1461)*('warehouse config'!$C:$C=D1461)*('warehouse config'!$G:$G&lt;=B1461)*(('warehouse config'!$H:$H&gt;=B1461)+ISBLANK('warehouse config'!$H:$H))),1)),0))"),0.0)</f>
        <v>0</v>
      </c>
      <c r="H1461" s="3">
        <f>IFERROR(__xludf.DUMMYFUNCTION("IFERROR(INDEX(FILTER('cost master'!$E:$E,('cost master'!$B:$B=C1461)*('cost master'!$D:$D=""Storage cost per pallet / week"")*('cost master'!$G:$G&lt;=B1461)*(('cost master'!$H:$H&gt;=B1461)+ISBLANK('cost master'!$H:$H))),1),0)"),2.6)</f>
        <v>2.6</v>
      </c>
      <c r="I1461" s="3">
        <f t="shared" si="4"/>
        <v>0</v>
      </c>
      <c r="J1461" s="27">
        <f t="shared" si="5"/>
        <v>45946</v>
      </c>
      <c r="K1461" s="27">
        <f t="shared" si="6"/>
        <v>45976</v>
      </c>
    </row>
    <row r="1462" hidden="1">
      <c r="A1462" s="3" t="str">
        <f t="shared" si="3"/>
        <v>SL-20251027-Vglobal-CS 012-13</v>
      </c>
      <c r="B1462" s="2">
        <f t="array" ref="B1462">INDEX(helper!$A$3:$A3996,ROUNDUP((ROW()-1)/COUNTA(helper!$D$3:$D3996),0))</f>
        <v>45957</v>
      </c>
      <c r="C1462" s="5" t="str">
        <f t="array" ref="C1462">IF(B1462="","",INDEX(helper!$D$3:$D3996,MOD(ROW()-2,COUNTA(helper!$D$3:$D3996))+1))</f>
        <v>Vglobal</v>
      </c>
      <c r="D1462" s="3" t="str">
        <f t="array" ref="D1462">IF(B1462="","",INDEX(helper!$E$3:$E3996,MOD(ROW()-2,COUNTA(helper!$D$3:$D3996))+1))</f>
        <v>CS 012</v>
      </c>
      <c r="E1462" s="3">
        <f t="array" ref="E1462">IF(B1462="","",INDEX(helper!$F$3:$F3996,MOD(ROW()-2,COUNTA(helper!$D$3:$D3996))+1))</f>
        <v>13</v>
      </c>
      <c r="F1462" s="3">
        <f>IF(B1462="","",SUMIFS('inventory ledger'!$H:$H,'inventory ledger'!$C:$C,C1462,'inventory ledger'!$D:$D,D1462,'inventory ledger'!$E:$E,E1462,'inventory ledger'!$A:$A,"&lt;="&amp;B1462+TIME(23,59,59))-SUMIFS('inventory ledger'!$I:$I,'inventory ledger'!$C:$C,C1462,'inventory ledger'!$D:$D,D1462,'inventory ledger'!$E:$E,E1462,'inventory ledger'!$A:$A,"&lt;="&amp;B1462+TIME(23,59,59)))</f>
        <v>0</v>
      </c>
      <c r="G1462" s="3">
        <f>IFERROR(__xludf.DUMMYFUNCTION("IF(F1462&lt;=0,0,IFERROR(ROUNDUP(F1462/INDEX(FILTER('warehouse config'!$D:$D,('warehouse config'!$B:$B=C1462)*('warehouse config'!$C:$C=D1462)*('warehouse config'!$G:$G&lt;=B1462)*(('warehouse config'!$H:$H&gt;=B1462)+ISBLANK('warehouse config'!$H:$H))),1)),0))"),0.0)</f>
        <v>0</v>
      </c>
      <c r="H1462" s="3">
        <f>IFERROR(__xludf.DUMMYFUNCTION("IFERROR(INDEX(FILTER('cost master'!$E:$E,('cost master'!$B:$B=C1462)*('cost master'!$D:$D=""Storage cost per pallet / week"")*('cost master'!$G:$G&lt;=B1462)*(('cost master'!$H:$H&gt;=B1462)+ISBLANK('cost master'!$H:$H))),1),0)"),2.6)</f>
        <v>2.6</v>
      </c>
      <c r="I1462" s="3">
        <f t="shared" si="4"/>
        <v>0</v>
      </c>
      <c r="J1462" s="27">
        <f t="shared" si="5"/>
        <v>45946</v>
      </c>
      <c r="K1462" s="27">
        <f t="shared" si="6"/>
        <v>45976</v>
      </c>
    </row>
    <row r="1463">
      <c r="A1463" s="3" t="str">
        <f t="shared" si="3"/>
        <v>SL-20251027-FMC-CS 008-11</v>
      </c>
      <c r="B1463" s="2">
        <f t="array" ref="B1463">INDEX(helper!$A$3:$A3996,ROUNDUP((ROW()-1)/COUNTA(helper!$D$3:$D3996),0))</f>
        <v>45957</v>
      </c>
      <c r="C1463" s="5" t="str">
        <f t="array" ref="C1463">IF(B1463="","",INDEX(helper!$D$3:$D3996,MOD(ROW()-2,COUNTA(helper!$D$3:$D3996))+1))</f>
        <v>FMC</v>
      </c>
      <c r="D1463" s="3" t="str">
        <f t="array" ref="D1463">IF(B1463="","",INDEX(helper!$E$3:$E3996,MOD(ROW()-2,COUNTA(helper!$D$3:$D3996))+1))</f>
        <v>CS 008</v>
      </c>
      <c r="E1463" s="3">
        <f t="array" ref="E1463">IF(B1463="","",INDEX(helper!$F$3:$F3996,MOD(ROW()-2,COUNTA(helper!$D$3:$D3996))+1))</f>
        <v>11</v>
      </c>
      <c r="F1463" s="3">
        <f>IF(B1463="","",SUMIFS('inventory ledger'!$H:$H,'inventory ledger'!$C:$C,C1463,'inventory ledger'!$D:$D,D1463,'inventory ledger'!$E:$E,E1463,'inventory ledger'!$A:$A,"&lt;="&amp;B1463+TIME(23,59,59))-SUMIFS('inventory ledger'!$I:$I,'inventory ledger'!$C:$C,C1463,'inventory ledger'!$D:$D,D1463,'inventory ledger'!$E:$E,E1463,'inventory ledger'!$A:$A,"&lt;="&amp;B1463+TIME(23,59,59)))</f>
        <v>-2</v>
      </c>
      <c r="G1463" s="3">
        <f>IFERROR(__xludf.DUMMYFUNCTION("IF(F1463&lt;=0,0,IFERROR(ROUNDUP(F1463/INDEX(FILTER('warehouse config'!$D:$D,('warehouse config'!$B:$B=C1463)*('warehouse config'!$C:$C=D1463)*('warehouse config'!$G:$G&lt;=B1463)*(('warehouse config'!$H:$H&gt;=B1463)+ISBLANK('warehouse config'!$H:$H))),1)),0))"),0.0)</f>
        <v>0</v>
      </c>
      <c r="H1463" s="3">
        <f>IFERROR(__xludf.DUMMYFUNCTION("IFERROR(INDEX(FILTER('cost master'!$E:$E,('cost master'!$B:$B=C1463)*('cost master'!$D:$D=""Storage cost per pallet / week"")*('cost master'!$G:$G&lt;=B1463)*(('cost master'!$H:$H&gt;=B1463)+ISBLANK('cost master'!$H:$H))),1),0)"),3.9)</f>
        <v>3.9</v>
      </c>
      <c r="I1463" s="3">
        <f t="shared" si="4"/>
        <v>0</v>
      </c>
      <c r="J1463" s="27">
        <f t="shared" si="5"/>
        <v>45946</v>
      </c>
      <c r="K1463" s="27">
        <f t="shared" si="6"/>
        <v>45976</v>
      </c>
    </row>
    <row r="1464" hidden="1">
      <c r="A1464" s="3" t="str">
        <f t="shared" si="3"/>
        <v>SL-20251103-FMC-CS 007-8</v>
      </c>
      <c r="B1464" s="2">
        <f t="array" ref="B1464">INDEX(helper!$A$3:$A3996,ROUNDUP((ROW()-1)/COUNTA(helper!$D$3:$D3996),0))</f>
        <v>45964</v>
      </c>
      <c r="C1464" s="5" t="str">
        <f t="array" ref="C1464">IF(B1464="","",INDEX(helper!$D$3:$D3996,MOD(ROW()-2,COUNTA(helper!$D$3:$D3996))+1))</f>
        <v>FMC</v>
      </c>
      <c r="D1464" s="3" t="str">
        <f t="array" ref="D1464">IF(B1464="","",INDEX(helper!$E$3:$E3996,MOD(ROW()-2,COUNTA(helper!$D$3:$D3996))+1))</f>
        <v>CS 007</v>
      </c>
      <c r="E1464" s="3">
        <f t="array" ref="E1464">IF(B1464="","",INDEX(helper!$F$3:$F3996,MOD(ROW()-2,COUNTA(helper!$D$3:$D3996))+1))</f>
        <v>8</v>
      </c>
      <c r="F1464" s="3">
        <f>IF(B1464="","",SUMIFS('inventory ledger'!$H:$H,'inventory ledger'!$C:$C,C1464,'inventory ledger'!$D:$D,D1464,'inventory ledger'!$E:$E,E1464,'inventory ledger'!$A:$A,"&lt;="&amp;B1464+TIME(23,59,59))-SUMIFS('inventory ledger'!$I:$I,'inventory ledger'!$C:$C,C1464,'inventory ledger'!$D:$D,D1464,'inventory ledger'!$E:$E,E1464,'inventory ledger'!$A:$A,"&lt;="&amp;B1464+TIME(23,59,59)))</f>
        <v>0</v>
      </c>
      <c r="G1464" s="3">
        <f>IFERROR(__xludf.DUMMYFUNCTION("IF(F1464&lt;=0,0,IFERROR(ROUNDUP(F1464/INDEX(FILTER('warehouse config'!$D:$D,('warehouse config'!$B:$B=C1464)*('warehouse config'!$C:$C=D1464)*('warehouse config'!$G:$G&lt;=B1464)*(('warehouse config'!$H:$H&gt;=B1464)+ISBLANK('warehouse config'!$H:$H))),1)),0))"),0.0)</f>
        <v>0</v>
      </c>
      <c r="H1464" s="3">
        <f>IFERROR(__xludf.DUMMYFUNCTION("IFERROR(INDEX(FILTER('cost master'!$E:$E,('cost master'!$B:$B=C1464)*('cost master'!$D:$D=""Storage cost per pallet / week"")*('cost master'!$G:$G&lt;=B1464)*(('cost master'!$H:$H&gt;=B1464)+ISBLANK('cost master'!$H:$H))),1),0)"),3.9)</f>
        <v>3.9</v>
      </c>
      <c r="I1464" s="3">
        <f t="shared" si="4"/>
        <v>0</v>
      </c>
      <c r="J1464" s="27">
        <f t="shared" si="5"/>
        <v>45946</v>
      </c>
      <c r="K1464" s="27">
        <f t="shared" si="6"/>
        <v>45976</v>
      </c>
    </row>
    <row r="1465" hidden="1">
      <c r="A1465" s="3" t="str">
        <f t="shared" si="3"/>
        <v>SL-20251103-FMC-CS 008-8</v>
      </c>
      <c r="B1465" s="2">
        <f t="array" ref="B1465">INDEX(helper!$A$3:$A3996,ROUNDUP((ROW()-1)/COUNTA(helper!$D$3:$D3996),0))</f>
        <v>45964</v>
      </c>
      <c r="C1465" s="5" t="str">
        <f t="array" ref="C1465">IF(B1465="","",INDEX(helper!$D$3:$D3996,MOD(ROW()-2,COUNTA(helper!$D$3:$D3996))+1))</f>
        <v>FMC</v>
      </c>
      <c r="D1465" s="3" t="str">
        <f t="array" ref="D1465">IF(B1465="","",INDEX(helper!$E$3:$E3996,MOD(ROW()-2,COUNTA(helper!$D$3:$D3996))+1))</f>
        <v>CS 008</v>
      </c>
      <c r="E1465" s="3">
        <f t="array" ref="E1465">IF(B1465="","",INDEX(helper!$F$3:$F3996,MOD(ROW()-2,COUNTA(helper!$D$3:$D3996))+1))</f>
        <v>8</v>
      </c>
      <c r="F1465" s="3">
        <f>IF(B1465="","",SUMIFS('inventory ledger'!$H:$H,'inventory ledger'!$C:$C,C1465,'inventory ledger'!$D:$D,D1465,'inventory ledger'!$E:$E,E1465,'inventory ledger'!$A:$A,"&lt;="&amp;B1465+TIME(23,59,59))-SUMIFS('inventory ledger'!$I:$I,'inventory ledger'!$C:$C,C1465,'inventory ledger'!$D:$D,D1465,'inventory ledger'!$E:$E,E1465,'inventory ledger'!$A:$A,"&lt;="&amp;B1465+TIME(23,59,59)))</f>
        <v>0</v>
      </c>
      <c r="G1465" s="3">
        <f>IFERROR(__xludf.DUMMYFUNCTION("IF(F1465&lt;=0,0,IFERROR(ROUNDUP(F1465/INDEX(FILTER('warehouse config'!$D:$D,('warehouse config'!$B:$B=C1465)*('warehouse config'!$C:$C=D1465)*('warehouse config'!$G:$G&lt;=B1465)*(('warehouse config'!$H:$H&gt;=B1465)+ISBLANK('warehouse config'!$H:$H))),1)),0))"),0.0)</f>
        <v>0</v>
      </c>
      <c r="H1465" s="3">
        <f>IFERROR(__xludf.DUMMYFUNCTION("IFERROR(INDEX(FILTER('cost master'!$E:$E,('cost master'!$B:$B=C1465)*('cost master'!$D:$D=""Storage cost per pallet / week"")*('cost master'!$G:$G&lt;=B1465)*(('cost master'!$H:$H&gt;=B1465)+ISBLANK('cost master'!$H:$H))),1),0)"),3.9)</f>
        <v>3.9</v>
      </c>
      <c r="I1465" s="3">
        <f t="shared" si="4"/>
        <v>0</v>
      </c>
      <c r="J1465" s="27">
        <f t="shared" si="5"/>
        <v>45946</v>
      </c>
      <c r="K1465" s="27">
        <f t="shared" si="6"/>
        <v>45976</v>
      </c>
    </row>
    <row r="1466" hidden="1">
      <c r="A1466" s="3" t="str">
        <f t="shared" si="3"/>
        <v>SL-20251103-FMC-CS 009-8</v>
      </c>
      <c r="B1466" s="2">
        <f t="array" ref="B1466">INDEX(helper!$A$3:$A3996,ROUNDUP((ROW()-1)/COUNTA(helper!$D$3:$D3996),0))</f>
        <v>45964</v>
      </c>
      <c r="C1466" s="5" t="str">
        <f t="array" ref="C1466">IF(B1466="","",INDEX(helper!$D$3:$D3996,MOD(ROW()-2,COUNTA(helper!$D$3:$D3996))+1))</f>
        <v>FMC</v>
      </c>
      <c r="D1466" s="3" t="str">
        <f t="array" ref="D1466">IF(B1466="","",INDEX(helper!$E$3:$E3996,MOD(ROW()-2,COUNTA(helper!$D$3:$D3996))+1))</f>
        <v>CS 009</v>
      </c>
      <c r="E1466" s="3">
        <f t="array" ref="E1466">IF(B1466="","",INDEX(helper!$F$3:$F3996,MOD(ROW()-2,COUNTA(helper!$D$3:$D3996))+1))</f>
        <v>8</v>
      </c>
      <c r="F1466" s="3">
        <f>IF(B1466="","",SUMIFS('inventory ledger'!$H:$H,'inventory ledger'!$C:$C,C1466,'inventory ledger'!$D:$D,D1466,'inventory ledger'!$E:$E,E1466,'inventory ledger'!$A:$A,"&lt;="&amp;B1466+TIME(23,59,59))-SUMIFS('inventory ledger'!$I:$I,'inventory ledger'!$C:$C,C1466,'inventory ledger'!$D:$D,D1466,'inventory ledger'!$E:$E,E1466,'inventory ledger'!$A:$A,"&lt;="&amp;B1466+TIME(23,59,59)))</f>
        <v>0</v>
      </c>
      <c r="G1466" s="3">
        <f>IFERROR(__xludf.DUMMYFUNCTION("IF(F1466&lt;=0,0,IFERROR(ROUNDUP(F1466/INDEX(FILTER('warehouse config'!$D:$D,('warehouse config'!$B:$B=C1466)*('warehouse config'!$C:$C=D1466)*('warehouse config'!$G:$G&lt;=B1466)*(('warehouse config'!$H:$H&gt;=B1466)+ISBLANK('warehouse config'!$H:$H))),1)),0))"),0.0)</f>
        <v>0</v>
      </c>
      <c r="H1466" s="3">
        <f>IFERROR(__xludf.DUMMYFUNCTION("IFERROR(INDEX(FILTER('cost master'!$E:$E,('cost master'!$B:$B=C1466)*('cost master'!$D:$D=""Storage cost per pallet / week"")*('cost master'!$G:$G&lt;=B1466)*(('cost master'!$H:$H&gt;=B1466)+ISBLANK('cost master'!$H:$H))),1),0)"),3.9)</f>
        <v>3.9</v>
      </c>
      <c r="I1466" s="3">
        <f t="shared" si="4"/>
        <v>0</v>
      </c>
      <c r="J1466" s="27">
        <f t="shared" si="5"/>
        <v>45946</v>
      </c>
      <c r="K1466" s="27">
        <f t="shared" si="6"/>
        <v>45976</v>
      </c>
    </row>
    <row r="1467" hidden="1">
      <c r="A1467" s="3" t="str">
        <f t="shared" si="3"/>
        <v>SL-20251103-FMC-CS 010-8</v>
      </c>
      <c r="B1467" s="2">
        <f t="array" ref="B1467">INDEX(helper!$A$3:$A3996,ROUNDUP((ROW()-1)/COUNTA(helper!$D$3:$D3996),0))</f>
        <v>45964</v>
      </c>
      <c r="C1467" s="5" t="str">
        <f t="array" ref="C1467">IF(B1467="","",INDEX(helper!$D$3:$D3996,MOD(ROW()-2,COUNTA(helper!$D$3:$D3996))+1))</f>
        <v>FMC</v>
      </c>
      <c r="D1467" s="3" t="str">
        <f t="array" ref="D1467">IF(B1467="","",INDEX(helper!$E$3:$E3996,MOD(ROW()-2,COUNTA(helper!$D$3:$D3996))+1))</f>
        <v>CS 010</v>
      </c>
      <c r="E1467" s="3">
        <f t="array" ref="E1467">IF(B1467="","",INDEX(helper!$F$3:$F3996,MOD(ROW()-2,COUNTA(helper!$D$3:$D3996))+1))</f>
        <v>8</v>
      </c>
      <c r="F1467" s="3">
        <f>IF(B1467="","",SUMIFS('inventory ledger'!$H:$H,'inventory ledger'!$C:$C,C1467,'inventory ledger'!$D:$D,D1467,'inventory ledger'!$E:$E,E1467,'inventory ledger'!$A:$A,"&lt;="&amp;B1467+TIME(23,59,59))-SUMIFS('inventory ledger'!$I:$I,'inventory ledger'!$C:$C,C1467,'inventory ledger'!$D:$D,D1467,'inventory ledger'!$E:$E,E1467,'inventory ledger'!$A:$A,"&lt;="&amp;B1467+TIME(23,59,59)))</f>
        <v>0</v>
      </c>
      <c r="G1467" s="3">
        <f>IFERROR(__xludf.DUMMYFUNCTION("IF(F1467&lt;=0,0,IFERROR(ROUNDUP(F1467/INDEX(FILTER('warehouse config'!$D:$D,('warehouse config'!$B:$B=C1467)*('warehouse config'!$C:$C=D1467)*('warehouse config'!$G:$G&lt;=B1467)*(('warehouse config'!$H:$H&gt;=B1467)+ISBLANK('warehouse config'!$H:$H))),1)),0))"),0.0)</f>
        <v>0</v>
      </c>
      <c r="H1467" s="3">
        <f>IFERROR(__xludf.DUMMYFUNCTION("IFERROR(INDEX(FILTER('cost master'!$E:$E,('cost master'!$B:$B=C1467)*('cost master'!$D:$D=""Storage cost per pallet / week"")*('cost master'!$G:$G&lt;=B1467)*(('cost master'!$H:$H&gt;=B1467)+ISBLANK('cost master'!$H:$H))),1),0)"),3.9)</f>
        <v>3.9</v>
      </c>
      <c r="I1467" s="3">
        <f t="shared" si="4"/>
        <v>0</v>
      </c>
      <c r="J1467" s="27">
        <f t="shared" si="5"/>
        <v>45946</v>
      </c>
      <c r="K1467" s="27">
        <f t="shared" si="6"/>
        <v>45976</v>
      </c>
    </row>
    <row r="1468" hidden="1">
      <c r="A1468" s="3" t="str">
        <f t="shared" si="3"/>
        <v>SL-20251103-FMC-CS 007-9</v>
      </c>
      <c r="B1468" s="2">
        <f t="array" ref="B1468">INDEX(helper!$A$3:$A3996,ROUNDUP((ROW()-1)/COUNTA(helper!$D$3:$D3996),0))</f>
        <v>45964</v>
      </c>
      <c r="C1468" s="5" t="str">
        <f t="array" ref="C1468">IF(B1468="","",INDEX(helper!$D$3:$D3996,MOD(ROW()-2,COUNTA(helper!$D$3:$D3996))+1))</f>
        <v>FMC</v>
      </c>
      <c r="D1468" s="3" t="str">
        <f t="array" ref="D1468">IF(B1468="","",INDEX(helper!$E$3:$E3996,MOD(ROW()-2,COUNTA(helper!$D$3:$D3996))+1))</f>
        <v>CS 007</v>
      </c>
      <c r="E1468" s="3">
        <f t="array" ref="E1468">IF(B1468="","",INDEX(helper!$F$3:$F3996,MOD(ROW()-2,COUNTA(helper!$D$3:$D3996))+1))</f>
        <v>9</v>
      </c>
      <c r="F1468" s="3">
        <f>IF(B1468="","",SUMIFS('inventory ledger'!$H:$H,'inventory ledger'!$C:$C,C1468,'inventory ledger'!$D:$D,D1468,'inventory ledger'!$E:$E,E1468,'inventory ledger'!$A:$A,"&lt;="&amp;B1468+TIME(23,59,59))-SUMIFS('inventory ledger'!$I:$I,'inventory ledger'!$C:$C,C1468,'inventory ledger'!$D:$D,D1468,'inventory ledger'!$E:$E,E1468,'inventory ledger'!$A:$A,"&lt;="&amp;B1468+TIME(23,59,59)))</f>
        <v>0</v>
      </c>
      <c r="G1468" s="3">
        <f>IFERROR(__xludf.DUMMYFUNCTION("IF(F1468&lt;=0,0,IFERROR(ROUNDUP(F1468/INDEX(FILTER('warehouse config'!$D:$D,('warehouse config'!$B:$B=C1468)*('warehouse config'!$C:$C=D1468)*('warehouse config'!$G:$G&lt;=B1468)*(('warehouse config'!$H:$H&gt;=B1468)+ISBLANK('warehouse config'!$H:$H))),1)),0))"),0.0)</f>
        <v>0</v>
      </c>
      <c r="H1468" s="3">
        <f>IFERROR(__xludf.DUMMYFUNCTION("IFERROR(INDEX(FILTER('cost master'!$E:$E,('cost master'!$B:$B=C1468)*('cost master'!$D:$D=""Storage cost per pallet / week"")*('cost master'!$G:$G&lt;=B1468)*(('cost master'!$H:$H&gt;=B1468)+ISBLANK('cost master'!$H:$H))),1),0)"),3.9)</f>
        <v>3.9</v>
      </c>
      <c r="I1468" s="3">
        <f t="shared" si="4"/>
        <v>0</v>
      </c>
      <c r="J1468" s="27">
        <f t="shared" si="5"/>
        <v>45946</v>
      </c>
      <c r="K1468" s="27">
        <f t="shared" si="6"/>
        <v>45976</v>
      </c>
    </row>
    <row r="1469" hidden="1">
      <c r="A1469" s="3" t="str">
        <f t="shared" si="3"/>
        <v>SL-20251103-FMC-CS 008-9</v>
      </c>
      <c r="B1469" s="2">
        <f t="array" ref="B1469">INDEX(helper!$A$3:$A3996,ROUNDUP((ROW()-1)/COUNTA(helper!$D$3:$D3996),0))</f>
        <v>45964</v>
      </c>
      <c r="C1469" s="5" t="str">
        <f t="array" ref="C1469">IF(B1469="","",INDEX(helper!$D$3:$D3996,MOD(ROW()-2,COUNTA(helper!$D$3:$D3996))+1))</f>
        <v>FMC</v>
      </c>
      <c r="D1469" s="3" t="str">
        <f t="array" ref="D1469">IF(B1469="","",INDEX(helper!$E$3:$E3996,MOD(ROW()-2,COUNTA(helper!$D$3:$D3996))+1))</f>
        <v>CS 008</v>
      </c>
      <c r="E1469" s="3">
        <f t="array" ref="E1469">IF(B1469="","",INDEX(helper!$F$3:$F3996,MOD(ROW()-2,COUNTA(helper!$D$3:$D3996))+1))</f>
        <v>9</v>
      </c>
      <c r="F1469" s="3">
        <f>IF(B1469="","",SUMIFS('inventory ledger'!$H:$H,'inventory ledger'!$C:$C,C1469,'inventory ledger'!$D:$D,D1469,'inventory ledger'!$E:$E,E1469,'inventory ledger'!$A:$A,"&lt;="&amp;B1469+TIME(23,59,59))-SUMIFS('inventory ledger'!$I:$I,'inventory ledger'!$C:$C,C1469,'inventory ledger'!$D:$D,D1469,'inventory ledger'!$E:$E,E1469,'inventory ledger'!$A:$A,"&lt;="&amp;B1469+TIME(23,59,59)))</f>
        <v>2</v>
      </c>
      <c r="G1469" s="3">
        <f>IFERROR(__xludf.DUMMYFUNCTION("IF(F1469&lt;=0,0,IFERROR(ROUNDUP(F1469/INDEX(FILTER('warehouse config'!$D:$D,('warehouse config'!$B:$B=C1469)*('warehouse config'!$C:$C=D1469)*('warehouse config'!$G:$G&lt;=B1469)*(('warehouse config'!$H:$H&gt;=B1469)+ISBLANK('warehouse config'!$H:$H))),1)),0))"),1.0)</f>
        <v>1</v>
      </c>
      <c r="H1469" s="3">
        <f>IFERROR(__xludf.DUMMYFUNCTION("IFERROR(INDEX(FILTER('cost master'!$E:$E,('cost master'!$B:$B=C1469)*('cost master'!$D:$D=""Storage cost per pallet / week"")*('cost master'!$G:$G&lt;=B1469)*(('cost master'!$H:$H&gt;=B1469)+ISBLANK('cost master'!$H:$H))),1),0)"),3.9)</f>
        <v>3.9</v>
      </c>
      <c r="I1469" s="3">
        <f t="shared" si="4"/>
        <v>3.9</v>
      </c>
      <c r="J1469" s="27">
        <f t="shared" si="5"/>
        <v>45946</v>
      </c>
      <c r="K1469" s="27">
        <f t="shared" si="6"/>
        <v>45976</v>
      </c>
    </row>
    <row r="1470" hidden="1">
      <c r="A1470" s="3" t="str">
        <f t="shared" si="3"/>
        <v>SL-20251103-FMC-CS 009-9</v>
      </c>
      <c r="B1470" s="2">
        <f t="array" ref="B1470">INDEX(helper!$A$3:$A3996,ROUNDUP((ROW()-1)/COUNTA(helper!$D$3:$D3996),0))</f>
        <v>45964</v>
      </c>
      <c r="C1470" s="5" t="str">
        <f t="array" ref="C1470">IF(B1470="","",INDEX(helper!$D$3:$D3996,MOD(ROW()-2,COUNTA(helper!$D$3:$D3996))+1))</f>
        <v>FMC</v>
      </c>
      <c r="D1470" s="3" t="str">
        <f t="array" ref="D1470">IF(B1470="","",INDEX(helper!$E$3:$E3996,MOD(ROW()-2,COUNTA(helper!$D$3:$D3996))+1))</f>
        <v>CS 009</v>
      </c>
      <c r="E1470" s="3">
        <f t="array" ref="E1470">IF(B1470="","",INDEX(helper!$F$3:$F3996,MOD(ROW()-2,COUNTA(helper!$D$3:$D3996))+1))</f>
        <v>9</v>
      </c>
      <c r="F1470" s="3">
        <f>IF(B1470="","",SUMIFS('inventory ledger'!$H:$H,'inventory ledger'!$C:$C,C1470,'inventory ledger'!$D:$D,D1470,'inventory ledger'!$E:$E,E1470,'inventory ledger'!$A:$A,"&lt;="&amp;B1470+TIME(23,59,59))-SUMIFS('inventory ledger'!$I:$I,'inventory ledger'!$C:$C,C1470,'inventory ledger'!$D:$D,D1470,'inventory ledger'!$E:$E,E1470,'inventory ledger'!$A:$A,"&lt;="&amp;B1470+TIME(23,59,59)))</f>
        <v>0</v>
      </c>
      <c r="G1470" s="3">
        <f>IFERROR(__xludf.DUMMYFUNCTION("IF(F1470&lt;=0,0,IFERROR(ROUNDUP(F1470/INDEX(FILTER('warehouse config'!$D:$D,('warehouse config'!$B:$B=C1470)*('warehouse config'!$C:$C=D1470)*('warehouse config'!$G:$G&lt;=B1470)*(('warehouse config'!$H:$H&gt;=B1470)+ISBLANK('warehouse config'!$H:$H))),1)),0))"),0.0)</f>
        <v>0</v>
      </c>
      <c r="H1470" s="3">
        <f>IFERROR(__xludf.DUMMYFUNCTION("IFERROR(INDEX(FILTER('cost master'!$E:$E,('cost master'!$B:$B=C1470)*('cost master'!$D:$D=""Storage cost per pallet / week"")*('cost master'!$G:$G&lt;=B1470)*(('cost master'!$H:$H&gt;=B1470)+ISBLANK('cost master'!$H:$H))),1),0)"),3.9)</f>
        <v>3.9</v>
      </c>
      <c r="I1470" s="3">
        <f t="shared" si="4"/>
        <v>0</v>
      </c>
      <c r="J1470" s="27">
        <f t="shared" si="5"/>
        <v>45946</v>
      </c>
      <c r="K1470" s="27">
        <f t="shared" si="6"/>
        <v>45976</v>
      </c>
    </row>
    <row r="1471" hidden="1">
      <c r="A1471" s="3" t="str">
        <f t="shared" si="3"/>
        <v>SL-20251103-FMC-CS 010-9</v>
      </c>
      <c r="B1471" s="2">
        <f t="array" ref="B1471">INDEX(helper!$A$3:$A3996,ROUNDUP((ROW()-1)/COUNTA(helper!$D$3:$D3996),0))</f>
        <v>45964</v>
      </c>
      <c r="C1471" s="5" t="str">
        <f t="array" ref="C1471">IF(B1471="","",INDEX(helper!$D$3:$D3996,MOD(ROW()-2,COUNTA(helper!$D$3:$D3996))+1))</f>
        <v>FMC</v>
      </c>
      <c r="D1471" s="3" t="str">
        <f t="array" ref="D1471">IF(B1471="","",INDEX(helper!$E$3:$E3996,MOD(ROW()-2,COUNTA(helper!$D$3:$D3996))+1))</f>
        <v>CS 010</v>
      </c>
      <c r="E1471" s="3">
        <f t="array" ref="E1471">IF(B1471="","",INDEX(helper!$F$3:$F3996,MOD(ROW()-2,COUNTA(helper!$D$3:$D3996))+1))</f>
        <v>9</v>
      </c>
      <c r="F1471" s="3">
        <f>IF(B1471="","",SUMIFS('inventory ledger'!$H:$H,'inventory ledger'!$C:$C,C1471,'inventory ledger'!$D:$D,D1471,'inventory ledger'!$E:$E,E1471,'inventory ledger'!$A:$A,"&lt;="&amp;B1471+TIME(23,59,59))-SUMIFS('inventory ledger'!$I:$I,'inventory ledger'!$C:$C,C1471,'inventory ledger'!$D:$D,D1471,'inventory ledger'!$E:$E,E1471,'inventory ledger'!$A:$A,"&lt;="&amp;B1471+TIME(23,59,59)))</f>
        <v>0</v>
      </c>
      <c r="G1471" s="3">
        <f>IFERROR(__xludf.DUMMYFUNCTION("IF(F1471&lt;=0,0,IFERROR(ROUNDUP(F1471/INDEX(FILTER('warehouse config'!$D:$D,('warehouse config'!$B:$B=C1471)*('warehouse config'!$C:$C=D1471)*('warehouse config'!$G:$G&lt;=B1471)*(('warehouse config'!$H:$H&gt;=B1471)+ISBLANK('warehouse config'!$H:$H))),1)),0))"),0.0)</f>
        <v>0</v>
      </c>
      <c r="H1471" s="3">
        <f>IFERROR(__xludf.DUMMYFUNCTION("IFERROR(INDEX(FILTER('cost master'!$E:$E,('cost master'!$B:$B=C1471)*('cost master'!$D:$D=""Storage cost per pallet / week"")*('cost master'!$G:$G&lt;=B1471)*(('cost master'!$H:$H&gt;=B1471)+ISBLANK('cost master'!$H:$H))),1),0)"),3.9)</f>
        <v>3.9</v>
      </c>
      <c r="I1471" s="3">
        <f t="shared" si="4"/>
        <v>0</v>
      </c>
      <c r="J1471" s="27">
        <f t="shared" si="5"/>
        <v>45946</v>
      </c>
      <c r="K1471" s="27">
        <f t="shared" si="6"/>
        <v>45976</v>
      </c>
    </row>
    <row r="1472" hidden="1">
      <c r="A1472" s="3" t="str">
        <f t="shared" si="3"/>
        <v>SL-20251103-FMC-CS-CDS-001-9</v>
      </c>
      <c r="B1472" s="2">
        <f t="array" ref="B1472">INDEX(helper!$A$3:$A3996,ROUNDUP((ROW()-1)/COUNTA(helper!$D$3:$D3996),0))</f>
        <v>45964</v>
      </c>
      <c r="C1472" s="5" t="str">
        <f t="array" ref="C1472">IF(B1472="","",INDEX(helper!$D$3:$D3996,MOD(ROW()-2,COUNTA(helper!$D$3:$D3996))+1))</f>
        <v>FMC</v>
      </c>
      <c r="D1472" s="3" t="str">
        <f t="array" ref="D1472">IF(B1472="","",INDEX(helper!$E$3:$E3996,MOD(ROW()-2,COUNTA(helper!$D$3:$D3996))+1))</f>
        <v>CS-CDS-001</v>
      </c>
      <c r="E1472" s="3">
        <f t="array" ref="E1472">IF(B1472="","",INDEX(helper!$F$3:$F3996,MOD(ROW()-2,COUNTA(helper!$D$3:$D3996))+1))</f>
        <v>9</v>
      </c>
      <c r="F1472" s="3">
        <f>IF(B1472="","",SUMIFS('inventory ledger'!$H:$H,'inventory ledger'!$C:$C,C1472,'inventory ledger'!$D:$D,D1472,'inventory ledger'!$E:$E,E1472,'inventory ledger'!$A:$A,"&lt;="&amp;B1472+TIME(23,59,59))-SUMIFS('inventory ledger'!$I:$I,'inventory ledger'!$C:$C,C1472,'inventory ledger'!$D:$D,D1472,'inventory ledger'!$E:$E,E1472,'inventory ledger'!$A:$A,"&lt;="&amp;B1472+TIME(23,59,59)))</f>
        <v>0</v>
      </c>
      <c r="G1472" s="3">
        <f>IFERROR(__xludf.DUMMYFUNCTION("IF(F1472&lt;=0,0,IFERROR(ROUNDUP(F1472/INDEX(FILTER('warehouse config'!$D:$D,('warehouse config'!$B:$B=C1472)*('warehouse config'!$C:$C=D1472)*('warehouse config'!$G:$G&lt;=B1472)*(('warehouse config'!$H:$H&gt;=B1472)+ISBLANK('warehouse config'!$H:$H))),1)),0))"),0.0)</f>
        <v>0</v>
      </c>
      <c r="H1472" s="3">
        <f>IFERROR(__xludf.DUMMYFUNCTION("IFERROR(INDEX(FILTER('cost master'!$E:$E,('cost master'!$B:$B=C1472)*('cost master'!$D:$D=""Storage cost per pallet / week"")*('cost master'!$G:$G&lt;=B1472)*(('cost master'!$H:$H&gt;=B1472)+ISBLANK('cost master'!$H:$H))),1),0)"),3.9)</f>
        <v>3.9</v>
      </c>
      <c r="I1472" s="3">
        <f t="shared" si="4"/>
        <v>0</v>
      </c>
      <c r="J1472" s="27">
        <f t="shared" si="5"/>
        <v>45946</v>
      </c>
      <c r="K1472" s="27">
        <f t="shared" si="6"/>
        <v>45976</v>
      </c>
    </row>
    <row r="1473" hidden="1">
      <c r="A1473" s="3" t="str">
        <f t="shared" si="3"/>
        <v>SL-20251103-FMC-CS-CDS-002-9</v>
      </c>
      <c r="B1473" s="2">
        <f t="array" ref="B1473">INDEX(helper!$A$3:$A3996,ROUNDUP((ROW()-1)/COUNTA(helper!$D$3:$D3996),0))</f>
        <v>45964</v>
      </c>
      <c r="C1473" s="5" t="str">
        <f t="array" ref="C1473">IF(B1473="","",INDEX(helper!$D$3:$D3996,MOD(ROW()-2,COUNTA(helper!$D$3:$D3996))+1))</f>
        <v>FMC</v>
      </c>
      <c r="D1473" s="3" t="str">
        <f t="array" ref="D1473">IF(B1473="","",INDEX(helper!$E$3:$E3996,MOD(ROW()-2,COUNTA(helper!$D$3:$D3996))+1))</f>
        <v>CS-CDS-002</v>
      </c>
      <c r="E1473" s="3">
        <f t="array" ref="E1473">IF(B1473="","",INDEX(helper!$F$3:$F3996,MOD(ROW()-2,COUNTA(helper!$D$3:$D3996))+1))</f>
        <v>9</v>
      </c>
      <c r="F1473" s="3">
        <f>IF(B1473="","",SUMIFS('inventory ledger'!$H:$H,'inventory ledger'!$C:$C,C1473,'inventory ledger'!$D:$D,D1473,'inventory ledger'!$E:$E,E1473,'inventory ledger'!$A:$A,"&lt;="&amp;B1473+TIME(23,59,59))-SUMIFS('inventory ledger'!$I:$I,'inventory ledger'!$C:$C,C1473,'inventory ledger'!$D:$D,D1473,'inventory ledger'!$E:$E,E1473,'inventory ledger'!$A:$A,"&lt;="&amp;B1473+TIME(23,59,59)))</f>
        <v>0</v>
      </c>
      <c r="G1473" s="3">
        <f>IFERROR(__xludf.DUMMYFUNCTION("IF(F1473&lt;=0,0,IFERROR(ROUNDUP(F1473/INDEX(FILTER('warehouse config'!$D:$D,('warehouse config'!$B:$B=C1473)*('warehouse config'!$C:$C=D1473)*('warehouse config'!$G:$G&lt;=B1473)*(('warehouse config'!$H:$H&gt;=B1473)+ISBLANK('warehouse config'!$H:$H))),1)),0))"),0.0)</f>
        <v>0</v>
      </c>
      <c r="H1473" s="3">
        <f>IFERROR(__xludf.DUMMYFUNCTION("IFERROR(INDEX(FILTER('cost master'!$E:$E,('cost master'!$B:$B=C1473)*('cost master'!$D:$D=""Storage cost per pallet / week"")*('cost master'!$G:$G&lt;=B1473)*(('cost master'!$H:$H&gt;=B1473)+ISBLANK('cost master'!$H:$H))),1),0)"),3.9)</f>
        <v>3.9</v>
      </c>
      <c r="I1473" s="3">
        <f t="shared" si="4"/>
        <v>0</v>
      </c>
      <c r="J1473" s="27">
        <f t="shared" si="5"/>
        <v>45946</v>
      </c>
      <c r="K1473" s="27">
        <f t="shared" si="6"/>
        <v>45976</v>
      </c>
    </row>
    <row r="1474" hidden="1">
      <c r="A1474" s="3" t="str">
        <f t="shared" si="3"/>
        <v>SL-20251103-FMC-CS 007-10</v>
      </c>
      <c r="B1474" s="2">
        <f t="array" ref="B1474">INDEX(helper!$A$3:$A3996,ROUNDUP((ROW()-1)/COUNTA(helper!$D$3:$D3996),0))</f>
        <v>45964</v>
      </c>
      <c r="C1474" s="5" t="str">
        <f t="array" ref="C1474">IF(B1474="","",INDEX(helper!$D$3:$D3996,MOD(ROW()-2,COUNTA(helper!$D$3:$D3996))+1))</f>
        <v>FMC</v>
      </c>
      <c r="D1474" s="3" t="str">
        <f t="array" ref="D1474">IF(B1474="","",INDEX(helper!$E$3:$E3996,MOD(ROW()-2,COUNTA(helper!$D$3:$D3996))+1))</f>
        <v>CS 007</v>
      </c>
      <c r="E1474" s="3">
        <f t="array" ref="E1474">IF(B1474="","",INDEX(helper!$F$3:$F3996,MOD(ROW()-2,COUNTA(helper!$D$3:$D3996))+1))</f>
        <v>10</v>
      </c>
      <c r="F1474" s="3">
        <f>IF(B1474="","",SUMIFS('inventory ledger'!$H:$H,'inventory ledger'!$C:$C,C1474,'inventory ledger'!$D:$D,D1474,'inventory ledger'!$E:$E,E1474,'inventory ledger'!$A:$A,"&lt;="&amp;B1474+TIME(23,59,59))-SUMIFS('inventory ledger'!$I:$I,'inventory ledger'!$C:$C,C1474,'inventory ledger'!$D:$D,D1474,'inventory ledger'!$E:$E,E1474,'inventory ledger'!$A:$A,"&lt;="&amp;B1474+TIME(23,59,59)))</f>
        <v>0</v>
      </c>
      <c r="G1474" s="3">
        <f>IFERROR(__xludf.DUMMYFUNCTION("IF(F1474&lt;=0,0,IFERROR(ROUNDUP(F1474/INDEX(FILTER('warehouse config'!$D:$D,('warehouse config'!$B:$B=C1474)*('warehouse config'!$C:$C=D1474)*('warehouse config'!$G:$G&lt;=B1474)*(('warehouse config'!$H:$H&gt;=B1474)+ISBLANK('warehouse config'!$H:$H))),1)),0))"),0.0)</f>
        <v>0</v>
      </c>
      <c r="H1474" s="3">
        <f>IFERROR(__xludf.DUMMYFUNCTION("IFERROR(INDEX(FILTER('cost master'!$E:$E,('cost master'!$B:$B=C1474)*('cost master'!$D:$D=""Storage cost per pallet / week"")*('cost master'!$G:$G&lt;=B1474)*(('cost master'!$H:$H&gt;=B1474)+ISBLANK('cost master'!$H:$H))),1),0)"),3.9)</f>
        <v>3.9</v>
      </c>
      <c r="I1474" s="3">
        <f t="shared" si="4"/>
        <v>0</v>
      </c>
      <c r="J1474" s="27">
        <f t="shared" si="5"/>
        <v>45946</v>
      </c>
      <c r="K1474" s="27">
        <f t="shared" si="6"/>
        <v>45976</v>
      </c>
    </row>
    <row r="1475" hidden="1">
      <c r="A1475" s="3" t="str">
        <f t="shared" si="3"/>
        <v>SL-20251103-FMC-CS 009-10</v>
      </c>
      <c r="B1475" s="2">
        <f t="array" ref="B1475">INDEX(helper!$A$3:$A3996,ROUNDUP((ROW()-1)/COUNTA(helper!$D$3:$D3996),0))</f>
        <v>45964</v>
      </c>
      <c r="C1475" s="5" t="str">
        <f t="array" ref="C1475">IF(B1475="","",INDEX(helper!$D$3:$D3996,MOD(ROW()-2,COUNTA(helper!$D$3:$D3996))+1))</f>
        <v>FMC</v>
      </c>
      <c r="D1475" s="3" t="str">
        <f t="array" ref="D1475">IF(B1475="","",INDEX(helper!$E$3:$E3996,MOD(ROW()-2,COUNTA(helper!$D$3:$D3996))+1))</f>
        <v>CS 009</v>
      </c>
      <c r="E1475" s="3">
        <f t="array" ref="E1475">IF(B1475="","",INDEX(helper!$F$3:$F3996,MOD(ROW()-2,COUNTA(helper!$D$3:$D3996))+1))</f>
        <v>10</v>
      </c>
      <c r="F1475" s="3">
        <f>IF(B1475="","",SUMIFS('inventory ledger'!$H:$H,'inventory ledger'!$C:$C,C1475,'inventory ledger'!$D:$D,D1475,'inventory ledger'!$E:$E,E1475,'inventory ledger'!$A:$A,"&lt;="&amp;B1475+TIME(23,59,59))-SUMIFS('inventory ledger'!$I:$I,'inventory ledger'!$C:$C,C1475,'inventory ledger'!$D:$D,D1475,'inventory ledger'!$E:$E,E1475,'inventory ledger'!$A:$A,"&lt;="&amp;B1475+TIME(23,59,59)))</f>
        <v>0</v>
      </c>
      <c r="G1475" s="3">
        <f>IFERROR(__xludf.DUMMYFUNCTION("IF(F1475&lt;=0,0,IFERROR(ROUNDUP(F1475/INDEX(FILTER('warehouse config'!$D:$D,('warehouse config'!$B:$B=C1475)*('warehouse config'!$C:$C=D1475)*('warehouse config'!$G:$G&lt;=B1475)*(('warehouse config'!$H:$H&gt;=B1475)+ISBLANK('warehouse config'!$H:$H))),1)),0))"),0.0)</f>
        <v>0</v>
      </c>
      <c r="H1475" s="3">
        <f>IFERROR(__xludf.DUMMYFUNCTION("IFERROR(INDEX(FILTER('cost master'!$E:$E,('cost master'!$B:$B=C1475)*('cost master'!$D:$D=""Storage cost per pallet / week"")*('cost master'!$G:$G&lt;=B1475)*(('cost master'!$H:$H&gt;=B1475)+ISBLANK('cost master'!$H:$H))),1),0)"),3.9)</f>
        <v>3.9</v>
      </c>
      <c r="I1475" s="3">
        <f t="shared" si="4"/>
        <v>0</v>
      </c>
      <c r="J1475" s="27">
        <f t="shared" si="5"/>
        <v>45946</v>
      </c>
      <c r="K1475" s="27">
        <f t="shared" si="6"/>
        <v>45976</v>
      </c>
    </row>
    <row r="1476" hidden="1">
      <c r="A1476" s="3" t="str">
        <f t="shared" si="3"/>
        <v>SL-20251103-FMC-CS 010-10</v>
      </c>
      <c r="B1476" s="2">
        <f t="array" ref="B1476">INDEX(helper!$A$3:$A3996,ROUNDUP((ROW()-1)/COUNTA(helper!$D$3:$D3996),0))</f>
        <v>45964</v>
      </c>
      <c r="C1476" s="5" t="str">
        <f t="array" ref="C1476">IF(B1476="","",INDEX(helper!$D$3:$D3996,MOD(ROW()-2,COUNTA(helper!$D$3:$D3996))+1))</f>
        <v>FMC</v>
      </c>
      <c r="D1476" s="3" t="str">
        <f t="array" ref="D1476">IF(B1476="","",INDEX(helper!$E$3:$E3996,MOD(ROW()-2,COUNTA(helper!$D$3:$D3996))+1))</f>
        <v>CS 010</v>
      </c>
      <c r="E1476" s="3">
        <f t="array" ref="E1476">IF(B1476="","",INDEX(helper!$F$3:$F3996,MOD(ROW()-2,COUNTA(helper!$D$3:$D3996))+1))</f>
        <v>10</v>
      </c>
      <c r="F1476" s="3">
        <f>IF(B1476="","",SUMIFS('inventory ledger'!$H:$H,'inventory ledger'!$C:$C,C1476,'inventory ledger'!$D:$D,D1476,'inventory ledger'!$E:$E,E1476,'inventory ledger'!$A:$A,"&lt;="&amp;B1476+TIME(23,59,59))-SUMIFS('inventory ledger'!$I:$I,'inventory ledger'!$C:$C,C1476,'inventory ledger'!$D:$D,D1476,'inventory ledger'!$E:$E,E1476,'inventory ledger'!$A:$A,"&lt;="&amp;B1476+TIME(23,59,59)))</f>
        <v>13</v>
      </c>
      <c r="G1476" s="3">
        <f>IFERROR(__xludf.DUMMYFUNCTION("IF(F1476&lt;=0,0,IFERROR(ROUNDUP(F1476/INDEX(FILTER('warehouse config'!$D:$D,('warehouse config'!$B:$B=C1476)*('warehouse config'!$C:$C=D1476)*('warehouse config'!$G:$G&lt;=B1476)*(('warehouse config'!$H:$H&gt;=B1476)+ISBLANK('warehouse config'!$H:$H))),1)),0))"),1.0)</f>
        <v>1</v>
      </c>
      <c r="H1476" s="3">
        <f>IFERROR(__xludf.DUMMYFUNCTION("IFERROR(INDEX(FILTER('cost master'!$E:$E,('cost master'!$B:$B=C1476)*('cost master'!$D:$D=""Storage cost per pallet / week"")*('cost master'!$G:$G&lt;=B1476)*(('cost master'!$H:$H&gt;=B1476)+ISBLANK('cost master'!$H:$H))),1),0)"),3.9)</f>
        <v>3.9</v>
      </c>
      <c r="I1476" s="3">
        <f t="shared" si="4"/>
        <v>3.9</v>
      </c>
      <c r="J1476" s="27">
        <f t="shared" si="5"/>
        <v>45946</v>
      </c>
      <c r="K1476" s="27">
        <f t="shared" si="6"/>
        <v>45976</v>
      </c>
    </row>
    <row r="1477" hidden="1">
      <c r="A1477" s="3" t="str">
        <f t="shared" si="3"/>
        <v>SL-20251103-FMC-CS-CDS-001-10</v>
      </c>
      <c r="B1477" s="2">
        <f t="array" ref="B1477">INDEX(helper!$A$3:$A3996,ROUNDUP((ROW()-1)/COUNTA(helper!$D$3:$D3996),0))</f>
        <v>45964</v>
      </c>
      <c r="C1477" s="5" t="str">
        <f t="array" ref="C1477">IF(B1477="","",INDEX(helper!$D$3:$D3996,MOD(ROW()-2,COUNTA(helper!$D$3:$D3996))+1))</f>
        <v>FMC</v>
      </c>
      <c r="D1477" s="3" t="str">
        <f t="array" ref="D1477">IF(B1477="","",INDEX(helper!$E$3:$E3996,MOD(ROW()-2,COUNTA(helper!$D$3:$D3996))+1))</f>
        <v>CS-CDS-001</v>
      </c>
      <c r="E1477" s="3">
        <f t="array" ref="E1477">IF(B1477="","",INDEX(helper!$F$3:$F3996,MOD(ROW()-2,COUNTA(helper!$D$3:$D3996))+1))</f>
        <v>10</v>
      </c>
      <c r="F1477" s="3">
        <f>IF(B1477="","",SUMIFS('inventory ledger'!$H:$H,'inventory ledger'!$C:$C,C1477,'inventory ledger'!$D:$D,D1477,'inventory ledger'!$E:$E,E1477,'inventory ledger'!$A:$A,"&lt;="&amp;B1477+TIME(23,59,59))-SUMIFS('inventory ledger'!$I:$I,'inventory ledger'!$C:$C,C1477,'inventory ledger'!$D:$D,D1477,'inventory ledger'!$E:$E,E1477,'inventory ledger'!$A:$A,"&lt;="&amp;B1477+TIME(23,59,59)))</f>
        <v>0</v>
      </c>
      <c r="G1477" s="3">
        <f>IFERROR(__xludf.DUMMYFUNCTION("IF(F1477&lt;=0,0,IFERROR(ROUNDUP(F1477/INDEX(FILTER('warehouse config'!$D:$D,('warehouse config'!$B:$B=C1477)*('warehouse config'!$C:$C=D1477)*('warehouse config'!$G:$G&lt;=B1477)*(('warehouse config'!$H:$H&gt;=B1477)+ISBLANK('warehouse config'!$H:$H))),1)),0))"),0.0)</f>
        <v>0</v>
      </c>
      <c r="H1477" s="3">
        <f>IFERROR(__xludf.DUMMYFUNCTION("IFERROR(INDEX(FILTER('cost master'!$E:$E,('cost master'!$B:$B=C1477)*('cost master'!$D:$D=""Storage cost per pallet / week"")*('cost master'!$G:$G&lt;=B1477)*(('cost master'!$H:$H&gt;=B1477)+ISBLANK('cost master'!$H:$H))),1),0)"),3.9)</f>
        <v>3.9</v>
      </c>
      <c r="I1477" s="3">
        <f t="shared" si="4"/>
        <v>0</v>
      </c>
      <c r="J1477" s="27">
        <f t="shared" si="5"/>
        <v>45946</v>
      </c>
      <c r="K1477" s="27">
        <f t="shared" si="6"/>
        <v>45976</v>
      </c>
    </row>
    <row r="1478">
      <c r="A1478" s="3" t="str">
        <f t="shared" si="3"/>
        <v>SL-20251103-FMC-CS 007-11</v>
      </c>
      <c r="B1478" s="2">
        <f t="array" ref="B1478">INDEX(helper!$A$3:$A3996,ROUNDUP((ROW()-1)/COUNTA(helper!$D$3:$D3996),0))</f>
        <v>45964</v>
      </c>
      <c r="C1478" s="5" t="str">
        <f t="array" ref="C1478">IF(B1478="","",INDEX(helper!$D$3:$D3996,MOD(ROW()-2,COUNTA(helper!$D$3:$D3996))+1))</f>
        <v>FMC</v>
      </c>
      <c r="D1478" s="3" t="str">
        <f t="array" ref="D1478">IF(B1478="","",INDEX(helper!$E$3:$E3996,MOD(ROW()-2,COUNTA(helper!$D$3:$D3996))+1))</f>
        <v>CS 007</v>
      </c>
      <c r="E1478" s="3">
        <f t="array" ref="E1478">IF(B1478="","",INDEX(helper!$F$3:$F3996,MOD(ROW()-2,COUNTA(helper!$D$3:$D3996))+1))</f>
        <v>11</v>
      </c>
      <c r="F1478" s="3">
        <f>IF(B1478="","",SUMIFS('inventory ledger'!$H:$H,'inventory ledger'!$C:$C,C1478,'inventory ledger'!$D:$D,D1478,'inventory ledger'!$E:$E,E1478,'inventory ledger'!$A:$A,"&lt;="&amp;B1478+TIME(23,59,59))-SUMIFS('inventory ledger'!$I:$I,'inventory ledger'!$C:$C,C1478,'inventory ledger'!$D:$D,D1478,'inventory ledger'!$E:$E,E1478,'inventory ledger'!$A:$A,"&lt;="&amp;B1478+TIME(23,59,59)))</f>
        <v>-1</v>
      </c>
      <c r="G1478" s="3">
        <f>IFERROR(__xludf.DUMMYFUNCTION("IF(F1478&lt;=0,0,IFERROR(ROUNDUP(F1478/INDEX(FILTER('warehouse config'!$D:$D,('warehouse config'!$B:$B=C1478)*('warehouse config'!$C:$C=D1478)*('warehouse config'!$G:$G&lt;=B1478)*(('warehouse config'!$H:$H&gt;=B1478)+ISBLANK('warehouse config'!$H:$H))),1)),0))"),0.0)</f>
        <v>0</v>
      </c>
      <c r="H1478" s="3">
        <f>IFERROR(__xludf.DUMMYFUNCTION("IFERROR(INDEX(FILTER('cost master'!$E:$E,('cost master'!$B:$B=C1478)*('cost master'!$D:$D=""Storage cost per pallet / week"")*('cost master'!$G:$G&lt;=B1478)*(('cost master'!$H:$H&gt;=B1478)+ISBLANK('cost master'!$H:$H))),1),0)"),3.9)</f>
        <v>3.9</v>
      </c>
      <c r="I1478" s="3">
        <f t="shared" si="4"/>
        <v>0</v>
      </c>
      <c r="J1478" s="27">
        <f t="shared" si="5"/>
        <v>45946</v>
      </c>
      <c r="K1478" s="27">
        <f t="shared" si="6"/>
        <v>45976</v>
      </c>
    </row>
    <row r="1479" hidden="1">
      <c r="A1479" s="3" t="str">
        <f t="shared" si="3"/>
        <v>SL-20251103-FMC-CS 009-11</v>
      </c>
      <c r="B1479" s="2">
        <f t="array" ref="B1479">INDEX(helper!$A$3:$A3996,ROUNDUP((ROW()-1)/COUNTA(helper!$D$3:$D3996),0))</f>
        <v>45964</v>
      </c>
      <c r="C1479" s="5" t="str">
        <f t="array" ref="C1479">IF(B1479="","",INDEX(helper!$D$3:$D3996,MOD(ROW()-2,COUNTA(helper!$D$3:$D3996))+1))</f>
        <v>FMC</v>
      </c>
      <c r="D1479" s="3" t="str">
        <f t="array" ref="D1479">IF(B1479="","",INDEX(helper!$E$3:$E3996,MOD(ROW()-2,COUNTA(helper!$D$3:$D3996))+1))</f>
        <v>CS 009</v>
      </c>
      <c r="E1479" s="3">
        <f t="array" ref="E1479">IF(B1479="","",INDEX(helper!$F$3:$F3996,MOD(ROW()-2,COUNTA(helper!$D$3:$D3996))+1))</f>
        <v>11</v>
      </c>
      <c r="F1479" s="3">
        <f>IF(B1479="","",SUMIFS('inventory ledger'!$H:$H,'inventory ledger'!$C:$C,C1479,'inventory ledger'!$D:$D,D1479,'inventory ledger'!$E:$E,E1479,'inventory ledger'!$A:$A,"&lt;="&amp;B1479+TIME(23,59,59))-SUMIFS('inventory ledger'!$I:$I,'inventory ledger'!$C:$C,C1479,'inventory ledger'!$D:$D,D1479,'inventory ledger'!$E:$E,E1479,'inventory ledger'!$A:$A,"&lt;="&amp;B1479+TIME(23,59,59)))</f>
        <v>0</v>
      </c>
      <c r="G1479" s="3">
        <f>IFERROR(__xludf.DUMMYFUNCTION("IF(F1479&lt;=0,0,IFERROR(ROUNDUP(F1479/INDEX(FILTER('warehouse config'!$D:$D,('warehouse config'!$B:$B=C1479)*('warehouse config'!$C:$C=D1479)*('warehouse config'!$G:$G&lt;=B1479)*(('warehouse config'!$H:$H&gt;=B1479)+ISBLANK('warehouse config'!$H:$H))),1)),0))"),0.0)</f>
        <v>0</v>
      </c>
      <c r="H1479" s="3">
        <f>IFERROR(__xludf.DUMMYFUNCTION("IFERROR(INDEX(FILTER('cost master'!$E:$E,('cost master'!$B:$B=C1479)*('cost master'!$D:$D=""Storage cost per pallet / week"")*('cost master'!$G:$G&lt;=B1479)*(('cost master'!$H:$H&gt;=B1479)+ISBLANK('cost master'!$H:$H))),1),0)"),3.9)</f>
        <v>3.9</v>
      </c>
      <c r="I1479" s="3">
        <f t="shared" si="4"/>
        <v>0</v>
      </c>
      <c r="J1479" s="27">
        <f t="shared" si="5"/>
        <v>45946</v>
      </c>
      <c r="K1479" s="27">
        <f t="shared" si="6"/>
        <v>45976</v>
      </c>
    </row>
    <row r="1480" hidden="1">
      <c r="A1480" s="3" t="str">
        <f t="shared" si="3"/>
        <v>SL-20251103-FMC-CS 010-11</v>
      </c>
      <c r="B1480" s="2">
        <f t="array" ref="B1480">INDEX(helper!$A$3:$A3996,ROUNDUP((ROW()-1)/COUNTA(helper!$D$3:$D3996),0))</f>
        <v>45964</v>
      </c>
      <c r="C1480" s="5" t="str">
        <f t="array" ref="C1480">IF(B1480="","",INDEX(helper!$D$3:$D3996,MOD(ROW()-2,COUNTA(helper!$D$3:$D3996))+1))</f>
        <v>FMC</v>
      </c>
      <c r="D1480" s="3" t="str">
        <f t="array" ref="D1480">IF(B1480="","",INDEX(helper!$E$3:$E3996,MOD(ROW()-2,COUNTA(helper!$D$3:$D3996))+1))</f>
        <v>CS 010</v>
      </c>
      <c r="E1480" s="3">
        <f t="array" ref="E1480">IF(B1480="","",INDEX(helper!$F$3:$F3996,MOD(ROW()-2,COUNTA(helper!$D$3:$D3996))+1))</f>
        <v>11</v>
      </c>
      <c r="F1480" s="3">
        <f>IF(B1480="","",SUMIFS('inventory ledger'!$H:$H,'inventory ledger'!$C:$C,C1480,'inventory ledger'!$D:$D,D1480,'inventory ledger'!$E:$E,E1480,'inventory ledger'!$A:$A,"&lt;="&amp;B1480+TIME(23,59,59))-SUMIFS('inventory ledger'!$I:$I,'inventory ledger'!$C:$C,C1480,'inventory ledger'!$D:$D,D1480,'inventory ledger'!$E:$E,E1480,'inventory ledger'!$A:$A,"&lt;="&amp;B1480+TIME(23,59,59)))</f>
        <v>6</v>
      </c>
      <c r="G1480" s="3">
        <f>IFERROR(__xludf.DUMMYFUNCTION("IF(F1480&lt;=0,0,IFERROR(ROUNDUP(F1480/INDEX(FILTER('warehouse config'!$D:$D,('warehouse config'!$B:$B=C1480)*('warehouse config'!$C:$C=D1480)*('warehouse config'!$G:$G&lt;=B1480)*(('warehouse config'!$H:$H&gt;=B1480)+ISBLANK('warehouse config'!$H:$H))),1)),0))"),1.0)</f>
        <v>1</v>
      </c>
      <c r="H1480" s="3">
        <f>IFERROR(__xludf.DUMMYFUNCTION("IFERROR(INDEX(FILTER('cost master'!$E:$E,('cost master'!$B:$B=C1480)*('cost master'!$D:$D=""Storage cost per pallet / week"")*('cost master'!$G:$G&lt;=B1480)*(('cost master'!$H:$H&gt;=B1480)+ISBLANK('cost master'!$H:$H))),1),0)"),3.9)</f>
        <v>3.9</v>
      </c>
      <c r="I1480" s="3">
        <f t="shared" si="4"/>
        <v>3.9</v>
      </c>
      <c r="J1480" s="27">
        <f t="shared" si="5"/>
        <v>45946</v>
      </c>
      <c r="K1480" s="27">
        <f t="shared" si="6"/>
        <v>45976</v>
      </c>
    </row>
    <row r="1481" hidden="1">
      <c r="A1481" s="3" t="str">
        <f t="shared" si="3"/>
        <v>SL-20251103-Vglobal-CS 007-12</v>
      </c>
      <c r="B1481" s="2">
        <f t="array" ref="B1481">INDEX(helper!$A$3:$A3996,ROUNDUP((ROW()-1)/COUNTA(helper!$D$3:$D3996),0))</f>
        <v>45964</v>
      </c>
      <c r="C1481" s="5" t="str">
        <f t="array" ref="C1481">IF(B1481="","",INDEX(helper!$D$3:$D3996,MOD(ROW()-2,COUNTA(helper!$D$3:$D3996))+1))</f>
        <v>Vglobal</v>
      </c>
      <c r="D1481" s="3" t="str">
        <f t="array" ref="D1481">IF(B1481="","",INDEX(helper!$E$3:$E3996,MOD(ROW()-2,COUNTA(helper!$D$3:$D3996))+1))</f>
        <v>CS 007</v>
      </c>
      <c r="E1481" s="3">
        <f t="array" ref="E1481">IF(B1481="","",INDEX(helper!$F$3:$F3996,MOD(ROW()-2,COUNTA(helper!$D$3:$D3996))+1))</f>
        <v>12</v>
      </c>
      <c r="F1481" s="3">
        <f>IF(B1481="","",SUMIFS('inventory ledger'!$H:$H,'inventory ledger'!$C:$C,C1481,'inventory ledger'!$D:$D,D1481,'inventory ledger'!$E:$E,E1481,'inventory ledger'!$A:$A,"&lt;="&amp;B1481+TIME(23,59,59))-SUMIFS('inventory ledger'!$I:$I,'inventory ledger'!$C:$C,C1481,'inventory ledger'!$D:$D,D1481,'inventory ledger'!$E:$E,E1481,'inventory ledger'!$A:$A,"&lt;="&amp;B1481+TIME(23,59,59)))</f>
        <v>0</v>
      </c>
      <c r="G1481" s="3">
        <f>IFERROR(__xludf.DUMMYFUNCTION("IF(F1481&lt;=0,0,IFERROR(ROUNDUP(F1481/INDEX(FILTER('warehouse config'!$D:$D,('warehouse config'!$B:$B=C1481)*('warehouse config'!$C:$C=D1481)*('warehouse config'!$G:$G&lt;=B1481)*(('warehouse config'!$H:$H&gt;=B1481)+ISBLANK('warehouse config'!$H:$H))),1)),0))"),0.0)</f>
        <v>0</v>
      </c>
      <c r="H1481" s="3">
        <f>IFERROR(__xludf.DUMMYFUNCTION("IFERROR(INDEX(FILTER('cost master'!$E:$E,('cost master'!$B:$B=C1481)*('cost master'!$D:$D=""Storage cost per pallet / week"")*('cost master'!$G:$G&lt;=B1481)*(('cost master'!$H:$H&gt;=B1481)+ISBLANK('cost master'!$H:$H))),1),0)"),2.6)</f>
        <v>2.6</v>
      </c>
      <c r="I1481" s="3">
        <f t="shared" si="4"/>
        <v>0</v>
      </c>
      <c r="J1481" s="27">
        <f t="shared" si="5"/>
        <v>45946</v>
      </c>
      <c r="K1481" s="27">
        <f t="shared" si="6"/>
        <v>45976</v>
      </c>
    </row>
    <row r="1482" hidden="1">
      <c r="A1482" s="3" t="str">
        <f t="shared" si="3"/>
        <v>SL-20251103-Vglobal-CS 011-12</v>
      </c>
      <c r="B1482" s="2">
        <f t="array" ref="B1482">INDEX(helper!$A$3:$A3996,ROUNDUP((ROW()-1)/COUNTA(helper!$D$3:$D3996),0))</f>
        <v>45964</v>
      </c>
      <c r="C1482" s="5" t="str">
        <f t="array" ref="C1482">IF(B1482="","",INDEX(helper!$D$3:$D3996,MOD(ROW()-2,COUNTA(helper!$D$3:$D3996))+1))</f>
        <v>Vglobal</v>
      </c>
      <c r="D1482" s="3" t="str">
        <f t="array" ref="D1482">IF(B1482="","",INDEX(helper!$E$3:$E3996,MOD(ROW()-2,COUNTA(helper!$D$3:$D3996))+1))</f>
        <v>CS 011</v>
      </c>
      <c r="E1482" s="3">
        <f t="array" ref="E1482">IF(B1482="","",INDEX(helper!$F$3:$F3996,MOD(ROW()-2,COUNTA(helper!$D$3:$D3996))+1))</f>
        <v>12</v>
      </c>
      <c r="F1482" s="3">
        <f>IF(B1482="","",SUMIFS('inventory ledger'!$H:$H,'inventory ledger'!$C:$C,C1482,'inventory ledger'!$D:$D,D1482,'inventory ledger'!$E:$E,E1482,'inventory ledger'!$A:$A,"&lt;="&amp;B1482+TIME(23,59,59))-SUMIFS('inventory ledger'!$I:$I,'inventory ledger'!$C:$C,C1482,'inventory ledger'!$D:$D,D1482,'inventory ledger'!$E:$E,E1482,'inventory ledger'!$A:$A,"&lt;="&amp;B1482+TIME(23,59,59)))</f>
        <v>0</v>
      </c>
      <c r="G1482" s="3">
        <f>IFERROR(__xludf.DUMMYFUNCTION("IF(F1482&lt;=0,0,IFERROR(ROUNDUP(F1482/INDEX(FILTER('warehouse config'!$D:$D,('warehouse config'!$B:$B=C1482)*('warehouse config'!$C:$C=D1482)*('warehouse config'!$G:$G&lt;=B1482)*(('warehouse config'!$H:$H&gt;=B1482)+ISBLANK('warehouse config'!$H:$H))),1)),0))"),0.0)</f>
        <v>0</v>
      </c>
      <c r="H1482" s="3">
        <f>IFERROR(__xludf.DUMMYFUNCTION("IFERROR(INDEX(FILTER('cost master'!$E:$E,('cost master'!$B:$B=C1482)*('cost master'!$D:$D=""Storage cost per pallet / week"")*('cost master'!$G:$G&lt;=B1482)*(('cost master'!$H:$H&gt;=B1482)+ISBLANK('cost master'!$H:$H))),1),0)"),2.6)</f>
        <v>2.6</v>
      </c>
      <c r="I1482" s="3">
        <f t="shared" si="4"/>
        <v>0</v>
      </c>
      <c r="J1482" s="27">
        <f t="shared" si="5"/>
        <v>45946</v>
      </c>
      <c r="K1482" s="27">
        <f t="shared" si="6"/>
        <v>45976</v>
      </c>
    </row>
    <row r="1483" hidden="1">
      <c r="A1483" s="3" t="str">
        <f t="shared" si="3"/>
        <v>SL-20251103-Vglobal-CS 008-12</v>
      </c>
      <c r="B1483" s="2">
        <f t="array" ref="B1483">INDEX(helper!$A$3:$A3996,ROUNDUP((ROW()-1)/COUNTA(helper!$D$3:$D3996),0))</f>
        <v>45964</v>
      </c>
      <c r="C1483" s="5" t="str">
        <f t="array" ref="C1483">IF(B1483="","",INDEX(helper!$D$3:$D3996,MOD(ROW()-2,COUNTA(helper!$D$3:$D3996))+1))</f>
        <v>Vglobal</v>
      </c>
      <c r="D1483" s="3" t="str">
        <f t="array" ref="D1483">IF(B1483="","",INDEX(helper!$E$3:$E3996,MOD(ROW()-2,COUNTA(helper!$D$3:$D3996))+1))</f>
        <v>CS 008</v>
      </c>
      <c r="E1483" s="3">
        <f t="array" ref="E1483">IF(B1483="","",INDEX(helper!$F$3:$F3996,MOD(ROW()-2,COUNTA(helper!$D$3:$D3996))+1))</f>
        <v>12</v>
      </c>
      <c r="F1483" s="3">
        <f>IF(B1483="","",SUMIFS('inventory ledger'!$H:$H,'inventory ledger'!$C:$C,C1483,'inventory ledger'!$D:$D,D1483,'inventory ledger'!$E:$E,E1483,'inventory ledger'!$A:$A,"&lt;="&amp;B1483+TIME(23,59,59))-SUMIFS('inventory ledger'!$I:$I,'inventory ledger'!$C:$C,C1483,'inventory ledger'!$D:$D,D1483,'inventory ledger'!$E:$E,E1483,'inventory ledger'!$A:$A,"&lt;="&amp;B1483+TIME(23,59,59)))</f>
        <v>0</v>
      </c>
      <c r="G1483" s="3">
        <f>IFERROR(__xludf.DUMMYFUNCTION("IF(F1483&lt;=0,0,IFERROR(ROUNDUP(F1483/INDEX(FILTER('warehouse config'!$D:$D,('warehouse config'!$B:$B=C1483)*('warehouse config'!$C:$C=D1483)*('warehouse config'!$G:$G&lt;=B1483)*(('warehouse config'!$H:$H&gt;=B1483)+ISBLANK('warehouse config'!$H:$H))),1)),0))"),0.0)</f>
        <v>0</v>
      </c>
      <c r="H1483" s="3">
        <f>IFERROR(__xludf.DUMMYFUNCTION("IFERROR(INDEX(FILTER('cost master'!$E:$E,('cost master'!$B:$B=C1483)*('cost master'!$D:$D=""Storage cost per pallet / week"")*('cost master'!$G:$G&lt;=B1483)*(('cost master'!$H:$H&gt;=B1483)+ISBLANK('cost master'!$H:$H))),1),0)"),2.6)</f>
        <v>2.6</v>
      </c>
      <c r="I1483" s="3">
        <f t="shared" si="4"/>
        <v>0</v>
      </c>
      <c r="J1483" s="27">
        <f t="shared" si="5"/>
        <v>45946</v>
      </c>
      <c r="K1483" s="27">
        <f t="shared" si="6"/>
        <v>45976</v>
      </c>
    </row>
    <row r="1484" hidden="1">
      <c r="A1484" s="3" t="str">
        <f t="shared" si="3"/>
        <v>SL-20251103-Vglobal-CS 010-12</v>
      </c>
      <c r="B1484" s="2">
        <f t="array" ref="B1484">INDEX(helper!$A$3:$A3996,ROUNDUP((ROW()-1)/COUNTA(helper!$D$3:$D3996),0))</f>
        <v>45964</v>
      </c>
      <c r="C1484" s="5" t="str">
        <f t="array" ref="C1484">IF(B1484="","",INDEX(helper!$D$3:$D3996,MOD(ROW()-2,COUNTA(helper!$D$3:$D3996))+1))</f>
        <v>Vglobal</v>
      </c>
      <c r="D1484" s="3" t="str">
        <f t="array" ref="D1484">IF(B1484="","",INDEX(helper!$E$3:$E3996,MOD(ROW()-2,COUNTA(helper!$D$3:$D3996))+1))</f>
        <v>CS 010</v>
      </c>
      <c r="E1484" s="3">
        <f t="array" ref="E1484">IF(B1484="","",INDEX(helper!$F$3:$F3996,MOD(ROW()-2,COUNTA(helper!$D$3:$D3996))+1))</f>
        <v>12</v>
      </c>
      <c r="F1484" s="3">
        <f>IF(B1484="","",SUMIFS('inventory ledger'!$H:$H,'inventory ledger'!$C:$C,C1484,'inventory ledger'!$D:$D,D1484,'inventory ledger'!$E:$E,E1484,'inventory ledger'!$A:$A,"&lt;="&amp;B1484+TIME(23,59,59))-SUMIFS('inventory ledger'!$I:$I,'inventory ledger'!$C:$C,C1484,'inventory ledger'!$D:$D,D1484,'inventory ledger'!$E:$E,E1484,'inventory ledger'!$A:$A,"&lt;="&amp;B1484+TIME(23,59,59)))</f>
        <v>70</v>
      </c>
      <c r="G1484" s="3">
        <f>IFERROR(__xludf.DUMMYFUNCTION("IF(F1484&lt;=0,0,IFERROR(ROUNDUP(F1484/INDEX(FILTER('warehouse config'!$D:$D,('warehouse config'!$B:$B=C1484)*('warehouse config'!$C:$C=D1484)*('warehouse config'!$G:$G&lt;=B1484)*(('warehouse config'!$H:$H&gt;=B1484)+ISBLANK('warehouse config'!$H:$H))),1)),0))"),3.0)</f>
        <v>3</v>
      </c>
      <c r="H1484" s="3">
        <f>IFERROR(__xludf.DUMMYFUNCTION("IFERROR(INDEX(FILTER('cost master'!$E:$E,('cost master'!$B:$B=C1484)*('cost master'!$D:$D=""Storage cost per pallet / week"")*('cost master'!$G:$G&lt;=B1484)*(('cost master'!$H:$H&gt;=B1484)+ISBLANK('cost master'!$H:$H))),1),0)"),2.6)</f>
        <v>2.6</v>
      </c>
      <c r="I1484" s="3">
        <f t="shared" si="4"/>
        <v>7.8</v>
      </c>
      <c r="J1484" s="27">
        <f t="shared" si="5"/>
        <v>45946</v>
      </c>
      <c r="K1484" s="27">
        <f t="shared" si="6"/>
        <v>45976</v>
      </c>
    </row>
    <row r="1485" hidden="1">
      <c r="A1485" s="3" t="str">
        <f t="shared" si="3"/>
        <v>SL-20251103-Vglobal-CS 009-12</v>
      </c>
      <c r="B1485" s="2">
        <f t="array" ref="B1485">INDEX(helper!$A$3:$A3996,ROUNDUP((ROW()-1)/COUNTA(helper!$D$3:$D3996),0))</f>
        <v>45964</v>
      </c>
      <c r="C1485" s="5" t="str">
        <f t="array" ref="C1485">IF(B1485="","",INDEX(helper!$D$3:$D3996,MOD(ROW()-2,COUNTA(helper!$D$3:$D3996))+1))</f>
        <v>Vglobal</v>
      </c>
      <c r="D1485" s="3" t="str">
        <f t="array" ref="D1485">IF(B1485="","",INDEX(helper!$E$3:$E3996,MOD(ROW()-2,COUNTA(helper!$D$3:$D3996))+1))</f>
        <v>CS 009</v>
      </c>
      <c r="E1485" s="3">
        <f t="array" ref="E1485">IF(B1485="","",INDEX(helper!$F$3:$F3996,MOD(ROW()-2,COUNTA(helper!$D$3:$D3996))+1))</f>
        <v>12</v>
      </c>
      <c r="F1485" s="3">
        <f>IF(B1485="","",SUMIFS('inventory ledger'!$H:$H,'inventory ledger'!$C:$C,C1485,'inventory ledger'!$D:$D,D1485,'inventory ledger'!$E:$E,E1485,'inventory ledger'!$A:$A,"&lt;="&amp;B1485+TIME(23,59,59))-SUMIFS('inventory ledger'!$I:$I,'inventory ledger'!$C:$C,C1485,'inventory ledger'!$D:$D,D1485,'inventory ledger'!$E:$E,E1485,'inventory ledger'!$A:$A,"&lt;="&amp;B1485+TIME(23,59,59)))</f>
        <v>0</v>
      </c>
      <c r="G1485" s="3">
        <f>IFERROR(__xludf.DUMMYFUNCTION("IF(F1485&lt;=0,0,IFERROR(ROUNDUP(F1485/INDEX(FILTER('warehouse config'!$D:$D,('warehouse config'!$B:$B=C1485)*('warehouse config'!$C:$C=D1485)*('warehouse config'!$G:$G&lt;=B1485)*(('warehouse config'!$H:$H&gt;=B1485)+ISBLANK('warehouse config'!$H:$H))),1)),0))"),0.0)</f>
        <v>0</v>
      </c>
      <c r="H1485" s="3">
        <f>IFERROR(__xludf.DUMMYFUNCTION("IFERROR(INDEX(FILTER('cost master'!$E:$E,('cost master'!$B:$B=C1485)*('cost master'!$D:$D=""Storage cost per pallet / week"")*('cost master'!$G:$G&lt;=B1485)*(('cost master'!$H:$H&gt;=B1485)+ISBLANK('cost master'!$H:$H))),1),0)"),2.6)</f>
        <v>2.6</v>
      </c>
      <c r="I1485" s="3">
        <f t="shared" si="4"/>
        <v>0</v>
      </c>
      <c r="J1485" s="27">
        <f t="shared" si="5"/>
        <v>45946</v>
      </c>
      <c r="K1485" s="27">
        <f t="shared" si="6"/>
        <v>45976</v>
      </c>
    </row>
    <row r="1486" hidden="1">
      <c r="A1486" s="3" t="str">
        <f t="shared" si="3"/>
        <v>SL-20251103-Vglobal-CS 012-12</v>
      </c>
      <c r="B1486" s="2">
        <f t="array" ref="B1486">INDEX(helper!$A$3:$A3996,ROUNDUP((ROW()-1)/COUNTA(helper!$D$3:$D3996),0))</f>
        <v>45964</v>
      </c>
      <c r="C1486" s="5" t="str">
        <f t="array" ref="C1486">IF(B1486="","",INDEX(helper!$D$3:$D3996,MOD(ROW()-2,COUNTA(helper!$D$3:$D3996))+1))</f>
        <v>Vglobal</v>
      </c>
      <c r="D1486" s="3" t="str">
        <f t="array" ref="D1486">IF(B1486="","",INDEX(helper!$E$3:$E3996,MOD(ROW()-2,COUNTA(helper!$D$3:$D3996))+1))</f>
        <v>CS 012</v>
      </c>
      <c r="E1486" s="3">
        <f t="array" ref="E1486">IF(B1486="","",INDEX(helper!$F$3:$F3996,MOD(ROW()-2,COUNTA(helper!$D$3:$D3996))+1))</f>
        <v>12</v>
      </c>
      <c r="F1486" s="3">
        <f>IF(B1486="","",SUMIFS('inventory ledger'!$H:$H,'inventory ledger'!$C:$C,C1486,'inventory ledger'!$D:$D,D1486,'inventory ledger'!$E:$E,E1486,'inventory ledger'!$A:$A,"&lt;="&amp;B1486+TIME(23,59,59))-SUMIFS('inventory ledger'!$I:$I,'inventory ledger'!$C:$C,C1486,'inventory ledger'!$D:$D,D1486,'inventory ledger'!$E:$E,E1486,'inventory ledger'!$A:$A,"&lt;="&amp;B1486+TIME(23,59,59)))</f>
        <v>0</v>
      </c>
      <c r="G1486" s="3">
        <f>IFERROR(__xludf.DUMMYFUNCTION("IF(F1486&lt;=0,0,IFERROR(ROUNDUP(F1486/INDEX(FILTER('warehouse config'!$D:$D,('warehouse config'!$B:$B=C1486)*('warehouse config'!$C:$C=D1486)*('warehouse config'!$G:$G&lt;=B1486)*(('warehouse config'!$H:$H&gt;=B1486)+ISBLANK('warehouse config'!$H:$H))),1)),0))"),0.0)</f>
        <v>0</v>
      </c>
      <c r="H1486" s="3">
        <f>IFERROR(__xludf.DUMMYFUNCTION("IFERROR(INDEX(FILTER('cost master'!$E:$E,('cost master'!$B:$B=C1486)*('cost master'!$D:$D=""Storage cost per pallet / week"")*('cost master'!$G:$G&lt;=B1486)*(('cost master'!$H:$H&gt;=B1486)+ISBLANK('cost master'!$H:$H))),1),0)"),2.6)</f>
        <v>2.6</v>
      </c>
      <c r="I1486" s="3">
        <f t="shared" si="4"/>
        <v>0</v>
      </c>
      <c r="J1486" s="27">
        <f t="shared" si="5"/>
        <v>45946</v>
      </c>
      <c r="K1486" s="27">
        <f t="shared" si="6"/>
        <v>45976</v>
      </c>
    </row>
    <row r="1487" hidden="1">
      <c r="A1487" s="3" t="str">
        <f t="shared" si="3"/>
        <v>SL-20251103-Vglobal-CS-CDS-001-3</v>
      </c>
      <c r="B1487" s="2">
        <f t="array" ref="B1487">INDEX(helper!$A$3:$A3996,ROUNDUP((ROW()-1)/COUNTA(helper!$D$3:$D3996),0))</f>
        <v>45964</v>
      </c>
      <c r="C1487" s="5" t="str">
        <f t="array" ref="C1487">IF(B1487="","",INDEX(helper!$D$3:$D3996,MOD(ROW()-2,COUNTA(helper!$D$3:$D3996))+1))</f>
        <v>Vglobal</v>
      </c>
      <c r="D1487" s="3" t="str">
        <f t="array" ref="D1487">IF(B1487="","",INDEX(helper!$E$3:$E3996,MOD(ROW()-2,COUNTA(helper!$D$3:$D3996))+1))</f>
        <v>CS-CDS-001</v>
      </c>
      <c r="E1487" s="3">
        <f t="array" ref="E1487">IF(B1487="","",INDEX(helper!$F$3:$F3996,MOD(ROW()-2,COUNTA(helper!$D$3:$D3996))+1))</f>
        <v>3</v>
      </c>
      <c r="F1487" s="3">
        <f>IF(B1487="","",SUMIFS('inventory ledger'!$H:$H,'inventory ledger'!$C:$C,C1487,'inventory ledger'!$D:$D,D1487,'inventory ledger'!$E:$E,E1487,'inventory ledger'!$A:$A,"&lt;="&amp;B1487+TIME(23,59,59))-SUMIFS('inventory ledger'!$I:$I,'inventory ledger'!$C:$C,C1487,'inventory ledger'!$D:$D,D1487,'inventory ledger'!$E:$E,E1487,'inventory ledger'!$A:$A,"&lt;="&amp;B1487+TIME(23,59,59)))</f>
        <v>1</v>
      </c>
      <c r="G1487" s="3">
        <f>IFERROR(__xludf.DUMMYFUNCTION("IF(F1487&lt;=0,0,IFERROR(ROUNDUP(F1487/INDEX(FILTER('warehouse config'!$D:$D,('warehouse config'!$B:$B=C1487)*('warehouse config'!$C:$C=D1487)*('warehouse config'!$G:$G&lt;=B1487)*(('warehouse config'!$H:$H&gt;=B1487)+ISBLANK('warehouse config'!$H:$H))),1)),0))"),1.0)</f>
        <v>1</v>
      </c>
      <c r="H1487" s="3">
        <f>IFERROR(__xludf.DUMMYFUNCTION("IFERROR(INDEX(FILTER('cost master'!$E:$E,('cost master'!$B:$B=C1487)*('cost master'!$D:$D=""Storage cost per pallet / week"")*('cost master'!$G:$G&lt;=B1487)*(('cost master'!$H:$H&gt;=B1487)+ISBLANK('cost master'!$H:$H))),1),0)"),2.6)</f>
        <v>2.6</v>
      </c>
      <c r="I1487" s="3">
        <f t="shared" si="4"/>
        <v>2.6</v>
      </c>
      <c r="J1487" s="27">
        <f t="shared" si="5"/>
        <v>45946</v>
      </c>
      <c r="K1487" s="27">
        <f t="shared" si="6"/>
        <v>45976</v>
      </c>
    </row>
    <row r="1488" hidden="1">
      <c r="A1488" s="3" t="str">
        <f t="shared" si="3"/>
        <v>SL-20251103-Vglobal-CS-CDS-002-3</v>
      </c>
      <c r="B1488" s="2">
        <f t="array" ref="B1488">INDEX(helper!$A$3:$A3996,ROUNDUP((ROW()-1)/COUNTA(helper!$D$3:$D3996),0))</f>
        <v>45964</v>
      </c>
      <c r="C1488" s="5" t="str">
        <f t="array" ref="C1488">IF(B1488="","",INDEX(helper!$D$3:$D3996,MOD(ROW()-2,COUNTA(helper!$D$3:$D3996))+1))</f>
        <v>Vglobal</v>
      </c>
      <c r="D1488" s="3" t="str">
        <f t="array" ref="D1488">IF(B1488="","",INDEX(helper!$E$3:$E3996,MOD(ROW()-2,COUNTA(helper!$D$3:$D3996))+1))</f>
        <v>CS-CDS-002</v>
      </c>
      <c r="E1488" s="3">
        <f t="array" ref="E1488">IF(B1488="","",INDEX(helper!$F$3:$F3996,MOD(ROW()-2,COUNTA(helper!$D$3:$D3996))+1))</f>
        <v>3</v>
      </c>
      <c r="F1488" s="3">
        <f>IF(B1488="","",SUMIFS('inventory ledger'!$H:$H,'inventory ledger'!$C:$C,C1488,'inventory ledger'!$D:$D,D1488,'inventory ledger'!$E:$E,E1488,'inventory ledger'!$A:$A,"&lt;="&amp;B1488+TIME(23,59,59))-SUMIFS('inventory ledger'!$I:$I,'inventory ledger'!$C:$C,C1488,'inventory ledger'!$D:$D,D1488,'inventory ledger'!$E:$E,E1488,'inventory ledger'!$A:$A,"&lt;="&amp;B1488+TIME(23,59,59)))</f>
        <v>0</v>
      </c>
      <c r="G1488" s="3">
        <f>IFERROR(__xludf.DUMMYFUNCTION("IF(F1488&lt;=0,0,IFERROR(ROUNDUP(F1488/INDEX(FILTER('warehouse config'!$D:$D,('warehouse config'!$B:$B=C1488)*('warehouse config'!$C:$C=D1488)*('warehouse config'!$G:$G&lt;=B1488)*(('warehouse config'!$H:$H&gt;=B1488)+ISBLANK('warehouse config'!$H:$H))),1)),0))"),0.0)</f>
        <v>0</v>
      </c>
      <c r="H1488" s="3">
        <f>IFERROR(__xludf.DUMMYFUNCTION("IFERROR(INDEX(FILTER('cost master'!$E:$E,('cost master'!$B:$B=C1488)*('cost master'!$D:$D=""Storage cost per pallet / week"")*('cost master'!$G:$G&lt;=B1488)*(('cost master'!$H:$H&gt;=B1488)+ISBLANK('cost master'!$H:$H))),1),0)"),2.6)</f>
        <v>2.6</v>
      </c>
      <c r="I1488" s="3">
        <f t="shared" si="4"/>
        <v>0</v>
      </c>
      <c r="J1488" s="27">
        <f t="shared" si="5"/>
        <v>45946</v>
      </c>
      <c r="K1488" s="27">
        <f t="shared" si="6"/>
        <v>45976</v>
      </c>
    </row>
    <row r="1489" hidden="1">
      <c r="A1489" s="3" t="str">
        <f t="shared" si="3"/>
        <v>SL-20251103-4as-CS-CDS-001-4</v>
      </c>
      <c r="B1489" s="2">
        <f t="array" ref="B1489">INDEX(helper!$A$3:$A3996,ROUNDUP((ROW()-1)/COUNTA(helper!$D$3:$D3996),0))</f>
        <v>45964</v>
      </c>
      <c r="C1489" s="5" t="str">
        <f t="array" ref="C1489">IF(B1489="","",INDEX(helper!$D$3:$D3996,MOD(ROW()-2,COUNTA(helper!$D$3:$D3996))+1))</f>
        <v>4as</v>
      </c>
      <c r="D1489" s="3" t="str">
        <f t="array" ref="D1489">IF(B1489="","",INDEX(helper!$E$3:$E3996,MOD(ROW()-2,COUNTA(helper!$D$3:$D3996))+1))</f>
        <v>CS-CDS-001</v>
      </c>
      <c r="E1489" s="3">
        <f t="array" ref="E1489">IF(B1489="","",INDEX(helper!$F$3:$F3996,MOD(ROW()-2,COUNTA(helper!$D$3:$D3996))+1))</f>
        <v>4</v>
      </c>
      <c r="F1489" s="3">
        <f>IF(B1489="","",SUMIFS('inventory ledger'!$H:$H,'inventory ledger'!$C:$C,C1489,'inventory ledger'!$D:$D,D1489,'inventory ledger'!$E:$E,E1489,'inventory ledger'!$A:$A,"&lt;="&amp;B1489+TIME(23,59,59))-SUMIFS('inventory ledger'!$I:$I,'inventory ledger'!$C:$C,C1489,'inventory ledger'!$D:$D,D1489,'inventory ledger'!$E:$E,E1489,'inventory ledger'!$A:$A,"&lt;="&amp;B1489+TIME(23,59,59)))</f>
        <v>0</v>
      </c>
      <c r="G1489" s="3">
        <f>IFERROR(__xludf.DUMMYFUNCTION("IF(F1489&lt;=0,0,IFERROR(ROUNDUP(F1489/INDEX(FILTER('warehouse config'!$D:$D,('warehouse config'!$B:$B=C1489)*('warehouse config'!$C:$C=D1489)*('warehouse config'!$G:$G&lt;=B1489)*(('warehouse config'!$H:$H&gt;=B1489)+ISBLANK('warehouse config'!$H:$H))),1)),0))"),0.0)</f>
        <v>0</v>
      </c>
      <c r="H1489" s="3">
        <f>IFERROR(__xludf.DUMMYFUNCTION("IFERROR(INDEX(FILTER('cost master'!$E:$E,('cost master'!$B:$B=C1489)*('cost master'!$D:$D=""Storage cost per pallet / week"")*('cost master'!$G:$G&lt;=B1489)*(('cost master'!$H:$H&gt;=B1489)+ISBLANK('cost master'!$H:$H))),1),0)"),9.0)</f>
        <v>9</v>
      </c>
      <c r="I1489" s="3">
        <f t="shared" si="4"/>
        <v>0</v>
      </c>
      <c r="J1489" s="27">
        <f t="shared" si="5"/>
        <v>45946</v>
      </c>
      <c r="K1489" s="27">
        <f t="shared" si="6"/>
        <v>45976</v>
      </c>
    </row>
    <row r="1490" hidden="1">
      <c r="A1490" s="3" t="str">
        <f t="shared" si="3"/>
        <v>SL-20251103-4as-CS-CDS-002-4</v>
      </c>
      <c r="B1490" s="2">
        <f t="array" ref="B1490">INDEX(helper!$A$3:$A3996,ROUNDUP((ROW()-1)/COUNTA(helper!$D$3:$D3996),0))</f>
        <v>45964</v>
      </c>
      <c r="C1490" s="5" t="str">
        <f t="array" ref="C1490">IF(B1490="","",INDEX(helper!$D$3:$D3996,MOD(ROW()-2,COUNTA(helper!$D$3:$D3996))+1))</f>
        <v>4as</v>
      </c>
      <c r="D1490" s="3" t="str">
        <f t="array" ref="D1490">IF(B1490="","",INDEX(helper!$E$3:$E3996,MOD(ROW()-2,COUNTA(helper!$D$3:$D3996))+1))</f>
        <v>CS-CDS-002</v>
      </c>
      <c r="E1490" s="3">
        <f t="array" ref="E1490">IF(B1490="","",INDEX(helper!$F$3:$F3996,MOD(ROW()-2,COUNTA(helper!$D$3:$D3996))+1))</f>
        <v>4</v>
      </c>
      <c r="F1490" s="3">
        <f>IF(B1490="","",SUMIFS('inventory ledger'!$H:$H,'inventory ledger'!$C:$C,C1490,'inventory ledger'!$D:$D,D1490,'inventory ledger'!$E:$E,E1490,'inventory ledger'!$A:$A,"&lt;="&amp;B1490+TIME(23,59,59))-SUMIFS('inventory ledger'!$I:$I,'inventory ledger'!$C:$C,C1490,'inventory ledger'!$D:$D,D1490,'inventory ledger'!$E:$E,E1490,'inventory ledger'!$A:$A,"&lt;="&amp;B1490+TIME(23,59,59)))</f>
        <v>0</v>
      </c>
      <c r="G1490" s="3">
        <f>IFERROR(__xludf.DUMMYFUNCTION("IF(F1490&lt;=0,0,IFERROR(ROUNDUP(F1490/INDEX(FILTER('warehouse config'!$D:$D,('warehouse config'!$B:$B=C1490)*('warehouse config'!$C:$C=D1490)*('warehouse config'!$G:$G&lt;=B1490)*(('warehouse config'!$H:$H&gt;=B1490)+ISBLANK('warehouse config'!$H:$H))),1)),0))"),0.0)</f>
        <v>0</v>
      </c>
      <c r="H1490" s="3">
        <f>IFERROR(__xludf.DUMMYFUNCTION("IFERROR(INDEX(FILTER('cost master'!$E:$E,('cost master'!$B:$B=C1490)*('cost master'!$D:$D=""Storage cost per pallet / week"")*('cost master'!$G:$G&lt;=B1490)*(('cost master'!$H:$H&gt;=B1490)+ISBLANK('cost master'!$H:$H))),1),0)"),9.0)</f>
        <v>9</v>
      </c>
      <c r="I1490" s="3">
        <f t="shared" si="4"/>
        <v>0</v>
      </c>
      <c r="J1490" s="27">
        <f t="shared" si="5"/>
        <v>45946</v>
      </c>
      <c r="K1490" s="27">
        <f t="shared" si="6"/>
        <v>45976</v>
      </c>
    </row>
    <row r="1491" hidden="1">
      <c r="A1491" s="3" t="str">
        <f t="shared" si="3"/>
        <v>SL-20251103-Vglobal-CS 007-13</v>
      </c>
      <c r="B1491" s="2">
        <f t="array" ref="B1491">INDEX(helper!$A$3:$A3996,ROUNDUP((ROW()-1)/COUNTA(helper!$D$3:$D3996),0))</f>
        <v>45964</v>
      </c>
      <c r="C1491" s="5" t="str">
        <f t="array" ref="C1491">IF(B1491="","",INDEX(helper!$D$3:$D3996,MOD(ROW()-2,COUNTA(helper!$D$3:$D3996))+1))</f>
        <v>Vglobal</v>
      </c>
      <c r="D1491" s="3" t="str">
        <f t="array" ref="D1491">IF(B1491="","",INDEX(helper!$E$3:$E3996,MOD(ROW()-2,COUNTA(helper!$D$3:$D3996))+1))</f>
        <v>CS 007</v>
      </c>
      <c r="E1491" s="3">
        <f t="array" ref="E1491">IF(B1491="","",INDEX(helper!$F$3:$F3996,MOD(ROW()-2,COUNTA(helper!$D$3:$D3996))+1))</f>
        <v>13</v>
      </c>
      <c r="F1491" s="3">
        <f>IF(B1491="","",SUMIFS('inventory ledger'!$H:$H,'inventory ledger'!$C:$C,C1491,'inventory ledger'!$D:$D,D1491,'inventory ledger'!$E:$E,E1491,'inventory ledger'!$A:$A,"&lt;="&amp;B1491+TIME(23,59,59))-SUMIFS('inventory ledger'!$I:$I,'inventory ledger'!$C:$C,C1491,'inventory ledger'!$D:$D,D1491,'inventory ledger'!$E:$E,E1491,'inventory ledger'!$A:$A,"&lt;="&amp;B1491+TIME(23,59,59)))</f>
        <v>45</v>
      </c>
      <c r="G1491" s="3">
        <f>IFERROR(__xludf.DUMMYFUNCTION("IF(F1491&lt;=0,0,IFERROR(ROUNDUP(F1491/INDEX(FILTER('warehouse config'!$D:$D,('warehouse config'!$B:$B=C1491)*('warehouse config'!$C:$C=D1491)*('warehouse config'!$G:$G&lt;=B1491)*(('warehouse config'!$H:$H&gt;=B1491)+ISBLANK('warehouse config'!$H:$H))),1)),0))"),3.0)</f>
        <v>3</v>
      </c>
      <c r="H1491" s="3">
        <f>IFERROR(__xludf.DUMMYFUNCTION("IFERROR(INDEX(FILTER('cost master'!$E:$E,('cost master'!$B:$B=C1491)*('cost master'!$D:$D=""Storage cost per pallet / week"")*('cost master'!$G:$G&lt;=B1491)*(('cost master'!$H:$H&gt;=B1491)+ISBLANK('cost master'!$H:$H))),1),0)"),2.6)</f>
        <v>2.6</v>
      </c>
      <c r="I1491" s="3">
        <f t="shared" si="4"/>
        <v>7.8</v>
      </c>
      <c r="J1491" s="27">
        <f t="shared" si="5"/>
        <v>45946</v>
      </c>
      <c r="K1491" s="27">
        <f t="shared" si="6"/>
        <v>45976</v>
      </c>
    </row>
    <row r="1492" hidden="1">
      <c r="A1492" s="3" t="str">
        <f t="shared" si="3"/>
        <v>SL-20251103-Vglobal-CS 011-13</v>
      </c>
      <c r="B1492" s="2">
        <f t="array" ref="B1492">INDEX(helper!$A$3:$A3996,ROUNDUP((ROW()-1)/COUNTA(helper!$D$3:$D3996),0))</f>
        <v>45964</v>
      </c>
      <c r="C1492" s="5" t="str">
        <f t="array" ref="C1492">IF(B1492="","",INDEX(helper!$D$3:$D3996,MOD(ROW()-2,COUNTA(helper!$D$3:$D3996))+1))</f>
        <v>Vglobal</v>
      </c>
      <c r="D1492" s="3" t="str">
        <f t="array" ref="D1492">IF(B1492="","",INDEX(helper!$E$3:$E3996,MOD(ROW()-2,COUNTA(helper!$D$3:$D3996))+1))</f>
        <v>CS 011</v>
      </c>
      <c r="E1492" s="3">
        <f t="array" ref="E1492">IF(B1492="","",INDEX(helper!$F$3:$F3996,MOD(ROW()-2,COUNTA(helper!$D$3:$D3996))+1))</f>
        <v>13</v>
      </c>
      <c r="F1492" s="3">
        <f>IF(B1492="","",SUMIFS('inventory ledger'!$H:$H,'inventory ledger'!$C:$C,C1492,'inventory ledger'!$D:$D,D1492,'inventory ledger'!$E:$E,E1492,'inventory ledger'!$A:$A,"&lt;="&amp;B1492+TIME(23,59,59))-SUMIFS('inventory ledger'!$I:$I,'inventory ledger'!$C:$C,C1492,'inventory ledger'!$D:$D,D1492,'inventory ledger'!$E:$E,E1492,'inventory ledger'!$A:$A,"&lt;="&amp;B1492+TIME(23,59,59)))</f>
        <v>0</v>
      </c>
      <c r="G1492" s="3">
        <f>IFERROR(__xludf.DUMMYFUNCTION("IF(F1492&lt;=0,0,IFERROR(ROUNDUP(F1492/INDEX(FILTER('warehouse config'!$D:$D,('warehouse config'!$B:$B=C1492)*('warehouse config'!$C:$C=D1492)*('warehouse config'!$G:$G&lt;=B1492)*(('warehouse config'!$H:$H&gt;=B1492)+ISBLANK('warehouse config'!$H:$H))),1)),0))"),0.0)</f>
        <v>0</v>
      </c>
      <c r="H1492" s="3">
        <f>IFERROR(__xludf.DUMMYFUNCTION("IFERROR(INDEX(FILTER('cost master'!$E:$E,('cost master'!$B:$B=C1492)*('cost master'!$D:$D=""Storage cost per pallet / week"")*('cost master'!$G:$G&lt;=B1492)*(('cost master'!$H:$H&gt;=B1492)+ISBLANK('cost master'!$H:$H))),1),0)"),2.6)</f>
        <v>2.6</v>
      </c>
      <c r="I1492" s="3">
        <f t="shared" si="4"/>
        <v>0</v>
      </c>
      <c r="J1492" s="27">
        <f t="shared" si="5"/>
        <v>45946</v>
      </c>
      <c r="K1492" s="27">
        <f t="shared" si="6"/>
        <v>45976</v>
      </c>
    </row>
    <row r="1493" hidden="1">
      <c r="A1493" s="3" t="str">
        <f t="shared" si="3"/>
        <v>SL-20251103-Vglobal-CS 008-13</v>
      </c>
      <c r="B1493" s="2">
        <f t="array" ref="B1493">INDEX(helper!$A$3:$A3996,ROUNDUP((ROW()-1)/COUNTA(helper!$D$3:$D3996),0))</f>
        <v>45964</v>
      </c>
      <c r="C1493" s="5" t="str">
        <f t="array" ref="C1493">IF(B1493="","",INDEX(helper!$D$3:$D3996,MOD(ROW()-2,COUNTA(helper!$D$3:$D3996))+1))</f>
        <v>Vglobal</v>
      </c>
      <c r="D1493" s="3" t="str">
        <f t="array" ref="D1493">IF(B1493="","",INDEX(helper!$E$3:$E3996,MOD(ROW()-2,COUNTA(helper!$D$3:$D3996))+1))</f>
        <v>CS 008</v>
      </c>
      <c r="E1493" s="3">
        <f t="array" ref="E1493">IF(B1493="","",INDEX(helper!$F$3:$F3996,MOD(ROW()-2,COUNTA(helper!$D$3:$D3996))+1))</f>
        <v>13</v>
      </c>
      <c r="F1493" s="3">
        <f>IF(B1493="","",SUMIFS('inventory ledger'!$H:$H,'inventory ledger'!$C:$C,C1493,'inventory ledger'!$D:$D,D1493,'inventory ledger'!$E:$E,E1493,'inventory ledger'!$A:$A,"&lt;="&amp;B1493+TIME(23,59,59))-SUMIFS('inventory ledger'!$I:$I,'inventory ledger'!$C:$C,C1493,'inventory ledger'!$D:$D,D1493,'inventory ledger'!$E:$E,E1493,'inventory ledger'!$A:$A,"&lt;="&amp;B1493+TIME(23,59,59)))</f>
        <v>20</v>
      </c>
      <c r="G1493" s="3">
        <f>IFERROR(__xludf.DUMMYFUNCTION("IF(F1493&lt;=0,0,IFERROR(ROUNDUP(F1493/INDEX(FILTER('warehouse config'!$D:$D,('warehouse config'!$B:$B=C1493)*('warehouse config'!$C:$C=D1493)*('warehouse config'!$G:$G&lt;=B1493)*(('warehouse config'!$H:$H&gt;=B1493)+ISBLANK('warehouse config'!$H:$H))),1)),0))"),1.0)</f>
        <v>1</v>
      </c>
      <c r="H1493" s="3">
        <f>IFERROR(__xludf.DUMMYFUNCTION("IFERROR(INDEX(FILTER('cost master'!$E:$E,('cost master'!$B:$B=C1493)*('cost master'!$D:$D=""Storage cost per pallet / week"")*('cost master'!$G:$G&lt;=B1493)*(('cost master'!$H:$H&gt;=B1493)+ISBLANK('cost master'!$H:$H))),1),0)"),2.6)</f>
        <v>2.6</v>
      </c>
      <c r="I1493" s="3">
        <f t="shared" si="4"/>
        <v>2.6</v>
      </c>
      <c r="J1493" s="27">
        <f t="shared" si="5"/>
        <v>45946</v>
      </c>
      <c r="K1493" s="27">
        <f t="shared" si="6"/>
        <v>45976</v>
      </c>
    </row>
    <row r="1494" hidden="1">
      <c r="A1494" s="3" t="str">
        <f t="shared" si="3"/>
        <v>SL-20251103-Vglobal-CS 010-13</v>
      </c>
      <c r="B1494" s="2">
        <f t="array" ref="B1494">INDEX(helper!$A$3:$A3996,ROUNDUP((ROW()-1)/COUNTA(helper!$D$3:$D3996),0))</f>
        <v>45964</v>
      </c>
      <c r="C1494" s="5" t="str">
        <f t="array" ref="C1494">IF(B1494="","",INDEX(helper!$D$3:$D3996,MOD(ROW()-2,COUNTA(helper!$D$3:$D3996))+1))</f>
        <v>Vglobal</v>
      </c>
      <c r="D1494" s="3" t="str">
        <f t="array" ref="D1494">IF(B1494="","",INDEX(helper!$E$3:$E3996,MOD(ROW()-2,COUNTA(helper!$D$3:$D3996))+1))</f>
        <v>CS 010</v>
      </c>
      <c r="E1494" s="3">
        <f t="array" ref="E1494">IF(B1494="","",INDEX(helper!$F$3:$F3996,MOD(ROW()-2,COUNTA(helper!$D$3:$D3996))+1))</f>
        <v>13</v>
      </c>
      <c r="F1494" s="3">
        <f>IF(B1494="","",SUMIFS('inventory ledger'!$H:$H,'inventory ledger'!$C:$C,C1494,'inventory ledger'!$D:$D,D1494,'inventory ledger'!$E:$E,E1494,'inventory ledger'!$A:$A,"&lt;="&amp;B1494+TIME(23,59,59))-SUMIFS('inventory ledger'!$I:$I,'inventory ledger'!$C:$C,C1494,'inventory ledger'!$D:$D,D1494,'inventory ledger'!$E:$E,E1494,'inventory ledger'!$A:$A,"&lt;="&amp;B1494+TIME(23,59,59)))</f>
        <v>80</v>
      </c>
      <c r="G1494" s="3">
        <f>IFERROR(__xludf.DUMMYFUNCTION("IF(F1494&lt;=0,0,IFERROR(ROUNDUP(F1494/INDEX(FILTER('warehouse config'!$D:$D,('warehouse config'!$B:$B=C1494)*('warehouse config'!$C:$C=D1494)*('warehouse config'!$G:$G&lt;=B1494)*(('warehouse config'!$H:$H&gt;=B1494)+ISBLANK('warehouse config'!$H:$H))),1)),0))"),4.0)</f>
        <v>4</v>
      </c>
      <c r="H1494" s="3">
        <f>IFERROR(__xludf.DUMMYFUNCTION("IFERROR(INDEX(FILTER('cost master'!$E:$E,('cost master'!$B:$B=C1494)*('cost master'!$D:$D=""Storage cost per pallet / week"")*('cost master'!$G:$G&lt;=B1494)*(('cost master'!$H:$H&gt;=B1494)+ISBLANK('cost master'!$H:$H))),1),0)"),2.6)</f>
        <v>2.6</v>
      </c>
      <c r="I1494" s="3">
        <f t="shared" si="4"/>
        <v>10.4</v>
      </c>
      <c r="J1494" s="27">
        <f t="shared" si="5"/>
        <v>45946</v>
      </c>
      <c r="K1494" s="27">
        <f t="shared" si="6"/>
        <v>45976</v>
      </c>
    </row>
    <row r="1495" hidden="1">
      <c r="A1495" s="3" t="str">
        <f t="shared" si="3"/>
        <v>SL-20251103-Vglobal-CS 009-13</v>
      </c>
      <c r="B1495" s="2">
        <f t="array" ref="B1495">INDEX(helper!$A$3:$A3996,ROUNDUP((ROW()-1)/COUNTA(helper!$D$3:$D3996),0))</f>
        <v>45964</v>
      </c>
      <c r="C1495" s="5" t="str">
        <f t="array" ref="C1495">IF(B1495="","",INDEX(helper!$D$3:$D3996,MOD(ROW()-2,COUNTA(helper!$D$3:$D3996))+1))</f>
        <v>Vglobal</v>
      </c>
      <c r="D1495" s="3" t="str">
        <f t="array" ref="D1495">IF(B1495="","",INDEX(helper!$E$3:$E3996,MOD(ROW()-2,COUNTA(helper!$D$3:$D3996))+1))</f>
        <v>CS 009</v>
      </c>
      <c r="E1495" s="3">
        <f t="array" ref="E1495">IF(B1495="","",INDEX(helper!$F$3:$F3996,MOD(ROW()-2,COUNTA(helper!$D$3:$D3996))+1))</f>
        <v>13</v>
      </c>
      <c r="F1495" s="3">
        <f>IF(B1495="","",SUMIFS('inventory ledger'!$H:$H,'inventory ledger'!$C:$C,C1495,'inventory ledger'!$D:$D,D1495,'inventory ledger'!$E:$E,E1495,'inventory ledger'!$A:$A,"&lt;="&amp;B1495+TIME(23,59,59))-SUMIFS('inventory ledger'!$I:$I,'inventory ledger'!$C:$C,C1495,'inventory ledger'!$D:$D,D1495,'inventory ledger'!$E:$E,E1495,'inventory ledger'!$A:$A,"&lt;="&amp;B1495+TIME(23,59,59)))</f>
        <v>0</v>
      </c>
      <c r="G1495" s="3">
        <f>IFERROR(__xludf.DUMMYFUNCTION("IF(F1495&lt;=0,0,IFERROR(ROUNDUP(F1495/INDEX(FILTER('warehouse config'!$D:$D,('warehouse config'!$B:$B=C1495)*('warehouse config'!$C:$C=D1495)*('warehouse config'!$G:$G&lt;=B1495)*(('warehouse config'!$H:$H&gt;=B1495)+ISBLANK('warehouse config'!$H:$H))),1)),0))"),0.0)</f>
        <v>0</v>
      </c>
      <c r="H1495" s="3">
        <f>IFERROR(__xludf.DUMMYFUNCTION("IFERROR(INDEX(FILTER('cost master'!$E:$E,('cost master'!$B:$B=C1495)*('cost master'!$D:$D=""Storage cost per pallet / week"")*('cost master'!$G:$G&lt;=B1495)*(('cost master'!$H:$H&gt;=B1495)+ISBLANK('cost master'!$H:$H))),1),0)"),2.6)</f>
        <v>2.6</v>
      </c>
      <c r="I1495" s="3">
        <f t="shared" si="4"/>
        <v>0</v>
      </c>
      <c r="J1495" s="27">
        <f t="shared" si="5"/>
        <v>45946</v>
      </c>
      <c r="K1495" s="27">
        <f t="shared" si="6"/>
        <v>45976</v>
      </c>
    </row>
    <row r="1496" hidden="1">
      <c r="A1496" s="3" t="str">
        <f t="shared" si="3"/>
        <v>SL-20251103-Vglobal-CS 012-13</v>
      </c>
      <c r="B1496" s="2">
        <f t="array" ref="B1496">INDEX(helper!$A$3:$A3996,ROUNDUP((ROW()-1)/COUNTA(helper!$D$3:$D3996),0))</f>
        <v>45964</v>
      </c>
      <c r="C1496" s="5" t="str">
        <f t="array" ref="C1496">IF(B1496="","",INDEX(helper!$D$3:$D3996,MOD(ROW()-2,COUNTA(helper!$D$3:$D3996))+1))</f>
        <v>Vglobal</v>
      </c>
      <c r="D1496" s="3" t="str">
        <f t="array" ref="D1496">IF(B1496="","",INDEX(helper!$E$3:$E3996,MOD(ROW()-2,COUNTA(helper!$D$3:$D3996))+1))</f>
        <v>CS 012</v>
      </c>
      <c r="E1496" s="3">
        <f t="array" ref="E1496">IF(B1496="","",INDEX(helper!$F$3:$F3996,MOD(ROW()-2,COUNTA(helper!$D$3:$D3996))+1))</f>
        <v>13</v>
      </c>
      <c r="F1496" s="3">
        <f>IF(B1496="","",SUMIFS('inventory ledger'!$H:$H,'inventory ledger'!$C:$C,C1496,'inventory ledger'!$D:$D,D1496,'inventory ledger'!$E:$E,E1496,'inventory ledger'!$A:$A,"&lt;="&amp;B1496+TIME(23,59,59))-SUMIFS('inventory ledger'!$I:$I,'inventory ledger'!$C:$C,C1496,'inventory ledger'!$D:$D,D1496,'inventory ledger'!$E:$E,E1496,'inventory ledger'!$A:$A,"&lt;="&amp;B1496+TIME(23,59,59)))</f>
        <v>0</v>
      </c>
      <c r="G1496" s="3">
        <f>IFERROR(__xludf.DUMMYFUNCTION("IF(F1496&lt;=0,0,IFERROR(ROUNDUP(F1496/INDEX(FILTER('warehouse config'!$D:$D,('warehouse config'!$B:$B=C1496)*('warehouse config'!$C:$C=D1496)*('warehouse config'!$G:$G&lt;=B1496)*(('warehouse config'!$H:$H&gt;=B1496)+ISBLANK('warehouse config'!$H:$H))),1)),0))"),0.0)</f>
        <v>0</v>
      </c>
      <c r="H1496" s="3">
        <f>IFERROR(__xludf.DUMMYFUNCTION("IFERROR(INDEX(FILTER('cost master'!$E:$E,('cost master'!$B:$B=C1496)*('cost master'!$D:$D=""Storage cost per pallet / week"")*('cost master'!$G:$G&lt;=B1496)*(('cost master'!$H:$H&gt;=B1496)+ISBLANK('cost master'!$H:$H))),1),0)"),2.6)</f>
        <v>2.6</v>
      </c>
      <c r="I1496" s="3">
        <f t="shared" si="4"/>
        <v>0</v>
      </c>
      <c r="J1496" s="27">
        <f t="shared" si="5"/>
        <v>45946</v>
      </c>
      <c r="K1496" s="27">
        <f t="shared" si="6"/>
        <v>45976</v>
      </c>
    </row>
    <row r="1497">
      <c r="A1497" s="3" t="str">
        <f t="shared" si="3"/>
        <v>SL-20251103-FMC-CS 008-11</v>
      </c>
      <c r="B1497" s="2">
        <f t="array" ref="B1497">INDEX(helper!$A$3:$A3996,ROUNDUP((ROW()-1)/COUNTA(helper!$D$3:$D3996),0))</f>
        <v>45964</v>
      </c>
      <c r="C1497" s="5" t="str">
        <f t="array" ref="C1497">IF(B1497="","",INDEX(helper!$D$3:$D3996,MOD(ROW()-2,COUNTA(helper!$D$3:$D3996))+1))</f>
        <v>FMC</v>
      </c>
      <c r="D1497" s="3" t="str">
        <f t="array" ref="D1497">IF(B1497="","",INDEX(helper!$E$3:$E3996,MOD(ROW()-2,COUNTA(helper!$D$3:$D3996))+1))</f>
        <v>CS 008</v>
      </c>
      <c r="E1497" s="3">
        <f t="array" ref="E1497">IF(B1497="","",INDEX(helper!$F$3:$F3996,MOD(ROW()-2,COUNTA(helper!$D$3:$D3996))+1))</f>
        <v>11</v>
      </c>
      <c r="F1497" s="3">
        <f>IF(B1497="","",SUMIFS('inventory ledger'!$H:$H,'inventory ledger'!$C:$C,C1497,'inventory ledger'!$D:$D,D1497,'inventory ledger'!$E:$E,E1497,'inventory ledger'!$A:$A,"&lt;="&amp;B1497+TIME(23,59,59))-SUMIFS('inventory ledger'!$I:$I,'inventory ledger'!$C:$C,C1497,'inventory ledger'!$D:$D,D1497,'inventory ledger'!$E:$E,E1497,'inventory ledger'!$A:$A,"&lt;="&amp;B1497+TIME(23,59,59)))</f>
        <v>-2</v>
      </c>
      <c r="G1497" s="3">
        <f>IFERROR(__xludf.DUMMYFUNCTION("IF(F1497&lt;=0,0,IFERROR(ROUNDUP(F1497/INDEX(FILTER('warehouse config'!$D:$D,('warehouse config'!$B:$B=C1497)*('warehouse config'!$C:$C=D1497)*('warehouse config'!$G:$G&lt;=B1497)*(('warehouse config'!$H:$H&gt;=B1497)+ISBLANK('warehouse config'!$H:$H))),1)),0))"),0.0)</f>
        <v>0</v>
      </c>
      <c r="H1497" s="3">
        <f>IFERROR(__xludf.DUMMYFUNCTION("IFERROR(INDEX(FILTER('cost master'!$E:$E,('cost master'!$B:$B=C1497)*('cost master'!$D:$D=""Storage cost per pallet / week"")*('cost master'!$G:$G&lt;=B1497)*(('cost master'!$H:$H&gt;=B1497)+ISBLANK('cost master'!$H:$H))),1),0)"),3.9)</f>
        <v>3.9</v>
      </c>
      <c r="I1497" s="3">
        <f t="shared" si="4"/>
        <v>0</v>
      </c>
      <c r="J1497" s="27">
        <f t="shared" si="5"/>
        <v>45946</v>
      </c>
      <c r="K1497" s="27">
        <f t="shared" si="6"/>
        <v>45976</v>
      </c>
    </row>
    <row r="1498" hidden="1">
      <c r="A1498" s="3" t="str">
        <f t="shared" si="3"/>
        <v>SL-20251110-FMC-CS 007-8</v>
      </c>
      <c r="B1498" s="2">
        <f t="array" ref="B1498">INDEX(helper!$A$3:$A3996,ROUNDUP((ROW()-1)/COUNTA(helper!$D$3:$D3996),0))</f>
        <v>45971</v>
      </c>
      <c r="C1498" s="5" t="str">
        <f t="array" ref="C1498">IF(B1498="","",INDEX(helper!$D$3:$D3996,MOD(ROW()-2,COUNTA(helper!$D$3:$D3996))+1))</f>
        <v>FMC</v>
      </c>
      <c r="D1498" s="3" t="str">
        <f t="array" ref="D1498">IF(B1498="","",INDEX(helper!$E$3:$E3996,MOD(ROW()-2,COUNTA(helper!$D$3:$D3996))+1))</f>
        <v>CS 007</v>
      </c>
      <c r="E1498" s="3">
        <f t="array" ref="E1498">IF(B1498="","",INDEX(helper!$F$3:$F3996,MOD(ROW()-2,COUNTA(helper!$D$3:$D3996))+1))</f>
        <v>8</v>
      </c>
      <c r="F1498" s="3">
        <f>IF(B1498="","",SUMIFS('inventory ledger'!$H:$H,'inventory ledger'!$C:$C,C1498,'inventory ledger'!$D:$D,D1498,'inventory ledger'!$E:$E,E1498,'inventory ledger'!$A:$A,"&lt;="&amp;B1498+TIME(23,59,59))-SUMIFS('inventory ledger'!$I:$I,'inventory ledger'!$C:$C,C1498,'inventory ledger'!$D:$D,D1498,'inventory ledger'!$E:$E,E1498,'inventory ledger'!$A:$A,"&lt;="&amp;B1498+TIME(23,59,59)))</f>
        <v>0</v>
      </c>
      <c r="G1498" s="3">
        <f>IFERROR(__xludf.DUMMYFUNCTION("IF(F1498&lt;=0,0,IFERROR(ROUNDUP(F1498/INDEX(FILTER('warehouse config'!$D:$D,('warehouse config'!$B:$B=C1498)*('warehouse config'!$C:$C=D1498)*('warehouse config'!$G:$G&lt;=B1498)*(('warehouse config'!$H:$H&gt;=B1498)+ISBLANK('warehouse config'!$H:$H))),1)),0))"),0.0)</f>
        <v>0</v>
      </c>
      <c r="H1498" s="3">
        <f>IFERROR(__xludf.DUMMYFUNCTION("IFERROR(INDEX(FILTER('cost master'!$E:$E,('cost master'!$B:$B=C1498)*('cost master'!$D:$D=""Storage cost per pallet / week"")*('cost master'!$G:$G&lt;=B1498)*(('cost master'!$H:$H&gt;=B1498)+ISBLANK('cost master'!$H:$H))),1),0)"),3.9)</f>
        <v>3.9</v>
      </c>
      <c r="I1498" s="3">
        <f t="shared" si="4"/>
        <v>0</v>
      </c>
      <c r="J1498" s="27">
        <f t="shared" si="5"/>
        <v>45946</v>
      </c>
      <c r="K1498" s="27">
        <f t="shared" si="6"/>
        <v>45976</v>
      </c>
    </row>
    <row r="1499" hidden="1">
      <c r="A1499" s="3" t="str">
        <f t="shared" si="3"/>
        <v>SL-20251110-FMC-CS 008-8</v>
      </c>
      <c r="B1499" s="2">
        <f t="array" ref="B1499">INDEX(helper!$A$3:$A3996,ROUNDUP((ROW()-1)/COUNTA(helper!$D$3:$D3996),0))</f>
        <v>45971</v>
      </c>
      <c r="C1499" s="5" t="str">
        <f t="array" ref="C1499">IF(B1499="","",INDEX(helper!$D$3:$D3996,MOD(ROW()-2,COUNTA(helper!$D$3:$D3996))+1))</f>
        <v>FMC</v>
      </c>
      <c r="D1499" s="3" t="str">
        <f t="array" ref="D1499">IF(B1499="","",INDEX(helper!$E$3:$E3996,MOD(ROW()-2,COUNTA(helper!$D$3:$D3996))+1))</f>
        <v>CS 008</v>
      </c>
      <c r="E1499" s="3">
        <f t="array" ref="E1499">IF(B1499="","",INDEX(helper!$F$3:$F3996,MOD(ROW()-2,COUNTA(helper!$D$3:$D3996))+1))</f>
        <v>8</v>
      </c>
      <c r="F1499" s="3">
        <f>IF(B1499="","",SUMIFS('inventory ledger'!$H:$H,'inventory ledger'!$C:$C,C1499,'inventory ledger'!$D:$D,D1499,'inventory ledger'!$E:$E,E1499,'inventory ledger'!$A:$A,"&lt;="&amp;B1499+TIME(23,59,59))-SUMIFS('inventory ledger'!$I:$I,'inventory ledger'!$C:$C,C1499,'inventory ledger'!$D:$D,D1499,'inventory ledger'!$E:$E,E1499,'inventory ledger'!$A:$A,"&lt;="&amp;B1499+TIME(23,59,59)))</f>
        <v>0</v>
      </c>
      <c r="G1499" s="3">
        <f>IFERROR(__xludf.DUMMYFUNCTION("IF(F1499&lt;=0,0,IFERROR(ROUNDUP(F1499/INDEX(FILTER('warehouse config'!$D:$D,('warehouse config'!$B:$B=C1499)*('warehouse config'!$C:$C=D1499)*('warehouse config'!$G:$G&lt;=B1499)*(('warehouse config'!$H:$H&gt;=B1499)+ISBLANK('warehouse config'!$H:$H))),1)),0))"),0.0)</f>
        <v>0</v>
      </c>
      <c r="H1499" s="3">
        <f>IFERROR(__xludf.DUMMYFUNCTION("IFERROR(INDEX(FILTER('cost master'!$E:$E,('cost master'!$B:$B=C1499)*('cost master'!$D:$D=""Storage cost per pallet / week"")*('cost master'!$G:$G&lt;=B1499)*(('cost master'!$H:$H&gt;=B1499)+ISBLANK('cost master'!$H:$H))),1),0)"),3.9)</f>
        <v>3.9</v>
      </c>
      <c r="I1499" s="3">
        <f t="shared" si="4"/>
        <v>0</v>
      </c>
      <c r="J1499" s="27">
        <f t="shared" si="5"/>
        <v>45946</v>
      </c>
      <c r="K1499" s="27">
        <f t="shared" si="6"/>
        <v>45976</v>
      </c>
    </row>
    <row r="1500" hidden="1">
      <c r="A1500" s="3" t="str">
        <f t="shared" si="3"/>
        <v>SL-20251110-FMC-CS 009-8</v>
      </c>
      <c r="B1500" s="2">
        <f t="array" ref="B1500">INDEX(helper!$A$3:$A3996,ROUNDUP((ROW()-1)/COUNTA(helper!$D$3:$D3996),0))</f>
        <v>45971</v>
      </c>
      <c r="C1500" s="5" t="str">
        <f t="array" ref="C1500">IF(B1500="","",INDEX(helper!$D$3:$D3996,MOD(ROW()-2,COUNTA(helper!$D$3:$D3996))+1))</f>
        <v>FMC</v>
      </c>
      <c r="D1500" s="3" t="str">
        <f t="array" ref="D1500">IF(B1500="","",INDEX(helper!$E$3:$E3996,MOD(ROW()-2,COUNTA(helper!$D$3:$D3996))+1))</f>
        <v>CS 009</v>
      </c>
      <c r="E1500" s="3">
        <f t="array" ref="E1500">IF(B1500="","",INDEX(helper!$F$3:$F3996,MOD(ROW()-2,COUNTA(helper!$D$3:$D3996))+1))</f>
        <v>8</v>
      </c>
      <c r="F1500" s="3">
        <f>IF(B1500="","",SUMIFS('inventory ledger'!$H:$H,'inventory ledger'!$C:$C,C1500,'inventory ledger'!$D:$D,D1500,'inventory ledger'!$E:$E,E1500,'inventory ledger'!$A:$A,"&lt;="&amp;B1500+TIME(23,59,59))-SUMIFS('inventory ledger'!$I:$I,'inventory ledger'!$C:$C,C1500,'inventory ledger'!$D:$D,D1500,'inventory ledger'!$E:$E,E1500,'inventory ledger'!$A:$A,"&lt;="&amp;B1500+TIME(23,59,59)))</f>
        <v>0</v>
      </c>
      <c r="G1500" s="3">
        <f>IFERROR(__xludf.DUMMYFUNCTION("IF(F1500&lt;=0,0,IFERROR(ROUNDUP(F1500/INDEX(FILTER('warehouse config'!$D:$D,('warehouse config'!$B:$B=C1500)*('warehouse config'!$C:$C=D1500)*('warehouse config'!$G:$G&lt;=B1500)*(('warehouse config'!$H:$H&gt;=B1500)+ISBLANK('warehouse config'!$H:$H))),1)),0))"),0.0)</f>
        <v>0</v>
      </c>
      <c r="H1500" s="3">
        <f>IFERROR(__xludf.DUMMYFUNCTION("IFERROR(INDEX(FILTER('cost master'!$E:$E,('cost master'!$B:$B=C1500)*('cost master'!$D:$D=""Storage cost per pallet / week"")*('cost master'!$G:$G&lt;=B1500)*(('cost master'!$H:$H&gt;=B1500)+ISBLANK('cost master'!$H:$H))),1),0)"),3.9)</f>
        <v>3.9</v>
      </c>
      <c r="I1500" s="3">
        <f t="shared" si="4"/>
        <v>0</v>
      </c>
      <c r="J1500" s="27">
        <f t="shared" si="5"/>
        <v>45946</v>
      </c>
      <c r="K1500" s="27">
        <f t="shared" si="6"/>
        <v>45976</v>
      </c>
    </row>
    <row r="1501" hidden="1">
      <c r="A1501" s="3" t="str">
        <f t="shared" si="3"/>
        <v>SL-20251110-FMC-CS 010-8</v>
      </c>
      <c r="B1501" s="2">
        <f t="array" ref="B1501">INDEX(helper!$A$3:$A3996,ROUNDUP((ROW()-1)/COUNTA(helper!$D$3:$D3996),0))</f>
        <v>45971</v>
      </c>
      <c r="C1501" s="5" t="str">
        <f t="array" ref="C1501">IF(B1501="","",INDEX(helper!$D$3:$D3996,MOD(ROW()-2,COUNTA(helper!$D$3:$D3996))+1))</f>
        <v>FMC</v>
      </c>
      <c r="D1501" s="3" t="str">
        <f t="array" ref="D1501">IF(B1501="","",INDEX(helper!$E$3:$E3996,MOD(ROW()-2,COUNTA(helper!$D$3:$D3996))+1))</f>
        <v>CS 010</v>
      </c>
      <c r="E1501" s="3">
        <f t="array" ref="E1501">IF(B1501="","",INDEX(helper!$F$3:$F3996,MOD(ROW()-2,COUNTA(helper!$D$3:$D3996))+1))</f>
        <v>8</v>
      </c>
      <c r="F1501" s="3">
        <f>IF(B1501="","",SUMIFS('inventory ledger'!$H:$H,'inventory ledger'!$C:$C,C1501,'inventory ledger'!$D:$D,D1501,'inventory ledger'!$E:$E,E1501,'inventory ledger'!$A:$A,"&lt;="&amp;B1501+TIME(23,59,59))-SUMIFS('inventory ledger'!$I:$I,'inventory ledger'!$C:$C,C1501,'inventory ledger'!$D:$D,D1501,'inventory ledger'!$E:$E,E1501,'inventory ledger'!$A:$A,"&lt;="&amp;B1501+TIME(23,59,59)))</f>
        <v>0</v>
      </c>
      <c r="G1501" s="3">
        <f>IFERROR(__xludf.DUMMYFUNCTION("IF(F1501&lt;=0,0,IFERROR(ROUNDUP(F1501/INDEX(FILTER('warehouse config'!$D:$D,('warehouse config'!$B:$B=C1501)*('warehouse config'!$C:$C=D1501)*('warehouse config'!$G:$G&lt;=B1501)*(('warehouse config'!$H:$H&gt;=B1501)+ISBLANK('warehouse config'!$H:$H))),1)),0))"),0.0)</f>
        <v>0</v>
      </c>
      <c r="H1501" s="3">
        <f>IFERROR(__xludf.DUMMYFUNCTION("IFERROR(INDEX(FILTER('cost master'!$E:$E,('cost master'!$B:$B=C1501)*('cost master'!$D:$D=""Storage cost per pallet / week"")*('cost master'!$G:$G&lt;=B1501)*(('cost master'!$H:$H&gt;=B1501)+ISBLANK('cost master'!$H:$H))),1),0)"),3.9)</f>
        <v>3.9</v>
      </c>
      <c r="I1501" s="3">
        <f t="shared" si="4"/>
        <v>0</v>
      </c>
      <c r="J1501" s="27">
        <f t="shared" si="5"/>
        <v>45946</v>
      </c>
      <c r="K1501" s="27">
        <f t="shared" si="6"/>
        <v>45976</v>
      </c>
    </row>
    <row r="1502" hidden="1">
      <c r="A1502" s="3" t="str">
        <f t="shared" si="3"/>
        <v>SL-20251110-FMC-CS 007-9</v>
      </c>
      <c r="B1502" s="2">
        <f t="array" ref="B1502">INDEX(helper!$A$3:$A3996,ROUNDUP((ROW()-1)/COUNTA(helper!$D$3:$D3996),0))</f>
        <v>45971</v>
      </c>
      <c r="C1502" s="5" t="str">
        <f t="array" ref="C1502">IF(B1502="","",INDEX(helper!$D$3:$D3996,MOD(ROW()-2,COUNTA(helper!$D$3:$D3996))+1))</f>
        <v>FMC</v>
      </c>
      <c r="D1502" s="3" t="str">
        <f t="array" ref="D1502">IF(B1502="","",INDEX(helper!$E$3:$E3996,MOD(ROW()-2,COUNTA(helper!$D$3:$D3996))+1))</f>
        <v>CS 007</v>
      </c>
      <c r="E1502" s="3">
        <f t="array" ref="E1502">IF(B1502="","",INDEX(helper!$F$3:$F3996,MOD(ROW()-2,COUNTA(helper!$D$3:$D3996))+1))</f>
        <v>9</v>
      </c>
      <c r="F1502" s="3">
        <f>IF(B1502="","",SUMIFS('inventory ledger'!$H:$H,'inventory ledger'!$C:$C,C1502,'inventory ledger'!$D:$D,D1502,'inventory ledger'!$E:$E,E1502,'inventory ledger'!$A:$A,"&lt;="&amp;B1502+TIME(23,59,59))-SUMIFS('inventory ledger'!$I:$I,'inventory ledger'!$C:$C,C1502,'inventory ledger'!$D:$D,D1502,'inventory ledger'!$E:$E,E1502,'inventory ledger'!$A:$A,"&lt;="&amp;B1502+TIME(23,59,59)))</f>
        <v>0</v>
      </c>
      <c r="G1502" s="3">
        <f>IFERROR(__xludf.DUMMYFUNCTION("IF(F1502&lt;=0,0,IFERROR(ROUNDUP(F1502/INDEX(FILTER('warehouse config'!$D:$D,('warehouse config'!$B:$B=C1502)*('warehouse config'!$C:$C=D1502)*('warehouse config'!$G:$G&lt;=B1502)*(('warehouse config'!$H:$H&gt;=B1502)+ISBLANK('warehouse config'!$H:$H))),1)),0))"),0.0)</f>
        <v>0</v>
      </c>
      <c r="H1502" s="3">
        <f>IFERROR(__xludf.DUMMYFUNCTION("IFERROR(INDEX(FILTER('cost master'!$E:$E,('cost master'!$B:$B=C1502)*('cost master'!$D:$D=""Storage cost per pallet / week"")*('cost master'!$G:$G&lt;=B1502)*(('cost master'!$H:$H&gt;=B1502)+ISBLANK('cost master'!$H:$H))),1),0)"),3.9)</f>
        <v>3.9</v>
      </c>
      <c r="I1502" s="3">
        <f t="shared" si="4"/>
        <v>0</v>
      </c>
      <c r="J1502" s="27">
        <f t="shared" si="5"/>
        <v>45946</v>
      </c>
      <c r="K1502" s="27">
        <f t="shared" si="6"/>
        <v>45976</v>
      </c>
    </row>
    <row r="1503" hidden="1">
      <c r="A1503" s="3" t="str">
        <f t="shared" si="3"/>
        <v>SL-20251110-FMC-CS 008-9</v>
      </c>
      <c r="B1503" s="2">
        <f t="array" ref="B1503">INDEX(helper!$A$3:$A3996,ROUNDUP((ROW()-1)/COUNTA(helper!$D$3:$D3996),0))</f>
        <v>45971</v>
      </c>
      <c r="C1503" s="5" t="str">
        <f t="array" ref="C1503">IF(B1503="","",INDEX(helper!$D$3:$D3996,MOD(ROW()-2,COUNTA(helper!$D$3:$D3996))+1))</f>
        <v>FMC</v>
      </c>
      <c r="D1503" s="3" t="str">
        <f t="array" ref="D1503">IF(B1503="","",INDEX(helper!$E$3:$E3996,MOD(ROW()-2,COUNTA(helper!$D$3:$D3996))+1))</f>
        <v>CS 008</v>
      </c>
      <c r="E1503" s="3">
        <f t="array" ref="E1503">IF(B1503="","",INDEX(helper!$F$3:$F3996,MOD(ROW()-2,COUNTA(helper!$D$3:$D3996))+1))</f>
        <v>9</v>
      </c>
      <c r="F1503" s="3">
        <f>IF(B1503="","",SUMIFS('inventory ledger'!$H:$H,'inventory ledger'!$C:$C,C1503,'inventory ledger'!$D:$D,D1503,'inventory ledger'!$E:$E,E1503,'inventory ledger'!$A:$A,"&lt;="&amp;B1503+TIME(23,59,59))-SUMIFS('inventory ledger'!$I:$I,'inventory ledger'!$C:$C,C1503,'inventory ledger'!$D:$D,D1503,'inventory ledger'!$E:$E,E1503,'inventory ledger'!$A:$A,"&lt;="&amp;B1503+TIME(23,59,59)))</f>
        <v>2</v>
      </c>
      <c r="G1503" s="3">
        <f>IFERROR(__xludf.DUMMYFUNCTION("IF(F1503&lt;=0,0,IFERROR(ROUNDUP(F1503/INDEX(FILTER('warehouse config'!$D:$D,('warehouse config'!$B:$B=C1503)*('warehouse config'!$C:$C=D1503)*('warehouse config'!$G:$G&lt;=B1503)*(('warehouse config'!$H:$H&gt;=B1503)+ISBLANK('warehouse config'!$H:$H))),1)),0))"),1.0)</f>
        <v>1</v>
      </c>
      <c r="H1503" s="3">
        <f>IFERROR(__xludf.DUMMYFUNCTION("IFERROR(INDEX(FILTER('cost master'!$E:$E,('cost master'!$B:$B=C1503)*('cost master'!$D:$D=""Storage cost per pallet / week"")*('cost master'!$G:$G&lt;=B1503)*(('cost master'!$H:$H&gt;=B1503)+ISBLANK('cost master'!$H:$H))),1),0)"),3.9)</f>
        <v>3.9</v>
      </c>
      <c r="I1503" s="3">
        <f t="shared" si="4"/>
        <v>3.9</v>
      </c>
      <c r="J1503" s="27">
        <f t="shared" si="5"/>
        <v>45946</v>
      </c>
      <c r="K1503" s="27">
        <f t="shared" si="6"/>
        <v>45976</v>
      </c>
    </row>
    <row r="1504" hidden="1">
      <c r="A1504" s="3" t="str">
        <f t="shared" si="3"/>
        <v>SL-20251110-FMC-CS 009-9</v>
      </c>
      <c r="B1504" s="2">
        <f t="array" ref="B1504">INDEX(helper!$A$3:$A3996,ROUNDUP((ROW()-1)/COUNTA(helper!$D$3:$D3996),0))</f>
        <v>45971</v>
      </c>
      <c r="C1504" s="5" t="str">
        <f t="array" ref="C1504">IF(B1504="","",INDEX(helper!$D$3:$D3996,MOD(ROW()-2,COUNTA(helper!$D$3:$D3996))+1))</f>
        <v>FMC</v>
      </c>
      <c r="D1504" s="3" t="str">
        <f t="array" ref="D1504">IF(B1504="","",INDEX(helper!$E$3:$E3996,MOD(ROW()-2,COUNTA(helper!$D$3:$D3996))+1))</f>
        <v>CS 009</v>
      </c>
      <c r="E1504" s="3">
        <f t="array" ref="E1504">IF(B1504="","",INDEX(helper!$F$3:$F3996,MOD(ROW()-2,COUNTA(helper!$D$3:$D3996))+1))</f>
        <v>9</v>
      </c>
      <c r="F1504" s="3">
        <f>IF(B1504="","",SUMIFS('inventory ledger'!$H:$H,'inventory ledger'!$C:$C,C1504,'inventory ledger'!$D:$D,D1504,'inventory ledger'!$E:$E,E1504,'inventory ledger'!$A:$A,"&lt;="&amp;B1504+TIME(23,59,59))-SUMIFS('inventory ledger'!$I:$I,'inventory ledger'!$C:$C,C1504,'inventory ledger'!$D:$D,D1504,'inventory ledger'!$E:$E,E1504,'inventory ledger'!$A:$A,"&lt;="&amp;B1504+TIME(23,59,59)))</f>
        <v>0</v>
      </c>
      <c r="G1504" s="3">
        <f>IFERROR(__xludf.DUMMYFUNCTION("IF(F1504&lt;=0,0,IFERROR(ROUNDUP(F1504/INDEX(FILTER('warehouse config'!$D:$D,('warehouse config'!$B:$B=C1504)*('warehouse config'!$C:$C=D1504)*('warehouse config'!$G:$G&lt;=B1504)*(('warehouse config'!$H:$H&gt;=B1504)+ISBLANK('warehouse config'!$H:$H))),1)),0))"),0.0)</f>
        <v>0</v>
      </c>
      <c r="H1504" s="3">
        <f>IFERROR(__xludf.DUMMYFUNCTION("IFERROR(INDEX(FILTER('cost master'!$E:$E,('cost master'!$B:$B=C1504)*('cost master'!$D:$D=""Storage cost per pallet / week"")*('cost master'!$G:$G&lt;=B1504)*(('cost master'!$H:$H&gt;=B1504)+ISBLANK('cost master'!$H:$H))),1),0)"),3.9)</f>
        <v>3.9</v>
      </c>
      <c r="I1504" s="3">
        <f t="shared" si="4"/>
        <v>0</v>
      </c>
      <c r="J1504" s="27">
        <f t="shared" si="5"/>
        <v>45946</v>
      </c>
      <c r="K1504" s="27">
        <f t="shared" si="6"/>
        <v>45976</v>
      </c>
    </row>
    <row r="1505" hidden="1">
      <c r="A1505" s="3" t="str">
        <f t="shared" si="3"/>
        <v>SL-20251110-FMC-CS 010-9</v>
      </c>
      <c r="B1505" s="2">
        <f t="array" ref="B1505">INDEX(helper!$A$3:$A3996,ROUNDUP((ROW()-1)/COUNTA(helper!$D$3:$D3996),0))</f>
        <v>45971</v>
      </c>
      <c r="C1505" s="5" t="str">
        <f t="array" ref="C1505">IF(B1505="","",INDEX(helper!$D$3:$D3996,MOD(ROW()-2,COUNTA(helper!$D$3:$D3996))+1))</f>
        <v>FMC</v>
      </c>
      <c r="D1505" s="3" t="str">
        <f t="array" ref="D1505">IF(B1505="","",INDEX(helper!$E$3:$E3996,MOD(ROW()-2,COUNTA(helper!$D$3:$D3996))+1))</f>
        <v>CS 010</v>
      </c>
      <c r="E1505" s="3">
        <f t="array" ref="E1505">IF(B1505="","",INDEX(helper!$F$3:$F3996,MOD(ROW()-2,COUNTA(helper!$D$3:$D3996))+1))</f>
        <v>9</v>
      </c>
      <c r="F1505" s="3">
        <f>IF(B1505="","",SUMIFS('inventory ledger'!$H:$H,'inventory ledger'!$C:$C,C1505,'inventory ledger'!$D:$D,D1505,'inventory ledger'!$E:$E,E1505,'inventory ledger'!$A:$A,"&lt;="&amp;B1505+TIME(23,59,59))-SUMIFS('inventory ledger'!$I:$I,'inventory ledger'!$C:$C,C1505,'inventory ledger'!$D:$D,D1505,'inventory ledger'!$E:$E,E1505,'inventory ledger'!$A:$A,"&lt;="&amp;B1505+TIME(23,59,59)))</f>
        <v>0</v>
      </c>
      <c r="G1505" s="3">
        <f>IFERROR(__xludf.DUMMYFUNCTION("IF(F1505&lt;=0,0,IFERROR(ROUNDUP(F1505/INDEX(FILTER('warehouse config'!$D:$D,('warehouse config'!$B:$B=C1505)*('warehouse config'!$C:$C=D1505)*('warehouse config'!$G:$G&lt;=B1505)*(('warehouse config'!$H:$H&gt;=B1505)+ISBLANK('warehouse config'!$H:$H))),1)),0))"),0.0)</f>
        <v>0</v>
      </c>
      <c r="H1505" s="3">
        <f>IFERROR(__xludf.DUMMYFUNCTION("IFERROR(INDEX(FILTER('cost master'!$E:$E,('cost master'!$B:$B=C1505)*('cost master'!$D:$D=""Storage cost per pallet / week"")*('cost master'!$G:$G&lt;=B1505)*(('cost master'!$H:$H&gt;=B1505)+ISBLANK('cost master'!$H:$H))),1),0)"),3.9)</f>
        <v>3.9</v>
      </c>
      <c r="I1505" s="3">
        <f t="shared" si="4"/>
        <v>0</v>
      </c>
      <c r="J1505" s="27">
        <f t="shared" si="5"/>
        <v>45946</v>
      </c>
      <c r="K1505" s="27">
        <f t="shared" si="6"/>
        <v>45976</v>
      </c>
    </row>
    <row r="1506" hidden="1">
      <c r="A1506" s="3" t="str">
        <f t="shared" si="3"/>
        <v>SL-20251110-FMC-CS-CDS-001-9</v>
      </c>
      <c r="B1506" s="2">
        <f t="array" ref="B1506">INDEX(helper!$A$3:$A3996,ROUNDUP((ROW()-1)/COUNTA(helper!$D$3:$D3996),0))</f>
        <v>45971</v>
      </c>
      <c r="C1506" s="5" t="str">
        <f t="array" ref="C1506">IF(B1506="","",INDEX(helper!$D$3:$D3996,MOD(ROW()-2,COUNTA(helper!$D$3:$D3996))+1))</f>
        <v>FMC</v>
      </c>
      <c r="D1506" s="3" t="str">
        <f t="array" ref="D1506">IF(B1506="","",INDEX(helper!$E$3:$E3996,MOD(ROW()-2,COUNTA(helper!$D$3:$D3996))+1))</f>
        <v>CS-CDS-001</v>
      </c>
      <c r="E1506" s="3">
        <f t="array" ref="E1506">IF(B1506="","",INDEX(helper!$F$3:$F3996,MOD(ROW()-2,COUNTA(helper!$D$3:$D3996))+1))</f>
        <v>9</v>
      </c>
      <c r="F1506" s="3">
        <f>IF(B1506="","",SUMIFS('inventory ledger'!$H:$H,'inventory ledger'!$C:$C,C1506,'inventory ledger'!$D:$D,D1506,'inventory ledger'!$E:$E,E1506,'inventory ledger'!$A:$A,"&lt;="&amp;B1506+TIME(23,59,59))-SUMIFS('inventory ledger'!$I:$I,'inventory ledger'!$C:$C,C1506,'inventory ledger'!$D:$D,D1506,'inventory ledger'!$E:$E,E1506,'inventory ledger'!$A:$A,"&lt;="&amp;B1506+TIME(23,59,59)))</f>
        <v>0</v>
      </c>
      <c r="G1506" s="3">
        <f>IFERROR(__xludf.DUMMYFUNCTION("IF(F1506&lt;=0,0,IFERROR(ROUNDUP(F1506/INDEX(FILTER('warehouse config'!$D:$D,('warehouse config'!$B:$B=C1506)*('warehouse config'!$C:$C=D1506)*('warehouse config'!$G:$G&lt;=B1506)*(('warehouse config'!$H:$H&gt;=B1506)+ISBLANK('warehouse config'!$H:$H))),1)),0))"),0.0)</f>
        <v>0</v>
      </c>
      <c r="H1506" s="3">
        <f>IFERROR(__xludf.DUMMYFUNCTION("IFERROR(INDEX(FILTER('cost master'!$E:$E,('cost master'!$B:$B=C1506)*('cost master'!$D:$D=""Storage cost per pallet / week"")*('cost master'!$G:$G&lt;=B1506)*(('cost master'!$H:$H&gt;=B1506)+ISBLANK('cost master'!$H:$H))),1),0)"),3.9)</f>
        <v>3.9</v>
      </c>
      <c r="I1506" s="3">
        <f t="shared" si="4"/>
        <v>0</v>
      </c>
      <c r="J1506" s="27">
        <f t="shared" si="5"/>
        <v>45946</v>
      </c>
      <c r="K1506" s="27">
        <f t="shared" si="6"/>
        <v>45976</v>
      </c>
    </row>
    <row r="1507" hidden="1">
      <c r="A1507" s="3" t="str">
        <f t="shared" si="3"/>
        <v>SL-20251110-FMC-CS-CDS-002-9</v>
      </c>
      <c r="B1507" s="2">
        <f t="array" ref="B1507">INDEX(helper!$A$3:$A3996,ROUNDUP((ROW()-1)/COUNTA(helper!$D$3:$D3996),0))</f>
        <v>45971</v>
      </c>
      <c r="C1507" s="5" t="str">
        <f t="array" ref="C1507">IF(B1507="","",INDEX(helper!$D$3:$D3996,MOD(ROW()-2,COUNTA(helper!$D$3:$D3996))+1))</f>
        <v>FMC</v>
      </c>
      <c r="D1507" s="3" t="str">
        <f t="array" ref="D1507">IF(B1507="","",INDEX(helper!$E$3:$E3996,MOD(ROW()-2,COUNTA(helper!$D$3:$D3996))+1))</f>
        <v>CS-CDS-002</v>
      </c>
      <c r="E1507" s="3">
        <f t="array" ref="E1507">IF(B1507="","",INDEX(helper!$F$3:$F3996,MOD(ROW()-2,COUNTA(helper!$D$3:$D3996))+1))</f>
        <v>9</v>
      </c>
      <c r="F1507" s="3">
        <f>IF(B1507="","",SUMIFS('inventory ledger'!$H:$H,'inventory ledger'!$C:$C,C1507,'inventory ledger'!$D:$D,D1507,'inventory ledger'!$E:$E,E1507,'inventory ledger'!$A:$A,"&lt;="&amp;B1507+TIME(23,59,59))-SUMIFS('inventory ledger'!$I:$I,'inventory ledger'!$C:$C,C1507,'inventory ledger'!$D:$D,D1507,'inventory ledger'!$E:$E,E1507,'inventory ledger'!$A:$A,"&lt;="&amp;B1507+TIME(23,59,59)))</f>
        <v>0</v>
      </c>
      <c r="G1507" s="3">
        <f>IFERROR(__xludf.DUMMYFUNCTION("IF(F1507&lt;=0,0,IFERROR(ROUNDUP(F1507/INDEX(FILTER('warehouse config'!$D:$D,('warehouse config'!$B:$B=C1507)*('warehouse config'!$C:$C=D1507)*('warehouse config'!$G:$G&lt;=B1507)*(('warehouse config'!$H:$H&gt;=B1507)+ISBLANK('warehouse config'!$H:$H))),1)),0))"),0.0)</f>
        <v>0</v>
      </c>
      <c r="H1507" s="3">
        <f>IFERROR(__xludf.DUMMYFUNCTION("IFERROR(INDEX(FILTER('cost master'!$E:$E,('cost master'!$B:$B=C1507)*('cost master'!$D:$D=""Storage cost per pallet / week"")*('cost master'!$G:$G&lt;=B1507)*(('cost master'!$H:$H&gt;=B1507)+ISBLANK('cost master'!$H:$H))),1),0)"),3.9)</f>
        <v>3.9</v>
      </c>
      <c r="I1507" s="3">
        <f t="shared" si="4"/>
        <v>0</v>
      </c>
      <c r="J1507" s="27">
        <f t="shared" si="5"/>
        <v>45946</v>
      </c>
      <c r="K1507" s="27">
        <f t="shared" si="6"/>
        <v>45976</v>
      </c>
    </row>
    <row r="1508" hidden="1">
      <c r="A1508" s="3" t="str">
        <f t="shared" si="3"/>
        <v>SL-20251110-FMC-CS 007-10</v>
      </c>
      <c r="B1508" s="2">
        <f t="array" ref="B1508">INDEX(helper!$A$3:$A3996,ROUNDUP((ROW()-1)/COUNTA(helper!$D$3:$D3996),0))</f>
        <v>45971</v>
      </c>
      <c r="C1508" s="5" t="str">
        <f t="array" ref="C1508">IF(B1508="","",INDEX(helper!$D$3:$D3996,MOD(ROW()-2,COUNTA(helper!$D$3:$D3996))+1))</f>
        <v>FMC</v>
      </c>
      <c r="D1508" s="3" t="str">
        <f t="array" ref="D1508">IF(B1508="","",INDEX(helper!$E$3:$E3996,MOD(ROW()-2,COUNTA(helper!$D$3:$D3996))+1))</f>
        <v>CS 007</v>
      </c>
      <c r="E1508" s="3">
        <f t="array" ref="E1508">IF(B1508="","",INDEX(helper!$F$3:$F3996,MOD(ROW()-2,COUNTA(helper!$D$3:$D3996))+1))</f>
        <v>10</v>
      </c>
      <c r="F1508" s="3">
        <f>IF(B1508="","",SUMIFS('inventory ledger'!$H:$H,'inventory ledger'!$C:$C,C1508,'inventory ledger'!$D:$D,D1508,'inventory ledger'!$E:$E,E1508,'inventory ledger'!$A:$A,"&lt;="&amp;B1508+TIME(23,59,59))-SUMIFS('inventory ledger'!$I:$I,'inventory ledger'!$C:$C,C1508,'inventory ledger'!$D:$D,D1508,'inventory ledger'!$E:$E,E1508,'inventory ledger'!$A:$A,"&lt;="&amp;B1508+TIME(23,59,59)))</f>
        <v>0</v>
      </c>
      <c r="G1508" s="3">
        <f>IFERROR(__xludf.DUMMYFUNCTION("IF(F1508&lt;=0,0,IFERROR(ROUNDUP(F1508/INDEX(FILTER('warehouse config'!$D:$D,('warehouse config'!$B:$B=C1508)*('warehouse config'!$C:$C=D1508)*('warehouse config'!$G:$G&lt;=B1508)*(('warehouse config'!$H:$H&gt;=B1508)+ISBLANK('warehouse config'!$H:$H))),1)),0))"),0.0)</f>
        <v>0</v>
      </c>
      <c r="H1508" s="3">
        <f>IFERROR(__xludf.DUMMYFUNCTION("IFERROR(INDEX(FILTER('cost master'!$E:$E,('cost master'!$B:$B=C1508)*('cost master'!$D:$D=""Storage cost per pallet / week"")*('cost master'!$G:$G&lt;=B1508)*(('cost master'!$H:$H&gt;=B1508)+ISBLANK('cost master'!$H:$H))),1),0)"),3.9)</f>
        <v>3.9</v>
      </c>
      <c r="I1508" s="3">
        <f t="shared" si="4"/>
        <v>0</v>
      </c>
      <c r="J1508" s="27">
        <f t="shared" si="5"/>
        <v>45946</v>
      </c>
      <c r="K1508" s="27">
        <f t="shared" si="6"/>
        <v>45976</v>
      </c>
    </row>
    <row r="1509" hidden="1">
      <c r="A1509" s="3" t="str">
        <f t="shared" si="3"/>
        <v>SL-20251110-FMC-CS 009-10</v>
      </c>
      <c r="B1509" s="2">
        <f t="array" ref="B1509">INDEX(helper!$A$3:$A3996,ROUNDUP((ROW()-1)/COUNTA(helper!$D$3:$D3996),0))</f>
        <v>45971</v>
      </c>
      <c r="C1509" s="5" t="str">
        <f t="array" ref="C1509">IF(B1509="","",INDEX(helper!$D$3:$D3996,MOD(ROW()-2,COUNTA(helper!$D$3:$D3996))+1))</f>
        <v>FMC</v>
      </c>
      <c r="D1509" s="3" t="str">
        <f t="array" ref="D1509">IF(B1509="","",INDEX(helper!$E$3:$E3996,MOD(ROW()-2,COUNTA(helper!$D$3:$D3996))+1))</f>
        <v>CS 009</v>
      </c>
      <c r="E1509" s="3">
        <f t="array" ref="E1509">IF(B1509="","",INDEX(helper!$F$3:$F3996,MOD(ROW()-2,COUNTA(helper!$D$3:$D3996))+1))</f>
        <v>10</v>
      </c>
      <c r="F1509" s="3">
        <f>IF(B1509="","",SUMIFS('inventory ledger'!$H:$H,'inventory ledger'!$C:$C,C1509,'inventory ledger'!$D:$D,D1509,'inventory ledger'!$E:$E,E1509,'inventory ledger'!$A:$A,"&lt;="&amp;B1509+TIME(23,59,59))-SUMIFS('inventory ledger'!$I:$I,'inventory ledger'!$C:$C,C1509,'inventory ledger'!$D:$D,D1509,'inventory ledger'!$E:$E,E1509,'inventory ledger'!$A:$A,"&lt;="&amp;B1509+TIME(23,59,59)))</f>
        <v>0</v>
      </c>
      <c r="G1509" s="3">
        <f>IFERROR(__xludf.DUMMYFUNCTION("IF(F1509&lt;=0,0,IFERROR(ROUNDUP(F1509/INDEX(FILTER('warehouse config'!$D:$D,('warehouse config'!$B:$B=C1509)*('warehouse config'!$C:$C=D1509)*('warehouse config'!$G:$G&lt;=B1509)*(('warehouse config'!$H:$H&gt;=B1509)+ISBLANK('warehouse config'!$H:$H))),1)),0))"),0.0)</f>
        <v>0</v>
      </c>
      <c r="H1509" s="3">
        <f>IFERROR(__xludf.DUMMYFUNCTION("IFERROR(INDEX(FILTER('cost master'!$E:$E,('cost master'!$B:$B=C1509)*('cost master'!$D:$D=""Storage cost per pallet / week"")*('cost master'!$G:$G&lt;=B1509)*(('cost master'!$H:$H&gt;=B1509)+ISBLANK('cost master'!$H:$H))),1),0)"),3.9)</f>
        <v>3.9</v>
      </c>
      <c r="I1509" s="3">
        <f t="shared" si="4"/>
        <v>0</v>
      </c>
      <c r="J1509" s="27">
        <f t="shared" si="5"/>
        <v>45946</v>
      </c>
      <c r="K1509" s="27">
        <f t="shared" si="6"/>
        <v>45976</v>
      </c>
    </row>
    <row r="1510" hidden="1">
      <c r="A1510" s="3" t="str">
        <f t="shared" si="3"/>
        <v>SL-20251110-FMC-CS 010-10</v>
      </c>
      <c r="B1510" s="2">
        <f t="array" ref="B1510">INDEX(helper!$A$3:$A3996,ROUNDUP((ROW()-1)/COUNTA(helper!$D$3:$D3996),0))</f>
        <v>45971</v>
      </c>
      <c r="C1510" s="5" t="str">
        <f t="array" ref="C1510">IF(B1510="","",INDEX(helper!$D$3:$D3996,MOD(ROW()-2,COUNTA(helper!$D$3:$D3996))+1))</f>
        <v>FMC</v>
      </c>
      <c r="D1510" s="3" t="str">
        <f t="array" ref="D1510">IF(B1510="","",INDEX(helper!$E$3:$E3996,MOD(ROW()-2,COUNTA(helper!$D$3:$D3996))+1))</f>
        <v>CS 010</v>
      </c>
      <c r="E1510" s="3">
        <f t="array" ref="E1510">IF(B1510="","",INDEX(helper!$F$3:$F3996,MOD(ROW()-2,COUNTA(helper!$D$3:$D3996))+1))</f>
        <v>10</v>
      </c>
      <c r="F1510" s="3">
        <f>IF(B1510="","",SUMIFS('inventory ledger'!$H:$H,'inventory ledger'!$C:$C,C1510,'inventory ledger'!$D:$D,D1510,'inventory ledger'!$E:$E,E1510,'inventory ledger'!$A:$A,"&lt;="&amp;B1510+TIME(23,59,59))-SUMIFS('inventory ledger'!$I:$I,'inventory ledger'!$C:$C,C1510,'inventory ledger'!$D:$D,D1510,'inventory ledger'!$E:$E,E1510,'inventory ledger'!$A:$A,"&lt;="&amp;B1510+TIME(23,59,59)))</f>
        <v>13</v>
      </c>
      <c r="G1510" s="3">
        <f>IFERROR(__xludf.DUMMYFUNCTION("IF(F1510&lt;=0,0,IFERROR(ROUNDUP(F1510/INDEX(FILTER('warehouse config'!$D:$D,('warehouse config'!$B:$B=C1510)*('warehouse config'!$C:$C=D1510)*('warehouse config'!$G:$G&lt;=B1510)*(('warehouse config'!$H:$H&gt;=B1510)+ISBLANK('warehouse config'!$H:$H))),1)),0))"),1.0)</f>
        <v>1</v>
      </c>
      <c r="H1510" s="3">
        <f>IFERROR(__xludf.DUMMYFUNCTION("IFERROR(INDEX(FILTER('cost master'!$E:$E,('cost master'!$B:$B=C1510)*('cost master'!$D:$D=""Storage cost per pallet / week"")*('cost master'!$G:$G&lt;=B1510)*(('cost master'!$H:$H&gt;=B1510)+ISBLANK('cost master'!$H:$H))),1),0)"),3.9)</f>
        <v>3.9</v>
      </c>
      <c r="I1510" s="3">
        <f t="shared" si="4"/>
        <v>3.9</v>
      </c>
      <c r="J1510" s="27">
        <f t="shared" si="5"/>
        <v>45946</v>
      </c>
      <c r="K1510" s="27">
        <f t="shared" si="6"/>
        <v>45976</v>
      </c>
    </row>
    <row r="1511" hidden="1">
      <c r="A1511" s="3" t="str">
        <f t="shared" si="3"/>
        <v>SL-20251110-FMC-CS-CDS-001-10</v>
      </c>
      <c r="B1511" s="2">
        <f t="array" ref="B1511">INDEX(helper!$A$3:$A3996,ROUNDUP((ROW()-1)/COUNTA(helper!$D$3:$D3996),0))</f>
        <v>45971</v>
      </c>
      <c r="C1511" s="5" t="str">
        <f t="array" ref="C1511">IF(B1511="","",INDEX(helper!$D$3:$D3996,MOD(ROW()-2,COUNTA(helper!$D$3:$D3996))+1))</f>
        <v>FMC</v>
      </c>
      <c r="D1511" s="3" t="str">
        <f t="array" ref="D1511">IF(B1511="","",INDEX(helper!$E$3:$E3996,MOD(ROW()-2,COUNTA(helper!$D$3:$D3996))+1))</f>
        <v>CS-CDS-001</v>
      </c>
      <c r="E1511" s="3">
        <f t="array" ref="E1511">IF(B1511="","",INDEX(helper!$F$3:$F3996,MOD(ROW()-2,COUNTA(helper!$D$3:$D3996))+1))</f>
        <v>10</v>
      </c>
      <c r="F1511" s="3">
        <f>IF(B1511="","",SUMIFS('inventory ledger'!$H:$H,'inventory ledger'!$C:$C,C1511,'inventory ledger'!$D:$D,D1511,'inventory ledger'!$E:$E,E1511,'inventory ledger'!$A:$A,"&lt;="&amp;B1511+TIME(23,59,59))-SUMIFS('inventory ledger'!$I:$I,'inventory ledger'!$C:$C,C1511,'inventory ledger'!$D:$D,D1511,'inventory ledger'!$E:$E,E1511,'inventory ledger'!$A:$A,"&lt;="&amp;B1511+TIME(23,59,59)))</f>
        <v>0</v>
      </c>
      <c r="G1511" s="3">
        <f>IFERROR(__xludf.DUMMYFUNCTION("IF(F1511&lt;=0,0,IFERROR(ROUNDUP(F1511/INDEX(FILTER('warehouse config'!$D:$D,('warehouse config'!$B:$B=C1511)*('warehouse config'!$C:$C=D1511)*('warehouse config'!$G:$G&lt;=B1511)*(('warehouse config'!$H:$H&gt;=B1511)+ISBLANK('warehouse config'!$H:$H))),1)),0))"),0.0)</f>
        <v>0</v>
      </c>
      <c r="H1511" s="3">
        <f>IFERROR(__xludf.DUMMYFUNCTION("IFERROR(INDEX(FILTER('cost master'!$E:$E,('cost master'!$B:$B=C1511)*('cost master'!$D:$D=""Storage cost per pallet / week"")*('cost master'!$G:$G&lt;=B1511)*(('cost master'!$H:$H&gt;=B1511)+ISBLANK('cost master'!$H:$H))),1),0)"),3.9)</f>
        <v>3.9</v>
      </c>
      <c r="I1511" s="3">
        <f t="shared" si="4"/>
        <v>0</v>
      </c>
      <c r="J1511" s="27">
        <f t="shared" si="5"/>
        <v>45946</v>
      </c>
      <c r="K1511" s="27">
        <f t="shared" si="6"/>
        <v>45976</v>
      </c>
    </row>
    <row r="1512">
      <c r="A1512" s="3" t="str">
        <f t="shared" si="3"/>
        <v>SL-20251110-FMC-CS 007-11</v>
      </c>
      <c r="B1512" s="2">
        <f t="array" ref="B1512">INDEX(helper!$A$3:$A3996,ROUNDUP((ROW()-1)/COUNTA(helper!$D$3:$D3996),0))</f>
        <v>45971</v>
      </c>
      <c r="C1512" s="5" t="str">
        <f t="array" ref="C1512">IF(B1512="","",INDEX(helper!$D$3:$D3996,MOD(ROW()-2,COUNTA(helper!$D$3:$D3996))+1))</f>
        <v>FMC</v>
      </c>
      <c r="D1512" s="3" t="str">
        <f t="array" ref="D1512">IF(B1512="","",INDEX(helper!$E$3:$E3996,MOD(ROW()-2,COUNTA(helper!$D$3:$D3996))+1))</f>
        <v>CS 007</v>
      </c>
      <c r="E1512" s="3">
        <f t="array" ref="E1512">IF(B1512="","",INDEX(helper!$F$3:$F3996,MOD(ROW()-2,COUNTA(helper!$D$3:$D3996))+1))</f>
        <v>11</v>
      </c>
      <c r="F1512" s="3">
        <f>IF(B1512="","",SUMIFS('inventory ledger'!$H:$H,'inventory ledger'!$C:$C,C1512,'inventory ledger'!$D:$D,D1512,'inventory ledger'!$E:$E,E1512,'inventory ledger'!$A:$A,"&lt;="&amp;B1512+TIME(23,59,59))-SUMIFS('inventory ledger'!$I:$I,'inventory ledger'!$C:$C,C1512,'inventory ledger'!$D:$D,D1512,'inventory ledger'!$E:$E,E1512,'inventory ledger'!$A:$A,"&lt;="&amp;B1512+TIME(23,59,59)))</f>
        <v>-1</v>
      </c>
      <c r="G1512" s="3">
        <f>IFERROR(__xludf.DUMMYFUNCTION("IF(F1512&lt;=0,0,IFERROR(ROUNDUP(F1512/INDEX(FILTER('warehouse config'!$D:$D,('warehouse config'!$B:$B=C1512)*('warehouse config'!$C:$C=D1512)*('warehouse config'!$G:$G&lt;=B1512)*(('warehouse config'!$H:$H&gt;=B1512)+ISBLANK('warehouse config'!$H:$H))),1)),0))"),0.0)</f>
        <v>0</v>
      </c>
      <c r="H1512" s="3">
        <f>IFERROR(__xludf.DUMMYFUNCTION("IFERROR(INDEX(FILTER('cost master'!$E:$E,('cost master'!$B:$B=C1512)*('cost master'!$D:$D=""Storage cost per pallet / week"")*('cost master'!$G:$G&lt;=B1512)*(('cost master'!$H:$H&gt;=B1512)+ISBLANK('cost master'!$H:$H))),1),0)"),3.9)</f>
        <v>3.9</v>
      </c>
      <c r="I1512" s="3">
        <f t="shared" si="4"/>
        <v>0</v>
      </c>
      <c r="J1512" s="27">
        <f t="shared" si="5"/>
        <v>45946</v>
      </c>
      <c r="K1512" s="27">
        <f t="shared" si="6"/>
        <v>45976</v>
      </c>
    </row>
    <row r="1513" hidden="1">
      <c r="A1513" s="3" t="str">
        <f t="shared" si="3"/>
        <v>SL-20251110-FMC-CS 009-11</v>
      </c>
      <c r="B1513" s="2">
        <f t="array" ref="B1513">INDEX(helper!$A$3:$A3996,ROUNDUP((ROW()-1)/COUNTA(helper!$D$3:$D3996),0))</f>
        <v>45971</v>
      </c>
      <c r="C1513" s="5" t="str">
        <f t="array" ref="C1513">IF(B1513="","",INDEX(helper!$D$3:$D3996,MOD(ROW()-2,COUNTA(helper!$D$3:$D3996))+1))</f>
        <v>FMC</v>
      </c>
      <c r="D1513" s="3" t="str">
        <f t="array" ref="D1513">IF(B1513="","",INDEX(helper!$E$3:$E3996,MOD(ROW()-2,COUNTA(helper!$D$3:$D3996))+1))</f>
        <v>CS 009</v>
      </c>
      <c r="E1513" s="3">
        <f t="array" ref="E1513">IF(B1513="","",INDEX(helper!$F$3:$F3996,MOD(ROW()-2,COUNTA(helper!$D$3:$D3996))+1))</f>
        <v>11</v>
      </c>
      <c r="F1513" s="3">
        <f>IF(B1513="","",SUMIFS('inventory ledger'!$H:$H,'inventory ledger'!$C:$C,C1513,'inventory ledger'!$D:$D,D1513,'inventory ledger'!$E:$E,E1513,'inventory ledger'!$A:$A,"&lt;="&amp;B1513+TIME(23,59,59))-SUMIFS('inventory ledger'!$I:$I,'inventory ledger'!$C:$C,C1513,'inventory ledger'!$D:$D,D1513,'inventory ledger'!$E:$E,E1513,'inventory ledger'!$A:$A,"&lt;="&amp;B1513+TIME(23,59,59)))</f>
        <v>0</v>
      </c>
      <c r="G1513" s="3">
        <f>IFERROR(__xludf.DUMMYFUNCTION("IF(F1513&lt;=0,0,IFERROR(ROUNDUP(F1513/INDEX(FILTER('warehouse config'!$D:$D,('warehouse config'!$B:$B=C1513)*('warehouse config'!$C:$C=D1513)*('warehouse config'!$G:$G&lt;=B1513)*(('warehouse config'!$H:$H&gt;=B1513)+ISBLANK('warehouse config'!$H:$H))),1)),0))"),0.0)</f>
        <v>0</v>
      </c>
      <c r="H1513" s="3">
        <f>IFERROR(__xludf.DUMMYFUNCTION("IFERROR(INDEX(FILTER('cost master'!$E:$E,('cost master'!$B:$B=C1513)*('cost master'!$D:$D=""Storage cost per pallet / week"")*('cost master'!$G:$G&lt;=B1513)*(('cost master'!$H:$H&gt;=B1513)+ISBLANK('cost master'!$H:$H))),1),0)"),3.9)</f>
        <v>3.9</v>
      </c>
      <c r="I1513" s="3">
        <f t="shared" si="4"/>
        <v>0</v>
      </c>
      <c r="J1513" s="27">
        <f t="shared" si="5"/>
        <v>45946</v>
      </c>
      <c r="K1513" s="27">
        <f t="shared" si="6"/>
        <v>45976</v>
      </c>
    </row>
    <row r="1514" hidden="1">
      <c r="A1514" s="3" t="str">
        <f t="shared" si="3"/>
        <v>SL-20251110-FMC-CS 010-11</v>
      </c>
      <c r="B1514" s="2">
        <f t="array" ref="B1514">INDEX(helper!$A$3:$A3996,ROUNDUP((ROW()-1)/COUNTA(helper!$D$3:$D3996),0))</f>
        <v>45971</v>
      </c>
      <c r="C1514" s="5" t="str">
        <f t="array" ref="C1514">IF(B1514="","",INDEX(helper!$D$3:$D3996,MOD(ROW()-2,COUNTA(helper!$D$3:$D3996))+1))</f>
        <v>FMC</v>
      </c>
      <c r="D1514" s="3" t="str">
        <f t="array" ref="D1514">IF(B1514="","",INDEX(helper!$E$3:$E3996,MOD(ROW()-2,COUNTA(helper!$D$3:$D3996))+1))</f>
        <v>CS 010</v>
      </c>
      <c r="E1514" s="3">
        <f t="array" ref="E1514">IF(B1514="","",INDEX(helper!$F$3:$F3996,MOD(ROW()-2,COUNTA(helper!$D$3:$D3996))+1))</f>
        <v>11</v>
      </c>
      <c r="F1514" s="3">
        <f>IF(B1514="","",SUMIFS('inventory ledger'!$H:$H,'inventory ledger'!$C:$C,C1514,'inventory ledger'!$D:$D,D1514,'inventory ledger'!$E:$E,E1514,'inventory ledger'!$A:$A,"&lt;="&amp;B1514+TIME(23,59,59))-SUMIFS('inventory ledger'!$I:$I,'inventory ledger'!$C:$C,C1514,'inventory ledger'!$D:$D,D1514,'inventory ledger'!$E:$E,E1514,'inventory ledger'!$A:$A,"&lt;="&amp;B1514+TIME(23,59,59)))</f>
        <v>6</v>
      </c>
      <c r="G1514" s="3">
        <f>IFERROR(__xludf.DUMMYFUNCTION("IF(F1514&lt;=0,0,IFERROR(ROUNDUP(F1514/INDEX(FILTER('warehouse config'!$D:$D,('warehouse config'!$B:$B=C1514)*('warehouse config'!$C:$C=D1514)*('warehouse config'!$G:$G&lt;=B1514)*(('warehouse config'!$H:$H&gt;=B1514)+ISBLANK('warehouse config'!$H:$H))),1)),0))"),1.0)</f>
        <v>1</v>
      </c>
      <c r="H1514" s="3">
        <f>IFERROR(__xludf.DUMMYFUNCTION("IFERROR(INDEX(FILTER('cost master'!$E:$E,('cost master'!$B:$B=C1514)*('cost master'!$D:$D=""Storage cost per pallet / week"")*('cost master'!$G:$G&lt;=B1514)*(('cost master'!$H:$H&gt;=B1514)+ISBLANK('cost master'!$H:$H))),1),0)"),3.9)</f>
        <v>3.9</v>
      </c>
      <c r="I1514" s="3">
        <f t="shared" si="4"/>
        <v>3.9</v>
      </c>
      <c r="J1514" s="27">
        <f t="shared" si="5"/>
        <v>45946</v>
      </c>
      <c r="K1514" s="27">
        <f t="shared" si="6"/>
        <v>45976</v>
      </c>
    </row>
    <row r="1515" hidden="1">
      <c r="A1515" s="3" t="str">
        <f t="shared" si="3"/>
        <v>SL-20251110-Vglobal-CS 007-12</v>
      </c>
      <c r="B1515" s="2">
        <f t="array" ref="B1515">INDEX(helper!$A$3:$A3996,ROUNDUP((ROW()-1)/COUNTA(helper!$D$3:$D3996),0))</f>
        <v>45971</v>
      </c>
      <c r="C1515" s="5" t="str">
        <f t="array" ref="C1515">IF(B1515="","",INDEX(helper!$D$3:$D3996,MOD(ROW()-2,COUNTA(helper!$D$3:$D3996))+1))</f>
        <v>Vglobal</v>
      </c>
      <c r="D1515" s="3" t="str">
        <f t="array" ref="D1515">IF(B1515="","",INDEX(helper!$E$3:$E3996,MOD(ROW()-2,COUNTA(helper!$D$3:$D3996))+1))</f>
        <v>CS 007</v>
      </c>
      <c r="E1515" s="3">
        <f t="array" ref="E1515">IF(B1515="","",INDEX(helper!$F$3:$F3996,MOD(ROW()-2,COUNTA(helper!$D$3:$D3996))+1))</f>
        <v>12</v>
      </c>
      <c r="F1515" s="3">
        <f>IF(B1515="","",SUMIFS('inventory ledger'!$H:$H,'inventory ledger'!$C:$C,C1515,'inventory ledger'!$D:$D,D1515,'inventory ledger'!$E:$E,E1515,'inventory ledger'!$A:$A,"&lt;="&amp;B1515+TIME(23,59,59))-SUMIFS('inventory ledger'!$I:$I,'inventory ledger'!$C:$C,C1515,'inventory ledger'!$D:$D,D1515,'inventory ledger'!$E:$E,E1515,'inventory ledger'!$A:$A,"&lt;="&amp;B1515+TIME(23,59,59)))</f>
        <v>0</v>
      </c>
      <c r="G1515" s="3">
        <f>IFERROR(__xludf.DUMMYFUNCTION("IF(F1515&lt;=0,0,IFERROR(ROUNDUP(F1515/INDEX(FILTER('warehouse config'!$D:$D,('warehouse config'!$B:$B=C1515)*('warehouse config'!$C:$C=D1515)*('warehouse config'!$G:$G&lt;=B1515)*(('warehouse config'!$H:$H&gt;=B1515)+ISBLANK('warehouse config'!$H:$H))),1)),0))"),0.0)</f>
        <v>0</v>
      </c>
      <c r="H1515" s="3">
        <f>IFERROR(__xludf.DUMMYFUNCTION("IFERROR(INDEX(FILTER('cost master'!$E:$E,('cost master'!$B:$B=C1515)*('cost master'!$D:$D=""Storage cost per pallet / week"")*('cost master'!$G:$G&lt;=B1515)*(('cost master'!$H:$H&gt;=B1515)+ISBLANK('cost master'!$H:$H))),1),0)"),2.6)</f>
        <v>2.6</v>
      </c>
      <c r="I1515" s="3">
        <f t="shared" si="4"/>
        <v>0</v>
      </c>
      <c r="J1515" s="27">
        <f t="shared" si="5"/>
        <v>45946</v>
      </c>
      <c r="K1515" s="27">
        <f t="shared" si="6"/>
        <v>45976</v>
      </c>
    </row>
    <row r="1516" hidden="1">
      <c r="A1516" s="3" t="str">
        <f t="shared" si="3"/>
        <v>SL-20251110-Vglobal-CS 011-12</v>
      </c>
      <c r="B1516" s="2">
        <f t="array" ref="B1516">INDEX(helper!$A$3:$A3996,ROUNDUP((ROW()-1)/COUNTA(helper!$D$3:$D3996),0))</f>
        <v>45971</v>
      </c>
      <c r="C1516" s="5" t="str">
        <f t="array" ref="C1516">IF(B1516="","",INDEX(helper!$D$3:$D3996,MOD(ROW()-2,COUNTA(helper!$D$3:$D3996))+1))</f>
        <v>Vglobal</v>
      </c>
      <c r="D1516" s="3" t="str">
        <f t="array" ref="D1516">IF(B1516="","",INDEX(helper!$E$3:$E3996,MOD(ROW()-2,COUNTA(helper!$D$3:$D3996))+1))</f>
        <v>CS 011</v>
      </c>
      <c r="E1516" s="3">
        <f t="array" ref="E1516">IF(B1516="","",INDEX(helper!$F$3:$F3996,MOD(ROW()-2,COUNTA(helper!$D$3:$D3996))+1))</f>
        <v>12</v>
      </c>
      <c r="F1516" s="3">
        <f>IF(B1516="","",SUMIFS('inventory ledger'!$H:$H,'inventory ledger'!$C:$C,C1516,'inventory ledger'!$D:$D,D1516,'inventory ledger'!$E:$E,E1516,'inventory ledger'!$A:$A,"&lt;="&amp;B1516+TIME(23,59,59))-SUMIFS('inventory ledger'!$I:$I,'inventory ledger'!$C:$C,C1516,'inventory ledger'!$D:$D,D1516,'inventory ledger'!$E:$E,E1516,'inventory ledger'!$A:$A,"&lt;="&amp;B1516+TIME(23,59,59)))</f>
        <v>0</v>
      </c>
      <c r="G1516" s="3">
        <f>IFERROR(__xludf.DUMMYFUNCTION("IF(F1516&lt;=0,0,IFERROR(ROUNDUP(F1516/INDEX(FILTER('warehouse config'!$D:$D,('warehouse config'!$B:$B=C1516)*('warehouse config'!$C:$C=D1516)*('warehouse config'!$G:$G&lt;=B1516)*(('warehouse config'!$H:$H&gt;=B1516)+ISBLANK('warehouse config'!$H:$H))),1)),0))"),0.0)</f>
        <v>0</v>
      </c>
      <c r="H1516" s="3">
        <f>IFERROR(__xludf.DUMMYFUNCTION("IFERROR(INDEX(FILTER('cost master'!$E:$E,('cost master'!$B:$B=C1516)*('cost master'!$D:$D=""Storage cost per pallet / week"")*('cost master'!$G:$G&lt;=B1516)*(('cost master'!$H:$H&gt;=B1516)+ISBLANK('cost master'!$H:$H))),1),0)"),2.6)</f>
        <v>2.6</v>
      </c>
      <c r="I1516" s="3">
        <f t="shared" si="4"/>
        <v>0</v>
      </c>
      <c r="J1516" s="27">
        <f t="shared" si="5"/>
        <v>45946</v>
      </c>
      <c r="K1516" s="27">
        <f t="shared" si="6"/>
        <v>45976</v>
      </c>
    </row>
    <row r="1517" hidden="1">
      <c r="A1517" s="3" t="str">
        <f t="shared" si="3"/>
        <v>SL-20251110-Vglobal-CS 008-12</v>
      </c>
      <c r="B1517" s="2">
        <f t="array" ref="B1517">INDEX(helper!$A$3:$A3996,ROUNDUP((ROW()-1)/COUNTA(helper!$D$3:$D3996),0))</f>
        <v>45971</v>
      </c>
      <c r="C1517" s="5" t="str">
        <f t="array" ref="C1517">IF(B1517="","",INDEX(helper!$D$3:$D3996,MOD(ROW()-2,COUNTA(helper!$D$3:$D3996))+1))</f>
        <v>Vglobal</v>
      </c>
      <c r="D1517" s="3" t="str">
        <f t="array" ref="D1517">IF(B1517="","",INDEX(helper!$E$3:$E3996,MOD(ROW()-2,COUNTA(helper!$D$3:$D3996))+1))</f>
        <v>CS 008</v>
      </c>
      <c r="E1517" s="3">
        <f t="array" ref="E1517">IF(B1517="","",INDEX(helper!$F$3:$F3996,MOD(ROW()-2,COUNTA(helper!$D$3:$D3996))+1))</f>
        <v>12</v>
      </c>
      <c r="F1517" s="3">
        <f>IF(B1517="","",SUMIFS('inventory ledger'!$H:$H,'inventory ledger'!$C:$C,C1517,'inventory ledger'!$D:$D,D1517,'inventory ledger'!$E:$E,E1517,'inventory ledger'!$A:$A,"&lt;="&amp;B1517+TIME(23,59,59))-SUMIFS('inventory ledger'!$I:$I,'inventory ledger'!$C:$C,C1517,'inventory ledger'!$D:$D,D1517,'inventory ledger'!$E:$E,E1517,'inventory ledger'!$A:$A,"&lt;="&amp;B1517+TIME(23,59,59)))</f>
        <v>0</v>
      </c>
      <c r="G1517" s="3">
        <f>IFERROR(__xludf.DUMMYFUNCTION("IF(F1517&lt;=0,0,IFERROR(ROUNDUP(F1517/INDEX(FILTER('warehouse config'!$D:$D,('warehouse config'!$B:$B=C1517)*('warehouse config'!$C:$C=D1517)*('warehouse config'!$G:$G&lt;=B1517)*(('warehouse config'!$H:$H&gt;=B1517)+ISBLANK('warehouse config'!$H:$H))),1)),0))"),0.0)</f>
        <v>0</v>
      </c>
      <c r="H1517" s="3">
        <f>IFERROR(__xludf.DUMMYFUNCTION("IFERROR(INDEX(FILTER('cost master'!$E:$E,('cost master'!$B:$B=C1517)*('cost master'!$D:$D=""Storage cost per pallet / week"")*('cost master'!$G:$G&lt;=B1517)*(('cost master'!$H:$H&gt;=B1517)+ISBLANK('cost master'!$H:$H))),1),0)"),2.6)</f>
        <v>2.6</v>
      </c>
      <c r="I1517" s="3">
        <f t="shared" si="4"/>
        <v>0</v>
      </c>
      <c r="J1517" s="27">
        <f t="shared" si="5"/>
        <v>45946</v>
      </c>
      <c r="K1517" s="27">
        <f t="shared" si="6"/>
        <v>45976</v>
      </c>
    </row>
    <row r="1518" hidden="1">
      <c r="A1518" s="3" t="str">
        <f t="shared" si="3"/>
        <v>SL-20251110-Vglobal-CS 010-12</v>
      </c>
      <c r="B1518" s="2">
        <f t="array" ref="B1518">INDEX(helper!$A$3:$A3996,ROUNDUP((ROW()-1)/COUNTA(helper!$D$3:$D3996),0))</f>
        <v>45971</v>
      </c>
      <c r="C1518" s="5" t="str">
        <f t="array" ref="C1518">IF(B1518="","",INDEX(helper!$D$3:$D3996,MOD(ROW()-2,COUNTA(helper!$D$3:$D3996))+1))</f>
        <v>Vglobal</v>
      </c>
      <c r="D1518" s="3" t="str">
        <f t="array" ref="D1518">IF(B1518="","",INDEX(helper!$E$3:$E3996,MOD(ROW()-2,COUNTA(helper!$D$3:$D3996))+1))</f>
        <v>CS 010</v>
      </c>
      <c r="E1518" s="3">
        <f t="array" ref="E1518">IF(B1518="","",INDEX(helper!$F$3:$F3996,MOD(ROW()-2,COUNTA(helper!$D$3:$D3996))+1))</f>
        <v>12</v>
      </c>
      <c r="F1518" s="3">
        <f>IF(B1518="","",SUMIFS('inventory ledger'!$H:$H,'inventory ledger'!$C:$C,C1518,'inventory ledger'!$D:$D,D1518,'inventory ledger'!$E:$E,E1518,'inventory ledger'!$A:$A,"&lt;="&amp;B1518+TIME(23,59,59))-SUMIFS('inventory ledger'!$I:$I,'inventory ledger'!$C:$C,C1518,'inventory ledger'!$D:$D,D1518,'inventory ledger'!$E:$E,E1518,'inventory ledger'!$A:$A,"&lt;="&amp;B1518+TIME(23,59,59)))</f>
        <v>70</v>
      </c>
      <c r="G1518" s="3">
        <f>IFERROR(__xludf.DUMMYFUNCTION("IF(F1518&lt;=0,0,IFERROR(ROUNDUP(F1518/INDEX(FILTER('warehouse config'!$D:$D,('warehouse config'!$B:$B=C1518)*('warehouse config'!$C:$C=D1518)*('warehouse config'!$G:$G&lt;=B1518)*(('warehouse config'!$H:$H&gt;=B1518)+ISBLANK('warehouse config'!$H:$H))),1)),0))"),3.0)</f>
        <v>3</v>
      </c>
      <c r="H1518" s="3">
        <f>IFERROR(__xludf.DUMMYFUNCTION("IFERROR(INDEX(FILTER('cost master'!$E:$E,('cost master'!$B:$B=C1518)*('cost master'!$D:$D=""Storage cost per pallet / week"")*('cost master'!$G:$G&lt;=B1518)*(('cost master'!$H:$H&gt;=B1518)+ISBLANK('cost master'!$H:$H))),1),0)"),2.6)</f>
        <v>2.6</v>
      </c>
      <c r="I1518" s="3">
        <f t="shared" si="4"/>
        <v>7.8</v>
      </c>
      <c r="J1518" s="27">
        <f t="shared" si="5"/>
        <v>45946</v>
      </c>
      <c r="K1518" s="27">
        <f t="shared" si="6"/>
        <v>45976</v>
      </c>
    </row>
    <row r="1519" hidden="1">
      <c r="A1519" s="3" t="str">
        <f t="shared" si="3"/>
        <v>SL-20251110-Vglobal-CS 009-12</v>
      </c>
      <c r="B1519" s="2">
        <f t="array" ref="B1519">INDEX(helper!$A$3:$A3996,ROUNDUP((ROW()-1)/COUNTA(helper!$D$3:$D3996),0))</f>
        <v>45971</v>
      </c>
      <c r="C1519" s="5" t="str">
        <f t="array" ref="C1519">IF(B1519="","",INDEX(helper!$D$3:$D3996,MOD(ROW()-2,COUNTA(helper!$D$3:$D3996))+1))</f>
        <v>Vglobal</v>
      </c>
      <c r="D1519" s="3" t="str">
        <f t="array" ref="D1519">IF(B1519="","",INDEX(helper!$E$3:$E3996,MOD(ROW()-2,COUNTA(helper!$D$3:$D3996))+1))</f>
        <v>CS 009</v>
      </c>
      <c r="E1519" s="3">
        <f t="array" ref="E1519">IF(B1519="","",INDEX(helper!$F$3:$F3996,MOD(ROW()-2,COUNTA(helper!$D$3:$D3996))+1))</f>
        <v>12</v>
      </c>
      <c r="F1519" s="3">
        <f>IF(B1519="","",SUMIFS('inventory ledger'!$H:$H,'inventory ledger'!$C:$C,C1519,'inventory ledger'!$D:$D,D1519,'inventory ledger'!$E:$E,E1519,'inventory ledger'!$A:$A,"&lt;="&amp;B1519+TIME(23,59,59))-SUMIFS('inventory ledger'!$I:$I,'inventory ledger'!$C:$C,C1519,'inventory ledger'!$D:$D,D1519,'inventory ledger'!$E:$E,E1519,'inventory ledger'!$A:$A,"&lt;="&amp;B1519+TIME(23,59,59)))</f>
        <v>0</v>
      </c>
      <c r="G1519" s="3">
        <f>IFERROR(__xludf.DUMMYFUNCTION("IF(F1519&lt;=0,0,IFERROR(ROUNDUP(F1519/INDEX(FILTER('warehouse config'!$D:$D,('warehouse config'!$B:$B=C1519)*('warehouse config'!$C:$C=D1519)*('warehouse config'!$G:$G&lt;=B1519)*(('warehouse config'!$H:$H&gt;=B1519)+ISBLANK('warehouse config'!$H:$H))),1)),0))"),0.0)</f>
        <v>0</v>
      </c>
      <c r="H1519" s="3">
        <f>IFERROR(__xludf.DUMMYFUNCTION("IFERROR(INDEX(FILTER('cost master'!$E:$E,('cost master'!$B:$B=C1519)*('cost master'!$D:$D=""Storage cost per pallet / week"")*('cost master'!$G:$G&lt;=B1519)*(('cost master'!$H:$H&gt;=B1519)+ISBLANK('cost master'!$H:$H))),1),0)"),2.6)</f>
        <v>2.6</v>
      </c>
      <c r="I1519" s="3">
        <f t="shared" si="4"/>
        <v>0</v>
      </c>
      <c r="J1519" s="27">
        <f t="shared" si="5"/>
        <v>45946</v>
      </c>
      <c r="K1519" s="27">
        <f t="shared" si="6"/>
        <v>45976</v>
      </c>
    </row>
    <row r="1520" hidden="1">
      <c r="A1520" s="3" t="str">
        <f t="shared" si="3"/>
        <v>SL-20251110-Vglobal-CS 012-12</v>
      </c>
      <c r="B1520" s="2">
        <f t="array" ref="B1520">INDEX(helper!$A$3:$A3996,ROUNDUP((ROW()-1)/COUNTA(helper!$D$3:$D3996),0))</f>
        <v>45971</v>
      </c>
      <c r="C1520" s="5" t="str">
        <f t="array" ref="C1520">IF(B1520="","",INDEX(helper!$D$3:$D3996,MOD(ROW()-2,COUNTA(helper!$D$3:$D3996))+1))</f>
        <v>Vglobal</v>
      </c>
      <c r="D1520" s="3" t="str">
        <f t="array" ref="D1520">IF(B1520="","",INDEX(helper!$E$3:$E3996,MOD(ROW()-2,COUNTA(helper!$D$3:$D3996))+1))</f>
        <v>CS 012</v>
      </c>
      <c r="E1520" s="3">
        <f t="array" ref="E1520">IF(B1520="","",INDEX(helper!$F$3:$F3996,MOD(ROW()-2,COUNTA(helper!$D$3:$D3996))+1))</f>
        <v>12</v>
      </c>
      <c r="F1520" s="3">
        <f>IF(B1520="","",SUMIFS('inventory ledger'!$H:$H,'inventory ledger'!$C:$C,C1520,'inventory ledger'!$D:$D,D1520,'inventory ledger'!$E:$E,E1520,'inventory ledger'!$A:$A,"&lt;="&amp;B1520+TIME(23,59,59))-SUMIFS('inventory ledger'!$I:$I,'inventory ledger'!$C:$C,C1520,'inventory ledger'!$D:$D,D1520,'inventory ledger'!$E:$E,E1520,'inventory ledger'!$A:$A,"&lt;="&amp;B1520+TIME(23,59,59)))</f>
        <v>0</v>
      </c>
      <c r="G1520" s="3">
        <f>IFERROR(__xludf.DUMMYFUNCTION("IF(F1520&lt;=0,0,IFERROR(ROUNDUP(F1520/INDEX(FILTER('warehouse config'!$D:$D,('warehouse config'!$B:$B=C1520)*('warehouse config'!$C:$C=D1520)*('warehouse config'!$G:$G&lt;=B1520)*(('warehouse config'!$H:$H&gt;=B1520)+ISBLANK('warehouse config'!$H:$H))),1)),0))"),0.0)</f>
        <v>0</v>
      </c>
      <c r="H1520" s="3">
        <f>IFERROR(__xludf.DUMMYFUNCTION("IFERROR(INDEX(FILTER('cost master'!$E:$E,('cost master'!$B:$B=C1520)*('cost master'!$D:$D=""Storage cost per pallet / week"")*('cost master'!$G:$G&lt;=B1520)*(('cost master'!$H:$H&gt;=B1520)+ISBLANK('cost master'!$H:$H))),1),0)"),2.6)</f>
        <v>2.6</v>
      </c>
      <c r="I1520" s="3">
        <f t="shared" si="4"/>
        <v>0</v>
      </c>
      <c r="J1520" s="27">
        <f t="shared" si="5"/>
        <v>45946</v>
      </c>
      <c r="K1520" s="27">
        <f t="shared" si="6"/>
        <v>45976</v>
      </c>
    </row>
    <row r="1521" hidden="1">
      <c r="A1521" s="3" t="str">
        <f t="shared" si="3"/>
        <v>SL-20251110-Vglobal-CS-CDS-001-3</v>
      </c>
      <c r="B1521" s="2">
        <f t="array" ref="B1521">INDEX(helper!$A$3:$A3996,ROUNDUP((ROW()-1)/COUNTA(helper!$D$3:$D3996),0))</f>
        <v>45971</v>
      </c>
      <c r="C1521" s="5" t="str">
        <f t="array" ref="C1521">IF(B1521="","",INDEX(helper!$D$3:$D3996,MOD(ROW()-2,COUNTA(helper!$D$3:$D3996))+1))</f>
        <v>Vglobal</v>
      </c>
      <c r="D1521" s="3" t="str">
        <f t="array" ref="D1521">IF(B1521="","",INDEX(helper!$E$3:$E3996,MOD(ROW()-2,COUNTA(helper!$D$3:$D3996))+1))</f>
        <v>CS-CDS-001</v>
      </c>
      <c r="E1521" s="3">
        <f t="array" ref="E1521">IF(B1521="","",INDEX(helper!$F$3:$F3996,MOD(ROW()-2,COUNTA(helper!$D$3:$D3996))+1))</f>
        <v>3</v>
      </c>
      <c r="F1521" s="3">
        <f>IF(B1521="","",SUMIFS('inventory ledger'!$H:$H,'inventory ledger'!$C:$C,C1521,'inventory ledger'!$D:$D,D1521,'inventory ledger'!$E:$E,E1521,'inventory ledger'!$A:$A,"&lt;="&amp;B1521+TIME(23,59,59))-SUMIFS('inventory ledger'!$I:$I,'inventory ledger'!$C:$C,C1521,'inventory ledger'!$D:$D,D1521,'inventory ledger'!$E:$E,E1521,'inventory ledger'!$A:$A,"&lt;="&amp;B1521+TIME(23,59,59)))</f>
        <v>1</v>
      </c>
      <c r="G1521" s="3">
        <f>IFERROR(__xludf.DUMMYFUNCTION("IF(F1521&lt;=0,0,IFERROR(ROUNDUP(F1521/INDEX(FILTER('warehouse config'!$D:$D,('warehouse config'!$B:$B=C1521)*('warehouse config'!$C:$C=D1521)*('warehouse config'!$G:$G&lt;=B1521)*(('warehouse config'!$H:$H&gt;=B1521)+ISBLANK('warehouse config'!$H:$H))),1)),0))"),1.0)</f>
        <v>1</v>
      </c>
      <c r="H1521" s="3">
        <f>IFERROR(__xludf.DUMMYFUNCTION("IFERROR(INDEX(FILTER('cost master'!$E:$E,('cost master'!$B:$B=C1521)*('cost master'!$D:$D=""Storage cost per pallet / week"")*('cost master'!$G:$G&lt;=B1521)*(('cost master'!$H:$H&gt;=B1521)+ISBLANK('cost master'!$H:$H))),1),0)"),2.6)</f>
        <v>2.6</v>
      </c>
      <c r="I1521" s="3">
        <f t="shared" si="4"/>
        <v>2.6</v>
      </c>
      <c r="J1521" s="27">
        <f t="shared" si="5"/>
        <v>45946</v>
      </c>
      <c r="K1521" s="27">
        <f t="shared" si="6"/>
        <v>45976</v>
      </c>
    </row>
    <row r="1522" hidden="1">
      <c r="A1522" s="3" t="str">
        <f t="shared" si="3"/>
        <v>SL-20251110-Vglobal-CS-CDS-002-3</v>
      </c>
      <c r="B1522" s="2">
        <f t="array" ref="B1522">INDEX(helper!$A$3:$A3996,ROUNDUP((ROW()-1)/COUNTA(helper!$D$3:$D3996),0))</f>
        <v>45971</v>
      </c>
      <c r="C1522" s="5" t="str">
        <f t="array" ref="C1522">IF(B1522="","",INDEX(helper!$D$3:$D3996,MOD(ROW()-2,COUNTA(helper!$D$3:$D3996))+1))</f>
        <v>Vglobal</v>
      </c>
      <c r="D1522" s="3" t="str">
        <f t="array" ref="D1522">IF(B1522="","",INDEX(helper!$E$3:$E3996,MOD(ROW()-2,COUNTA(helper!$D$3:$D3996))+1))</f>
        <v>CS-CDS-002</v>
      </c>
      <c r="E1522" s="3">
        <f t="array" ref="E1522">IF(B1522="","",INDEX(helper!$F$3:$F3996,MOD(ROW()-2,COUNTA(helper!$D$3:$D3996))+1))</f>
        <v>3</v>
      </c>
      <c r="F1522" s="3">
        <f>IF(B1522="","",SUMIFS('inventory ledger'!$H:$H,'inventory ledger'!$C:$C,C1522,'inventory ledger'!$D:$D,D1522,'inventory ledger'!$E:$E,E1522,'inventory ledger'!$A:$A,"&lt;="&amp;B1522+TIME(23,59,59))-SUMIFS('inventory ledger'!$I:$I,'inventory ledger'!$C:$C,C1522,'inventory ledger'!$D:$D,D1522,'inventory ledger'!$E:$E,E1522,'inventory ledger'!$A:$A,"&lt;="&amp;B1522+TIME(23,59,59)))</f>
        <v>0</v>
      </c>
      <c r="G1522" s="3">
        <f>IFERROR(__xludf.DUMMYFUNCTION("IF(F1522&lt;=0,0,IFERROR(ROUNDUP(F1522/INDEX(FILTER('warehouse config'!$D:$D,('warehouse config'!$B:$B=C1522)*('warehouse config'!$C:$C=D1522)*('warehouse config'!$G:$G&lt;=B1522)*(('warehouse config'!$H:$H&gt;=B1522)+ISBLANK('warehouse config'!$H:$H))),1)),0))"),0.0)</f>
        <v>0</v>
      </c>
      <c r="H1522" s="3">
        <f>IFERROR(__xludf.DUMMYFUNCTION("IFERROR(INDEX(FILTER('cost master'!$E:$E,('cost master'!$B:$B=C1522)*('cost master'!$D:$D=""Storage cost per pallet / week"")*('cost master'!$G:$G&lt;=B1522)*(('cost master'!$H:$H&gt;=B1522)+ISBLANK('cost master'!$H:$H))),1),0)"),2.6)</f>
        <v>2.6</v>
      </c>
      <c r="I1522" s="3">
        <f t="shared" si="4"/>
        <v>0</v>
      </c>
      <c r="J1522" s="27">
        <f t="shared" si="5"/>
        <v>45946</v>
      </c>
      <c r="K1522" s="27">
        <f t="shared" si="6"/>
        <v>45976</v>
      </c>
    </row>
    <row r="1523" hidden="1">
      <c r="A1523" s="3" t="str">
        <f t="shared" si="3"/>
        <v>SL-20251110-4as-CS-CDS-001-4</v>
      </c>
      <c r="B1523" s="2">
        <f t="array" ref="B1523">INDEX(helper!$A$3:$A3996,ROUNDUP((ROW()-1)/COUNTA(helper!$D$3:$D3996),0))</f>
        <v>45971</v>
      </c>
      <c r="C1523" s="5" t="str">
        <f t="array" ref="C1523">IF(B1523="","",INDEX(helper!$D$3:$D3996,MOD(ROW()-2,COUNTA(helper!$D$3:$D3996))+1))</f>
        <v>4as</v>
      </c>
      <c r="D1523" s="3" t="str">
        <f t="array" ref="D1523">IF(B1523="","",INDEX(helper!$E$3:$E3996,MOD(ROW()-2,COUNTA(helper!$D$3:$D3996))+1))</f>
        <v>CS-CDS-001</v>
      </c>
      <c r="E1523" s="3">
        <f t="array" ref="E1523">IF(B1523="","",INDEX(helper!$F$3:$F3996,MOD(ROW()-2,COUNTA(helper!$D$3:$D3996))+1))</f>
        <v>4</v>
      </c>
      <c r="F1523" s="3">
        <f>IF(B1523="","",SUMIFS('inventory ledger'!$H:$H,'inventory ledger'!$C:$C,C1523,'inventory ledger'!$D:$D,D1523,'inventory ledger'!$E:$E,E1523,'inventory ledger'!$A:$A,"&lt;="&amp;B1523+TIME(23,59,59))-SUMIFS('inventory ledger'!$I:$I,'inventory ledger'!$C:$C,C1523,'inventory ledger'!$D:$D,D1523,'inventory ledger'!$E:$E,E1523,'inventory ledger'!$A:$A,"&lt;="&amp;B1523+TIME(23,59,59)))</f>
        <v>0</v>
      </c>
      <c r="G1523" s="3">
        <f>IFERROR(__xludf.DUMMYFUNCTION("IF(F1523&lt;=0,0,IFERROR(ROUNDUP(F1523/INDEX(FILTER('warehouse config'!$D:$D,('warehouse config'!$B:$B=C1523)*('warehouse config'!$C:$C=D1523)*('warehouse config'!$G:$G&lt;=B1523)*(('warehouse config'!$H:$H&gt;=B1523)+ISBLANK('warehouse config'!$H:$H))),1)),0))"),0.0)</f>
        <v>0</v>
      </c>
      <c r="H1523" s="3">
        <f>IFERROR(__xludf.DUMMYFUNCTION("IFERROR(INDEX(FILTER('cost master'!$E:$E,('cost master'!$B:$B=C1523)*('cost master'!$D:$D=""Storage cost per pallet / week"")*('cost master'!$G:$G&lt;=B1523)*(('cost master'!$H:$H&gt;=B1523)+ISBLANK('cost master'!$H:$H))),1),0)"),9.0)</f>
        <v>9</v>
      </c>
      <c r="I1523" s="3">
        <f t="shared" si="4"/>
        <v>0</v>
      </c>
      <c r="J1523" s="27">
        <f t="shared" si="5"/>
        <v>45946</v>
      </c>
      <c r="K1523" s="27">
        <f t="shared" si="6"/>
        <v>45976</v>
      </c>
    </row>
    <row r="1524" hidden="1">
      <c r="A1524" s="3" t="str">
        <f t="shared" si="3"/>
        <v>SL-20251110-4as-CS-CDS-002-4</v>
      </c>
      <c r="B1524" s="2">
        <f t="array" ref="B1524">INDEX(helper!$A$3:$A3996,ROUNDUP((ROW()-1)/COUNTA(helper!$D$3:$D3996),0))</f>
        <v>45971</v>
      </c>
      <c r="C1524" s="5" t="str">
        <f t="array" ref="C1524">IF(B1524="","",INDEX(helper!$D$3:$D3996,MOD(ROW()-2,COUNTA(helper!$D$3:$D3996))+1))</f>
        <v>4as</v>
      </c>
      <c r="D1524" s="3" t="str">
        <f t="array" ref="D1524">IF(B1524="","",INDEX(helper!$E$3:$E3996,MOD(ROW()-2,COUNTA(helper!$D$3:$D3996))+1))</f>
        <v>CS-CDS-002</v>
      </c>
      <c r="E1524" s="3">
        <f t="array" ref="E1524">IF(B1524="","",INDEX(helper!$F$3:$F3996,MOD(ROW()-2,COUNTA(helper!$D$3:$D3996))+1))</f>
        <v>4</v>
      </c>
      <c r="F1524" s="3">
        <f>IF(B1524="","",SUMIFS('inventory ledger'!$H:$H,'inventory ledger'!$C:$C,C1524,'inventory ledger'!$D:$D,D1524,'inventory ledger'!$E:$E,E1524,'inventory ledger'!$A:$A,"&lt;="&amp;B1524+TIME(23,59,59))-SUMIFS('inventory ledger'!$I:$I,'inventory ledger'!$C:$C,C1524,'inventory ledger'!$D:$D,D1524,'inventory ledger'!$E:$E,E1524,'inventory ledger'!$A:$A,"&lt;="&amp;B1524+TIME(23,59,59)))</f>
        <v>0</v>
      </c>
      <c r="G1524" s="3">
        <f>IFERROR(__xludf.DUMMYFUNCTION("IF(F1524&lt;=0,0,IFERROR(ROUNDUP(F1524/INDEX(FILTER('warehouse config'!$D:$D,('warehouse config'!$B:$B=C1524)*('warehouse config'!$C:$C=D1524)*('warehouse config'!$G:$G&lt;=B1524)*(('warehouse config'!$H:$H&gt;=B1524)+ISBLANK('warehouse config'!$H:$H))),1)),0))"),0.0)</f>
        <v>0</v>
      </c>
      <c r="H1524" s="3">
        <f>IFERROR(__xludf.DUMMYFUNCTION("IFERROR(INDEX(FILTER('cost master'!$E:$E,('cost master'!$B:$B=C1524)*('cost master'!$D:$D=""Storage cost per pallet / week"")*('cost master'!$G:$G&lt;=B1524)*(('cost master'!$H:$H&gt;=B1524)+ISBLANK('cost master'!$H:$H))),1),0)"),9.0)</f>
        <v>9</v>
      </c>
      <c r="I1524" s="3">
        <f t="shared" si="4"/>
        <v>0</v>
      </c>
      <c r="J1524" s="27">
        <f t="shared" si="5"/>
        <v>45946</v>
      </c>
      <c r="K1524" s="27">
        <f t="shared" si="6"/>
        <v>45976</v>
      </c>
    </row>
    <row r="1525" hidden="1">
      <c r="A1525" s="3" t="str">
        <f t="shared" si="3"/>
        <v>SL-20251110-Vglobal-CS 007-13</v>
      </c>
      <c r="B1525" s="2">
        <f t="array" ref="B1525">INDEX(helper!$A$3:$A3996,ROUNDUP((ROW()-1)/COUNTA(helper!$D$3:$D3996),0))</f>
        <v>45971</v>
      </c>
      <c r="C1525" s="5" t="str">
        <f t="array" ref="C1525">IF(B1525="","",INDEX(helper!$D$3:$D3996,MOD(ROW()-2,COUNTA(helper!$D$3:$D3996))+1))</f>
        <v>Vglobal</v>
      </c>
      <c r="D1525" s="3" t="str">
        <f t="array" ref="D1525">IF(B1525="","",INDEX(helper!$E$3:$E3996,MOD(ROW()-2,COUNTA(helper!$D$3:$D3996))+1))</f>
        <v>CS 007</v>
      </c>
      <c r="E1525" s="3">
        <f t="array" ref="E1525">IF(B1525="","",INDEX(helper!$F$3:$F3996,MOD(ROW()-2,COUNTA(helper!$D$3:$D3996))+1))</f>
        <v>13</v>
      </c>
      <c r="F1525" s="3">
        <f>IF(B1525="","",SUMIFS('inventory ledger'!$H:$H,'inventory ledger'!$C:$C,C1525,'inventory ledger'!$D:$D,D1525,'inventory ledger'!$E:$E,E1525,'inventory ledger'!$A:$A,"&lt;="&amp;B1525+TIME(23,59,59))-SUMIFS('inventory ledger'!$I:$I,'inventory ledger'!$C:$C,C1525,'inventory ledger'!$D:$D,D1525,'inventory ledger'!$E:$E,E1525,'inventory ledger'!$A:$A,"&lt;="&amp;B1525+TIME(23,59,59)))</f>
        <v>45</v>
      </c>
      <c r="G1525" s="3">
        <f>IFERROR(__xludf.DUMMYFUNCTION("IF(F1525&lt;=0,0,IFERROR(ROUNDUP(F1525/INDEX(FILTER('warehouse config'!$D:$D,('warehouse config'!$B:$B=C1525)*('warehouse config'!$C:$C=D1525)*('warehouse config'!$G:$G&lt;=B1525)*(('warehouse config'!$H:$H&gt;=B1525)+ISBLANK('warehouse config'!$H:$H))),1)),0))"),3.0)</f>
        <v>3</v>
      </c>
      <c r="H1525" s="3">
        <f>IFERROR(__xludf.DUMMYFUNCTION("IFERROR(INDEX(FILTER('cost master'!$E:$E,('cost master'!$B:$B=C1525)*('cost master'!$D:$D=""Storage cost per pallet / week"")*('cost master'!$G:$G&lt;=B1525)*(('cost master'!$H:$H&gt;=B1525)+ISBLANK('cost master'!$H:$H))),1),0)"),2.6)</f>
        <v>2.6</v>
      </c>
      <c r="I1525" s="3">
        <f t="shared" si="4"/>
        <v>7.8</v>
      </c>
      <c r="J1525" s="27">
        <f t="shared" si="5"/>
        <v>45946</v>
      </c>
      <c r="K1525" s="27">
        <f t="shared" si="6"/>
        <v>45976</v>
      </c>
    </row>
    <row r="1526" hidden="1">
      <c r="A1526" s="3" t="str">
        <f t="shared" si="3"/>
        <v>SL-20251110-Vglobal-CS 011-13</v>
      </c>
      <c r="B1526" s="2">
        <f t="array" ref="B1526">INDEX(helper!$A$3:$A3996,ROUNDUP((ROW()-1)/COUNTA(helper!$D$3:$D3996),0))</f>
        <v>45971</v>
      </c>
      <c r="C1526" s="5" t="str">
        <f t="array" ref="C1526">IF(B1526="","",INDEX(helper!$D$3:$D3996,MOD(ROW()-2,COUNTA(helper!$D$3:$D3996))+1))</f>
        <v>Vglobal</v>
      </c>
      <c r="D1526" s="3" t="str">
        <f t="array" ref="D1526">IF(B1526="","",INDEX(helper!$E$3:$E3996,MOD(ROW()-2,COUNTA(helper!$D$3:$D3996))+1))</f>
        <v>CS 011</v>
      </c>
      <c r="E1526" s="3">
        <f t="array" ref="E1526">IF(B1526="","",INDEX(helper!$F$3:$F3996,MOD(ROW()-2,COUNTA(helper!$D$3:$D3996))+1))</f>
        <v>13</v>
      </c>
      <c r="F1526" s="3">
        <f>IF(B1526="","",SUMIFS('inventory ledger'!$H:$H,'inventory ledger'!$C:$C,C1526,'inventory ledger'!$D:$D,D1526,'inventory ledger'!$E:$E,E1526,'inventory ledger'!$A:$A,"&lt;="&amp;B1526+TIME(23,59,59))-SUMIFS('inventory ledger'!$I:$I,'inventory ledger'!$C:$C,C1526,'inventory ledger'!$D:$D,D1526,'inventory ledger'!$E:$E,E1526,'inventory ledger'!$A:$A,"&lt;="&amp;B1526+TIME(23,59,59)))</f>
        <v>0</v>
      </c>
      <c r="G1526" s="3">
        <f>IFERROR(__xludf.DUMMYFUNCTION("IF(F1526&lt;=0,0,IFERROR(ROUNDUP(F1526/INDEX(FILTER('warehouse config'!$D:$D,('warehouse config'!$B:$B=C1526)*('warehouse config'!$C:$C=D1526)*('warehouse config'!$G:$G&lt;=B1526)*(('warehouse config'!$H:$H&gt;=B1526)+ISBLANK('warehouse config'!$H:$H))),1)),0))"),0.0)</f>
        <v>0</v>
      </c>
      <c r="H1526" s="3">
        <f>IFERROR(__xludf.DUMMYFUNCTION("IFERROR(INDEX(FILTER('cost master'!$E:$E,('cost master'!$B:$B=C1526)*('cost master'!$D:$D=""Storage cost per pallet / week"")*('cost master'!$G:$G&lt;=B1526)*(('cost master'!$H:$H&gt;=B1526)+ISBLANK('cost master'!$H:$H))),1),0)"),2.6)</f>
        <v>2.6</v>
      </c>
      <c r="I1526" s="3">
        <f t="shared" si="4"/>
        <v>0</v>
      </c>
      <c r="J1526" s="27">
        <f t="shared" si="5"/>
        <v>45946</v>
      </c>
      <c r="K1526" s="27">
        <f t="shared" si="6"/>
        <v>45976</v>
      </c>
    </row>
    <row r="1527" hidden="1">
      <c r="A1527" s="3" t="str">
        <f t="shared" si="3"/>
        <v>SL-20251110-Vglobal-CS 008-13</v>
      </c>
      <c r="B1527" s="2">
        <f t="array" ref="B1527">INDEX(helper!$A$3:$A3996,ROUNDUP((ROW()-1)/COUNTA(helper!$D$3:$D3996),0))</f>
        <v>45971</v>
      </c>
      <c r="C1527" s="5" t="str">
        <f t="array" ref="C1527">IF(B1527="","",INDEX(helper!$D$3:$D3996,MOD(ROW()-2,COUNTA(helper!$D$3:$D3996))+1))</f>
        <v>Vglobal</v>
      </c>
      <c r="D1527" s="3" t="str">
        <f t="array" ref="D1527">IF(B1527="","",INDEX(helper!$E$3:$E3996,MOD(ROW()-2,COUNTA(helper!$D$3:$D3996))+1))</f>
        <v>CS 008</v>
      </c>
      <c r="E1527" s="3">
        <f t="array" ref="E1527">IF(B1527="","",INDEX(helper!$F$3:$F3996,MOD(ROW()-2,COUNTA(helper!$D$3:$D3996))+1))</f>
        <v>13</v>
      </c>
      <c r="F1527" s="3">
        <f>IF(B1527="","",SUMIFS('inventory ledger'!$H:$H,'inventory ledger'!$C:$C,C1527,'inventory ledger'!$D:$D,D1527,'inventory ledger'!$E:$E,E1527,'inventory ledger'!$A:$A,"&lt;="&amp;B1527+TIME(23,59,59))-SUMIFS('inventory ledger'!$I:$I,'inventory ledger'!$C:$C,C1527,'inventory ledger'!$D:$D,D1527,'inventory ledger'!$E:$E,E1527,'inventory ledger'!$A:$A,"&lt;="&amp;B1527+TIME(23,59,59)))</f>
        <v>20</v>
      </c>
      <c r="G1527" s="3">
        <f>IFERROR(__xludf.DUMMYFUNCTION("IF(F1527&lt;=0,0,IFERROR(ROUNDUP(F1527/INDEX(FILTER('warehouse config'!$D:$D,('warehouse config'!$B:$B=C1527)*('warehouse config'!$C:$C=D1527)*('warehouse config'!$G:$G&lt;=B1527)*(('warehouse config'!$H:$H&gt;=B1527)+ISBLANK('warehouse config'!$H:$H))),1)),0))"),1.0)</f>
        <v>1</v>
      </c>
      <c r="H1527" s="3">
        <f>IFERROR(__xludf.DUMMYFUNCTION("IFERROR(INDEX(FILTER('cost master'!$E:$E,('cost master'!$B:$B=C1527)*('cost master'!$D:$D=""Storage cost per pallet / week"")*('cost master'!$G:$G&lt;=B1527)*(('cost master'!$H:$H&gt;=B1527)+ISBLANK('cost master'!$H:$H))),1),0)"),2.6)</f>
        <v>2.6</v>
      </c>
      <c r="I1527" s="3">
        <f t="shared" si="4"/>
        <v>2.6</v>
      </c>
      <c r="J1527" s="27">
        <f t="shared" si="5"/>
        <v>45946</v>
      </c>
      <c r="K1527" s="27">
        <f t="shared" si="6"/>
        <v>45976</v>
      </c>
    </row>
    <row r="1528" hidden="1">
      <c r="A1528" s="3" t="str">
        <f t="shared" si="3"/>
        <v>SL-20251110-Vglobal-CS 010-13</v>
      </c>
      <c r="B1528" s="2">
        <f t="array" ref="B1528">INDEX(helper!$A$3:$A3996,ROUNDUP((ROW()-1)/COUNTA(helper!$D$3:$D3996),0))</f>
        <v>45971</v>
      </c>
      <c r="C1528" s="5" t="str">
        <f t="array" ref="C1528">IF(B1528="","",INDEX(helper!$D$3:$D3996,MOD(ROW()-2,COUNTA(helper!$D$3:$D3996))+1))</f>
        <v>Vglobal</v>
      </c>
      <c r="D1528" s="3" t="str">
        <f t="array" ref="D1528">IF(B1528="","",INDEX(helper!$E$3:$E3996,MOD(ROW()-2,COUNTA(helper!$D$3:$D3996))+1))</f>
        <v>CS 010</v>
      </c>
      <c r="E1528" s="3">
        <f t="array" ref="E1528">IF(B1528="","",INDEX(helper!$F$3:$F3996,MOD(ROW()-2,COUNTA(helper!$D$3:$D3996))+1))</f>
        <v>13</v>
      </c>
      <c r="F1528" s="3">
        <f>IF(B1528="","",SUMIFS('inventory ledger'!$H:$H,'inventory ledger'!$C:$C,C1528,'inventory ledger'!$D:$D,D1528,'inventory ledger'!$E:$E,E1528,'inventory ledger'!$A:$A,"&lt;="&amp;B1528+TIME(23,59,59))-SUMIFS('inventory ledger'!$I:$I,'inventory ledger'!$C:$C,C1528,'inventory ledger'!$D:$D,D1528,'inventory ledger'!$E:$E,E1528,'inventory ledger'!$A:$A,"&lt;="&amp;B1528+TIME(23,59,59)))</f>
        <v>80</v>
      </c>
      <c r="G1528" s="3">
        <f>IFERROR(__xludf.DUMMYFUNCTION("IF(F1528&lt;=0,0,IFERROR(ROUNDUP(F1528/INDEX(FILTER('warehouse config'!$D:$D,('warehouse config'!$B:$B=C1528)*('warehouse config'!$C:$C=D1528)*('warehouse config'!$G:$G&lt;=B1528)*(('warehouse config'!$H:$H&gt;=B1528)+ISBLANK('warehouse config'!$H:$H))),1)),0))"),4.0)</f>
        <v>4</v>
      </c>
      <c r="H1528" s="3">
        <f>IFERROR(__xludf.DUMMYFUNCTION("IFERROR(INDEX(FILTER('cost master'!$E:$E,('cost master'!$B:$B=C1528)*('cost master'!$D:$D=""Storage cost per pallet / week"")*('cost master'!$G:$G&lt;=B1528)*(('cost master'!$H:$H&gt;=B1528)+ISBLANK('cost master'!$H:$H))),1),0)"),2.6)</f>
        <v>2.6</v>
      </c>
      <c r="I1528" s="3">
        <f t="shared" si="4"/>
        <v>10.4</v>
      </c>
      <c r="J1528" s="27">
        <f t="shared" si="5"/>
        <v>45946</v>
      </c>
      <c r="K1528" s="27">
        <f t="shared" si="6"/>
        <v>45976</v>
      </c>
    </row>
    <row r="1529" hidden="1">
      <c r="A1529" s="3" t="str">
        <f t="shared" si="3"/>
        <v>SL-20251110-Vglobal-CS 009-13</v>
      </c>
      <c r="B1529" s="2">
        <f t="array" ref="B1529">INDEX(helper!$A$3:$A3996,ROUNDUP((ROW()-1)/COUNTA(helper!$D$3:$D3996),0))</f>
        <v>45971</v>
      </c>
      <c r="C1529" s="5" t="str">
        <f t="array" ref="C1529">IF(B1529="","",INDEX(helper!$D$3:$D3996,MOD(ROW()-2,COUNTA(helper!$D$3:$D3996))+1))</f>
        <v>Vglobal</v>
      </c>
      <c r="D1529" s="3" t="str">
        <f t="array" ref="D1529">IF(B1529="","",INDEX(helper!$E$3:$E3996,MOD(ROW()-2,COUNTA(helper!$D$3:$D3996))+1))</f>
        <v>CS 009</v>
      </c>
      <c r="E1529" s="3">
        <f t="array" ref="E1529">IF(B1529="","",INDEX(helper!$F$3:$F3996,MOD(ROW()-2,COUNTA(helper!$D$3:$D3996))+1))</f>
        <v>13</v>
      </c>
      <c r="F1529" s="3">
        <f>IF(B1529="","",SUMIFS('inventory ledger'!$H:$H,'inventory ledger'!$C:$C,C1529,'inventory ledger'!$D:$D,D1529,'inventory ledger'!$E:$E,E1529,'inventory ledger'!$A:$A,"&lt;="&amp;B1529+TIME(23,59,59))-SUMIFS('inventory ledger'!$I:$I,'inventory ledger'!$C:$C,C1529,'inventory ledger'!$D:$D,D1529,'inventory ledger'!$E:$E,E1529,'inventory ledger'!$A:$A,"&lt;="&amp;B1529+TIME(23,59,59)))</f>
        <v>0</v>
      </c>
      <c r="G1529" s="3">
        <f>IFERROR(__xludf.DUMMYFUNCTION("IF(F1529&lt;=0,0,IFERROR(ROUNDUP(F1529/INDEX(FILTER('warehouse config'!$D:$D,('warehouse config'!$B:$B=C1529)*('warehouse config'!$C:$C=D1529)*('warehouse config'!$G:$G&lt;=B1529)*(('warehouse config'!$H:$H&gt;=B1529)+ISBLANK('warehouse config'!$H:$H))),1)),0))"),0.0)</f>
        <v>0</v>
      </c>
      <c r="H1529" s="3">
        <f>IFERROR(__xludf.DUMMYFUNCTION("IFERROR(INDEX(FILTER('cost master'!$E:$E,('cost master'!$B:$B=C1529)*('cost master'!$D:$D=""Storage cost per pallet / week"")*('cost master'!$G:$G&lt;=B1529)*(('cost master'!$H:$H&gt;=B1529)+ISBLANK('cost master'!$H:$H))),1),0)"),2.6)</f>
        <v>2.6</v>
      </c>
      <c r="I1529" s="3">
        <f t="shared" si="4"/>
        <v>0</v>
      </c>
      <c r="J1529" s="27">
        <f t="shared" si="5"/>
        <v>45946</v>
      </c>
      <c r="K1529" s="27">
        <f t="shared" si="6"/>
        <v>45976</v>
      </c>
    </row>
    <row r="1530" hidden="1">
      <c r="A1530" s="3" t="str">
        <f t="shared" si="3"/>
        <v>SL-20251110-Vglobal-CS 012-13</v>
      </c>
      <c r="B1530" s="2">
        <f t="array" ref="B1530">INDEX(helper!$A$3:$A3996,ROUNDUP((ROW()-1)/COUNTA(helper!$D$3:$D3996),0))</f>
        <v>45971</v>
      </c>
      <c r="C1530" s="5" t="str">
        <f t="array" ref="C1530">IF(B1530="","",INDEX(helper!$D$3:$D3996,MOD(ROW()-2,COUNTA(helper!$D$3:$D3996))+1))</f>
        <v>Vglobal</v>
      </c>
      <c r="D1530" s="3" t="str">
        <f t="array" ref="D1530">IF(B1530="","",INDEX(helper!$E$3:$E3996,MOD(ROW()-2,COUNTA(helper!$D$3:$D3996))+1))</f>
        <v>CS 012</v>
      </c>
      <c r="E1530" s="3">
        <f t="array" ref="E1530">IF(B1530="","",INDEX(helper!$F$3:$F3996,MOD(ROW()-2,COUNTA(helper!$D$3:$D3996))+1))</f>
        <v>13</v>
      </c>
      <c r="F1530" s="3">
        <f>IF(B1530="","",SUMIFS('inventory ledger'!$H:$H,'inventory ledger'!$C:$C,C1530,'inventory ledger'!$D:$D,D1530,'inventory ledger'!$E:$E,E1530,'inventory ledger'!$A:$A,"&lt;="&amp;B1530+TIME(23,59,59))-SUMIFS('inventory ledger'!$I:$I,'inventory ledger'!$C:$C,C1530,'inventory ledger'!$D:$D,D1530,'inventory ledger'!$E:$E,E1530,'inventory ledger'!$A:$A,"&lt;="&amp;B1530+TIME(23,59,59)))</f>
        <v>0</v>
      </c>
      <c r="G1530" s="3">
        <f>IFERROR(__xludf.DUMMYFUNCTION("IF(F1530&lt;=0,0,IFERROR(ROUNDUP(F1530/INDEX(FILTER('warehouse config'!$D:$D,('warehouse config'!$B:$B=C1530)*('warehouse config'!$C:$C=D1530)*('warehouse config'!$G:$G&lt;=B1530)*(('warehouse config'!$H:$H&gt;=B1530)+ISBLANK('warehouse config'!$H:$H))),1)),0))"),0.0)</f>
        <v>0</v>
      </c>
      <c r="H1530" s="3">
        <f>IFERROR(__xludf.DUMMYFUNCTION("IFERROR(INDEX(FILTER('cost master'!$E:$E,('cost master'!$B:$B=C1530)*('cost master'!$D:$D=""Storage cost per pallet / week"")*('cost master'!$G:$G&lt;=B1530)*(('cost master'!$H:$H&gt;=B1530)+ISBLANK('cost master'!$H:$H))),1),0)"),2.6)</f>
        <v>2.6</v>
      </c>
      <c r="I1530" s="3">
        <f t="shared" si="4"/>
        <v>0</v>
      </c>
      <c r="J1530" s="27">
        <f t="shared" si="5"/>
        <v>45946</v>
      </c>
      <c r="K1530" s="27">
        <f t="shared" si="6"/>
        <v>45976</v>
      </c>
    </row>
    <row r="1531">
      <c r="A1531" s="3" t="str">
        <f t="shared" si="3"/>
        <v>SL-20251110-FMC-CS 008-11</v>
      </c>
      <c r="B1531" s="2">
        <f t="array" ref="B1531">INDEX(helper!$A$3:$A3996,ROUNDUP((ROW()-1)/COUNTA(helper!$D$3:$D3996),0))</f>
        <v>45971</v>
      </c>
      <c r="C1531" s="5" t="str">
        <f t="array" ref="C1531">IF(B1531="","",INDEX(helper!$D$3:$D3996,MOD(ROW()-2,COUNTA(helper!$D$3:$D3996))+1))</f>
        <v>FMC</v>
      </c>
      <c r="D1531" s="3" t="str">
        <f t="array" ref="D1531">IF(B1531="","",INDEX(helper!$E$3:$E3996,MOD(ROW()-2,COUNTA(helper!$D$3:$D3996))+1))</f>
        <v>CS 008</v>
      </c>
      <c r="E1531" s="3">
        <f t="array" ref="E1531">IF(B1531="","",INDEX(helper!$F$3:$F3996,MOD(ROW()-2,COUNTA(helper!$D$3:$D3996))+1))</f>
        <v>11</v>
      </c>
      <c r="F1531" s="3">
        <f>IF(B1531="","",SUMIFS('inventory ledger'!$H:$H,'inventory ledger'!$C:$C,C1531,'inventory ledger'!$D:$D,D1531,'inventory ledger'!$E:$E,E1531,'inventory ledger'!$A:$A,"&lt;="&amp;B1531+TIME(23,59,59))-SUMIFS('inventory ledger'!$I:$I,'inventory ledger'!$C:$C,C1531,'inventory ledger'!$D:$D,D1531,'inventory ledger'!$E:$E,E1531,'inventory ledger'!$A:$A,"&lt;="&amp;B1531+TIME(23,59,59)))</f>
        <v>-2</v>
      </c>
      <c r="G1531" s="3">
        <f>IFERROR(__xludf.DUMMYFUNCTION("IF(F1531&lt;=0,0,IFERROR(ROUNDUP(F1531/INDEX(FILTER('warehouse config'!$D:$D,('warehouse config'!$B:$B=C1531)*('warehouse config'!$C:$C=D1531)*('warehouse config'!$G:$G&lt;=B1531)*(('warehouse config'!$H:$H&gt;=B1531)+ISBLANK('warehouse config'!$H:$H))),1)),0))"),0.0)</f>
        <v>0</v>
      </c>
      <c r="H1531" s="3">
        <f>IFERROR(__xludf.DUMMYFUNCTION("IFERROR(INDEX(FILTER('cost master'!$E:$E,('cost master'!$B:$B=C1531)*('cost master'!$D:$D=""Storage cost per pallet / week"")*('cost master'!$G:$G&lt;=B1531)*(('cost master'!$H:$H&gt;=B1531)+ISBLANK('cost master'!$H:$H))),1),0)"),3.9)</f>
        <v>3.9</v>
      </c>
      <c r="I1531" s="3">
        <f t="shared" si="4"/>
        <v>0</v>
      </c>
      <c r="J1531" s="27">
        <f t="shared" si="5"/>
        <v>45946</v>
      </c>
      <c r="K1531" s="27">
        <f t="shared" si="6"/>
        <v>45976</v>
      </c>
    </row>
    <row r="1532" hidden="1">
      <c r="A1532" s="3" t="str">
        <f t="shared" si="3"/>
        <v>SL-20251117-FMC-CS 007-8</v>
      </c>
      <c r="B1532" s="2">
        <f t="array" ref="B1532">INDEX(helper!$A$3:$A3996,ROUNDUP((ROW()-1)/COUNTA(helper!$D$3:$D3996),0))</f>
        <v>45978</v>
      </c>
      <c r="C1532" s="5" t="str">
        <f t="array" ref="C1532">IF(B1532="","",INDEX(helper!$D$3:$D3996,MOD(ROW()-2,COUNTA(helper!$D$3:$D3996))+1))</f>
        <v>FMC</v>
      </c>
      <c r="D1532" s="3" t="str">
        <f t="array" ref="D1532">IF(B1532="","",INDEX(helper!$E$3:$E3996,MOD(ROW()-2,COUNTA(helper!$D$3:$D3996))+1))</f>
        <v>CS 007</v>
      </c>
      <c r="E1532" s="3">
        <f t="array" ref="E1532">IF(B1532="","",INDEX(helper!$F$3:$F3996,MOD(ROW()-2,COUNTA(helper!$D$3:$D3996))+1))</f>
        <v>8</v>
      </c>
      <c r="F1532" s="3">
        <f>IF(B1532="","",SUMIFS('inventory ledger'!$H:$H,'inventory ledger'!$C:$C,C1532,'inventory ledger'!$D:$D,D1532,'inventory ledger'!$E:$E,E1532,'inventory ledger'!$A:$A,"&lt;="&amp;B1532+TIME(23,59,59))-SUMIFS('inventory ledger'!$I:$I,'inventory ledger'!$C:$C,C1532,'inventory ledger'!$D:$D,D1532,'inventory ledger'!$E:$E,E1532,'inventory ledger'!$A:$A,"&lt;="&amp;B1532+TIME(23,59,59)))</f>
        <v>0</v>
      </c>
      <c r="G1532" s="3">
        <f>IFERROR(__xludf.DUMMYFUNCTION("IF(F1532&lt;=0,0,IFERROR(ROUNDUP(F1532/INDEX(FILTER('warehouse config'!$D:$D,('warehouse config'!$B:$B=C1532)*('warehouse config'!$C:$C=D1532)*('warehouse config'!$G:$G&lt;=B1532)*(('warehouse config'!$H:$H&gt;=B1532)+ISBLANK('warehouse config'!$H:$H))),1)),0))"),0.0)</f>
        <v>0</v>
      </c>
      <c r="H1532" s="3">
        <f>IFERROR(__xludf.DUMMYFUNCTION("IFERROR(INDEX(FILTER('cost master'!$E:$E,('cost master'!$B:$B=C1532)*('cost master'!$D:$D=""Storage cost per pallet / week"")*('cost master'!$G:$G&lt;=B1532)*(('cost master'!$H:$H&gt;=B1532)+ISBLANK('cost master'!$H:$H))),1),0)"),3.9)</f>
        <v>3.9</v>
      </c>
      <c r="I1532" s="3">
        <f t="shared" si="4"/>
        <v>0</v>
      </c>
      <c r="J1532" s="27">
        <f t="shared" si="5"/>
        <v>45977</v>
      </c>
      <c r="K1532" s="27">
        <f t="shared" si="6"/>
        <v>46006</v>
      </c>
    </row>
    <row r="1533" hidden="1">
      <c r="A1533" s="3" t="str">
        <f t="shared" si="3"/>
        <v>SL-20251117-FMC-CS 008-8</v>
      </c>
      <c r="B1533" s="2">
        <f t="array" ref="B1533">INDEX(helper!$A$3:$A3996,ROUNDUP((ROW()-1)/COUNTA(helper!$D$3:$D3996),0))</f>
        <v>45978</v>
      </c>
      <c r="C1533" s="5" t="str">
        <f t="array" ref="C1533">IF(B1533="","",INDEX(helper!$D$3:$D3996,MOD(ROW()-2,COUNTA(helper!$D$3:$D3996))+1))</f>
        <v>FMC</v>
      </c>
      <c r="D1533" s="3" t="str">
        <f t="array" ref="D1533">IF(B1533="","",INDEX(helper!$E$3:$E3996,MOD(ROW()-2,COUNTA(helper!$D$3:$D3996))+1))</f>
        <v>CS 008</v>
      </c>
      <c r="E1533" s="3">
        <f t="array" ref="E1533">IF(B1533="","",INDEX(helper!$F$3:$F3996,MOD(ROW()-2,COUNTA(helper!$D$3:$D3996))+1))</f>
        <v>8</v>
      </c>
      <c r="F1533" s="3">
        <f>IF(B1533="","",SUMIFS('inventory ledger'!$H:$H,'inventory ledger'!$C:$C,C1533,'inventory ledger'!$D:$D,D1533,'inventory ledger'!$E:$E,E1533,'inventory ledger'!$A:$A,"&lt;="&amp;B1533+TIME(23,59,59))-SUMIFS('inventory ledger'!$I:$I,'inventory ledger'!$C:$C,C1533,'inventory ledger'!$D:$D,D1533,'inventory ledger'!$E:$E,E1533,'inventory ledger'!$A:$A,"&lt;="&amp;B1533+TIME(23,59,59)))</f>
        <v>0</v>
      </c>
      <c r="G1533" s="3">
        <f>IFERROR(__xludf.DUMMYFUNCTION("IF(F1533&lt;=0,0,IFERROR(ROUNDUP(F1533/INDEX(FILTER('warehouse config'!$D:$D,('warehouse config'!$B:$B=C1533)*('warehouse config'!$C:$C=D1533)*('warehouse config'!$G:$G&lt;=B1533)*(('warehouse config'!$H:$H&gt;=B1533)+ISBLANK('warehouse config'!$H:$H))),1)),0))"),0.0)</f>
        <v>0</v>
      </c>
      <c r="H1533" s="3">
        <f>IFERROR(__xludf.DUMMYFUNCTION("IFERROR(INDEX(FILTER('cost master'!$E:$E,('cost master'!$B:$B=C1533)*('cost master'!$D:$D=""Storage cost per pallet / week"")*('cost master'!$G:$G&lt;=B1533)*(('cost master'!$H:$H&gt;=B1533)+ISBLANK('cost master'!$H:$H))),1),0)"),3.9)</f>
        <v>3.9</v>
      </c>
      <c r="I1533" s="3">
        <f t="shared" si="4"/>
        <v>0</v>
      </c>
      <c r="J1533" s="27">
        <f t="shared" si="5"/>
        <v>45977</v>
      </c>
      <c r="K1533" s="27">
        <f t="shared" si="6"/>
        <v>46006</v>
      </c>
    </row>
    <row r="1534" hidden="1">
      <c r="A1534" s="3" t="str">
        <f t="shared" si="3"/>
        <v>SL-20251117-FMC-CS 009-8</v>
      </c>
      <c r="B1534" s="2">
        <f t="array" ref="B1534">INDEX(helper!$A$3:$A3996,ROUNDUP((ROW()-1)/COUNTA(helper!$D$3:$D3996),0))</f>
        <v>45978</v>
      </c>
      <c r="C1534" s="5" t="str">
        <f t="array" ref="C1534">IF(B1534="","",INDEX(helper!$D$3:$D3996,MOD(ROW()-2,COUNTA(helper!$D$3:$D3996))+1))</f>
        <v>FMC</v>
      </c>
      <c r="D1534" s="3" t="str">
        <f t="array" ref="D1534">IF(B1534="","",INDEX(helper!$E$3:$E3996,MOD(ROW()-2,COUNTA(helper!$D$3:$D3996))+1))</f>
        <v>CS 009</v>
      </c>
      <c r="E1534" s="3">
        <f t="array" ref="E1534">IF(B1534="","",INDEX(helper!$F$3:$F3996,MOD(ROW()-2,COUNTA(helper!$D$3:$D3996))+1))</f>
        <v>8</v>
      </c>
      <c r="F1534" s="3">
        <f>IF(B1534="","",SUMIFS('inventory ledger'!$H:$H,'inventory ledger'!$C:$C,C1534,'inventory ledger'!$D:$D,D1534,'inventory ledger'!$E:$E,E1534,'inventory ledger'!$A:$A,"&lt;="&amp;B1534+TIME(23,59,59))-SUMIFS('inventory ledger'!$I:$I,'inventory ledger'!$C:$C,C1534,'inventory ledger'!$D:$D,D1534,'inventory ledger'!$E:$E,E1534,'inventory ledger'!$A:$A,"&lt;="&amp;B1534+TIME(23,59,59)))</f>
        <v>0</v>
      </c>
      <c r="G1534" s="3">
        <f>IFERROR(__xludf.DUMMYFUNCTION("IF(F1534&lt;=0,0,IFERROR(ROUNDUP(F1534/INDEX(FILTER('warehouse config'!$D:$D,('warehouse config'!$B:$B=C1534)*('warehouse config'!$C:$C=D1534)*('warehouse config'!$G:$G&lt;=B1534)*(('warehouse config'!$H:$H&gt;=B1534)+ISBLANK('warehouse config'!$H:$H))),1)),0))"),0.0)</f>
        <v>0</v>
      </c>
      <c r="H1534" s="3">
        <f>IFERROR(__xludf.DUMMYFUNCTION("IFERROR(INDEX(FILTER('cost master'!$E:$E,('cost master'!$B:$B=C1534)*('cost master'!$D:$D=""Storage cost per pallet / week"")*('cost master'!$G:$G&lt;=B1534)*(('cost master'!$H:$H&gt;=B1534)+ISBLANK('cost master'!$H:$H))),1),0)"),3.9)</f>
        <v>3.9</v>
      </c>
      <c r="I1534" s="3">
        <f t="shared" si="4"/>
        <v>0</v>
      </c>
      <c r="J1534" s="27">
        <f t="shared" si="5"/>
        <v>45977</v>
      </c>
      <c r="K1534" s="27">
        <f t="shared" si="6"/>
        <v>46006</v>
      </c>
    </row>
    <row r="1535" hidden="1">
      <c r="A1535" s="3" t="str">
        <f t="shared" si="3"/>
        <v>SL-20251117-FMC-CS 010-8</v>
      </c>
      <c r="B1535" s="2">
        <f t="array" ref="B1535">INDEX(helper!$A$3:$A3996,ROUNDUP((ROW()-1)/COUNTA(helper!$D$3:$D3996),0))</f>
        <v>45978</v>
      </c>
      <c r="C1535" s="5" t="str">
        <f t="array" ref="C1535">IF(B1535="","",INDEX(helper!$D$3:$D3996,MOD(ROW()-2,COUNTA(helper!$D$3:$D3996))+1))</f>
        <v>FMC</v>
      </c>
      <c r="D1535" s="3" t="str">
        <f t="array" ref="D1535">IF(B1535="","",INDEX(helper!$E$3:$E3996,MOD(ROW()-2,COUNTA(helper!$D$3:$D3996))+1))</f>
        <v>CS 010</v>
      </c>
      <c r="E1535" s="3">
        <f t="array" ref="E1535">IF(B1535="","",INDEX(helper!$F$3:$F3996,MOD(ROW()-2,COUNTA(helper!$D$3:$D3996))+1))</f>
        <v>8</v>
      </c>
      <c r="F1535" s="3">
        <f>IF(B1535="","",SUMIFS('inventory ledger'!$H:$H,'inventory ledger'!$C:$C,C1535,'inventory ledger'!$D:$D,D1535,'inventory ledger'!$E:$E,E1535,'inventory ledger'!$A:$A,"&lt;="&amp;B1535+TIME(23,59,59))-SUMIFS('inventory ledger'!$I:$I,'inventory ledger'!$C:$C,C1535,'inventory ledger'!$D:$D,D1535,'inventory ledger'!$E:$E,E1535,'inventory ledger'!$A:$A,"&lt;="&amp;B1535+TIME(23,59,59)))</f>
        <v>0</v>
      </c>
      <c r="G1535" s="3">
        <f>IFERROR(__xludf.DUMMYFUNCTION("IF(F1535&lt;=0,0,IFERROR(ROUNDUP(F1535/INDEX(FILTER('warehouse config'!$D:$D,('warehouse config'!$B:$B=C1535)*('warehouse config'!$C:$C=D1535)*('warehouse config'!$G:$G&lt;=B1535)*(('warehouse config'!$H:$H&gt;=B1535)+ISBLANK('warehouse config'!$H:$H))),1)),0))"),0.0)</f>
        <v>0</v>
      </c>
      <c r="H1535" s="3">
        <f>IFERROR(__xludf.DUMMYFUNCTION("IFERROR(INDEX(FILTER('cost master'!$E:$E,('cost master'!$B:$B=C1535)*('cost master'!$D:$D=""Storage cost per pallet / week"")*('cost master'!$G:$G&lt;=B1535)*(('cost master'!$H:$H&gt;=B1535)+ISBLANK('cost master'!$H:$H))),1),0)"),3.9)</f>
        <v>3.9</v>
      </c>
      <c r="I1535" s="3">
        <f t="shared" si="4"/>
        <v>0</v>
      </c>
      <c r="J1535" s="27">
        <f t="shared" si="5"/>
        <v>45977</v>
      </c>
      <c r="K1535" s="27">
        <f t="shared" si="6"/>
        <v>46006</v>
      </c>
    </row>
    <row r="1536" hidden="1">
      <c r="A1536" s="3" t="str">
        <f t="shared" si="3"/>
        <v>SL-20251117-FMC-CS 007-9</v>
      </c>
      <c r="B1536" s="2">
        <f t="array" ref="B1536">INDEX(helper!$A$3:$A3996,ROUNDUP((ROW()-1)/COUNTA(helper!$D$3:$D3996),0))</f>
        <v>45978</v>
      </c>
      <c r="C1536" s="5" t="str">
        <f t="array" ref="C1536">IF(B1536="","",INDEX(helper!$D$3:$D3996,MOD(ROW()-2,COUNTA(helper!$D$3:$D3996))+1))</f>
        <v>FMC</v>
      </c>
      <c r="D1536" s="3" t="str">
        <f t="array" ref="D1536">IF(B1536="","",INDEX(helper!$E$3:$E3996,MOD(ROW()-2,COUNTA(helper!$D$3:$D3996))+1))</f>
        <v>CS 007</v>
      </c>
      <c r="E1536" s="3">
        <f t="array" ref="E1536">IF(B1536="","",INDEX(helper!$F$3:$F3996,MOD(ROW()-2,COUNTA(helper!$D$3:$D3996))+1))</f>
        <v>9</v>
      </c>
      <c r="F1536" s="3">
        <f>IF(B1536="","",SUMIFS('inventory ledger'!$H:$H,'inventory ledger'!$C:$C,C1536,'inventory ledger'!$D:$D,D1536,'inventory ledger'!$E:$E,E1536,'inventory ledger'!$A:$A,"&lt;="&amp;B1536+TIME(23,59,59))-SUMIFS('inventory ledger'!$I:$I,'inventory ledger'!$C:$C,C1536,'inventory ledger'!$D:$D,D1536,'inventory ledger'!$E:$E,E1536,'inventory ledger'!$A:$A,"&lt;="&amp;B1536+TIME(23,59,59)))</f>
        <v>0</v>
      </c>
      <c r="G1536" s="3">
        <f>IFERROR(__xludf.DUMMYFUNCTION("IF(F1536&lt;=0,0,IFERROR(ROUNDUP(F1536/INDEX(FILTER('warehouse config'!$D:$D,('warehouse config'!$B:$B=C1536)*('warehouse config'!$C:$C=D1536)*('warehouse config'!$G:$G&lt;=B1536)*(('warehouse config'!$H:$H&gt;=B1536)+ISBLANK('warehouse config'!$H:$H))),1)),0))"),0.0)</f>
        <v>0</v>
      </c>
      <c r="H1536" s="3">
        <f>IFERROR(__xludf.DUMMYFUNCTION("IFERROR(INDEX(FILTER('cost master'!$E:$E,('cost master'!$B:$B=C1536)*('cost master'!$D:$D=""Storage cost per pallet / week"")*('cost master'!$G:$G&lt;=B1536)*(('cost master'!$H:$H&gt;=B1536)+ISBLANK('cost master'!$H:$H))),1),0)"),3.9)</f>
        <v>3.9</v>
      </c>
      <c r="I1536" s="3">
        <f t="shared" si="4"/>
        <v>0</v>
      </c>
      <c r="J1536" s="27">
        <f t="shared" si="5"/>
        <v>45977</v>
      </c>
      <c r="K1536" s="27">
        <f t="shared" si="6"/>
        <v>46006</v>
      </c>
    </row>
    <row r="1537" hidden="1">
      <c r="A1537" s="3" t="str">
        <f t="shared" si="3"/>
        <v>SL-20251117-FMC-CS 008-9</v>
      </c>
      <c r="B1537" s="2">
        <f t="array" ref="B1537">INDEX(helper!$A$3:$A3996,ROUNDUP((ROW()-1)/COUNTA(helper!$D$3:$D3996),0))</f>
        <v>45978</v>
      </c>
      <c r="C1537" s="5" t="str">
        <f t="array" ref="C1537">IF(B1537="","",INDEX(helper!$D$3:$D3996,MOD(ROW()-2,COUNTA(helper!$D$3:$D3996))+1))</f>
        <v>FMC</v>
      </c>
      <c r="D1537" s="3" t="str">
        <f t="array" ref="D1537">IF(B1537="","",INDEX(helper!$E$3:$E3996,MOD(ROW()-2,COUNTA(helper!$D$3:$D3996))+1))</f>
        <v>CS 008</v>
      </c>
      <c r="E1537" s="3">
        <f t="array" ref="E1537">IF(B1537="","",INDEX(helper!$F$3:$F3996,MOD(ROW()-2,COUNTA(helper!$D$3:$D3996))+1))</f>
        <v>9</v>
      </c>
      <c r="F1537" s="3">
        <f>IF(B1537="","",SUMIFS('inventory ledger'!$H:$H,'inventory ledger'!$C:$C,C1537,'inventory ledger'!$D:$D,D1537,'inventory ledger'!$E:$E,E1537,'inventory ledger'!$A:$A,"&lt;="&amp;B1537+TIME(23,59,59))-SUMIFS('inventory ledger'!$I:$I,'inventory ledger'!$C:$C,C1537,'inventory ledger'!$D:$D,D1537,'inventory ledger'!$E:$E,E1537,'inventory ledger'!$A:$A,"&lt;="&amp;B1537+TIME(23,59,59)))</f>
        <v>2</v>
      </c>
      <c r="G1537" s="3">
        <f>IFERROR(__xludf.DUMMYFUNCTION("IF(F1537&lt;=0,0,IFERROR(ROUNDUP(F1537/INDEX(FILTER('warehouse config'!$D:$D,('warehouse config'!$B:$B=C1537)*('warehouse config'!$C:$C=D1537)*('warehouse config'!$G:$G&lt;=B1537)*(('warehouse config'!$H:$H&gt;=B1537)+ISBLANK('warehouse config'!$H:$H))),1)),0))"),1.0)</f>
        <v>1</v>
      </c>
      <c r="H1537" s="3">
        <f>IFERROR(__xludf.DUMMYFUNCTION("IFERROR(INDEX(FILTER('cost master'!$E:$E,('cost master'!$B:$B=C1537)*('cost master'!$D:$D=""Storage cost per pallet / week"")*('cost master'!$G:$G&lt;=B1537)*(('cost master'!$H:$H&gt;=B1537)+ISBLANK('cost master'!$H:$H))),1),0)"),3.9)</f>
        <v>3.9</v>
      </c>
      <c r="I1537" s="3">
        <f t="shared" si="4"/>
        <v>3.9</v>
      </c>
      <c r="J1537" s="27">
        <f t="shared" si="5"/>
        <v>45977</v>
      </c>
      <c r="K1537" s="27">
        <f t="shared" si="6"/>
        <v>46006</v>
      </c>
    </row>
    <row r="1538" hidden="1">
      <c r="A1538" s="3" t="str">
        <f t="shared" si="3"/>
        <v>SL-20251117-FMC-CS 009-9</v>
      </c>
      <c r="B1538" s="2">
        <f t="array" ref="B1538">INDEX(helper!$A$3:$A3996,ROUNDUP((ROW()-1)/COUNTA(helper!$D$3:$D3996),0))</f>
        <v>45978</v>
      </c>
      <c r="C1538" s="5" t="str">
        <f t="array" ref="C1538">IF(B1538="","",INDEX(helper!$D$3:$D3996,MOD(ROW()-2,COUNTA(helper!$D$3:$D3996))+1))</f>
        <v>FMC</v>
      </c>
      <c r="D1538" s="3" t="str">
        <f t="array" ref="D1538">IF(B1538="","",INDEX(helper!$E$3:$E3996,MOD(ROW()-2,COUNTA(helper!$D$3:$D3996))+1))</f>
        <v>CS 009</v>
      </c>
      <c r="E1538" s="3">
        <f t="array" ref="E1538">IF(B1538="","",INDEX(helper!$F$3:$F3996,MOD(ROW()-2,COUNTA(helper!$D$3:$D3996))+1))</f>
        <v>9</v>
      </c>
      <c r="F1538" s="3">
        <f>IF(B1538="","",SUMIFS('inventory ledger'!$H:$H,'inventory ledger'!$C:$C,C1538,'inventory ledger'!$D:$D,D1538,'inventory ledger'!$E:$E,E1538,'inventory ledger'!$A:$A,"&lt;="&amp;B1538+TIME(23,59,59))-SUMIFS('inventory ledger'!$I:$I,'inventory ledger'!$C:$C,C1538,'inventory ledger'!$D:$D,D1538,'inventory ledger'!$E:$E,E1538,'inventory ledger'!$A:$A,"&lt;="&amp;B1538+TIME(23,59,59)))</f>
        <v>0</v>
      </c>
      <c r="G1538" s="3">
        <f>IFERROR(__xludf.DUMMYFUNCTION("IF(F1538&lt;=0,0,IFERROR(ROUNDUP(F1538/INDEX(FILTER('warehouse config'!$D:$D,('warehouse config'!$B:$B=C1538)*('warehouse config'!$C:$C=D1538)*('warehouse config'!$G:$G&lt;=B1538)*(('warehouse config'!$H:$H&gt;=B1538)+ISBLANK('warehouse config'!$H:$H))),1)),0))"),0.0)</f>
        <v>0</v>
      </c>
      <c r="H1538" s="3">
        <f>IFERROR(__xludf.DUMMYFUNCTION("IFERROR(INDEX(FILTER('cost master'!$E:$E,('cost master'!$B:$B=C1538)*('cost master'!$D:$D=""Storage cost per pallet / week"")*('cost master'!$G:$G&lt;=B1538)*(('cost master'!$H:$H&gt;=B1538)+ISBLANK('cost master'!$H:$H))),1),0)"),3.9)</f>
        <v>3.9</v>
      </c>
      <c r="I1538" s="3">
        <f t="shared" si="4"/>
        <v>0</v>
      </c>
      <c r="J1538" s="27">
        <f t="shared" si="5"/>
        <v>45977</v>
      </c>
      <c r="K1538" s="27">
        <f t="shared" si="6"/>
        <v>46006</v>
      </c>
    </row>
    <row r="1539" hidden="1">
      <c r="A1539" s="3" t="str">
        <f t="shared" si="3"/>
        <v>SL-20251117-FMC-CS 010-9</v>
      </c>
      <c r="B1539" s="2">
        <f t="array" ref="B1539">INDEX(helper!$A$3:$A3996,ROUNDUP((ROW()-1)/COUNTA(helper!$D$3:$D3996),0))</f>
        <v>45978</v>
      </c>
      <c r="C1539" s="5" t="str">
        <f t="array" ref="C1539">IF(B1539="","",INDEX(helper!$D$3:$D3996,MOD(ROW()-2,COUNTA(helper!$D$3:$D3996))+1))</f>
        <v>FMC</v>
      </c>
      <c r="D1539" s="3" t="str">
        <f t="array" ref="D1539">IF(B1539="","",INDEX(helper!$E$3:$E3996,MOD(ROW()-2,COUNTA(helper!$D$3:$D3996))+1))</f>
        <v>CS 010</v>
      </c>
      <c r="E1539" s="3">
        <f t="array" ref="E1539">IF(B1539="","",INDEX(helper!$F$3:$F3996,MOD(ROW()-2,COUNTA(helper!$D$3:$D3996))+1))</f>
        <v>9</v>
      </c>
      <c r="F1539" s="3">
        <f>IF(B1539="","",SUMIFS('inventory ledger'!$H:$H,'inventory ledger'!$C:$C,C1539,'inventory ledger'!$D:$D,D1539,'inventory ledger'!$E:$E,E1539,'inventory ledger'!$A:$A,"&lt;="&amp;B1539+TIME(23,59,59))-SUMIFS('inventory ledger'!$I:$I,'inventory ledger'!$C:$C,C1539,'inventory ledger'!$D:$D,D1539,'inventory ledger'!$E:$E,E1539,'inventory ledger'!$A:$A,"&lt;="&amp;B1539+TIME(23,59,59)))</f>
        <v>0</v>
      </c>
      <c r="G1539" s="3">
        <f>IFERROR(__xludf.DUMMYFUNCTION("IF(F1539&lt;=0,0,IFERROR(ROUNDUP(F1539/INDEX(FILTER('warehouse config'!$D:$D,('warehouse config'!$B:$B=C1539)*('warehouse config'!$C:$C=D1539)*('warehouse config'!$G:$G&lt;=B1539)*(('warehouse config'!$H:$H&gt;=B1539)+ISBLANK('warehouse config'!$H:$H))),1)),0))"),0.0)</f>
        <v>0</v>
      </c>
      <c r="H1539" s="3">
        <f>IFERROR(__xludf.DUMMYFUNCTION("IFERROR(INDEX(FILTER('cost master'!$E:$E,('cost master'!$B:$B=C1539)*('cost master'!$D:$D=""Storage cost per pallet / week"")*('cost master'!$G:$G&lt;=B1539)*(('cost master'!$H:$H&gt;=B1539)+ISBLANK('cost master'!$H:$H))),1),0)"),3.9)</f>
        <v>3.9</v>
      </c>
      <c r="I1539" s="3">
        <f t="shared" si="4"/>
        <v>0</v>
      </c>
      <c r="J1539" s="27">
        <f t="shared" si="5"/>
        <v>45977</v>
      </c>
      <c r="K1539" s="27">
        <f t="shared" si="6"/>
        <v>46006</v>
      </c>
    </row>
    <row r="1540" hidden="1">
      <c r="A1540" s="3" t="str">
        <f t="shared" si="3"/>
        <v>SL-20251117-FMC-CS-CDS-001-9</v>
      </c>
      <c r="B1540" s="2">
        <f t="array" ref="B1540">INDEX(helper!$A$3:$A3996,ROUNDUP((ROW()-1)/COUNTA(helper!$D$3:$D3996),0))</f>
        <v>45978</v>
      </c>
      <c r="C1540" s="5" t="str">
        <f t="array" ref="C1540">IF(B1540="","",INDEX(helper!$D$3:$D3996,MOD(ROW()-2,COUNTA(helper!$D$3:$D3996))+1))</f>
        <v>FMC</v>
      </c>
      <c r="D1540" s="3" t="str">
        <f t="array" ref="D1540">IF(B1540="","",INDEX(helper!$E$3:$E3996,MOD(ROW()-2,COUNTA(helper!$D$3:$D3996))+1))</f>
        <v>CS-CDS-001</v>
      </c>
      <c r="E1540" s="3">
        <f t="array" ref="E1540">IF(B1540="","",INDEX(helper!$F$3:$F3996,MOD(ROW()-2,COUNTA(helper!$D$3:$D3996))+1))</f>
        <v>9</v>
      </c>
      <c r="F1540" s="3">
        <f>IF(B1540="","",SUMIFS('inventory ledger'!$H:$H,'inventory ledger'!$C:$C,C1540,'inventory ledger'!$D:$D,D1540,'inventory ledger'!$E:$E,E1540,'inventory ledger'!$A:$A,"&lt;="&amp;B1540+TIME(23,59,59))-SUMIFS('inventory ledger'!$I:$I,'inventory ledger'!$C:$C,C1540,'inventory ledger'!$D:$D,D1540,'inventory ledger'!$E:$E,E1540,'inventory ledger'!$A:$A,"&lt;="&amp;B1540+TIME(23,59,59)))</f>
        <v>0</v>
      </c>
      <c r="G1540" s="3">
        <f>IFERROR(__xludf.DUMMYFUNCTION("IF(F1540&lt;=0,0,IFERROR(ROUNDUP(F1540/INDEX(FILTER('warehouse config'!$D:$D,('warehouse config'!$B:$B=C1540)*('warehouse config'!$C:$C=D1540)*('warehouse config'!$G:$G&lt;=B1540)*(('warehouse config'!$H:$H&gt;=B1540)+ISBLANK('warehouse config'!$H:$H))),1)),0))"),0.0)</f>
        <v>0</v>
      </c>
      <c r="H1540" s="3">
        <f>IFERROR(__xludf.DUMMYFUNCTION("IFERROR(INDEX(FILTER('cost master'!$E:$E,('cost master'!$B:$B=C1540)*('cost master'!$D:$D=""Storage cost per pallet / week"")*('cost master'!$G:$G&lt;=B1540)*(('cost master'!$H:$H&gt;=B1540)+ISBLANK('cost master'!$H:$H))),1),0)"),3.9)</f>
        <v>3.9</v>
      </c>
      <c r="I1540" s="3">
        <f t="shared" si="4"/>
        <v>0</v>
      </c>
      <c r="J1540" s="27">
        <f t="shared" si="5"/>
        <v>45977</v>
      </c>
      <c r="K1540" s="27">
        <f t="shared" si="6"/>
        <v>46006</v>
      </c>
    </row>
    <row r="1541" hidden="1">
      <c r="A1541" s="3" t="str">
        <f t="shared" si="3"/>
        <v>SL-20251117-FMC-CS-CDS-002-9</v>
      </c>
      <c r="B1541" s="2">
        <f t="array" ref="B1541">INDEX(helper!$A$3:$A3996,ROUNDUP((ROW()-1)/COUNTA(helper!$D$3:$D3996),0))</f>
        <v>45978</v>
      </c>
      <c r="C1541" s="5" t="str">
        <f t="array" ref="C1541">IF(B1541="","",INDEX(helper!$D$3:$D3996,MOD(ROW()-2,COUNTA(helper!$D$3:$D3996))+1))</f>
        <v>FMC</v>
      </c>
      <c r="D1541" s="3" t="str">
        <f t="array" ref="D1541">IF(B1541="","",INDEX(helper!$E$3:$E3996,MOD(ROW()-2,COUNTA(helper!$D$3:$D3996))+1))</f>
        <v>CS-CDS-002</v>
      </c>
      <c r="E1541" s="3">
        <f t="array" ref="E1541">IF(B1541="","",INDEX(helper!$F$3:$F3996,MOD(ROW()-2,COUNTA(helper!$D$3:$D3996))+1))</f>
        <v>9</v>
      </c>
      <c r="F1541" s="3">
        <f>IF(B1541="","",SUMIFS('inventory ledger'!$H:$H,'inventory ledger'!$C:$C,C1541,'inventory ledger'!$D:$D,D1541,'inventory ledger'!$E:$E,E1541,'inventory ledger'!$A:$A,"&lt;="&amp;B1541+TIME(23,59,59))-SUMIFS('inventory ledger'!$I:$I,'inventory ledger'!$C:$C,C1541,'inventory ledger'!$D:$D,D1541,'inventory ledger'!$E:$E,E1541,'inventory ledger'!$A:$A,"&lt;="&amp;B1541+TIME(23,59,59)))</f>
        <v>0</v>
      </c>
      <c r="G1541" s="3">
        <f>IFERROR(__xludf.DUMMYFUNCTION("IF(F1541&lt;=0,0,IFERROR(ROUNDUP(F1541/INDEX(FILTER('warehouse config'!$D:$D,('warehouse config'!$B:$B=C1541)*('warehouse config'!$C:$C=D1541)*('warehouse config'!$G:$G&lt;=B1541)*(('warehouse config'!$H:$H&gt;=B1541)+ISBLANK('warehouse config'!$H:$H))),1)),0))"),0.0)</f>
        <v>0</v>
      </c>
      <c r="H1541" s="3">
        <f>IFERROR(__xludf.DUMMYFUNCTION("IFERROR(INDEX(FILTER('cost master'!$E:$E,('cost master'!$B:$B=C1541)*('cost master'!$D:$D=""Storage cost per pallet / week"")*('cost master'!$G:$G&lt;=B1541)*(('cost master'!$H:$H&gt;=B1541)+ISBLANK('cost master'!$H:$H))),1),0)"),3.9)</f>
        <v>3.9</v>
      </c>
      <c r="I1541" s="3">
        <f t="shared" si="4"/>
        <v>0</v>
      </c>
      <c r="J1541" s="27">
        <f t="shared" si="5"/>
        <v>45977</v>
      </c>
      <c r="K1541" s="27">
        <f t="shared" si="6"/>
        <v>46006</v>
      </c>
    </row>
    <row r="1542" hidden="1">
      <c r="A1542" s="3" t="str">
        <f t="shared" si="3"/>
        <v>SL-20251117-FMC-CS 007-10</v>
      </c>
      <c r="B1542" s="2">
        <f t="array" ref="B1542">INDEX(helper!$A$3:$A3996,ROUNDUP((ROW()-1)/COUNTA(helper!$D$3:$D3996),0))</f>
        <v>45978</v>
      </c>
      <c r="C1542" s="5" t="str">
        <f t="array" ref="C1542">IF(B1542="","",INDEX(helper!$D$3:$D3996,MOD(ROW()-2,COUNTA(helper!$D$3:$D3996))+1))</f>
        <v>FMC</v>
      </c>
      <c r="D1542" s="3" t="str">
        <f t="array" ref="D1542">IF(B1542="","",INDEX(helper!$E$3:$E3996,MOD(ROW()-2,COUNTA(helper!$D$3:$D3996))+1))</f>
        <v>CS 007</v>
      </c>
      <c r="E1542" s="3">
        <f t="array" ref="E1542">IF(B1542="","",INDEX(helper!$F$3:$F3996,MOD(ROW()-2,COUNTA(helper!$D$3:$D3996))+1))</f>
        <v>10</v>
      </c>
      <c r="F1542" s="3">
        <f>IF(B1542="","",SUMIFS('inventory ledger'!$H:$H,'inventory ledger'!$C:$C,C1542,'inventory ledger'!$D:$D,D1542,'inventory ledger'!$E:$E,E1542,'inventory ledger'!$A:$A,"&lt;="&amp;B1542+TIME(23,59,59))-SUMIFS('inventory ledger'!$I:$I,'inventory ledger'!$C:$C,C1542,'inventory ledger'!$D:$D,D1542,'inventory ledger'!$E:$E,E1542,'inventory ledger'!$A:$A,"&lt;="&amp;B1542+TIME(23,59,59)))</f>
        <v>0</v>
      </c>
      <c r="G1542" s="3">
        <f>IFERROR(__xludf.DUMMYFUNCTION("IF(F1542&lt;=0,0,IFERROR(ROUNDUP(F1542/INDEX(FILTER('warehouse config'!$D:$D,('warehouse config'!$B:$B=C1542)*('warehouse config'!$C:$C=D1542)*('warehouse config'!$G:$G&lt;=B1542)*(('warehouse config'!$H:$H&gt;=B1542)+ISBLANK('warehouse config'!$H:$H))),1)),0))"),0.0)</f>
        <v>0</v>
      </c>
      <c r="H1542" s="3">
        <f>IFERROR(__xludf.DUMMYFUNCTION("IFERROR(INDEX(FILTER('cost master'!$E:$E,('cost master'!$B:$B=C1542)*('cost master'!$D:$D=""Storage cost per pallet / week"")*('cost master'!$G:$G&lt;=B1542)*(('cost master'!$H:$H&gt;=B1542)+ISBLANK('cost master'!$H:$H))),1),0)"),3.9)</f>
        <v>3.9</v>
      </c>
      <c r="I1542" s="3">
        <f t="shared" si="4"/>
        <v>0</v>
      </c>
      <c r="J1542" s="27">
        <f t="shared" si="5"/>
        <v>45977</v>
      </c>
      <c r="K1542" s="27">
        <f t="shared" si="6"/>
        <v>46006</v>
      </c>
    </row>
    <row r="1543" hidden="1">
      <c r="A1543" s="3" t="str">
        <f t="shared" si="3"/>
        <v>SL-20251117-FMC-CS 009-10</v>
      </c>
      <c r="B1543" s="2">
        <f t="array" ref="B1543">INDEX(helper!$A$3:$A3996,ROUNDUP((ROW()-1)/COUNTA(helper!$D$3:$D3996),0))</f>
        <v>45978</v>
      </c>
      <c r="C1543" s="5" t="str">
        <f t="array" ref="C1543">IF(B1543="","",INDEX(helper!$D$3:$D3996,MOD(ROW()-2,COUNTA(helper!$D$3:$D3996))+1))</f>
        <v>FMC</v>
      </c>
      <c r="D1543" s="3" t="str">
        <f t="array" ref="D1543">IF(B1543="","",INDEX(helper!$E$3:$E3996,MOD(ROW()-2,COUNTA(helper!$D$3:$D3996))+1))</f>
        <v>CS 009</v>
      </c>
      <c r="E1543" s="3">
        <f t="array" ref="E1543">IF(B1543="","",INDEX(helper!$F$3:$F3996,MOD(ROW()-2,COUNTA(helper!$D$3:$D3996))+1))</f>
        <v>10</v>
      </c>
      <c r="F1543" s="3">
        <f>IF(B1543="","",SUMIFS('inventory ledger'!$H:$H,'inventory ledger'!$C:$C,C1543,'inventory ledger'!$D:$D,D1543,'inventory ledger'!$E:$E,E1543,'inventory ledger'!$A:$A,"&lt;="&amp;B1543+TIME(23,59,59))-SUMIFS('inventory ledger'!$I:$I,'inventory ledger'!$C:$C,C1543,'inventory ledger'!$D:$D,D1543,'inventory ledger'!$E:$E,E1543,'inventory ledger'!$A:$A,"&lt;="&amp;B1543+TIME(23,59,59)))</f>
        <v>0</v>
      </c>
      <c r="G1543" s="3">
        <f>IFERROR(__xludf.DUMMYFUNCTION("IF(F1543&lt;=0,0,IFERROR(ROUNDUP(F1543/INDEX(FILTER('warehouse config'!$D:$D,('warehouse config'!$B:$B=C1543)*('warehouse config'!$C:$C=D1543)*('warehouse config'!$G:$G&lt;=B1543)*(('warehouse config'!$H:$H&gt;=B1543)+ISBLANK('warehouse config'!$H:$H))),1)),0))"),0.0)</f>
        <v>0</v>
      </c>
      <c r="H1543" s="3">
        <f>IFERROR(__xludf.DUMMYFUNCTION("IFERROR(INDEX(FILTER('cost master'!$E:$E,('cost master'!$B:$B=C1543)*('cost master'!$D:$D=""Storage cost per pallet / week"")*('cost master'!$G:$G&lt;=B1543)*(('cost master'!$H:$H&gt;=B1543)+ISBLANK('cost master'!$H:$H))),1),0)"),3.9)</f>
        <v>3.9</v>
      </c>
      <c r="I1543" s="3">
        <f t="shared" si="4"/>
        <v>0</v>
      </c>
      <c r="J1543" s="27">
        <f t="shared" si="5"/>
        <v>45977</v>
      </c>
      <c r="K1543" s="27">
        <f t="shared" si="6"/>
        <v>46006</v>
      </c>
    </row>
    <row r="1544" hidden="1">
      <c r="A1544" s="3" t="str">
        <f t="shared" si="3"/>
        <v>SL-20251117-FMC-CS 010-10</v>
      </c>
      <c r="B1544" s="2">
        <f t="array" ref="B1544">INDEX(helper!$A$3:$A3996,ROUNDUP((ROW()-1)/COUNTA(helper!$D$3:$D3996),0))</f>
        <v>45978</v>
      </c>
      <c r="C1544" s="5" t="str">
        <f t="array" ref="C1544">IF(B1544="","",INDEX(helper!$D$3:$D3996,MOD(ROW()-2,COUNTA(helper!$D$3:$D3996))+1))</f>
        <v>FMC</v>
      </c>
      <c r="D1544" s="3" t="str">
        <f t="array" ref="D1544">IF(B1544="","",INDEX(helper!$E$3:$E3996,MOD(ROW()-2,COUNTA(helper!$D$3:$D3996))+1))</f>
        <v>CS 010</v>
      </c>
      <c r="E1544" s="3">
        <f t="array" ref="E1544">IF(B1544="","",INDEX(helper!$F$3:$F3996,MOD(ROW()-2,COUNTA(helper!$D$3:$D3996))+1))</f>
        <v>10</v>
      </c>
      <c r="F1544" s="3">
        <f>IF(B1544="","",SUMIFS('inventory ledger'!$H:$H,'inventory ledger'!$C:$C,C1544,'inventory ledger'!$D:$D,D1544,'inventory ledger'!$E:$E,E1544,'inventory ledger'!$A:$A,"&lt;="&amp;B1544+TIME(23,59,59))-SUMIFS('inventory ledger'!$I:$I,'inventory ledger'!$C:$C,C1544,'inventory ledger'!$D:$D,D1544,'inventory ledger'!$E:$E,E1544,'inventory ledger'!$A:$A,"&lt;="&amp;B1544+TIME(23,59,59)))</f>
        <v>13</v>
      </c>
      <c r="G1544" s="3">
        <f>IFERROR(__xludf.DUMMYFUNCTION("IF(F1544&lt;=0,0,IFERROR(ROUNDUP(F1544/INDEX(FILTER('warehouse config'!$D:$D,('warehouse config'!$B:$B=C1544)*('warehouse config'!$C:$C=D1544)*('warehouse config'!$G:$G&lt;=B1544)*(('warehouse config'!$H:$H&gt;=B1544)+ISBLANK('warehouse config'!$H:$H))),1)),0))"),1.0)</f>
        <v>1</v>
      </c>
      <c r="H1544" s="3">
        <f>IFERROR(__xludf.DUMMYFUNCTION("IFERROR(INDEX(FILTER('cost master'!$E:$E,('cost master'!$B:$B=C1544)*('cost master'!$D:$D=""Storage cost per pallet / week"")*('cost master'!$G:$G&lt;=B1544)*(('cost master'!$H:$H&gt;=B1544)+ISBLANK('cost master'!$H:$H))),1),0)"),3.9)</f>
        <v>3.9</v>
      </c>
      <c r="I1544" s="3">
        <f t="shared" si="4"/>
        <v>3.9</v>
      </c>
      <c r="J1544" s="27">
        <f t="shared" si="5"/>
        <v>45977</v>
      </c>
      <c r="K1544" s="27">
        <f t="shared" si="6"/>
        <v>46006</v>
      </c>
    </row>
    <row r="1545" hidden="1">
      <c r="A1545" s="3" t="str">
        <f t="shared" si="3"/>
        <v>SL-20251117-FMC-CS-CDS-001-10</v>
      </c>
      <c r="B1545" s="2">
        <f t="array" ref="B1545">INDEX(helper!$A$3:$A3996,ROUNDUP((ROW()-1)/COUNTA(helper!$D$3:$D3996),0))</f>
        <v>45978</v>
      </c>
      <c r="C1545" s="5" t="str">
        <f t="array" ref="C1545">IF(B1545="","",INDEX(helper!$D$3:$D3996,MOD(ROW()-2,COUNTA(helper!$D$3:$D3996))+1))</f>
        <v>FMC</v>
      </c>
      <c r="D1545" s="3" t="str">
        <f t="array" ref="D1545">IF(B1545="","",INDEX(helper!$E$3:$E3996,MOD(ROW()-2,COUNTA(helper!$D$3:$D3996))+1))</f>
        <v>CS-CDS-001</v>
      </c>
      <c r="E1545" s="3">
        <f t="array" ref="E1545">IF(B1545="","",INDEX(helper!$F$3:$F3996,MOD(ROW()-2,COUNTA(helper!$D$3:$D3996))+1))</f>
        <v>10</v>
      </c>
      <c r="F1545" s="3">
        <f>IF(B1545="","",SUMIFS('inventory ledger'!$H:$H,'inventory ledger'!$C:$C,C1545,'inventory ledger'!$D:$D,D1545,'inventory ledger'!$E:$E,E1545,'inventory ledger'!$A:$A,"&lt;="&amp;B1545+TIME(23,59,59))-SUMIFS('inventory ledger'!$I:$I,'inventory ledger'!$C:$C,C1545,'inventory ledger'!$D:$D,D1545,'inventory ledger'!$E:$E,E1545,'inventory ledger'!$A:$A,"&lt;="&amp;B1545+TIME(23,59,59)))</f>
        <v>0</v>
      </c>
      <c r="G1545" s="3">
        <f>IFERROR(__xludf.DUMMYFUNCTION("IF(F1545&lt;=0,0,IFERROR(ROUNDUP(F1545/INDEX(FILTER('warehouse config'!$D:$D,('warehouse config'!$B:$B=C1545)*('warehouse config'!$C:$C=D1545)*('warehouse config'!$G:$G&lt;=B1545)*(('warehouse config'!$H:$H&gt;=B1545)+ISBLANK('warehouse config'!$H:$H))),1)),0))"),0.0)</f>
        <v>0</v>
      </c>
      <c r="H1545" s="3">
        <f>IFERROR(__xludf.DUMMYFUNCTION("IFERROR(INDEX(FILTER('cost master'!$E:$E,('cost master'!$B:$B=C1545)*('cost master'!$D:$D=""Storage cost per pallet / week"")*('cost master'!$G:$G&lt;=B1545)*(('cost master'!$H:$H&gt;=B1545)+ISBLANK('cost master'!$H:$H))),1),0)"),3.9)</f>
        <v>3.9</v>
      </c>
      <c r="I1545" s="3">
        <f t="shared" si="4"/>
        <v>0</v>
      </c>
      <c r="J1545" s="27">
        <f t="shared" si="5"/>
        <v>45977</v>
      </c>
      <c r="K1545" s="27">
        <f t="shared" si="6"/>
        <v>46006</v>
      </c>
    </row>
    <row r="1546">
      <c r="A1546" s="3" t="str">
        <f t="shared" si="3"/>
        <v>SL-20251117-FMC-CS 007-11</v>
      </c>
      <c r="B1546" s="2">
        <f t="array" ref="B1546">INDEX(helper!$A$3:$A3996,ROUNDUP((ROW()-1)/COUNTA(helper!$D$3:$D3996),0))</f>
        <v>45978</v>
      </c>
      <c r="C1546" s="5" t="str">
        <f t="array" ref="C1546">IF(B1546="","",INDEX(helper!$D$3:$D3996,MOD(ROW()-2,COUNTA(helper!$D$3:$D3996))+1))</f>
        <v>FMC</v>
      </c>
      <c r="D1546" s="3" t="str">
        <f t="array" ref="D1546">IF(B1546="","",INDEX(helper!$E$3:$E3996,MOD(ROW()-2,COUNTA(helper!$D$3:$D3996))+1))</f>
        <v>CS 007</v>
      </c>
      <c r="E1546" s="3">
        <f t="array" ref="E1546">IF(B1546="","",INDEX(helper!$F$3:$F3996,MOD(ROW()-2,COUNTA(helper!$D$3:$D3996))+1))</f>
        <v>11</v>
      </c>
      <c r="F1546" s="3">
        <f>IF(B1546="","",SUMIFS('inventory ledger'!$H:$H,'inventory ledger'!$C:$C,C1546,'inventory ledger'!$D:$D,D1546,'inventory ledger'!$E:$E,E1546,'inventory ledger'!$A:$A,"&lt;="&amp;B1546+TIME(23,59,59))-SUMIFS('inventory ledger'!$I:$I,'inventory ledger'!$C:$C,C1546,'inventory ledger'!$D:$D,D1546,'inventory ledger'!$E:$E,E1546,'inventory ledger'!$A:$A,"&lt;="&amp;B1546+TIME(23,59,59)))</f>
        <v>-1</v>
      </c>
      <c r="G1546" s="3">
        <f>IFERROR(__xludf.DUMMYFUNCTION("IF(F1546&lt;=0,0,IFERROR(ROUNDUP(F1546/INDEX(FILTER('warehouse config'!$D:$D,('warehouse config'!$B:$B=C1546)*('warehouse config'!$C:$C=D1546)*('warehouse config'!$G:$G&lt;=B1546)*(('warehouse config'!$H:$H&gt;=B1546)+ISBLANK('warehouse config'!$H:$H))),1)),0))"),0.0)</f>
        <v>0</v>
      </c>
      <c r="H1546" s="3">
        <f>IFERROR(__xludf.DUMMYFUNCTION("IFERROR(INDEX(FILTER('cost master'!$E:$E,('cost master'!$B:$B=C1546)*('cost master'!$D:$D=""Storage cost per pallet / week"")*('cost master'!$G:$G&lt;=B1546)*(('cost master'!$H:$H&gt;=B1546)+ISBLANK('cost master'!$H:$H))),1),0)"),3.9)</f>
        <v>3.9</v>
      </c>
      <c r="I1546" s="3">
        <f t="shared" si="4"/>
        <v>0</v>
      </c>
      <c r="J1546" s="27">
        <f t="shared" si="5"/>
        <v>45977</v>
      </c>
      <c r="K1546" s="27">
        <f t="shared" si="6"/>
        <v>46006</v>
      </c>
    </row>
    <row r="1547" hidden="1">
      <c r="A1547" s="3" t="str">
        <f t="shared" si="3"/>
        <v>SL-20251117-FMC-CS 009-11</v>
      </c>
      <c r="B1547" s="2">
        <f t="array" ref="B1547">INDEX(helper!$A$3:$A3996,ROUNDUP((ROW()-1)/COUNTA(helper!$D$3:$D3996),0))</f>
        <v>45978</v>
      </c>
      <c r="C1547" s="5" t="str">
        <f t="array" ref="C1547">IF(B1547="","",INDEX(helper!$D$3:$D3996,MOD(ROW()-2,COUNTA(helper!$D$3:$D3996))+1))</f>
        <v>FMC</v>
      </c>
      <c r="D1547" s="3" t="str">
        <f t="array" ref="D1547">IF(B1547="","",INDEX(helper!$E$3:$E3996,MOD(ROW()-2,COUNTA(helper!$D$3:$D3996))+1))</f>
        <v>CS 009</v>
      </c>
      <c r="E1547" s="3">
        <f t="array" ref="E1547">IF(B1547="","",INDEX(helper!$F$3:$F3996,MOD(ROW()-2,COUNTA(helper!$D$3:$D3996))+1))</f>
        <v>11</v>
      </c>
      <c r="F1547" s="3">
        <f>IF(B1547="","",SUMIFS('inventory ledger'!$H:$H,'inventory ledger'!$C:$C,C1547,'inventory ledger'!$D:$D,D1547,'inventory ledger'!$E:$E,E1547,'inventory ledger'!$A:$A,"&lt;="&amp;B1547+TIME(23,59,59))-SUMIFS('inventory ledger'!$I:$I,'inventory ledger'!$C:$C,C1547,'inventory ledger'!$D:$D,D1547,'inventory ledger'!$E:$E,E1547,'inventory ledger'!$A:$A,"&lt;="&amp;B1547+TIME(23,59,59)))</f>
        <v>0</v>
      </c>
      <c r="G1547" s="3">
        <f>IFERROR(__xludf.DUMMYFUNCTION("IF(F1547&lt;=0,0,IFERROR(ROUNDUP(F1547/INDEX(FILTER('warehouse config'!$D:$D,('warehouse config'!$B:$B=C1547)*('warehouse config'!$C:$C=D1547)*('warehouse config'!$G:$G&lt;=B1547)*(('warehouse config'!$H:$H&gt;=B1547)+ISBLANK('warehouse config'!$H:$H))),1)),0))"),0.0)</f>
        <v>0</v>
      </c>
      <c r="H1547" s="3">
        <f>IFERROR(__xludf.DUMMYFUNCTION("IFERROR(INDEX(FILTER('cost master'!$E:$E,('cost master'!$B:$B=C1547)*('cost master'!$D:$D=""Storage cost per pallet / week"")*('cost master'!$G:$G&lt;=B1547)*(('cost master'!$H:$H&gt;=B1547)+ISBLANK('cost master'!$H:$H))),1),0)"),3.9)</f>
        <v>3.9</v>
      </c>
      <c r="I1547" s="3">
        <f t="shared" si="4"/>
        <v>0</v>
      </c>
      <c r="J1547" s="27">
        <f t="shared" si="5"/>
        <v>45977</v>
      </c>
      <c r="K1547" s="27">
        <f t="shared" si="6"/>
        <v>46006</v>
      </c>
    </row>
    <row r="1548" hidden="1">
      <c r="A1548" s="3" t="str">
        <f t="shared" si="3"/>
        <v>SL-20251117-FMC-CS 010-11</v>
      </c>
      <c r="B1548" s="2">
        <f t="array" ref="B1548">INDEX(helper!$A$3:$A3996,ROUNDUP((ROW()-1)/COUNTA(helper!$D$3:$D3996),0))</f>
        <v>45978</v>
      </c>
      <c r="C1548" s="5" t="str">
        <f t="array" ref="C1548">IF(B1548="","",INDEX(helper!$D$3:$D3996,MOD(ROW()-2,COUNTA(helper!$D$3:$D3996))+1))</f>
        <v>FMC</v>
      </c>
      <c r="D1548" s="3" t="str">
        <f t="array" ref="D1548">IF(B1548="","",INDEX(helper!$E$3:$E3996,MOD(ROW()-2,COUNTA(helper!$D$3:$D3996))+1))</f>
        <v>CS 010</v>
      </c>
      <c r="E1548" s="3">
        <f t="array" ref="E1548">IF(B1548="","",INDEX(helper!$F$3:$F3996,MOD(ROW()-2,COUNTA(helper!$D$3:$D3996))+1))</f>
        <v>11</v>
      </c>
      <c r="F1548" s="3">
        <f>IF(B1548="","",SUMIFS('inventory ledger'!$H:$H,'inventory ledger'!$C:$C,C1548,'inventory ledger'!$D:$D,D1548,'inventory ledger'!$E:$E,E1548,'inventory ledger'!$A:$A,"&lt;="&amp;B1548+TIME(23,59,59))-SUMIFS('inventory ledger'!$I:$I,'inventory ledger'!$C:$C,C1548,'inventory ledger'!$D:$D,D1548,'inventory ledger'!$E:$E,E1548,'inventory ledger'!$A:$A,"&lt;="&amp;B1548+TIME(23,59,59)))</f>
        <v>6</v>
      </c>
      <c r="G1548" s="3">
        <f>IFERROR(__xludf.DUMMYFUNCTION("IF(F1548&lt;=0,0,IFERROR(ROUNDUP(F1548/INDEX(FILTER('warehouse config'!$D:$D,('warehouse config'!$B:$B=C1548)*('warehouse config'!$C:$C=D1548)*('warehouse config'!$G:$G&lt;=B1548)*(('warehouse config'!$H:$H&gt;=B1548)+ISBLANK('warehouse config'!$H:$H))),1)),0))"),1.0)</f>
        <v>1</v>
      </c>
      <c r="H1548" s="3">
        <f>IFERROR(__xludf.DUMMYFUNCTION("IFERROR(INDEX(FILTER('cost master'!$E:$E,('cost master'!$B:$B=C1548)*('cost master'!$D:$D=""Storage cost per pallet / week"")*('cost master'!$G:$G&lt;=B1548)*(('cost master'!$H:$H&gt;=B1548)+ISBLANK('cost master'!$H:$H))),1),0)"),3.9)</f>
        <v>3.9</v>
      </c>
      <c r="I1548" s="3">
        <f t="shared" si="4"/>
        <v>3.9</v>
      </c>
      <c r="J1548" s="27">
        <f t="shared" si="5"/>
        <v>45977</v>
      </c>
      <c r="K1548" s="27">
        <f t="shared" si="6"/>
        <v>46006</v>
      </c>
    </row>
    <row r="1549" hidden="1">
      <c r="A1549" s="3" t="str">
        <f t="shared" si="3"/>
        <v>SL-20251117-Vglobal-CS 007-12</v>
      </c>
      <c r="B1549" s="2">
        <f t="array" ref="B1549">INDEX(helper!$A$3:$A3996,ROUNDUP((ROW()-1)/COUNTA(helper!$D$3:$D3996),0))</f>
        <v>45978</v>
      </c>
      <c r="C1549" s="5" t="str">
        <f t="array" ref="C1549">IF(B1549="","",INDEX(helper!$D$3:$D3996,MOD(ROW()-2,COUNTA(helper!$D$3:$D3996))+1))</f>
        <v>Vglobal</v>
      </c>
      <c r="D1549" s="3" t="str">
        <f t="array" ref="D1549">IF(B1549="","",INDEX(helper!$E$3:$E3996,MOD(ROW()-2,COUNTA(helper!$D$3:$D3996))+1))</f>
        <v>CS 007</v>
      </c>
      <c r="E1549" s="3">
        <f t="array" ref="E1549">IF(B1549="","",INDEX(helper!$F$3:$F3996,MOD(ROW()-2,COUNTA(helper!$D$3:$D3996))+1))</f>
        <v>12</v>
      </c>
      <c r="F1549" s="3">
        <f>IF(B1549="","",SUMIFS('inventory ledger'!$H:$H,'inventory ledger'!$C:$C,C1549,'inventory ledger'!$D:$D,D1549,'inventory ledger'!$E:$E,E1549,'inventory ledger'!$A:$A,"&lt;="&amp;B1549+TIME(23,59,59))-SUMIFS('inventory ledger'!$I:$I,'inventory ledger'!$C:$C,C1549,'inventory ledger'!$D:$D,D1549,'inventory ledger'!$E:$E,E1549,'inventory ledger'!$A:$A,"&lt;="&amp;B1549+TIME(23,59,59)))</f>
        <v>0</v>
      </c>
      <c r="G1549" s="3">
        <f>IFERROR(__xludf.DUMMYFUNCTION("IF(F1549&lt;=0,0,IFERROR(ROUNDUP(F1549/INDEX(FILTER('warehouse config'!$D:$D,('warehouse config'!$B:$B=C1549)*('warehouse config'!$C:$C=D1549)*('warehouse config'!$G:$G&lt;=B1549)*(('warehouse config'!$H:$H&gt;=B1549)+ISBLANK('warehouse config'!$H:$H))),1)),0))"),0.0)</f>
        <v>0</v>
      </c>
      <c r="H1549" s="3">
        <f>IFERROR(__xludf.DUMMYFUNCTION("IFERROR(INDEX(FILTER('cost master'!$E:$E,('cost master'!$B:$B=C1549)*('cost master'!$D:$D=""Storage cost per pallet / week"")*('cost master'!$G:$G&lt;=B1549)*(('cost master'!$H:$H&gt;=B1549)+ISBLANK('cost master'!$H:$H))),1),0)"),2.6)</f>
        <v>2.6</v>
      </c>
      <c r="I1549" s="3">
        <f t="shared" si="4"/>
        <v>0</v>
      </c>
      <c r="J1549" s="27">
        <f t="shared" si="5"/>
        <v>45977</v>
      </c>
      <c r="K1549" s="27">
        <f t="shared" si="6"/>
        <v>46006</v>
      </c>
    </row>
    <row r="1550" hidden="1">
      <c r="A1550" s="3" t="str">
        <f t="shared" si="3"/>
        <v>SL-20251117-Vglobal-CS 011-12</v>
      </c>
      <c r="B1550" s="2">
        <f t="array" ref="B1550">INDEX(helper!$A$3:$A3996,ROUNDUP((ROW()-1)/COUNTA(helper!$D$3:$D3996),0))</f>
        <v>45978</v>
      </c>
      <c r="C1550" s="5" t="str">
        <f t="array" ref="C1550">IF(B1550="","",INDEX(helper!$D$3:$D3996,MOD(ROW()-2,COUNTA(helper!$D$3:$D3996))+1))</f>
        <v>Vglobal</v>
      </c>
      <c r="D1550" s="3" t="str">
        <f t="array" ref="D1550">IF(B1550="","",INDEX(helper!$E$3:$E3996,MOD(ROW()-2,COUNTA(helper!$D$3:$D3996))+1))</f>
        <v>CS 011</v>
      </c>
      <c r="E1550" s="3">
        <f t="array" ref="E1550">IF(B1550="","",INDEX(helper!$F$3:$F3996,MOD(ROW()-2,COUNTA(helper!$D$3:$D3996))+1))</f>
        <v>12</v>
      </c>
      <c r="F1550" s="3">
        <f>IF(B1550="","",SUMIFS('inventory ledger'!$H:$H,'inventory ledger'!$C:$C,C1550,'inventory ledger'!$D:$D,D1550,'inventory ledger'!$E:$E,E1550,'inventory ledger'!$A:$A,"&lt;="&amp;B1550+TIME(23,59,59))-SUMIFS('inventory ledger'!$I:$I,'inventory ledger'!$C:$C,C1550,'inventory ledger'!$D:$D,D1550,'inventory ledger'!$E:$E,E1550,'inventory ledger'!$A:$A,"&lt;="&amp;B1550+TIME(23,59,59)))</f>
        <v>0</v>
      </c>
      <c r="G1550" s="3">
        <f>IFERROR(__xludf.DUMMYFUNCTION("IF(F1550&lt;=0,0,IFERROR(ROUNDUP(F1550/INDEX(FILTER('warehouse config'!$D:$D,('warehouse config'!$B:$B=C1550)*('warehouse config'!$C:$C=D1550)*('warehouse config'!$G:$G&lt;=B1550)*(('warehouse config'!$H:$H&gt;=B1550)+ISBLANK('warehouse config'!$H:$H))),1)),0))"),0.0)</f>
        <v>0</v>
      </c>
      <c r="H1550" s="3">
        <f>IFERROR(__xludf.DUMMYFUNCTION("IFERROR(INDEX(FILTER('cost master'!$E:$E,('cost master'!$B:$B=C1550)*('cost master'!$D:$D=""Storage cost per pallet / week"")*('cost master'!$G:$G&lt;=B1550)*(('cost master'!$H:$H&gt;=B1550)+ISBLANK('cost master'!$H:$H))),1),0)"),2.6)</f>
        <v>2.6</v>
      </c>
      <c r="I1550" s="3">
        <f t="shared" si="4"/>
        <v>0</v>
      </c>
      <c r="J1550" s="27">
        <f t="shared" si="5"/>
        <v>45977</v>
      </c>
      <c r="K1550" s="27">
        <f t="shared" si="6"/>
        <v>46006</v>
      </c>
    </row>
    <row r="1551" hidden="1">
      <c r="A1551" s="3" t="str">
        <f t="shared" si="3"/>
        <v>SL-20251117-Vglobal-CS 008-12</v>
      </c>
      <c r="B1551" s="2">
        <f t="array" ref="B1551">INDEX(helper!$A$3:$A3996,ROUNDUP((ROW()-1)/COUNTA(helper!$D$3:$D3996),0))</f>
        <v>45978</v>
      </c>
      <c r="C1551" s="5" t="str">
        <f t="array" ref="C1551">IF(B1551="","",INDEX(helper!$D$3:$D3996,MOD(ROW()-2,COUNTA(helper!$D$3:$D3996))+1))</f>
        <v>Vglobal</v>
      </c>
      <c r="D1551" s="3" t="str">
        <f t="array" ref="D1551">IF(B1551="","",INDEX(helper!$E$3:$E3996,MOD(ROW()-2,COUNTA(helper!$D$3:$D3996))+1))</f>
        <v>CS 008</v>
      </c>
      <c r="E1551" s="3">
        <f t="array" ref="E1551">IF(B1551="","",INDEX(helper!$F$3:$F3996,MOD(ROW()-2,COUNTA(helper!$D$3:$D3996))+1))</f>
        <v>12</v>
      </c>
      <c r="F1551" s="3">
        <f>IF(B1551="","",SUMIFS('inventory ledger'!$H:$H,'inventory ledger'!$C:$C,C1551,'inventory ledger'!$D:$D,D1551,'inventory ledger'!$E:$E,E1551,'inventory ledger'!$A:$A,"&lt;="&amp;B1551+TIME(23,59,59))-SUMIFS('inventory ledger'!$I:$I,'inventory ledger'!$C:$C,C1551,'inventory ledger'!$D:$D,D1551,'inventory ledger'!$E:$E,E1551,'inventory ledger'!$A:$A,"&lt;="&amp;B1551+TIME(23,59,59)))</f>
        <v>0</v>
      </c>
      <c r="G1551" s="3">
        <f>IFERROR(__xludf.DUMMYFUNCTION("IF(F1551&lt;=0,0,IFERROR(ROUNDUP(F1551/INDEX(FILTER('warehouse config'!$D:$D,('warehouse config'!$B:$B=C1551)*('warehouse config'!$C:$C=D1551)*('warehouse config'!$G:$G&lt;=B1551)*(('warehouse config'!$H:$H&gt;=B1551)+ISBLANK('warehouse config'!$H:$H))),1)),0))"),0.0)</f>
        <v>0</v>
      </c>
      <c r="H1551" s="3">
        <f>IFERROR(__xludf.DUMMYFUNCTION("IFERROR(INDEX(FILTER('cost master'!$E:$E,('cost master'!$B:$B=C1551)*('cost master'!$D:$D=""Storage cost per pallet / week"")*('cost master'!$G:$G&lt;=B1551)*(('cost master'!$H:$H&gt;=B1551)+ISBLANK('cost master'!$H:$H))),1),0)"),2.6)</f>
        <v>2.6</v>
      </c>
      <c r="I1551" s="3">
        <f t="shared" si="4"/>
        <v>0</v>
      </c>
      <c r="J1551" s="27">
        <f t="shared" si="5"/>
        <v>45977</v>
      </c>
      <c r="K1551" s="27">
        <f t="shared" si="6"/>
        <v>46006</v>
      </c>
    </row>
    <row r="1552" hidden="1">
      <c r="A1552" s="3" t="str">
        <f t="shared" si="3"/>
        <v>SL-20251117-Vglobal-CS 010-12</v>
      </c>
      <c r="B1552" s="2">
        <f t="array" ref="B1552">INDEX(helper!$A$3:$A3996,ROUNDUP((ROW()-1)/COUNTA(helper!$D$3:$D3996),0))</f>
        <v>45978</v>
      </c>
      <c r="C1552" s="5" t="str">
        <f t="array" ref="C1552">IF(B1552="","",INDEX(helper!$D$3:$D3996,MOD(ROW()-2,COUNTA(helper!$D$3:$D3996))+1))</f>
        <v>Vglobal</v>
      </c>
      <c r="D1552" s="3" t="str">
        <f t="array" ref="D1552">IF(B1552="","",INDEX(helper!$E$3:$E3996,MOD(ROW()-2,COUNTA(helper!$D$3:$D3996))+1))</f>
        <v>CS 010</v>
      </c>
      <c r="E1552" s="3">
        <f t="array" ref="E1552">IF(B1552="","",INDEX(helper!$F$3:$F3996,MOD(ROW()-2,COUNTA(helper!$D$3:$D3996))+1))</f>
        <v>12</v>
      </c>
      <c r="F1552" s="3">
        <f>IF(B1552="","",SUMIFS('inventory ledger'!$H:$H,'inventory ledger'!$C:$C,C1552,'inventory ledger'!$D:$D,D1552,'inventory ledger'!$E:$E,E1552,'inventory ledger'!$A:$A,"&lt;="&amp;B1552+TIME(23,59,59))-SUMIFS('inventory ledger'!$I:$I,'inventory ledger'!$C:$C,C1552,'inventory ledger'!$D:$D,D1552,'inventory ledger'!$E:$E,E1552,'inventory ledger'!$A:$A,"&lt;="&amp;B1552+TIME(23,59,59)))</f>
        <v>70</v>
      </c>
      <c r="G1552" s="3">
        <f>IFERROR(__xludf.DUMMYFUNCTION("IF(F1552&lt;=0,0,IFERROR(ROUNDUP(F1552/INDEX(FILTER('warehouse config'!$D:$D,('warehouse config'!$B:$B=C1552)*('warehouse config'!$C:$C=D1552)*('warehouse config'!$G:$G&lt;=B1552)*(('warehouse config'!$H:$H&gt;=B1552)+ISBLANK('warehouse config'!$H:$H))),1)),0))"),3.0)</f>
        <v>3</v>
      </c>
      <c r="H1552" s="3">
        <f>IFERROR(__xludf.DUMMYFUNCTION("IFERROR(INDEX(FILTER('cost master'!$E:$E,('cost master'!$B:$B=C1552)*('cost master'!$D:$D=""Storage cost per pallet / week"")*('cost master'!$G:$G&lt;=B1552)*(('cost master'!$H:$H&gt;=B1552)+ISBLANK('cost master'!$H:$H))),1),0)"),2.6)</f>
        <v>2.6</v>
      </c>
      <c r="I1552" s="3">
        <f t="shared" si="4"/>
        <v>7.8</v>
      </c>
      <c r="J1552" s="27">
        <f t="shared" si="5"/>
        <v>45977</v>
      </c>
      <c r="K1552" s="27">
        <f t="shared" si="6"/>
        <v>46006</v>
      </c>
    </row>
    <row r="1553" hidden="1">
      <c r="A1553" s="3" t="str">
        <f t="shared" si="3"/>
        <v>SL-20251117-Vglobal-CS 009-12</v>
      </c>
      <c r="B1553" s="2">
        <f t="array" ref="B1553">INDEX(helper!$A$3:$A3996,ROUNDUP((ROW()-1)/COUNTA(helper!$D$3:$D3996),0))</f>
        <v>45978</v>
      </c>
      <c r="C1553" s="5" t="str">
        <f t="array" ref="C1553">IF(B1553="","",INDEX(helper!$D$3:$D3996,MOD(ROW()-2,COUNTA(helper!$D$3:$D3996))+1))</f>
        <v>Vglobal</v>
      </c>
      <c r="D1553" s="3" t="str">
        <f t="array" ref="D1553">IF(B1553="","",INDEX(helper!$E$3:$E3996,MOD(ROW()-2,COUNTA(helper!$D$3:$D3996))+1))</f>
        <v>CS 009</v>
      </c>
      <c r="E1553" s="3">
        <f t="array" ref="E1553">IF(B1553="","",INDEX(helper!$F$3:$F3996,MOD(ROW()-2,COUNTA(helper!$D$3:$D3996))+1))</f>
        <v>12</v>
      </c>
      <c r="F1553" s="3">
        <f>IF(B1553="","",SUMIFS('inventory ledger'!$H:$H,'inventory ledger'!$C:$C,C1553,'inventory ledger'!$D:$D,D1553,'inventory ledger'!$E:$E,E1553,'inventory ledger'!$A:$A,"&lt;="&amp;B1553+TIME(23,59,59))-SUMIFS('inventory ledger'!$I:$I,'inventory ledger'!$C:$C,C1553,'inventory ledger'!$D:$D,D1553,'inventory ledger'!$E:$E,E1553,'inventory ledger'!$A:$A,"&lt;="&amp;B1553+TIME(23,59,59)))</f>
        <v>0</v>
      </c>
      <c r="G1553" s="3">
        <f>IFERROR(__xludf.DUMMYFUNCTION("IF(F1553&lt;=0,0,IFERROR(ROUNDUP(F1553/INDEX(FILTER('warehouse config'!$D:$D,('warehouse config'!$B:$B=C1553)*('warehouse config'!$C:$C=D1553)*('warehouse config'!$G:$G&lt;=B1553)*(('warehouse config'!$H:$H&gt;=B1553)+ISBLANK('warehouse config'!$H:$H))),1)),0))"),0.0)</f>
        <v>0</v>
      </c>
      <c r="H1553" s="3">
        <f>IFERROR(__xludf.DUMMYFUNCTION("IFERROR(INDEX(FILTER('cost master'!$E:$E,('cost master'!$B:$B=C1553)*('cost master'!$D:$D=""Storage cost per pallet / week"")*('cost master'!$G:$G&lt;=B1553)*(('cost master'!$H:$H&gt;=B1553)+ISBLANK('cost master'!$H:$H))),1),0)"),2.6)</f>
        <v>2.6</v>
      </c>
      <c r="I1553" s="3">
        <f t="shared" si="4"/>
        <v>0</v>
      </c>
      <c r="J1553" s="27">
        <f t="shared" si="5"/>
        <v>45977</v>
      </c>
      <c r="K1553" s="27">
        <f t="shared" si="6"/>
        <v>46006</v>
      </c>
    </row>
    <row r="1554" hidden="1">
      <c r="A1554" s="3" t="str">
        <f t="shared" si="3"/>
        <v>SL-20251117-Vglobal-CS 012-12</v>
      </c>
      <c r="B1554" s="2">
        <f t="array" ref="B1554">INDEX(helper!$A$3:$A3996,ROUNDUP((ROW()-1)/COUNTA(helper!$D$3:$D3996),0))</f>
        <v>45978</v>
      </c>
      <c r="C1554" s="5" t="str">
        <f t="array" ref="C1554">IF(B1554="","",INDEX(helper!$D$3:$D3996,MOD(ROW()-2,COUNTA(helper!$D$3:$D3996))+1))</f>
        <v>Vglobal</v>
      </c>
      <c r="D1554" s="3" t="str">
        <f t="array" ref="D1554">IF(B1554="","",INDEX(helper!$E$3:$E3996,MOD(ROW()-2,COUNTA(helper!$D$3:$D3996))+1))</f>
        <v>CS 012</v>
      </c>
      <c r="E1554" s="3">
        <f t="array" ref="E1554">IF(B1554="","",INDEX(helper!$F$3:$F3996,MOD(ROW()-2,COUNTA(helper!$D$3:$D3996))+1))</f>
        <v>12</v>
      </c>
      <c r="F1554" s="3">
        <f>IF(B1554="","",SUMIFS('inventory ledger'!$H:$H,'inventory ledger'!$C:$C,C1554,'inventory ledger'!$D:$D,D1554,'inventory ledger'!$E:$E,E1554,'inventory ledger'!$A:$A,"&lt;="&amp;B1554+TIME(23,59,59))-SUMIFS('inventory ledger'!$I:$I,'inventory ledger'!$C:$C,C1554,'inventory ledger'!$D:$D,D1554,'inventory ledger'!$E:$E,E1554,'inventory ledger'!$A:$A,"&lt;="&amp;B1554+TIME(23,59,59)))</f>
        <v>0</v>
      </c>
      <c r="G1554" s="3">
        <f>IFERROR(__xludf.DUMMYFUNCTION("IF(F1554&lt;=0,0,IFERROR(ROUNDUP(F1554/INDEX(FILTER('warehouse config'!$D:$D,('warehouse config'!$B:$B=C1554)*('warehouse config'!$C:$C=D1554)*('warehouse config'!$G:$G&lt;=B1554)*(('warehouse config'!$H:$H&gt;=B1554)+ISBLANK('warehouse config'!$H:$H))),1)),0))"),0.0)</f>
        <v>0</v>
      </c>
      <c r="H1554" s="3">
        <f>IFERROR(__xludf.DUMMYFUNCTION("IFERROR(INDEX(FILTER('cost master'!$E:$E,('cost master'!$B:$B=C1554)*('cost master'!$D:$D=""Storage cost per pallet / week"")*('cost master'!$G:$G&lt;=B1554)*(('cost master'!$H:$H&gt;=B1554)+ISBLANK('cost master'!$H:$H))),1),0)"),2.6)</f>
        <v>2.6</v>
      </c>
      <c r="I1554" s="3">
        <f t="shared" si="4"/>
        <v>0</v>
      </c>
      <c r="J1554" s="27">
        <f t="shared" si="5"/>
        <v>45977</v>
      </c>
      <c r="K1554" s="27">
        <f t="shared" si="6"/>
        <v>46006</v>
      </c>
    </row>
    <row r="1555" hidden="1">
      <c r="A1555" s="3" t="str">
        <f t="shared" si="3"/>
        <v>SL-20251117-Vglobal-CS-CDS-001-3</v>
      </c>
      <c r="B1555" s="2">
        <f t="array" ref="B1555">INDEX(helper!$A$3:$A3996,ROUNDUP((ROW()-1)/COUNTA(helper!$D$3:$D3996),0))</f>
        <v>45978</v>
      </c>
      <c r="C1555" s="5" t="str">
        <f t="array" ref="C1555">IF(B1555="","",INDEX(helper!$D$3:$D3996,MOD(ROW()-2,COUNTA(helper!$D$3:$D3996))+1))</f>
        <v>Vglobal</v>
      </c>
      <c r="D1555" s="3" t="str">
        <f t="array" ref="D1555">IF(B1555="","",INDEX(helper!$E$3:$E3996,MOD(ROW()-2,COUNTA(helper!$D$3:$D3996))+1))</f>
        <v>CS-CDS-001</v>
      </c>
      <c r="E1555" s="3">
        <f t="array" ref="E1555">IF(B1555="","",INDEX(helper!$F$3:$F3996,MOD(ROW()-2,COUNTA(helper!$D$3:$D3996))+1))</f>
        <v>3</v>
      </c>
      <c r="F1555" s="3">
        <f>IF(B1555="","",SUMIFS('inventory ledger'!$H:$H,'inventory ledger'!$C:$C,C1555,'inventory ledger'!$D:$D,D1555,'inventory ledger'!$E:$E,E1555,'inventory ledger'!$A:$A,"&lt;="&amp;B1555+TIME(23,59,59))-SUMIFS('inventory ledger'!$I:$I,'inventory ledger'!$C:$C,C1555,'inventory ledger'!$D:$D,D1555,'inventory ledger'!$E:$E,E1555,'inventory ledger'!$A:$A,"&lt;="&amp;B1555+TIME(23,59,59)))</f>
        <v>1</v>
      </c>
      <c r="G1555" s="3">
        <f>IFERROR(__xludf.DUMMYFUNCTION("IF(F1555&lt;=0,0,IFERROR(ROUNDUP(F1555/INDEX(FILTER('warehouse config'!$D:$D,('warehouse config'!$B:$B=C1555)*('warehouse config'!$C:$C=D1555)*('warehouse config'!$G:$G&lt;=B1555)*(('warehouse config'!$H:$H&gt;=B1555)+ISBLANK('warehouse config'!$H:$H))),1)),0))"),1.0)</f>
        <v>1</v>
      </c>
      <c r="H1555" s="3">
        <f>IFERROR(__xludf.DUMMYFUNCTION("IFERROR(INDEX(FILTER('cost master'!$E:$E,('cost master'!$B:$B=C1555)*('cost master'!$D:$D=""Storage cost per pallet / week"")*('cost master'!$G:$G&lt;=B1555)*(('cost master'!$H:$H&gt;=B1555)+ISBLANK('cost master'!$H:$H))),1),0)"),2.6)</f>
        <v>2.6</v>
      </c>
      <c r="I1555" s="3">
        <f t="shared" si="4"/>
        <v>2.6</v>
      </c>
      <c r="J1555" s="27">
        <f t="shared" si="5"/>
        <v>45977</v>
      </c>
      <c r="K1555" s="27">
        <f t="shared" si="6"/>
        <v>46006</v>
      </c>
    </row>
    <row r="1556" hidden="1">
      <c r="A1556" s="3" t="str">
        <f t="shared" si="3"/>
        <v>SL-20251117-Vglobal-CS-CDS-002-3</v>
      </c>
      <c r="B1556" s="2">
        <f t="array" ref="B1556">INDEX(helper!$A$3:$A3996,ROUNDUP((ROW()-1)/COUNTA(helper!$D$3:$D3996),0))</f>
        <v>45978</v>
      </c>
      <c r="C1556" s="5" t="str">
        <f t="array" ref="C1556">IF(B1556="","",INDEX(helper!$D$3:$D3996,MOD(ROW()-2,COUNTA(helper!$D$3:$D3996))+1))</f>
        <v>Vglobal</v>
      </c>
      <c r="D1556" s="3" t="str">
        <f t="array" ref="D1556">IF(B1556="","",INDEX(helper!$E$3:$E3996,MOD(ROW()-2,COUNTA(helper!$D$3:$D3996))+1))</f>
        <v>CS-CDS-002</v>
      </c>
      <c r="E1556" s="3">
        <f t="array" ref="E1556">IF(B1556="","",INDEX(helper!$F$3:$F3996,MOD(ROW()-2,COUNTA(helper!$D$3:$D3996))+1))</f>
        <v>3</v>
      </c>
      <c r="F1556" s="3">
        <f>IF(B1556="","",SUMIFS('inventory ledger'!$H:$H,'inventory ledger'!$C:$C,C1556,'inventory ledger'!$D:$D,D1556,'inventory ledger'!$E:$E,E1556,'inventory ledger'!$A:$A,"&lt;="&amp;B1556+TIME(23,59,59))-SUMIFS('inventory ledger'!$I:$I,'inventory ledger'!$C:$C,C1556,'inventory ledger'!$D:$D,D1556,'inventory ledger'!$E:$E,E1556,'inventory ledger'!$A:$A,"&lt;="&amp;B1556+TIME(23,59,59)))</f>
        <v>0</v>
      </c>
      <c r="G1556" s="3">
        <f>IFERROR(__xludf.DUMMYFUNCTION("IF(F1556&lt;=0,0,IFERROR(ROUNDUP(F1556/INDEX(FILTER('warehouse config'!$D:$D,('warehouse config'!$B:$B=C1556)*('warehouse config'!$C:$C=D1556)*('warehouse config'!$G:$G&lt;=B1556)*(('warehouse config'!$H:$H&gt;=B1556)+ISBLANK('warehouse config'!$H:$H))),1)),0))"),0.0)</f>
        <v>0</v>
      </c>
      <c r="H1556" s="3">
        <f>IFERROR(__xludf.DUMMYFUNCTION("IFERROR(INDEX(FILTER('cost master'!$E:$E,('cost master'!$B:$B=C1556)*('cost master'!$D:$D=""Storage cost per pallet / week"")*('cost master'!$G:$G&lt;=B1556)*(('cost master'!$H:$H&gt;=B1556)+ISBLANK('cost master'!$H:$H))),1),0)"),2.6)</f>
        <v>2.6</v>
      </c>
      <c r="I1556" s="3">
        <f t="shared" si="4"/>
        <v>0</v>
      </c>
      <c r="J1556" s="27">
        <f t="shared" si="5"/>
        <v>45977</v>
      </c>
      <c r="K1556" s="27">
        <f t="shared" si="6"/>
        <v>46006</v>
      </c>
    </row>
    <row r="1557" hidden="1">
      <c r="A1557" s="3" t="str">
        <f t="shared" si="3"/>
        <v>SL-20251117-4as-CS-CDS-001-4</v>
      </c>
      <c r="B1557" s="2">
        <f t="array" ref="B1557">INDEX(helper!$A$3:$A3996,ROUNDUP((ROW()-1)/COUNTA(helper!$D$3:$D3996),0))</f>
        <v>45978</v>
      </c>
      <c r="C1557" s="5" t="str">
        <f t="array" ref="C1557">IF(B1557="","",INDEX(helper!$D$3:$D3996,MOD(ROW()-2,COUNTA(helper!$D$3:$D3996))+1))</f>
        <v>4as</v>
      </c>
      <c r="D1557" s="3" t="str">
        <f t="array" ref="D1557">IF(B1557="","",INDEX(helper!$E$3:$E3996,MOD(ROW()-2,COUNTA(helper!$D$3:$D3996))+1))</f>
        <v>CS-CDS-001</v>
      </c>
      <c r="E1557" s="3">
        <f t="array" ref="E1557">IF(B1557="","",INDEX(helper!$F$3:$F3996,MOD(ROW()-2,COUNTA(helper!$D$3:$D3996))+1))</f>
        <v>4</v>
      </c>
      <c r="F1557" s="3">
        <f>IF(B1557="","",SUMIFS('inventory ledger'!$H:$H,'inventory ledger'!$C:$C,C1557,'inventory ledger'!$D:$D,D1557,'inventory ledger'!$E:$E,E1557,'inventory ledger'!$A:$A,"&lt;="&amp;B1557+TIME(23,59,59))-SUMIFS('inventory ledger'!$I:$I,'inventory ledger'!$C:$C,C1557,'inventory ledger'!$D:$D,D1557,'inventory ledger'!$E:$E,E1557,'inventory ledger'!$A:$A,"&lt;="&amp;B1557+TIME(23,59,59)))</f>
        <v>0</v>
      </c>
      <c r="G1557" s="3">
        <f>IFERROR(__xludf.DUMMYFUNCTION("IF(F1557&lt;=0,0,IFERROR(ROUNDUP(F1557/INDEX(FILTER('warehouse config'!$D:$D,('warehouse config'!$B:$B=C1557)*('warehouse config'!$C:$C=D1557)*('warehouse config'!$G:$G&lt;=B1557)*(('warehouse config'!$H:$H&gt;=B1557)+ISBLANK('warehouse config'!$H:$H))),1)),0))"),0.0)</f>
        <v>0</v>
      </c>
      <c r="H1557" s="3">
        <f>IFERROR(__xludf.DUMMYFUNCTION("IFERROR(INDEX(FILTER('cost master'!$E:$E,('cost master'!$B:$B=C1557)*('cost master'!$D:$D=""Storage cost per pallet / week"")*('cost master'!$G:$G&lt;=B1557)*(('cost master'!$H:$H&gt;=B1557)+ISBLANK('cost master'!$H:$H))),1),0)"),9.0)</f>
        <v>9</v>
      </c>
      <c r="I1557" s="3">
        <f t="shared" si="4"/>
        <v>0</v>
      </c>
      <c r="J1557" s="27">
        <f t="shared" si="5"/>
        <v>45977</v>
      </c>
      <c r="K1557" s="27">
        <f t="shared" si="6"/>
        <v>46006</v>
      </c>
    </row>
    <row r="1558" hidden="1">
      <c r="A1558" s="3" t="str">
        <f t="shared" si="3"/>
        <v>SL-20251117-4as-CS-CDS-002-4</v>
      </c>
      <c r="B1558" s="2">
        <f t="array" ref="B1558">INDEX(helper!$A$3:$A3996,ROUNDUP((ROW()-1)/COUNTA(helper!$D$3:$D3996),0))</f>
        <v>45978</v>
      </c>
      <c r="C1558" s="5" t="str">
        <f t="array" ref="C1558">IF(B1558="","",INDEX(helper!$D$3:$D3996,MOD(ROW()-2,COUNTA(helper!$D$3:$D3996))+1))</f>
        <v>4as</v>
      </c>
      <c r="D1558" s="3" t="str">
        <f t="array" ref="D1558">IF(B1558="","",INDEX(helper!$E$3:$E3996,MOD(ROW()-2,COUNTA(helper!$D$3:$D3996))+1))</f>
        <v>CS-CDS-002</v>
      </c>
      <c r="E1558" s="3">
        <f t="array" ref="E1558">IF(B1558="","",INDEX(helper!$F$3:$F3996,MOD(ROW()-2,COUNTA(helper!$D$3:$D3996))+1))</f>
        <v>4</v>
      </c>
      <c r="F1558" s="3">
        <f>IF(B1558="","",SUMIFS('inventory ledger'!$H:$H,'inventory ledger'!$C:$C,C1558,'inventory ledger'!$D:$D,D1558,'inventory ledger'!$E:$E,E1558,'inventory ledger'!$A:$A,"&lt;="&amp;B1558+TIME(23,59,59))-SUMIFS('inventory ledger'!$I:$I,'inventory ledger'!$C:$C,C1558,'inventory ledger'!$D:$D,D1558,'inventory ledger'!$E:$E,E1558,'inventory ledger'!$A:$A,"&lt;="&amp;B1558+TIME(23,59,59)))</f>
        <v>0</v>
      </c>
      <c r="G1558" s="3">
        <f>IFERROR(__xludf.DUMMYFUNCTION("IF(F1558&lt;=0,0,IFERROR(ROUNDUP(F1558/INDEX(FILTER('warehouse config'!$D:$D,('warehouse config'!$B:$B=C1558)*('warehouse config'!$C:$C=D1558)*('warehouse config'!$G:$G&lt;=B1558)*(('warehouse config'!$H:$H&gt;=B1558)+ISBLANK('warehouse config'!$H:$H))),1)),0))"),0.0)</f>
        <v>0</v>
      </c>
      <c r="H1558" s="3">
        <f>IFERROR(__xludf.DUMMYFUNCTION("IFERROR(INDEX(FILTER('cost master'!$E:$E,('cost master'!$B:$B=C1558)*('cost master'!$D:$D=""Storage cost per pallet / week"")*('cost master'!$G:$G&lt;=B1558)*(('cost master'!$H:$H&gt;=B1558)+ISBLANK('cost master'!$H:$H))),1),0)"),9.0)</f>
        <v>9</v>
      </c>
      <c r="I1558" s="3">
        <f t="shared" si="4"/>
        <v>0</v>
      </c>
      <c r="J1558" s="27">
        <f t="shared" si="5"/>
        <v>45977</v>
      </c>
      <c r="K1558" s="27">
        <f t="shared" si="6"/>
        <v>46006</v>
      </c>
    </row>
    <row r="1559" hidden="1">
      <c r="A1559" s="3" t="str">
        <f t="shared" si="3"/>
        <v>SL-20251117-Vglobal-CS 007-13</v>
      </c>
      <c r="B1559" s="2">
        <f t="array" ref="B1559">INDEX(helper!$A$3:$A3996,ROUNDUP((ROW()-1)/COUNTA(helper!$D$3:$D3996),0))</f>
        <v>45978</v>
      </c>
      <c r="C1559" s="5" t="str">
        <f t="array" ref="C1559">IF(B1559="","",INDEX(helper!$D$3:$D3996,MOD(ROW()-2,COUNTA(helper!$D$3:$D3996))+1))</f>
        <v>Vglobal</v>
      </c>
      <c r="D1559" s="3" t="str">
        <f t="array" ref="D1559">IF(B1559="","",INDEX(helper!$E$3:$E3996,MOD(ROW()-2,COUNTA(helper!$D$3:$D3996))+1))</f>
        <v>CS 007</v>
      </c>
      <c r="E1559" s="3">
        <f t="array" ref="E1559">IF(B1559="","",INDEX(helper!$F$3:$F3996,MOD(ROW()-2,COUNTA(helper!$D$3:$D3996))+1))</f>
        <v>13</v>
      </c>
      <c r="F1559" s="3">
        <f>IF(B1559="","",SUMIFS('inventory ledger'!$H:$H,'inventory ledger'!$C:$C,C1559,'inventory ledger'!$D:$D,D1559,'inventory ledger'!$E:$E,E1559,'inventory ledger'!$A:$A,"&lt;="&amp;B1559+TIME(23,59,59))-SUMIFS('inventory ledger'!$I:$I,'inventory ledger'!$C:$C,C1559,'inventory ledger'!$D:$D,D1559,'inventory ledger'!$E:$E,E1559,'inventory ledger'!$A:$A,"&lt;="&amp;B1559+TIME(23,59,59)))</f>
        <v>45</v>
      </c>
      <c r="G1559" s="3">
        <f>IFERROR(__xludf.DUMMYFUNCTION("IF(F1559&lt;=0,0,IFERROR(ROUNDUP(F1559/INDEX(FILTER('warehouse config'!$D:$D,('warehouse config'!$B:$B=C1559)*('warehouse config'!$C:$C=D1559)*('warehouse config'!$G:$G&lt;=B1559)*(('warehouse config'!$H:$H&gt;=B1559)+ISBLANK('warehouse config'!$H:$H))),1)),0))"),3.0)</f>
        <v>3</v>
      </c>
      <c r="H1559" s="3">
        <f>IFERROR(__xludf.DUMMYFUNCTION("IFERROR(INDEX(FILTER('cost master'!$E:$E,('cost master'!$B:$B=C1559)*('cost master'!$D:$D=""Storage cost per pallet / week"")*('cost master'!$G:$G&lt;=B1559)*(('cost master'!$H:$H&gt;=B1559)+ISBLANK('cost master'!$H:$H))),1),0)"),2.6)</f>
        <v>2.6</v>
      </c>
      <c r="I1559" s="3">
        <f t="shared" si="4"/>
        <v>7.8</v>
      </c>
      <c r="J1559" s="27">
        <f t="shared" si="5"/>
        <v>45977</v>
      </c>
      <c r="K1559" s="27">
        <f t="shared" si="6"/>
        <v>46006</v>
      </c>
    </row>
    <row r="1560" hidden="1">
      <c r="A1560" s="3" t="str">
        <f t="shared" si="3"/>
        <v>SL-20251117-Vglobal-CS 011-13</v>
      </c>
      <c r="B1560" s="2">
        <f t="array" ref="B1560">INDEX(helper!$A$3:$A3996,ROUNDUP((ROW()-1)/COUNTA(helper!$D$3:$D3996),0))</f>
        <v>45978</v>
      </c>
      <c r="C1560" s="5" t="str">
        <f t="array" ref="C1560">IF(B1560="","",INDEX(helper!$D$3:$D3996,MOD(ROW()-2,COUNTA(helper!$D$3:$D3996))+1))</f>
        <v>Vglobal</v>
      </c>
      <c r="D1560" s="3" t="str">
        <f t="array" ref="D1560">IF(B1560="","",INDEX(helper!$E$3:$E3996,MOD(ROW()-2,COUNTA(helper!$D$3:$D3996))+1))</f>
        <v>CS 011</v>
      </c>
      <c r="E1560" s="3">
        <f t="array" ref="E1560">IF(B1560="","",INDEX(helper!$F$3:$F3996,MOD(ROW()-2,COUNTA(helper!$D$3:$D3996))+1))</f>
        <v>13</v>
      </c>
      <c r="F1560" s="3">
        <f>IF(B1560="","",SUMIFS('inventory ledger'!$H:$H,'inventory ledger'!$C:$C,C1560,'inventory ledger'!$D:$D,D1560,'inventory ledger'!$E:$E,E1560,'inventory ledger'!$A:$A,"&lt;="&amp;B1560+TIME(23,59,59))-SUMIFS('inventory ledger'!$I:$I,'inventory ledger'!$C:$C,C1560,'inventory ledger'!$D:$D,D1560,'inventory ledger'!$E:$E,E1560,'inventory ledger'!$A:$A,"&lt;="&amp;B1560+TIME(23,59,59)))</f>
        <v>0</v>
      </c>
      <c r="G1560" s="3">
        <f>IFERROR(__xludf.DUMMYFUNCTION("IF(F1560&lt;=0,0,IFERROR(ROUNDUP(F1560/INDEX(FILTER('warehouse config'!$D:$D,('warehouse config'!$B:$B=C1560)*('warehouse config'!$C:$C=D1560)*('warehouse config'!$G:$G&lt;=B1560)*(('warehouse config'!$H:$H&gt;=B1560)+ISBLANK('warehouse config'!$H:$H))),1)),0))"),0.0)</f>
        <v>0</v>
      </c>
      <c r="H1560" s="3">
        <f>IFERROR(__xludf.DUMMYFUNCTION("IFERROR(INDEX(FILTER('cost master'!$E:$E,('cost master'!$B:$B=C1560)*('cost master'!$D:$D=""Storage cost per pallet / week"")*('cost master'!$G:$G&lt;=B1560)*(('cost master'!$H:$H&gt;=B1560)+ISBLANK('cost master'!$H:$H))),1),0)"),2.6)</f>
        <v>2.6</v>
      </c>
      <c r="I1560" s="3">
        <f t="shared" si="4"/>
        <v>0</v>
      </c>
      <c r="J1560" s="27">
        <f t="shared" si="5"/>
        <v>45977</v>
      </c>
      <c r="K1560" s="27">
        <f t="shared" si="6"/>
        <v>46006</v>
      </c>
    </row>
    <row r="1561" hidden="1">
      <c r="A1561" s="3" t="str">
        <f t="shared" si="3"/>
        <v>SL-20251117-Vglobal-CS 008-13</v>
      </c>
      <c r="B1561" s="2">
        <f t="array" ref="B1561">INDEX(helper!$A$3:$A3996,ROUNDUP((ROW()-1)/COUNTA(helper!$D$3:$D3996),0))</f>
        <v>45978</v>
      </c>
      <c r="C1561" s="5" t="str">
        <f t="array" ref="C1561">IF(B1561="","",INDEX(helper!$D$3:$D3996,MOD(ROW()-2,COUNTA(helper!$D$3:$D3996))+1))</f>
        <v>Vglobal</v>
      </c>
      <c r="D1561" s="3" t="str">
        <f t="array" ref="D1561">IF(B1561="","",INDEX(helper!$E$3:$E3996,MOD(ROW()-2,COUNTA(helper!$D$3:$D3996))+1))</f>
        <v>CS 008</v>
      </c>
      <c r="E1561" s="3">
        <f t="array" ref="E1561">IF(B1561="","",INDEX(helper!$F$3:$F3996,MOD(ROW()-2,COUNTA(helper!$D$3:$D3996))+1))</f>
        <v>13</v>
      </c>
      <c r="F1561" s="3">
        <f>IF(B1561="","",SUMIFS('inventory ledger'!$H:$H,'inventory ledger'!$C:$C,C1561,'inventory ledger'!$D:$D,D1561,'inventory ledger'!$E:$E,E1561,'inventory ledger'!$A:$A,"&lt;="&amp;B1561+TIME(23,59,59))-SUMIFS('inventory ledger'!$I:$I,'inventory ledger'!$C:$C,C1561,'inventory ledger'!$D:$D,D1561,'inventory ledger'!$E:$E,E1561,'inventory ledger'!$A:$A,"&lt;="&amp;B1561+TIME(23,59,59)))</f>
        <v>20</v>
      </c>
      <c r="G1561" s="3">
        <f>IFERROR(__xludf.DUMMYFUNCTION("IF(F1561&lt;=0,0,IFERROR(ROUNDUP(F1561/INDEX(FILTER('warehouse config'!$D:$D,('warehouse config'!$B:$B=C1561)*('warehouse config'!$C:$C=D1561)*('warehouse config'!$G:$G&lt;=B1561)*(('warehouse config'!$H:$H&gt;=B1561)+ISBLANK('warehouse config'!$H:$H))),1)),0))"),1.0)</f>
        <v>1</v>
      </c>
      <c r="H1561" s="3">
        <f>IFERROR(__xludf.DUMMYFUNCTION("IFERROR(INDEX(FILTER('cost master'!$E:$E,('cost master'!$B:$B=C1561)*('cost master'!$D:$D=""Storage cost per pallet / week"")*('cost master'!$G:$G&lt;=B1561)*(('cost master'!$H:$H&gt;=B1561)+ISBLANK('cost master'!$H:$H))),1),0)"),2.6)</f>
        <v>2.6</v>
      </c>
      <c r="I1561" s="3">
        <f t="shared" si="4"/>
        <v>2.6</v>
      </c>
      <c r="J1561" s="27">
        <f t="shared" si="5"/>
        <v>45977</v>
      </c>
      <c r="K1561" s="27">
        <f t="shared" si="6"/>
        <v>46006</v>
      </c>
    </row>
    <row r="1562" hidden="1">
      <c r="A1562" s="3" t="str">
        <f t="shared" si="3"/>
        <v>SL-20251117-Vglobal-CS 010-13</v>
      </c>
      <c r="B1562" s="2">
        <f t="array" ref="B1562">INDEX(helper!$A$3:$A3996,ROUNDUP((ROW()-1)/COUNTA(helper!$D$3:$D3996),0))</f>
        <v>45978</v>
      </c>
      <c r="C1562" s="5" t="str">
        <f t="array" ref="C1562">IF(B1562="","",INDEX(helper!$D$3:$D3996,MOD(ROW()-2,COUNTA(helper!$D$3:$D3996))+1))</f>
        <v>Vglobal</v>
      </c>
      <c r="D1562" s="3" t="str">
        <f t="array" ref="D1562">IF(B1562="","",INDEX(helper!$E$3:$E3996,MOD(ROW()-2,COUNTA(helper!$D$3:$D3996))+1))</f>
        <v>CS 010</v>
      </c>
      <c r="E1562" s="3">
        <f t="array" ref="E1562">IF(B1562="","",INDEX(helper!$F$3:$F3996,MOD(ROW()-2,COUNTA(helper!$D$3:$D3996))+1))</f>
        <v>13</v>
      </c>
      <c r="F1562" s="3">
        <f>IF(B1562="","",SUMIFS('inventory ledger'!$H:$H,'inventory ledger'!$C:$C,C1562,'inventory ledger'!$D:$D,D1562,'inventory ledger'!$E:$E,E1562,'inventory ledger'!$A:$A,"&lt;="&amp;B1562+TIME(23,59,59))-SUMIFS('inventory ledger'!$I:$I,'inventory ledger'!$C:$C,C1562,'inventory ledger'!$D:$D,D1562,'inventory ledger'!$E:$E,E1562,'inventory ledger'!$A:$A,"&lt;="&amp;B1562+TIME(23,59,59)))</f>
        <v>80</v>
      </c>
      <c r="G1562" s="3">
        <f>IFERROR(__xludf.DUMMYFUNCTION("IF(F1562&lt;=0,0,IFERROR(ROUNDUP(F1562/INDEX(FILTER('warehouse config'!$D:$D,('warehouse config'!$B:$B=C1562)*('warehouse config'!$C:$C=D1562)*('warehouse config'!$G:$G&lt;=B1562)*(('warehouse config'!$H:$H&gt;=B1562)+ISBLANK('warehouse config'!$H:$H))),1)),0))"),4.0)</f>
        <v>4</v>
      </c>
      <c r="H1562" s="3">
        <f>IFERROR(__xludf.DUMMYFUNCTION("IFERROR(INDEX(FILTER('cost master'!$E:$E,('cost master'!$B:$B=C1562)*('cost master'!$D:$D=""Storage cost per pallet / week"")*('cost master'!$G:$G&lt;=B1562)*(('cost master'!$H:$H&gt;=B1562)+ISBLANK('cost master'!$H:$H))),1),0)"),2.6)</f>
        <v>2.6</v>
      </c>
      <c r="I1562" s="3">
        <f t="shared" si="4"/>
        <v>10.4</v>
      </c>
      <c r="J1562" s="27">
        <f t="shared" si="5"/>
        <v>45977</v>
      </c>
      <c r="K1562" s="27">
        <f t="shared" si="6"/>
        <v>46006</v>
      </c>
    </row>
    <row r="1563" hidden="1">
      <c r="A1563" s="3" t="str">
        <f t="shared" si="3"/>
        <v>SL-20251117-Vglobal-CS 009-13</v>
      </c>
      <c r="B1563" s="2">
        <f t="array" ref="B1563">INDEX(helper!$A$3:$A3996,ROUNDUP((ROW()-1)/COUNTA(helper!$D$3:$D3996),0))</f>
        <v>45978</v>
      </c>
      <c r="C1563" s="5" t="str">
        <f t="array" ref="C1563">IF(B1563="","",INDEX(helper!$D$3:$D3996,MOD(ROW()-2,COUNTA(helper!$D$3:$D3996))+1))</f>
        <v>Vglobal</v>
      </c>
      <c r="D1563" s="3" t="str">
        <f t="array" ref="D1563">IF(B1563="","",INDEX(helper!$E$3:$E3996,MOD(ROW()-2,COUNTA(helper!$D$3:$D3996))+1))</f>
        <v>CS 009</v>
      </c>
      <c r="E1563" s="3">
        <f t="array" ref="E1563">IF(B1563="","",INDEX(helper!$F$3:$F3996,MOD(ROW()-2,COUNTA(helper!$D$3:$D3996))+1))</f>
        <v>13</v>
      </c>
      <c r="F1563" s="3">
        <f>IF(B1563="","",SUMIFS('inventory ledger'!$H:$H,'inventory ledger'!$C:$C,C1563,'inventory ledger'!$D:$D,D1563,'inventory ledger'!$E:$E,E1563,'inventory ledger'!$A:$A,"&lt;="&amp;B1563+TIME(23,59,59))-SUMIFS('inventory ledger'!$I:$I,'inventory ledger'!$C:$C,C1563,'inventory ledger'!$D:$D,D1563,'inventory ledger'!$E:$E,E1563,'inventory ledger'!$A:$A,"&lt;="&amp;B1563+TIME(23,59,59)))</f>
        <v>0</v>
      </c>
      <c r="G1563" s="3">
        <f>IFERROR(__xludf.DUMMYFUNCTION("IF(F1563&lt;=0,0,IFERROR(ROUNDUP(F1563/INDEX(FILTER('warehouse config'!$D:$D,('warehouse config'!$B:$B=C1563)*('warehouse config'!$C:$C=D1563)*('warehouse config'!$G:$G&lt;=B1563)*(('warehouse config'!$H:$H&gt;=B1563)+ISBLANK('warehouse config'!$H:$H))),1)),0))"),0.0)</f>
        <v>0</v>
      </c>
      <c r="H1563" s="3">
        <f>IFERROR(__xludf.DUMMYFUNCTION("IFERROR(INDEX(FILTER('cost master'!$E:$E,('cost master'!$B:$B=C1563)*('cost master'!$D:$D=""Storage cost per pallet / week"")*('cost master'!$G:$G&lt;=B1563)*(('cost master'!$H:$H&gt;=B1563)+ISBLANK('cost master'!$H:$H))),1),0)"),2.6)</f>
        <v>2.6</v>
      </c>
      <c r="I1563" s="3">
        <f t="shared" si="4"/>
        <v>0</v>
      </c>
      <c r="J1563" s="27">
        <f t="shared" si="5"/>
        <v>45977</v>
      </c>
      <c r="K1563" s="27">
        <f t="shared" si="6"/>
        <v>46006</v>
      </c>
    </row>
    <row r="1564" hidden="1">
      <c r="A1564" s="3" t="str">
        <f t="shared" si="3"/>
        <v>SL-20251117-Vglobal-CS 012-13</v>
      </c>
      <c r="B1564" s="2">
        <f t="array" ref="B1564">INDEX(helper!$A$3:$A3996,ROUNDUP((ROW()-1)/COUNTA(helper!$D$3:$D3996),0))</f>
        <v>45978</v>
      </c>
      <c r="C1564" s="5" t="str">
        <f t="array" ref="C1564">IF(B1564="","",INDEX(helper!$D$3:$D3996,MOD(ROW()-2,COUNTA(helper!$D$3:$D3996))+1))</f>
        <v>Vglobal</v>
      </c>
      <c r="D1564" s="3" t="str">
        <f t="array" ref="D1564">IF(B1564="","",INDEX(helper!$E$3:$E3996,MOD(ROW()-2,COUNTA(helper!$D$3:$D3996))+1))</f>
        <v>CS 012</v>
      </c>
      <c r="E1564" s="3">
        <f t="array" ref="E1564">IF(B1564="","",INDEX(helper!$F$3:$F3996,MOD(ROW()-2,COUNTA(helper!$D$3:$D3996))+1))</f>
        <v>13</v>
      </c>
      <c r="F1564" s="3">
        <f>IF(B1564="","",SUMIFS('inventory ledger'!$H:$H,'inventory ledger'!$C:$C,C1564,'inventory ledger'!$D:$D,D1564,'inventory ledger'!$E:$E,E1564,'inventory ledger'!$A:$A,"&lt;="&amp;B1564+TIME(23,59,59))-SUMIFS('inventory ledger'!$I:$I,'inventory ledger'!$C:$C,C1564,'inventory ledger'!$D:$D,D1564,'inventory ledger'!$E:$E,E1564,'inventory ledger'!$A:$A,"&lt;="&amp;B1564+TIME(23,59,59)))</f>
        <v>0</v>
      </c>
      <c r="G1564" s="3">
        <f>IFERROR(__xludf.DUMMYFUNCTION("IF(F1564&lt;=0,0,IFERROR(ROUNDUP(F1564/INDEX(FILTER('warehouse config'!$D:$D,('warehouse config'!$B:$B=C1564)*('warehouse config'!$C:$C=D1564)*('warehouse config'!$G:$G&lt;=B1564)*(('warehouse config'!$H:$H&gt;=B1564)+ISBLANK('warehouse config'!$H:$H))),1)),0))"),0.0)</f>
        <v>0</v>
      </c>
      <c r="H1564" s="3">
        <f>IFERROR(__xludf.DUMMYFUNCTION("IFERROR(INDEX(FILTER('cost master'!$E:$E,('cost master'!$B:$B=C1564)*('cost master'!$D:$D=""Storage cost per pallet / week"")*('cost master'!$G:$G&lt;=B1564)*(('cost master'!$H:$H&gt;=B1564)+ISBLANK('cost master'!$H:$H))),1),0)"),2.6)</f>
        <v>2.6</v>
      </c>
      <c r="I1564" s="3">
        <f t="shared" si="4"/>
        <v>0</v>
      </c>
      <c r="J1564" s="27">
        <f t="shared" si="5"/>
        <v>45977</v>
      </c>
      <c r="K1564" s="27">
        <f t="shared" si="6"/>
        <v>46006</v>
      </c>
    </row>
    <row r="1565">
      <c r="A1565" s="3" t="str">
        <f t="shared" si="3"/>
        <v>SL-20251117-FMC-CS 008-11</v>
      </c>
      <c r="B1565" s="2">
        <f t="array" ref="B1565">INDEX(helper!$A$3:$A3996,ROUNDUP((ROW()-1)/COUNTA(helper!$D$3:$D3996),0))</f>
        <v>45978</v>
      </c>
      <c r="C1565" s="5" t="str">
        <f t="array" ref="C1565">IF(B1565="","",INDEX(helper!$D$3:$D3996,MOD(ROW()-2,COUNTA(helper!$D$3:$D3996))+1))</f>
        <v>FMC</v>
      </c>
      <c r="D1565" s="3" t="str">
        <f t="array" ref="D1565">IF(B1565="","",INDEX(helper!$E$3:$E3996,MOD(ROW()-2,COUNTA(helper!$D$3:$D3996))+1))</f>
        <v>CS 008</v>
      </c>
      <c r="E1565" s="3">
        <f t="array" ref="E1565">IF(B1565="","",INDEX(helper!$F$3:$F3996,MOD(ROW()-2,COUNTA(helper!$D$3:$D3996))+1))</f>
        <v>11</v>
      </c>
      <c r="F1565" s="3">
        <f>IF(B1565="","",SUMIFS('inventory ledger'!$H:$H,'inventory ledger'!$C:$C,C1565,'inventory ledger'!$D:$D,D1565,'inventory ledger'!$E:$E,E1565,'inventory ledger'!$A:$A,"&lt;="&amp;B1565+TIME(23,59,59))-SUMIFS('inventory ledger'!$I:$I,'inventory ledger'!$C:$C,C1565,'inventory ledger'!$D:$D,D1565,'inventory ledger'!$E:$E,E1565,'inventory ledger'!$A:$A,"&lt;="&amp;B1565+TIME(23,59,59)))</f>
        <v>-2</v>
      </c>
      <c r="G1565" s="3">
        <f>IFERROR(__xludf.DUMMYFUNCTION("IF(F1565&lt;=0,0,IFERROR(ROUNDUP(F1565/INDEX(FILTER('warehouse config'!$D:$D,('warehouse config'!$B:$B=C1565)*('warehouse config'!$C:$C=D1565)*('warehouse config'!$G:$G&lt;=B1565)*(('warehouse config'!$H:$H&gt;=B1565)+ISBLANK('warehouse config'!$H:$H))),1)),0))"),0.0)</f>
        <v>0</v>
      </c>
      <c r="H1565" s="3">
        <f>IFERROR(__xludf.DUMMYFUNCTION("IFERROR(INDEX(FILTER('cost master'!$E:$E,('cost master'!$B:$B=C1565)*('cost master'!$D:$D=""Storage cost per pallet / week"")*('cost master'!$G:$G&lt;=B1565)*(('cost master'!$H:$H&gt;=B1565)+ISBLANK('cost master'!$H:$H))),1),0)"),3.9)</f>
        <v>3.9</v>
      </c>
      <c r="I1565" s="3">
        <f t="shared" si="4"/>
        <v>0</v>
      </c>
      <c r="J1565" s="27">
        <f t="shared" si="5"/>
        <v>45977</v>
      </c>
      <c r="K1565" s="27">
        <f t="shared" si="6"/>
        <v>46006</v>
      </c>
    </row>
    <row r="1566" hidden="1">
      <c r="A1566" s="3" t="str">
        <f t="shared" si="3"/>
        <v>SL-20251124-FMC-CS 007-8</v>
      </c>
      <c r="B1566" s="2">
        <f t="array" ref="B1566">INDEX(helper!$A$3:$A3996,ROUNDUP((ROW()-1)/COUNTA(helper!$D$3:$D3996),0))</f>
        <v>45985</v>
      </c>
      <c r="C1566" s="5" t="str">
        <f t="array" ref="C1566">IF(B1566="","",INDEX(helper!$D$3:$D3996,MOD(ROW()-2,COUNTA(helper!$D$3:$D3996))+1))</f>
        <v>FMC</v>
      </c>
      <c r="D1566" s="3" t="str">
        <f t="array" ref="D1566">IF(B1566="","",INDEX(helper!$E$3:$E3996,MOD(ROW()-2,COUNTA(helper!$D$3:$D3996))+1))</f>
        <v>CS 007</v>
      </c>
      <c r="E1566" s="3">
        <f t="array" ref="E1566">IF(B1566="","",INDEX(helper!$F$3:$F3996,MOD(ROW()-2,COUNTA(helper!$D$3:$D3996))+1))</f>
        <v>8</v>
      </c>
      <c r="F1566" s="3">
        <f>IF(B1566="","",SUMIFS('inventory ledger'!$H:$H,'inventory ledger'!$C:$C,C1566,'inventory ledger'!$D:$D,D1566,'inventory ledger'!$E:$E,E1566,'inventory ledger'!$A:$A,"&lt;="&amp;B1566+TIME(23,59,59))-SUMIFS('inventory ledger'!$I:$I,'inventory ledger'!$C:$C,C1566,'inventory ledger'!$D:$D,D1566,'inventory ledger'!$E:$E,E1566,'inventory ledger'!$A:$A,"&lt;="&amp;B1566+TIME(23,59,59)))</f>
        <v>0</v>
      </c>
      <c r="G1566" s="3">
        <f>IFERROR(__xludf.DUMMYFUNCTION("IF(F1566&lt;=0,0,IFERROR(ROUNDUP(F1566/INDEX(FILTER('warehouse config'!$D:$D,('warehouse config'!$B:$B=C1566)*('warehouse config'!$C:$C=D1566)*('warehouse config'!$G:$G&lt;=B1566)*(('warehouse config'!$H:$H&gt;=B1566)+ISBLANK('warehouse config'!$H:$H))),1)),0))"),0.0)</f>
        <v>0</v>
      </c>
      <c r="H1566" s="3">
        <f>IFERROR(__xludf.DUMMYFUNCTION("IFERROR(INDEX(FILTER('cost master'!$E:$E,('cost master'!$B:$B=C1566)*('cost master'!$D:$D=""Storage cost per pallet / week"")*('cost master'!$G:$G&lt;=B1566)*(('cost master'!$H:$H&gt;=B1566)+ISBLANK('cost master'!$H:$H))),1),0)"),3.9)</f>
        <v>3.9</v>
      </c>
      <c r="I1566" s="3">
        <f t="shared" si="4"/>
        <v>0</v>
      </c>
      <c r="J1566" s="27">
        <f t="shared" si="5"/>
        <v>45977</v>
      </c>
      <c r="K1566" s="27">
        <f t="shared" si="6"/>
        <v>46006</v>
      </c>
    </row>
    <row r="1567" hidden="1">
      <c r="A1567" s="3" t="str">
        <f t="shared" si="3"/>
        <v>SL-20251124-FMC-CS 008-8</v>
      </c>
      <c r="B1567" s="2">
        <f t="array" ref="B1567">INDEX(helper!$A$3:$A3996,ROUNDUP((ROW()-1)/COUNTA(helper!$D$3:$D3996),0))</f>
        <v>45985</v>
      </c>
      <c r="C1567" s="5" t="str">
        <f t="array" ref="C1567">IF(B1567="","",INDEX(helper!$D$3:$D3996,MOD(ROW()-2,COUNTA(helper!$D$3:$D3996))+1))</f>
        <v>FMC</v>
      </c>
      <c r="D1567" s="3" t="str">
        <f t="array" ref="D1567">IF(B1567="","",INDEX(helper!$E$3:$E3996,MOD(ROW()-2,COUNTA(helper!$D$3:$D3996))+1))</f>
        <v>CS 008</v>
      </c>
      <c r="E1567" s="3">
        <f t="array" ref="E1567">IF(B1567="","",INDEX(helper!$F$3:$F3996,MOD(ROW()-2,COUNTA(helper!$D$3:$D3996))+1))</f>
        <v>8</v>
      </c>
      <c r="F1567" s="3">
        <f>IF(B1567="","",SUMIFS('inventory ledger'!$H:$H,'inventory ledger'!$C:$C,C1567,'inventory ledger'!$D:$D,D1567,'inventory ledger'!$E:$E,E1567,'inventory ledger'!$A:$A,"&lt;="&amp;B1567+TIME(23,59,59))-SUMIFS('inventory ledger'!$I:$I,'inventory ledger'!$C:$C,C1567,'inventory ledger'!$D:$D,D1567,'inventory ledger'!$E:$E,E1567,'inventory ledger'!$A:$A,"&lt;="&amp;B1567+TIME(23,59,59)))</f>
        <v>0</v>
      </c>
      <c r="G1567" s="3">
        <f>IFERROR(__xludf.DUMMYFUNCTION("IF(F1567&lt;=0,0,IFERROR(ROUNDUP(F1567/INDEX(FILTER('warehouse config'!$D:$D,('warehouse config'!$B:$B=C1567)*('warehouse config'!$C:$C=D1567)*('warehouse config'!$G:$G&lt;=B1567)*(('warehouse config'!$H:$H&gt;=B1567)+ISBLANK('warehouse config'!$H:$H))),1)),0))"),0.0)</f>
        <v>0</v>
      </c>
      <c r="H1567" s="3">
        <f>IFERROR(__xludf.DUMMYFUNCTION("IFERROR(INDEX(FILTER('cost master'!$E:$E,('cost master'!$B:$B=C1567)*('cost master'!$D:$D=""Storage cost per pallet / week"")*('cost master'!$G:$G&lt;=B1567)*(('cost master'!$H:$H&gt;=B1567)+ISBLANK('cost master'!$H:$H))),1),0)"),3.9)</f>
        <v>3.9</v>
      </c>
      <c r="I1567" s="3">
        <f t="shared" si="4"/>
        <v>0</v>
      </c>
      <c r="J1567" s="27">
        <f t="shared" si="5"/>
        <v>45977</v>
      </c>
      <c r="K1567" s="27">
        <f t="shared" si="6"/>
        <v>46006</v>
      </c>
    </row>
    <row r="1568" hidden="1">
      <c r="A1568" s="3" t="str">
        <f t="shared" si="3"/>
        <v>SL-20251124-FMC-CS 009-8</v>
      </c>
      <c r="B1568" s="2">
        <f t="array" ref="B1568">INDEX(helper!$A$3:$A3996,ROUNDUP((ROW()-1)/COUNTA(helper!$D$3:$D3996),0))</f>
        <v>45985</v>
      </c>
      <c r="C1568" s="5" t="str">
        <f t="array" ref="C1568">IF(B1568="","",INDEX(helper!$D$3:$D3996,MOD(ROW()-2,COUNTA(helper!$D$3:$D3996))+1))</f>
        <v>FMC</v>
      </c>
      <c r="D1568" s="3" t="str">
        <f t="array" ref="D1568">IF(B1568="","",INDEX(helper!$E$3:$E3996,MOD(ROW()-2,COUNTA(helper!$D$3:$D3996))+1))</f>
        <v>CS 009</v>
      </c>
      <c r="E1568" s="3">
        <f t="array" ref="E1568">IF(B1568="","",INDEX(helper!$F$3:$F3996,MOD(ROW()-2,COUNTA(helper!$D$3:$D3996))+1))</f>
        <v>8</v>
      </c>
      <c r="F1568" s="3">
        <f>IF(B1568="","",SUMIFS('inventory ledger'!$H:$H,'inventory ledger'!$C:$C,C1568,'inventory ledger'!$D:$D,D1568,'inventory ledger'!$E:$E,E1568,'inventory ledger'!$A:$A,"&lt;="&amp;B1568+TIME(23,59,59))-SUMIFS('inventory ledger'!$I:$I,'inventory ledger'!$C:$C,C1568,'inventory ledger'!$D:$D,D1568,'inventory ledger'!$E:$E,E1568,'inventory ledger'!$A:$A,"&lt;="&amp;B1568+TIME(23,59,59)))</f>
        <v>0</v>
      </c>
      <c r="G1568" s="3">
        <f>IFERROR(__xludf.DUMMYFUNCTION("IF(F1568&lt;=0,0,IFERROR(ROUNDUP(F1568/INDEX(FILTER('warehouse config'!$D:$D,('warehouse config'!$B:$B=C1568)*('warehouse config'!$C:$C=D1568)*('warehouse config'!$G:$G&lt;=B1568)*(('warehouse config'!$H:$H&gt;=B1568)+ISBLANK('warehouse config'!$H:$H))),1)),0))"),0.0)</f>
        <v>0</v>
      </c>
      <c r="H1568" s="3">
        <f>IFERROR(__xludf.DUMMYFUNCTION("IFERROR(INDEX(FILTER('cost master'!$E:$E,('cost master'!$B:$B=C1568)*('cost master'!$D:$D=""Storage cost per pallet / week"")*('cost master'!$G:$G&lt;=B1568)*(('cost master'!$H:$H&gt;=B1568)+ISBLANK('cost master'!$H:$H))),1),0)"),3.9)</f>
        <v>3.9</v>
      </c>
      <c r="I1568" s="3">
        <f t="shared" si="4"/>
        <v>0</v>
      </c>
      <c r="J1568" s="27">
        <f t="shared" si="5"/>
        <v>45977</v>
      </c>
      <c r="K1568" s="27">
        <f t="shared" si="6"/>
        <v>46006</v>
      </c>
    </row>
    <row r="1569" hidden="1">
      <c r="A1569" s="3" t="str">
        <f t="shared" si="3"/>
        <v>SL-20251124-FMC-CS 010-8</v>
      </c>
      <c r="B1569" s="2">
        <f t="array" ref="B1569">INDEX(helper!$A$3:$A3996,ROUNDUP((ROW()-1)/COUNTA(helper!$D$3:$D3996),0))</f>
        <v>45985</v>
      </c>
      <c r="C1569" s="5" t="str">
        <f t="array" ref="C1569">IF(B1569="","",INDEX(helper!$D$3:$D3996,MOD(ROW()-2,COUNTA(helper!$D$3:$D3996))+1))</f>
        <v>FMC</v>
      </c>
      <c r="D1569" s="3" t="str">
        <f t="array" ref="D1569">IF(B1569="","",INDEX(helper!$E$3:$E3996,MOD(ROW()-2,COUNTA(helper!$D$3:$D3996))+1))</f>
        <v>CS 010</v>
      </c>
      <c r="E1569" s="3">
        <f t="array" ref="E1569">IF(B1569="","",INDEX(helper!$F$3:$F3996,MOD(ROW()-2,COUNTA(helper!$D$3:$D3996))+1))</f>
        <v>8</v>
      </c>
      <c r="F1569" s="3">
        <f>IF(B1569="","",SUMIFS('inventory ledger'!$H:$H,'inventory ledger'!$C:$C,C1569,'inventory ledger'!$D:$D,D1569,'inventory ledger'!$E:$E,E1569,'inventory ledger'!$A:$A,"&lt;="&amp;B1569+TIME(23,59,59))-SUMIFS('inventory ledger'!$I:$I,'inventory ledger'!$C:$C,C1569,'inventory ledger'!$D:$D,D1569,'inventory ledger'!$E:$E,E1569,'inventory ledger'!$A:$A,"&lt;="&amp;B1569+TIME(23,59,59)))</f>
        <v>0</v>
      </c>
      <c r="G1569" s="3">
        <f>IFERROR(__xludf.DUMMYFUNCTION("IF(F1569&lt;=0,0,IFERROR(ROUNDUP(F1569/INDEX(FILTER('warehouse config'!$D:$D,('warehouse config'!$B:$B=C1569)*('warehouse config'!$C:$C=D1569)*('warehouse config'!$G:$G&lt;=B1569)*(('warehouse config'!$H:$H&gt;=B1569)+ISBLANK('warehouse config'!$H:$H))),1)),0))"),0.0)</f>
        <v>0</v>
      </c>
      <c r="H1569" s="3">
        <f>IFERROR(__xludf.DUMMYFUNCTION("IFERROR(INDEX(FILTER('cost master'!$E:$E,('cost master'!$B:$B=C1569)*('cost master'!$D:$D=""Storage cost per pallet / week"")*('cost master'!$G:$G&lt;=B1569)*(('cost master'!$H:$H&gt;=B1569)+ISBLANK('cost master'!$H:$H))),1),0)"),3.9)</f>
        <v>3.9</v>
      </c>
      <c r="I1569" s="3">
        <f t="shared" si="4"/>
        <v>0</v>
      </c>
      <c r="J1569" s="27">
        <f t="shared" si="5"/>
        <v>45977</v>
      </c>
      <c r="K1569" s="27">
        <f t="shared" si="6"/>
        <v>46006</v>
      </c>
    </row>
    <row r="1570" hidden="1">
      <c r="A1570" s="3" t="str">
        <f t="shared" si="3"/>
        <v>SL-20251124-FMC-CS 007-9</v>
      </c>
      <c r="B1570" s="2">
        <f t="array" ref="B1570">INDEX(helper!$A$3:$A3996,ROUNDUP((ROW()-1)/COUNTA(helper!$D$3:$D3996),0))</f>
        <v>45985</v>
      </c>
      <c r="C1570" s="5" t="str">
        <f t="array" ref="C1570">IF(B1570="","",INDEX(helper!$D$3:$D3996,MOD(ROW()-2,COUNTA(helper!$D$3:$D3996))+1))</f>
        <v>FMC</v>
      </c>
      <c r="D1570" s="3" t="str">
        <f t="array" ref="D1570">IF(B1570="","",INDEX(helper!$E$3:$E3996,MOD(ROW()-2,COUNTA(helper!$D$3:$D3996))+1))</f>
        <v>CS 007</v>
      </c>
      <c r="E1570" s="3">
        <f t="array" ref="E1570">IF(B1570="","",INDEX(helper!$F$3:$F3996,MOD(ROW()-2,COUNTA(helper!$D$3:$D3996))+1))</f>
        <v>9</v>
      </c>
      <c r="F1570" s="3">
        <f>IF(B1570="","",SUMIFS('inventory ledger'!$H:$H,'inventory ledger'!$C:$C,C1570,'inventory ledger'!$D:$D,D1570,'inventory ledger'!$E:$E,E1570,'inventory ledger'!$A:$A,"&lt;="&amp;B1570+TIME(23,59,59))-SUMIFS('inventory ledger'!$I:$I,'inventory ledger'!$C:$C,C1570,'inventory ledger'!$D:$D,D1570,'inventory ledger'!$E:$E,E1570,'inventory ledger'!$A:$A,"&lt;="&amp;B1570+TIME(23,59,59)))</f>
        <v>0</v>
      </c>
      <c r="G1570" s="3">
        <f>IFERROR(__xludf.DUMMYFUNCTION("IF(F1570&lt;=0,0,IFERROR(ROUNDUP(F1570/INDEX(FILTER('warehouse config'!$D:$D,('warehouse config'!$B:$B=C1570)*('warehouse config'!$C:$C=D1570)*('warehouse config'!$G:$G&lt;=B1570)*(('warehouse config'!$H:$H&gt;=B1570)+ISBLANK('warehouse config'!$H:$H))),1)),0))"),0.0)</f>
        <v>0</v>
      </c>
      <c r="H1570" s="3">
        <f>IFERROR(__xludf.DUMMYFUNCTION("IFERROR(INDEX(FILTER('cost master'!$E:$E,('cost master'!$B:$B=C1570)*('cost master'!$D:$D=""Storage cost per pallet / week"")*('cost master'!$G:$G&lt;=B1570)*(('cost master'!$H:$H&gt;=B1570)+ISBLANK('cost master'!$H:$H))),1),0)"),3.9)</f>
        <v>3.9</v>
      </c>
      <c r="I1570" s="3">
        <f t="shared" si="4"/>
        <v>0</v>
      </c>
      <c r="J1570" s="27">
        <f t="shared" si="5"/>
        <v>45977</v>
      </c>
      <c r="K1570" s="27">
        <f t="shared" si="6"/>
        <v>46006</v>
      </c>
    </row>
    <row r="1571" hidden="1">
      <c r="A1571" s="3" t="str">
        <f t="shared" si="3"/>
        <v>SL-20251124-FMC-CS 008-9</v>
      </c>
      <c r="B1571" s="2">
        <f t="array" ref="B1571">INDEX(helper!$A$3:$A3996,ROUNDUP((ROW()-1)/COUNTA(helper!$D$3:$D3996),0))</f>
        <v>45985</v>
      </c>
      <c r="C1571" s="5" t="str">
        <f t="array" ref="C1571">IF(B1571="","",INDEX(helper!$D$3:$D3996,MOD(ROW()-2,COUNTA(helper!$D$3:$D3996))+1))</f>
        <v>FMC</v>
      </c>
      <c r="D1571" s="3" t="str">
        <f t="array" ref="D1571">IF(B1571="","",INDEX(helper!$E$3:$E3996,MOD(ROW()-2,COUNTA(helper!$D$3:$D3996))+1))</f>
        <v>CS 008</v>
      </c>
      <c r="E1571" s="3">
        <f t="array" ref="E1571">IF(B1571="","",INDEX(helper!$F$3:$F3996,MOD(ROW()-2,COUNTA(helper!$D$3:$D3996))+1))</f>
        <v>9</v>
      </c>
      <c r="F1571" s="3">
        <f>IF(B1571="","",SUMIFS('inventory ledger'!$H:$H,'inventory ledger'!$C:$C,C1571,'inventory ledger'!$D:$D,D1571,'inventory ledger'!$E:$E,E1571,'inventory ledger'!$A:$A,"&lt;="&amp;B1571+TIME(23,59,59))-SUMIFS('inventory ledger'!$I:$I,'inventory ledger'!$C:$C,C1571,'inventory ledger'!$D:$D,D1571,'inventory ledger'!$E:$E,E1571,'inventory ledger'!$A:$A,"&lt;="&amp;B1571+TIME(23,59,59)))</f>
        <v>2</v>
      </c>
      <c r="G1571" s="3">
        <f>IFERROR(__xludf.DUMMYFUNCTION("IF(F1571&lt;=0,0,IFERROR(ROUNDUP(F1571/INDEX(FILTER('warehouse config'!$D:$D,('warehouse config'!$B:$B=C1571)*('warehouse config'!$C:$C=D1571)*('warehouse config'!$G:$G&lt;=B1571)*(('warehouse config'!$H:$H&gt;=B1571)+ISBLANK('warehouse config'!$H:$H))),1)),0))"),1.0)</f>
        <v>1</v>
      </c>
      <c r="H1571" s="3">
        <f>IFERROR(__xludf.DUMMYFUNCTION("IFERROR(INDEX(FILTER('cost master'!$E:$E,('cost master'!$B:$B=C1571)*('cost master'!$D:$D=""Storage cost per pallet / week"")*('cost master'!$G:$G&lt;=B1571)*(('cost master'!$H:$H&gt;=B1571)+ISBLANK('cost master'!$H:$H))),1),0)"),3.9)</f>
        <v>3.9</v>
      </c>
      <c r="I1571" s="3">
        <f t="shared" si="4"/>
        <v>3.9</v>
      </c>
      <c r="J1571" s="27">
        <f t="shared" si="5"/>
        <v>45977</v>
      </c>
      <c r="K1571" s="27">
        <f t="shared" si="6"/>
        <v>46006</v>
      </c>
    </row>
    <row r="1572" hidden="1">
      <c r="A1572" s="3" t="str">
        <f t="shared" si="3"/>
        <v>SL-20251124-FMC-CS 009-9</v>
      </c>
      <c r="B1572" s="2">
        <f t="array" ref="B1572">INDEX(helper!$A$3:$A3996,ROUNDUP((ROW()-1)/COUNTA(helper!$D$3:$D3996),0))</f>
        <v>45985</v>
      </c>
      <c r="C1572" s="5" t="str">
        <f t="array" ref="C1572">IF(B1572="","",INDEX(helper!$D$3:$D3996,MOD(ROW()-2,COUNTA(helper!$D$3:$D3996))+1))</f>
        <v>FMC</v>
      </c>
      <c r="D1572" s="3" t="str">
        <f t="array" ref="D1572">IF(B1572="","",INDEX(helper!$E$3:$E3996,MOD(ROW()-2,COUNTA(helper!$D$3:$D3996))+1))</f>
        <v>CS 009</v>
      </c>
      <c r="E1572" s="3">
        <f t="array" ref="E1572">IF(B1572="","",INDEX(helper!$F$3:$F3996,MOD(ROW()-2,COUNTA(helper!$D$3:$D3996))+1))</f>
        <v>9</v>
      </c>
      <c r="F1572" s="3">
        <f>IF(B1572="","",SUMIFS('inventory ledger'!$H:$H,'inventory ledger'!$C:$C,C1572,'inventory ledger'!$D:$D,D1572,'inventory ledger'!$E:$E,E1572,'inventory ledger'!$A:$A,"&lt;="&amp;B1572+TIME(23,59,59))-SUMIFS('inventory ledger'!$I:$I,'inventory ledger'!$C:$C,C1572,'inventory ledger'!$D:$D,D1572,'inventory ledger'!$E:$E,E1572,'inventory ledger'!$A:$A,"&lt;="&amp;B1572+TIME(23,59,59)))</f>
        <v>0</v>
      </c>
      <c r="G1572" s="3">
        <f>IFERROR(__xludf.DUMMYFUNCTION("IF(F1572&lt;=0,0,IFERROR(ROUNDUP(F1572/INDEX(FILTER('warehouse config'!$D:$D,('warehouse config'!$B:$B=C1572)*('warehouse config'!$C:$C=D1572)*('warehouse config'!$G:$G&lt;=B1572)*(('warehouse config'!$H:$H&gt;=B1572)+ISBLANK('warehouse config'!$H:$H))),1)),0))"),0.0)</f>
        <v>0</v>
      </c>
      <c r="H1572" s="3">
        <f>IFERROR(__xludf.DUMMYFUNCTION("IFERROR(INDEX(FILTER('cost master'!$E:$E,('cost master'!$B:$B=C1572)*('cost master'!$D:$D=""Storage cost per pallet / week"")*('cost master'!$G:$G&lt;=B1572)*(('cost master'!$H:$H&gt;=B1572)+ISBLANK('cost master'!$H:$H))),1),0)"),3.9)</f>
        <v>3.9</v>
      </c>
      <c r="I1572" s="3">
        <f t="shared" si="4"/>
        <v>0</v>
      </c>
      <c r="J1572" s="27">
        <f t="shared" si="5"/>
        <v>45977</v>
      </c>
      <c r="K1572" s="27">
        <f t="shared" si="6"/>
        <v>46006</v>
      </c>
    </row>
    <row r="1573" hidden="1">
      <c r="A1573" s="3" t="str">
        <f t="shared" si="3"/>
        <v>SL-20251124-FMC-CS 010-9</v>
      </c>
      <c r="B1573" s="2">
        <f t="array" ref="B1573">INDEX(helper!$A$3:$A3996,ROUNDUP((ROW()-1)/COUNTA(helper!$D$3:$D3996),0))</f>
        <v>45985</v>
      </c>
      <c r="C1573" s="5" t="str">
        <f t="array" ref="C1573">IF(B1573="","",INDEX(helper!$D$3:$D3996,MOD(ROW()-2,COUNTA(helper!$D$3:$D3996))+1))</f>
        <v>FMC</v>
      </c>
      <c r="D1573" s="3" t="str">
        <f t="array" ref="D1573">IF(B1573="","",INDEX(helper!$E$3:$E3996,MOD(ROW()-2,COUNTA(helper!$D$3:$D3996))+1))</f>
        <v>CS 010</v>
      </c>
      <c r="E1573" s="3">
        <f t="array" ref="E1573">IF(B1573="","",INDEX(helper!$F$3:$F3996,MOD(ROW()-2,COUNTA(helper!$D$3:$D3996))+1))</f>
        <v>9</v>
      </c>
      <c r="F1573" s="3">
        <f>IF(B1573="","",SUMIFS('inventory ledger'!$H:$H,'inventory ledger'!$C:$C,C1573,'inventory ledger'!$D:$D,D1573,'inventory ledger'!$E:$E,E1573,'inventory ledger'!$A:$A,"&lt;="&amp;B1573+TIME(23,59,59))-SUMIFS('inventory ledger'!$I:$I,'inventory ledger'!$C:$C,C1573,'inventory ledger'!$D:$D,D1573,'inventory ledger'!$E:$E,E1573,'inventory ledger'!$A:$A,"&lt;="&amp;B1573+TIME(23,59,59)))</f>
        <v>0</v>
      </c>
      <c r="G1573" s="3">
        <f>IFERROR(__xludf.DUMMYFUNCTION("IF(F1573&lt;=0,0,IFERROR(ROUNDUP(F1573/INDEX(FILTER('warehouse config'!$D:$D,('warehouse config'!$B:$B=C1573)*('warehouse config'!$C:$C=D1573)*('warehouse config'!$G:$G&lt;=B1573)*(('warehouse config'!$H:$H&gt;=B1573)+ISBLANK('warehouse config'!$H:$H))),1)),0))"),0.0)</f>
        <v>0</v>
      </c>
      <c r="H1573" s="3">
        <f>IFERROR(__xludf.DUMMYFUNCTION("IFERROR(INDEX(FILTER('cost master'!$E:$E,('cost master'!$B:$B=C1573)*('cost master'!$D:$D=""Storage cost per pallet / week"")*('cost master'!$G:$G&lt;=B1573)*(('cost master'!$H:$H&gt;=B1573)+ISBLANK('cost master'!$H:$H))),1),0)"),3.9)</f>
        <v>3.9</v>
      </c>
      <c r="I1573" s="3">
        <f t="shared" si="4"/>
        <v>0</v>
      </c>
      <c r="J1573" s="27">
        <f t="shared" si="5"/>
        <v>45977</v>
      </c>
      <c r="K1573" s="27">
        <f t="shared" si="6"/>
        <v>46006</v>
      </c>
    </row>
    <row r="1574" hidden="1">
      <c r="A1574" s="3" t="str">
        <f t="shared" si="3"/>
        <v>SL-20251124-FMC-CS-CDS-001-9</v>
      </c>
      <c r="B1574" s="2">
        <f t="array" ref="B1574">INDEX(helper!$A$3:$A3996,ROUNDUP((ROW()-1)/COUNTA(helper!$D$3:$D3996),0))</f>
        <v>45985</v>
      </c>
      <c r="C1574" s="5" t="str">
        <f t="array" ref="C1574">IF(B1574="","",INDEX(helper!$D$3:$D3996,MOD(ROW()-2,COUNTA(helper!$D$3:$D3996))+1))</f>
        <v>FMC</v>
      </c>
      <c r="D1574" s="3" t="str">
        <f t="array" ref="D1574">IF(B1574="","",INDEX(helper!$E$3:$E3996,MOD(ROW()-2,COUNTA(helper!$D$3:$D3996))+1))</f>
        <v>CS-CDS-001</v>
      </c>
      <c r="E1574" s="3">
        <f t="array" ref="E1574">IF(B1574="","",INDEX(helper!$F$3:$F3996,MOD(ROW()-2,COUNTA(helper!$D$3:$D3996))+1))</f>
        <v>9</v>
      </c>
      <c r="F1574" s="3">
        <f>IF(B1574="","",SUMIFS('inventory ledger'!$H:$H,'inventory ledger'!$C:$C,C1574,'inventory ledger'!$D:$D,D1574,'inventory ledger'!$E:$E,E1574,'inventory ledger'!$A:$A,"&lt;="&amp;B1574+TIME(23,59,59))-SUMIFS('inventory ledger'!$I:$I,'inventory ledger'!$C:$C,C1574,'inventory ledger'!$D:$D,D1574,'inventory ledger'!$E:$E,E1574,'inventory ledger'!$A:$A,"&lt;="&amp;B1574+TIME(23,59,59)))</f>
        <v>0</v>
      </c>
      <c r="G1574" s="3">
        <f>IFERROR(__xludf.DUMMYFUNCTION("IF(F1574&lt;=0,0,IFERROR(ROUNDUP(F1574/INDEX(FILTER('warehouse config'!$D:$D,('warehouse config'!$B:$B=C1574)*('warehouse config'!$C:$C=D1574)*('warehouse config'!$G:$G&lt;=B1574)*(('warehouse config'!$H:$H&gt;=B1574)+ISBLANK('warehouse config'!$H:$H))),1)),0))"),0.0)</f>
        <v>0</v>
      </c>
      <c r="H1574" s="3">
        <f>IFERROR(__xludf.DUMMYFUNCTION("IFERROR(INDEX(FILTER('cost master'!$E:$E,('cost master'!$B:$B=C1574)*('cost master'!$D:$D=""Storage cost per pallet / week"")*('cost master'!$G:$G&lt;=B1574)*(('cost master'!$H:$H&gt;=B1574)+ISBLANK('cost master'!$H:$H))),1),0)"),3.9)</f>
        <v>3.9</v>
      </c>
      <c r="I1574" s="3">
        <f t="shared" si="4"/>
        <v>0</v>
      </c>
      <c r="J1574" s="27">
        <f t="shared" si="5"/>
        <v>45977</v>
      </c>
      <c r="K1574" s="27">
        <f t="shared" si="6"/>
        <v>46006</v>
      </c>
    </row>
    <row r="1575" hidden="1">
      <c r="A1575" s="3" t="str">
        <f t="shared" si="3"/>
        <v>SL-20251124-FMC-CS-CDS-002-9</v>
      </c>
      <c r="B1575" s="2">
        <f t="array" ref="B1575">INDEX(helper!$A$3:$A3996,ROUNDUP((ROW()-1)/COUNTA(helper!$D$3:$D3996),0))</f>
        <v>45985</v>
      </c>
      <c r="C1575" s="5" t="str">
        <f t="array" ref="C1575">IF(B1575="","",INDEX(helper!$D$3:$D3996,MOD(ROW()-2,COUNTA(helper!$D$3:$D3996))+1))</f>
        <v>FMC</v>
      </c>
      <c r="D1575" s="3" t="str">
        <f t="array" ref="D1575">IF(B1575="","",INDEX(helper!$E$3:$E3996,MOD(ROW()-2,COUNTA(helper!$D$3:$D3996))+1))</f>
        <v>CS-CDS-002</v>
      </c>
      <c r="E1575" s="3">
        <f t="array" ref="E1575">IF(B1575="","",INDEX(helper!$F$3:$F3996,MOD(ROW()-2,COUNTA(helper!$D$3:$D3996))+1))</f>
        <v>9</v>
      </c>
      <c r="F1575" s="3">
        <f>IF(B1575="","",SUMIFS('inventory ledger'!$H:$H,'inventory ledger'!$C:$C,C1575,'inventory ledger'!$D:$D,D1575,'inventory ledger'!$E:$E,E1575,'inventory ledger'!$A:$A,"&lt;="&amp;B1575+TIME(23,59,59))-SUMIFS('inventory ledger'!$I:$I,'inventory ledger'!$C:$C,C1575,'inventory ledger'!$D:$D,D1575,'inventory ledger'!$E:$E,E1575,'inventory ledger'!$A:$A,"&lt;="&amp;B1575+TIME(23,59,59)))</f>
        <v>0</v>
      </c>
      <c r="G1575" s="3">
        <f>IFERROR(__xludf.DUMMYFUNCTION("IF(F1575&lt;=0,0,IFERROR(ROUNDUP(F1575/INDEX(FILTER('warehouse config'!$D:$D,('warehouse config'!$B:$B=C1575)*('warehouse config'!$C:$C=D1575)*('warehouse config'!$G:$G&lt;=B1575)*(('warehouse config'!$H:$H&gt;=B1575)+ISBLANK('warehouse config'!$H:$H))),1)),0))"),0.0)</f>
        <v>0</v>
      </c>
      <c r="H1575" s="3">
        <f>IFERROR(__xludf.DUMMYFUNCTION("IFERROR(INDEX(FILTER('cost master'!$E:$E,('cost master'!$B:$B=C1575)*('cost master'!$D:$D=""Storage cost per pallet / week"")*('cost master'!$G:$G&lt;=B1575)*(('cost master'!$H:$H&gt;=B1575)+ISBLANK('cost master'!$H:$H))),1),0)"),3.9)</f>
        <v>3.9</v>
      </c>
      <c r="I1575" s="3">
        <f t="shared" si="4"/>
        <v>0</v>
      </c>
      <c r="J1575" s="27">
        <f t="shared" si="5"/>
        <v>45977</v>
      </c>
      <c r="K1575" s="27">
        <f t="shared" si="6"/>
        <v>46006</v>
      </c>
    </row>
    <row r="1576" hidden="1">
      <c r="A1576" s="3" t="str">
        <f t="shared" si="3"/>
        <v>SL-20251124-FMC-CS 007-10</v>
      </c>
      <c r="B1576" s="2">
        <f t="array" ref="B1576">INDEX(helper!$A$3:$A3996,ROUNDUP((ROW()-1)/COUNTA(helper!$D$3:$D3996),0))</f>
        <v>45985</v>
      </c>
      <c r="C1576" s="5" t="str">
        <f t="array" ref="C1576">IF(B1576="","",INDEX(helper!$D$3:$D3996,MOD(ROW()-2,COUNTA(helper!$D$3:$D3996))+1))</f>
        <v>FMC</v>
      </c>
      <c r="D1576" s="3" t="str">
        <f t="array" ref="D1576">IF(B1576="","",INDEX(helper!$E$3:$E3996,MOD(ROW()-2,COUNTA(helper!$D$3:$D3996))+1))</f>
        <v>CS 007</v>
      </c>
      <c r="E1576" s="3">
        <f t="array" ref="E1576">IF(B1576="","",INDEX(helper!$F$3:$F3996,MOD(ROW()-2,COUNTA(helper!$D$3:$D3996))+1))</f>
        <v>10</v>
      </c>
      <c r="F1576" s="3">
        <f>IF(B1576="","",SUMIFS('inventory ledger'!$H:$H,'inventory ledger'!$C:$C,C1576,'inventory ledger'!$D:$D,D1576,'inventory ledger'!$E:$E,E1576,'inventory ledger'!$A:$A,"&lt;="&amp;B1576+TIME(23,59,59))-SUMIFS('inventory ledger'!$I:$I,'inventory ledger'!$C:$C,C1576,'inventory ledger'!$D:$D,D1576,'inventory ledger'!$E:$E,E1576,'inventory ledger'!$A:$A,"&lt;="&amp;B1576+TIME(23,59,59)))</f>
        <v>0</v>
      </c>
      <c r="G1576" s="3">
        <f>IFERROR(__xludf.DUMMYFUNCTION("IF(F1576&lt;=0,0,IFERROR(ROUNDUP(F1576/INDEX(FILTER('warehouse config'!$D:$D,('warehouse config'!$B:$B=C1576)*('warehouse config'!$C:$C=D1576)*('warehouse config'!$G:$G&lt;=B1576)*(('warehouse config'!$H:$H&gt;=B1576)+ISBLANK('warehouse config'!$H:$H))),1)),0))"),0.0)</f>
        <v>0</v>
      </c>
      <c r="H1576" s="3">
        <f>IFERROR(__xludf.DUMMYFUNCTION("IFERROR(INDEX(FILTER('cost master'!$E:$E,('cost master'!$B:$B=C1576)*('cost master'!$D:$D=""Storage cost per pallet / week"")*('cost master'!$G:$G&lt;=B1576)*(('cost master'!$H:$H&gt;=B1576)+ISBLANK('cost master'!$H:$H))),1),0)"),3.9)</f>
        <v>3.9</v>
      </c>
      <c r="I1576" s="3">
        <f t="shared" si="4"/>
        <v>0</v>
      </c>
      <c r="J1576" s="27">
        <f t="shared" si="5"/>
        <v>45977</v>
      </c>
      <c r="K1576" s="27">
        <f t="shared" si="6"/>
        <v>46006</v>
      </c>
    </row>
    <row r="1577" hidden="1">
      <c r="A1577" s="3" t="str">
        <f t="shared" si="3"/>
        <v>SL-20251124-FMC-CS 009-10</v>
      </c>
      <c r="B1577" s="2">
        <f t="array" ref="B1577">INDEX(helper!$A$3:$A3996,ROUNDUP((ROW()-1)/COUNTA(helper!$D$3:$D3996),0))</f>
        <v>45985</v>
      </c>
      <c r="C1577" s="5" t="str">
        <f t="array" ref="C1577">IF(B1577="","",INDEX(helper!$D$3:$D3996,MOD(ROW()-2,COUNTA(helper!$D$3:$D3996))+1))</f>
        <v>FMC</v>
      </c>
      <c r="D1577" s="3" t="str">
        <f t="array" ref="D1577">IF(B1577="","",INDEX(helper!$E$3:$E3996,MOD(ROW()-2,COUNTA(helper!$D$3:$D3996))+1))</f>
        <v>CS 009</v>
      </c>
      <c r="E1577" s="3">
        <f t="array" ref="E1577">IF(B1577="","",INDEX(helper!$F$3:$F3996,MOD(ROW()-2,COUNTA(helper!$D$3:$D3996))+1))</f>
        <v>10</v>
      </c>
      <c r="F1577" s="3">
        <f>IF(B1577="","",SUMIFS('inventory ledger'!$H:$H,'inventory ledger'!$C:$C,C1577,'inventory ledger'!$D:$D,D1577,'inventory ledger'!$E:$E,E1577,'inventory ledger'!$A:$A,"&lt;="&amp;B1577+TIME(23,59,59))-SUMIFS('inventory ledger'!$I:$I,'inventory ledger'!$C:$C,C1577,'inventory ledger'!$D:$D,D1577,'inventory ledger'!$E:$E,E1577,'inventory ledger'!$A:$A,"&lt;="&amp;B1577+TIME(23,59,59)))</f>
        <v>0</v>
      </c>
      <c r="G1577" s="3">
        <f>IFERROR(__xludf.DUMMYFUNCTION("IF(F1577&lt;=0,0,IFERROR(ROUNDUP(F1577/INDEX(FILTER('warehouse config'!$D:$D,('warehouse config'!$B:$B=C1577)*('warehouse config'!$C:$C=D1577)*('warehouse config'!$G:$G&lt;=B1577)*(('warehouse config'!$H:$H&gt;=B1577)+ISBLANK('warehouse config'!$H:$H))),1)),0))"),0.0)</f>
        <v>0</v>
      </c>
      <c r="H1577" s="3">
        <f>IFERROR(__xludf.DUMMYFUNCTION("IFERROR(INDEX(FILTER('cost master'!$E:$E,('cost master'!$B:$B=C1577)*('cost master'!$D:$D=""Storage cost per pallet / week"")*('cost master'!$G:$G&lt;=B1577)*(('cost master'!$H:$H&gt;=B1577)+ISBLANK('cost master'!$H:$H))),1),0)"),3.9)</f>
        <v>3.9</v>
      </c>
      <c r="I1577" s="3">
        <f t="shared" si="4"/>
        <v>0</v>
      </c>
      <c r="J1577" s="27">
        <f t="shared" si="5"/>
        <v>45977</v>
      </c>
      <c r="K1577" s="27">
        <f t="shared" si="6"/>
        <v>46006</v>
      </c>
    </row>
    <row r="1578" hidden="1">
      <c r="A1578" s="3" t="str">
        <f t="shared" si="3"/>
        <v>SL-20251124-FMC-CS 010-10</v>
      </c>
      <c r="B1578" s="2">
        <f t="array" ref="B1578">INDEX(helper!$A$3:$A3996,ROUNDUP((ROW()-1)/COUNTA(helper!$D$3:$D3996),0))</f>
        <v>45985</v>
      </c>
      <c r="C1578" s="5" t="str">
        <f t="array" ref="C1578">IF(B1578="","",INDEX(helper!$D$3:$D3996,MOD(ROW()-2,COUNTA(helper!$D$3:$D3996))+1))</f>
        <v>FMC</v>
      </c>
      <c r="D1578" s="3" t="str">
        <f t="array" ref="D1578">IF(B1578="","",INDEX(helper!$E$3:$E3996,MOD(ROW()-2,COUNTA(helper!$D$3:$D3996))+1))</f>
        <v>CS 010</v>
      </c>
      <c r="E1578" s="3">
        <f t="array" ref="E1578">IF(B1578="","",INDEX(helper!$F$3:$F3996,MOD(ROW()-2,COUNTA(helper!$D$3:$D3996))+1))</f>
        <v>10</v>
      </c>
      <c r="F1578" s="3">
        <f>IF(B1578="","",SUMIFS('inventory ledger'!$H:$H,'inventory ledger'!$C:$C,C1578,'inventory ledger'!$D:$D,D1578,'inventory ledger'!$E:$E,E1578,'inventory ledger'!$A:$A,"&lt;="&amp;B1578+TIME(23,59,59))-SUMIFS('inventory ledger'!$I:$I,'inventory ledger'!$C:$C,C1578,'inventory ledger'!$D:$D,D1578,'inventory ledger'!$E:$E,E1578,'inventory ledger'!$A:$A,"&lt;="&amp;B1578+TIME(23,59,59)))</f>
        <v>13</v>
      </c>
      <c r="G1578" s="3">
        <f>IFERROR(__xludf.DUMMYFUNCTION("IF(F1578&lt;=0,0,IFERROR(ROUNDUP(F1578/INDEX(FILTER('warehouse config'!$D:$D,('warehouse config'!$B:$B=C1578)*('warehouse config'!$C:$C=D1578)*('warehouse config'!$G:$G&lt;=B1578)*(('warehouse config'!$H:$H&gt;=B1578)+ISBLANK('warehouse config'!$H:$H))),1)),0))"),1.0)</f>
        <v>1</v>
      </c>
      <c r="H1578" s="3">
        <f>IFERROR(__xludf.DUMMYFUNCTION("IFERROR(INDEX(FILTER('cost master'!$E:$E,('cost master'!$B:$B=C1578)*('cost master'!$D:$D=""Storage cost per pallet / week"")*('cost master'!$G:$G&lt;=B1578)*(('cost master'!$H:$H&gt;=B1578)+ISBLANK('cost master'!$H:$H))),1),0)"),3.9)</f>
        <v>3.9</v>
      </c>
      <c r="I1578" s="3">
        <f t="shared" si="4"/>
        <v>3.9</v>
      </c>
      <c r="J1578" s="27">
        <f t="shared" si="5"/>
        <v>45977</v>
      </c>
      <c r="K1578" s="27">
        <f t="shared" si="6"/>
        <v>46006</v>
      </c>
    </row>
    <row r="1579" hidden="1">
      <c r="A1579" s="3" t="str">
        <f t="shared" si="3"/>
        <v>SL-20251124-FMC-CS-CDS-001-10</v>
      </c>
      <c r="B1579" s="2">
        <f t="array" ref="B1579">INDEX(helper!$A$3:$A3996,ROUNDUP((ROW()-1)/COUNTA(helper!$D$3:$D3996),0))</f>
        <v>45985</v>
      </c>
      <c r="C1579" s="5" t="str">
        <f t="array" ref="C1579">IF(B1579="","",INDEX(helper!$D$3:$D3996,MOD(ROW()-2,COUNTA(helper!$D$3:$D3996))+1))</f>
        <v>FMC</v>
      </c>
      <c r="D1579" s="3" t="str">
        <f t="array" ref="D1579">IF(B1579="","",INDEX(helper!$E$3:$E3996,MOD(ROW()-2,COUNTA(helper!$D$3:$D3996))+1))</f>
        <v>CS-CDS-001</v>
      </c>
      <c r="E1579" s="3">
        <f t="array" ref="E1579">IF(B1579="","",INDEX(helper!$F$3:$F3996,MOD(ROW()-2,COUNTA(helper!$D$3:$D3996))+1))</f>
        <v>10</v>
      </c>
      <c r="F1579" s="3">
        <f>IF(B1579="","",SUMIFS('inventory ledger'!$H:$H,'inventory ledger'!$C:$C,C1579,'inventory ledger'!$D:$D,D1579,'inventory ledger'!$E:$E,E1579,'inventory ledger'!$A:$A,"&lt;="&amp;B1579+TIME(23,59,59))-SUMIFS('inventory ledger'!$I:$I,'inventory ledger'!$C:$C,C1579,'inventory ledger'!$D:$D,D1579,'inventory ledger'!$E:$E,E1579,'inventory ledger'!$A:$A,"&lt;="&amp;B1579+TIME(23,59,59)))</f>
        <v>0</v>
      </c>
      <c r="G1579" s="3">
        <f>IFERROR(__xludf.DUMMYFUNCTION("IF(F1579&lt;=0,0,IFERROR(ROUNDUP(F1579/INDEX(FILTER('warehouse config'!$D:$D,('warehouse config'!$B:$B=C1579)*('warehouse config'!$C:$C=D1579)*('warehouse config'!$G:$G&lt;=B1579)*(('warehouse config'!$H:$H&gt;=B1579)+ISBLANK('warehouse config'!$H:$H))),1)),0))"),0.0)</f>
        <v>0</v>
      </c>
      <c r="H1579" s="3">
        <f>IFERROR(__xludf.DUMMYFUNCTION("IFERROR(INDEX(FILTER('cost master'!$E:$E,('cost master'!$B:$B=C1579)*('cost master'!$D:$D=""Storage cost per pallet / week"")*('cost master'!$G:$G&lt;=B1579)*(('cost master'!$H:$H&gt;=B1579)+ISBLANK('cost master'!$H:$H))),1),0)"),3.9)</f>
        <v>3.9</v>
      </c>
      <c r="I1579" s="3">
        <f t="shared" si="4"/>
        <v>0</v>
      </c>
      <c r="J1579" s="27">
        <f t="shared" si="5"/>
        <v>45977</v>
      </c>
      <c r="K1579" s="27">
        <f t="shared" si="6"/>
        <v>46006</v>
      </c>
    </row>
    <row r="1580">
      <c r="A1580" s="3" t="str">
        <f t="shared" si="3"/>
        <v>SL-20251124-FMC-CS 007-11</v>
      </c>
      <c r="B1580" s="2">
        <f t="array" ref="B1580">INDEX(helper!$A$3:$A3996,ROUNDUP((ROW()-1)/COUNTA(helper!$D$3:$D3996),0))</f>
        <v>45985</v>
      </c>
      <c r="C1580" s="5" t="str">
        <f t="array" ref="C1580">IF(B1580="","",INDEX(helper!$D$3:$D3996,MOD(ROW()-2,COUNTA(helper!$D$3:$D3996))+1))</f>
        <v>FMC</v>
      </c>
      <c r="D1580" s="3" t="str">
        <f t="array" ref="D1580">IF(B1580="","",INDEX(helper!$E$3:$E3996,MOD(ROW()-2,COUNTA(helper!$D$3:$D3996))+1))</f>
        <v>CS 007</v>
      </c>
      <c r="E1580" s="3">
        <f t="array" ref="E1580">IF(B1580="","",INDEX(helper!$F$3:$F3996,MOD(ROW()-2,COUNTA(helper!$D$3:$D3996))+1))</f>
        <v>11</v>
      </c>
      <c r="F1580" s="3">
        <f>IF(B1580="","",SUMIFS('inventory ledger'!$H:$H,'inventory ledger'!$C:$C,C1580,'inventory ledger'!$D:$D,D1580,'inventory ledger'!$E:$E,E1580,'inventory ledger'!$A:$A,"&lt;="&amp;B1580+TIME(23,59,59))-SUMIFS('inventory ledger'!$I:$I,'inventory ledger'!$C:$C,C1580,'inventory ledger'!$D:$D,D1580,'inventory ledger'!$E:$E,E1580,'inventory ledger'!$A:$A,"&lt;="&amp;B1580+TIME(23,59,59)))</f>
        <v>-1</v>
      </c>
      <c r="G1580" s="3">
        <f>IFERROR(__xludf.DUMMYFUNCTION("IF(F1580&lt;=0,0,IFERROR(ROUNDUP(F1580/INDEX(FILTER('warehouse config'!$D:$D,('warehouse config'!$B:$B=C1580)*('warehouse config'!$C:$C=D1580)*('warehouse config'!$G:$G&lt;=B1580)*(('warehouse config'!$H:$H&gt;=B1580)+ISBLANK('warehouse config'!$H:$H))),1)),0))"),0.0)</f>
        <v>0</v>
      </c>
      <c r="H1580" s="3">
        <f>IFERROR(__xludf.DUMMYFUNCTION("IFERROR(INDEX(FILTER('cost master'!$E:$E,('cost master'!$B:$B=C1580)*('cost master'!$D:$D=""Storage cost per pallet / week"")*('cost master'!$G:$G&lt;=B1580)*(('cost master'!$H:$H&gt;=B1580)+ISBLANK('cost master'!$H:$H))),1),0)"),3.9)</f>
        <v>3.9</v>
      </c>
      <c r="I1580" s="3">
        <f t="shared" si="4"/>
        <v>0</v>
      </c>
      <c r="J1580" s="27">
        <f t="shared" si="5"/>
        <v>45977</v>
      </c>
      <c r="K1580" s="27">
        <f t="shared" si="6"/>
        <v>46006</v>
      </c>
    </row>
    <row r="1581" hidden="1">
      <c r="A1581" s="3" t="str">
        <f t="shared" si="3"/>
        <v>SL-20251124-FMC-CS 009-11</v>
      </c>
      <c r="B1581" s="2">
        <f t="array" ref="B1581">INDEX(helper!$A$3:$A3996,ROUNDUP((ROW()-1)/COUNTA(helper!$D$3:$D3996),0))</f>
        <v>45985</v>
      </c>
      <c r="C1581" s="5" t="str">
        <f t="array" ref="C1581">IF(B1581="","",INDEX(helper!$D$3:$D3996,MOD(ROW()-2,COUNTA(helper!$D$3:$D3996))+1))</f>
        <v>FMC</v>
      </c>
      <c r="D1581" s="3" t="str">
        <f t="array" ref="D1581">IF(B1581="","",INDEX(helper!$E$3:$E3996,MOD(ROW()-2,COUNTA(helper!$D$3:$D3996))+1))</f>
        <v>CS 009</v>
      </c>
      <c r="E1581" s="3">
        <f t="array" ref="E1581">IF(B1581="","",INDEX(helper!$F$3:$F3996,MOD(ROW()-2,COUNTA(helper!$D$3:$D3996))+1))</f>
        <v>11</v>
      </c>
      <c r="F1581" s="3">
        <f>IF(B1581="","",SUMIFS('inventory ledger'!$H:$H,'inventory ledger'!$C:$C,C1581,'inventory ledger'!$D:$D,D1581,'inventory ledger'!$E:$E,E1581,'inventory ledger'!$A:$A,"&lt;="&amp;B1581+TIME(23,59,59))-SUMIFS('inventory ledger'!$I:$I,'inventory ledger'!$C:$C,C1581,'inventory ledger'!$D:$D,D1581,'inventory ledger'!$E:$E,E1581,'inventory ledger'!$A:$A,"&lt;="&amp;B1581+TIME(23,59,59)))</f>
        <v>0</v>
      </c>
      <c r="G1581" s="3">
        <f>IFERROR(__xludf.DUMMYFUNCTION("IF(F1581&lt;=0,0,IFERROR(ROUNDUP(F1581/INDEX(FILTER('warehouse config'!$D:$D,('warehouse config'!$B:$B=C1581)*('warehouse config'!$C:$C=D1581)*('warehouse config'!$G:$G&lt;=B1581)*(('warehouse config'!$H:$H&gt;=B1581)+ISBLANK('warehouse config'!$H:$H))),1)),0))"),0.0)</f>
        <v>0</v>
      </c>
      <c r="H1581" s="3">
        <f>IFERROR(__xludf.DUMMYFUNCTION("IFERROR(INDEX(FILTER('cost master'!$E:$E,('cost master'!$B:$B=C1581)*('cost master'!$D:$D=""Storage cost per pallet / week"")*('cost master'!$G:$G&lt;=B1581)*(('cost master'!$H:$H&gt;=B1581)+ISBLANK('cost master'!$H:$H))),1),0)"),3.9)</f>
        <v>3.9</v>
      </c>
      <c r="I1581" s="3">
        <f t="shared" si="4"/>
        <v>0</v>
      </c>
      <c r="J1581" s="27">
        <f t="shared" si="5"/>
        <v>45977</v>
      </c>
      <c r="K1581" s="27">
        <f t="shared" si="6"/>
        <v>46006</v>
      </c>
    </row>
    <row r="1582" hidden="1">
      <c r="A1582" s="3" t="str">
        <f t="shared" si="3"/>
        <v>SL-20251124-FMC-CS 010-11</v>
      </c>
      <c r="B1582" s="2">
        <f t="array" ref="B1582">INDEX(helper!$A$3:$A3996,ROUNDUP((ROW()-1)/COUNTA(helper!$D$3:$D3996),0))</f>
        <v>45985</v>
      </c>
      <c r="C1582" s="5" t="str">
        <f t="array" ref="C1582">IF(B1582="","",INDEX(helper!$D$3:$D3996,MOD(ROW()-2,COUNTA(helper!$D$3:$D3996))+1))</f>
        <v>FMC</v>
      </c>
      <c r="D1582" s="3" t="str">
        <f t="array" ref="D1582">IF(B1582="","",INDEX(helper!$E$3:$E3996,MOD(ROW()-2,COUNTA(helper!$D$3:$D3996))+1))</f>
        <v>CS 010</v>
      </c>
      <c r="E1582" s="3">
        <f t="array" ref="E1582">IF(B1582="","",INDEX(helper!$F$3:$F3996,MOD(ROW()-2,COUNTA(helper!$D$3:$D3996))+1))</f>
        <v>11</v>
      </c>
      <c r="F1582" s="3">
        <f>IF(B1582="","",SUMIFS('inventory ledger'!$H:$H,'inventory ledger'!$C:$C,C1582,'inventory ledger'!$D:$D,D1582,'inventory ledger'!$E:$E,E1582,'inventory ledger'!$A:$A,"&lt;="&amp;B1582+TIME(23,59,59))-SUMIFS('inventory ledger'!$I:$I,'inventory ledger'!$C:$C,C1582,'inventory ledger'!$D:$D,D1582,'inventory ledger'!$E:$E,E1582,'inventory ledger'!$A:$A,"&lt;="&amp;B1582+TIME(23,59,59)))</f>
        <v>6</v>
      </c>
      <c r="G1582" s="3">
        <f>IFERROR(__xludf.DUMMYFUNCTION("IF(F1582&lt;=0,0,IFERROR(ROUNDUP(F1582/INDEX(FILTER('warehouse config'!$D:$D,('warehouse config'!$B:$B=C1582)*('warehouse config'!$C:$C=D1582)*('warehouse config'!$G:$G&lt;=B1582)*(('warehouse config'!$H:$H&gt;=B1582)+ISBLANK('warehouse config'!$H:$H))),1)),0))"),1.0)</f>
        <v>1</v>
      </c>
      <c r="H1582" s="3">
        <f>IFERROR(__xludf.DUMMYFUNCTION("IFERROR(INDEX(FILTER('cost master'!$E:$E,('cost master'!$B:$B=C1582)*('cost master'!$D:$D=""Storage cost per pallet / week"")*('cost master'!$G:$G&lt;=B1582)*(('cost master'!$H:$H&gt;=B1582)+ISBLANK('cost master'!$H:$H))),1),0)"),3.9)</f>
        <v>3.9</v>
      </c>
      <c r="I1582" s="3">
        <f t="shared" si="4"/>
        <v>3.9</v>
      </c>
      <c r="J1582" s="27">
        <f t="shared" si="5"/>
        <v>45977</v>
      </c>
      <c r="K1582" s="27">
        <f t="shared" si="6"/>
        <v>46006</v>
      </c>
    </row>
    <row r="1583" hidden="1">
      <c r="A1583" s="3" t="str">
        <f t="shared" si="3"/>
        <v>SL-20251124-Vglobal-CS 007-12</v>
      </c>
      <c r="B1583" s="2">
        <f t="array" ref="B1583">INDEX(helper!$A$3:$A3996,ROUNDUP((ROW()-1)/COUNTA(helper!$D$3:$D3996),0))</f>
        <v>45985</v>
      </c>
      <c r="C1583" s="5" t="str">
        <f t="array" ref="C1583">IF(B1583="","",INDEX(helper!$D$3:$D3996,MOD(ROW()-2,COUNTA(helper!$D$3:$D3996))+1))</f>
        <v>Vglobal</v>
      </c>
      <c r="D1583" s="3" t="str">
        <f t="array" ref="D1583">IF(B1583="","",INDEX(helper!$E$3:$E3996,MOD(ROW()-2,COUNTA(helper!$D$3:$D3996))+1))</f>
        <v>CS 007</v>
      </c>
      <c r="E1583" s="3">
        <f t="array" ref="E1583">IF(B1583="","",INDEX(helper!$F$3:$F3996,MOD(ROW()-2,COUNTA(helper!$D$3:$D3996))+1))</f>
        <v>12</v>
      </c>
      <c r="F1583" s="3">
        <f>IF(B1583="","",SUMIFS('inventory ledger'!$H:$H,'inventory ledger'!$C:$C,C1583,'inventory ledger'!$D:$D,D1583,'inventory ledger'!$E:$E,E1583,'inventory ledger'!$A:$A,"&lt;="&amp;B1583+TIME(23,59,59))-SUMIFS('inventory ledger'!$I:$I,'inventory ledger'!$C:$C,C1583,'inventory ledger'!$D:$D,D1583,'inventory ledger'!$E:$E,E1583,'inventory ledger'!$A:$A,"&lt;="&amp;B1583+TIME(23,59,59)))</f>
        <v>0</v>
      </c>
      <c r="G1583" s="3">
        <f>IFERROR(__xludf.DUMMYFUNCTION("IF(F1583&lt;=0,0,IFERROR(ROUNDUP(F1583/INDEX(FILTER('warehouse config'!$D:$D,('warehouse config'!$B:$B=C1583)*('warehouse config'!$C:$C=D1583)*('warehouse config'!$G:$G&lt;=B1583)*(('warehouse config'!$H:$H&gt;=B1583)+ISBLANK('warehouse config'!$H:$H))),1)),0))"),0.0)</f>
        <v>0</v>
      </c>
      <c r="H1583" s="3">
        <f>IFERROR(__xludf.DUMMYFUNCTION("IFERROR(INDEX(FILTER('cost master'!$E:$E,('cost master'!$B:$B=C1583)*('cost master'!$D:$D=""Storage cost per pallet / week"")*('cost master'!$G:$G&lt;=B1583)*(('cost master'!$H:$H&gt;=B1583)+ISBLANK('cost master'!$H:$H))),1),0)"),2.6)</f>
        <v>2.6</v>
      </c>
      <c r="I1583" s="3">
        <f t="shared" si="4"/>
        <v>0</v>
      </c>
      <c r="J1583" s="27">
        <f t="shared" si="5"/>
        <v>45977</v>
      </c>
      <c r="K1583" s="27">
        <f t="shared" si="6"/>
        <v>46006</v>
      </c>
    </row>
    <row r="1584" hidden="1">
      <c r="A1584" s="3" t="str">
        <f t="shared" si="3"/>
        <v>SL-20251124-Vglobal-CS 011-12</v>
      </c>
      <c r="B1584" s="2">
        <f t="array" ref="B1584">INDEX(helper!$A$3:$A3996,ROUNDUP((ROW()-1)/COUNTA(helper!$D$3:$D3996),0))</f>
        <v>45985</v>
      </c>
      <c r="C1584" s="5" t="str">
        <f t="array" ref="C1584">IF(B1584="","",INDEX(helper!$D$3:$D3996,MOD(ROW()-2,COUNTA(helper!$D$3:$D3996))+1))</f>
        <v>Vglobal</v>
      </c>
      <c r="D1584" s="3" t="str">
        <f t="array" ref="D1584">IF(B1584="","",INDEX(helper!$E$3:$E3996,MOD(ROW()-2,COUNTA(helper!$D$3:$D3996))+1))</f>
        <v>CS 011</v>
      </c>
      <c r="E1584" s="3">
        <f t="array" ref="E1584">IF(B1584="","",INDEX(helper!$F$3:$F3996,MOD(ROW()-2,COUNTA(helper!$D$3:$D3996))+1))</f>
        <v>12</v>
      </c>
      <c r="F1584" s="3">
        <f>IF(B1584="","",SUMIFS('inventory ledger'!$H:$H,'inventory ledger'!$C:$C,C1584,'inventory ledger'!$D:$D,D1584,'inventory ledger'!$E:$E,E1584,'inventory ledger'!$A:$A,"&lt;="&amp;B1584+TIME(23,59,59))-SUMIFS('inventory ledger'!$I:$I,'inventory ledger'!$C:$C,C1584,'inventory ledger'!$D:$D,D1584,'inventory ledger'!$E:$E,E1584,'inventory ledger'!$A:$A,"&lt;="&amp;B1584+TIME(23,59,59)))</f>
        <v>0</v>
      </c>
      <c r="G1584" s="3">
        <f>IFERROR(__xludf.DUMMYFUNCTION("IF(F1584&lt;=0,0,IFERROR(ROUNDUP(F1584/INDEX(FILTER('warehouse config'!$D:$D,('warehouse config'!$B:$B=C1584)*('warehouse config'!$C:$C=D1584)*('warehouse config'!$G:$G&lt;=B1584)*(('warehouse config'!$H:$H&gt;=B1584)+ISBLANK('warehouse config'!$H:$H))),1)),0))"),0.0)</f>
        <v>0</v>
      </c>
      <c r="H1584" s="3">
        <f>IFERROR(__xludf.DUMMYFUNCTION("IFERROR(INDEX(FILTER('cost master'!$E:$E,('cost master'!$B:$B=C1584)*('cost master'!$D:$D=""Storage cost per pallet / week"")*('cost master'!$G:$G&lt;=B1584)*(('cost master'!$H:$H&gt;=B1584)+ISBLANK('cost master'!$H:$H))),1),0)"),2.6)</f>
        <v>2.6</v>
      </c>
      <c r="I1584" s="3">
        <f t="shared" si="4"/>
        <v>0</v>
      </c>
      <c r="J1584" s="27">
        <f t="shared" si="5"/>
        <v>45977</v>
      </c>
      <c r="K1584" s="27">
        <f t="shared" si="6"/>
        <v>46006</v>
      </c>
    </row>
    <row r="1585" hidden="1">
      <c r="A1585" s="3" t="str">
        <f t="shared" si="3"/>
        <v>SL-20251124-Vglobal-CS 008-12</v>
      </c>
      <c r="B1585" s="2">
        <f t="array" ref="B1585">INDEX(helper!$A$3:$A3996,ROUNDUP((ROW()-1)/COUNTA(helper!$D$3:$D3996),0))</f>
        <v>45985</v>
      </c>
      <c r="C1585" s="5" t="str">
        <f t="array" ref="C1585">IF(B1585="","",INDEX(helper!$D$3:$D3996,MOD(ROW()-2,COUNTA(helper!$D$3:$D3996))+1))</f>
        <v>Vglobal</v>
      </c>
      <c r="D1585" s="3" t="str">
        <f t="array" ref="D1585">IF(B1585="","",INDEX(helper!$E$3:$E3996,MOD(ROW()-2,COUNTA(helper!$D$3:$D3996))+1))</f>
        <v>CS 008</v>
      </c>
      <c r="E1585" s="3">
        <f t="array" ref="E1585">IF(B1585="","",INDEX(helper!$F$3:$F3996,MOD(ROW()-2,COUNTA(helper!$D$3:$D3996))+1))</f>
        <v>12</v>
      </c>
      <c r="F1585" s="3">
        <f>IF(B1585="","",SUMIFS('inventory ledger'!$H:$H,'inventory ledger'!$C:$C,C1585,'inventory ledger'!$D:$D,D1585,'inventory ledger'!$E:$E,E1585,'inventory ledger'!$A:$A,"&lt;="&amp;B1585+TIME(23,59,59))-SUMIFS('inventory ledger'!$I:$I,'inventory ledger'!$C:$C,C1585,'inventory ledger'!$D:$D,D1585,'inventory ledger'!$E:$E,E1585,'inventory ledger'!$A:$A,"&lt;="&amp;B1585+TIME(23,59,59)))</f>
        <v>0</v>
      </c>
      <c r="G1585" s="3">
        <f>IFERROR(__xludf.DUMMYFUNCTION("IF(F1585&lt;=0,0,IFERROR(ROUNDUP(F1585/INDEX(FILTER('warehouse config'!$D:$D,('warehouse config'!$B:$B=C1585)*('warehouse config'!$C:$C=D1585)*('warehouse config'!$G:$G&lt;=B1585)*(('warehouse config'!$H:$H&gt;=B1585)+ISBLANK('warehouse config'!$H:$H))),1)),0))"),0.0)</f>
        <v>0</v>
      </c>
      <c r="H1585" s="3">
        <f>IFERROR(__xludf.DUMMYFUNCTION("IFERROR(INDEX(FILTER('cost master'!$E:$E,('cost master'!$B:$B=C1585)*('cost master'!$D:$D=""Storage cost per pallet / week"")*('cost master'!$G:$G&lt;=B1585)*(('cost master'!$H:$H&gt;=B1585)+ISBLANK('cost master'!$H:$H))),1),0)"),2.6)</f>
        <v>2.6</v>
      </c>
      <c r="I1585" s="3">
        <f t="shared" si="4"/>
        <v>0</v>
      </c>
      <c r="J1585" s="27">
        <f t="shared" si="5"/>
        <v>45977</v>
      </c>
      <c r="K1585" s="27">
        <f t="shared" si="6"/>
        <v>46006</v>
      </c>
    </row>
    <row r="1586" hidden="1">
      <c r="A1586" s="3" t="str">
        <f t="shared" si="3"/>
        <v>SL-20251124-Vglobal-CS 010-12</v>
      </c>
      <c r="B1586" s="2">
        <f t="array" ref="B1586">INDEX(helper!$A$3:$A3996,ROUNDUP((ROW()-1)/COUNTA(helper!$D$3:$D3996),0))</f>
        <v>45985</v>
      </c>
      <c r="C1586" s="5" t="str">
        <f t="array" ref="C1586">IF(B1586="","",INDEX(helper!$D$3:$D3996,MOD(ROW()-2,COUNTA(helper!$D$3:$D3996))+1))</f>
        <v>Vglobal</v>
      </c>
      <c r="D1586" s="3" t="str">
        <f t="array" ref="D1586">IF(B1586="","",INDEX(helper!$E$3:$E3996,MOD(ROW()-2,COUNTA(helper!$D$3:$D3996))+1))</f>
        <v>CS 010</v>
      </c>
      <c r="E1586" s="3">
        <f t="array" ref="E1586">IF(B1586="","",INDEX(helper!$F$3:$F3996,MOD(ROW()-2,COUNTA(helper!$D$3:$D3996))+1))</f>
        <v>12</v>
      </c>
      <c r="F1586" s="3">
        <f>IF(B1586="","",SUMIFS('inventory ledger'!$H:$H,'inventory ledger'!$C:$C,C1586,'inventory ledger'!$D:$D,D1586,'inventory ledger'!$E:$E,E1586,'inventory ledger'!$A:$A,"&lt;="&amp;B1586+TIME(23,59,59))-SUMIFS('inventory ledger'!$I:$I,'inventory ledger'!$C:$C,C1586,'inventory ledger'!$D:$D,D1586,'inventory ledger'!$E:$E,E1586,'inventory ledger'!$A:$A,"&lt;="&amp;B1586+TIME(23,59,59)))</f>
        <v>70</v>
      </c>
      <c r="G1586" s="3">
        <f>IFERROR(__xludf.DUMMYFUNCTION("IF(F1586&lt;=0,0,IFERROR(ROUNDUP(F1586/INDEX(FILTER('warehouse config'!$D:$D,('warehouse config'!$B:$B=C1586)*('warehouse config'!$C:$C=D1586)*('warehouse config'!$G:$G&lt;=B1586)*(('warehouse config'!$H:$H&gt;=B1586)+ISBLANK('warehouse config'!$H:$H))),1)),0))"),3.0)</f>
        <v>3</v>
      </c>
      <c r="H1586" s="3">
        <f>IFERROR(__xludf.DUMMYFUNCTION("IFERROR(INDEX(FILTER('cost master'!$E:$E,('cost master'!$B:$B=C1586)*('cost master'!$D:$D=""Storage cost per pallet / week"")*('cost master'!$G:$G&lt;=B1586)*(('cost master'!$H:$H&gt;=B1586)+ISBLANK('cost master'!$H:$H))),1),0)"),2.6)</f>
        <v>2.6</v>
      </c>
      <c r="I1586" s="3">
        <f t="shared" si="4"/>
        <v>7.8</v>
      </c>
      <c r="J1586" s="27">
        <f t="shared" si="5"/>
        <v>45977</v>
      </c>
      <c r="K1586" s="27">
        <f t="shared" si="6"/>
        <v>46006</v>
      </c>
    </row>
    <row r="1587" hidden="1">
      <c r="A1587" s="3" t="str">
        <f t="shared" si="3"/>
        <v>SL-20251124-Vglobal-CS 009-12</v>
      </c>
      <c r="B1587" s="2">
        <f t="array" ref="B1587">INDEX(helper!$A$3:$A3996,ROUNDUP((ROW()-1)/COUNTA(helper!$D$3:$D3996),0))</f>
        <v>45985</v>
      </c>
      <c r="C1587" s="5" t="str">
        <f t="array" ref="C1587">IF(B1587="","",INDEX(helper!$D$3:$D3996,MOD(ROW()-2,COUNTA(helper!$D$3:$D3996))+1))</f>
        <v>Vglobal</v>
      </c>
      <c r="D1587" s="3" t="str">
        <f t="array" ref="D1587">IF(B1587="","",INDEX(helper!$E$3:$E3996,MOD(ROW()-2,COUNTA(helper!$D$3:$D3996))+1))</f>
        <v>CS 009</v>
      </c>
      <c r="E1587" s="3">
        <f t="array" ref="E1587">IF(B1587="","",INDEX(helper!$F$3:$F3996,MOD(ROW()-2,COUNTA(helper!$D$3:$D3996))+1))</f>
        <v>12</v>
      </c>
      <c r="F1587" s="3">
        <f>IF(B1587="","",SUMIFS('inventory ledger'!$H:$H,'inventory ledger'!$C:$C,C1587,'inventory ledger'!$D:$D,D1587,'inventory ledger'!$E:$E,E1587,'inventory ledger'!$A:$A,"&lt;="&amp;B1587+TIME(23,59,59))-SUMIFS('inventory ledger'!$I:$I,'inventory ledger'!$C:$C,C1587,'inventory ledger'!$D:$D,D1587,'inventory ledger'!$E:$E,E1587,'inventory ledger'!$A:$A,"&lt;="&amp;B1587+TIME(23,59,59)))</f>
        <v>0</v>
      </c>
      <c r="G1587" s="3">
        <f>IFERROR(__xludf.DUMMYFUNCTION("IF(F1587&lt;=0,0,IFERROR(ROUNDUP(F1587/INDEX(FILTER('warehouse config'!$D:$D,('warehouse config'!$B:$B=C1587)*('warehouse config'!$C:$C=D1587)*('warehouse config'!$G:$G&lt;=B1587)*(('warehouse config'!$H:$H&gt;=B1587)+ISBLANK('warehouse config'!$H:$H))),1)),0))"),0.0)</f>
        <v>0</v>
      </c>
      <c r="H1587" s="3">
        <f>IFERROR(__xludf.DUMMYFUNCTION("IFERROR(INDEX(FILTER('cost master'!$E:$E,('cost master'!$B:$B=C1587)*('cost master'!$D:$D=""Storage cost per pallet / week"")*('cost master'!$G:$G&lt;=B1587)*(('cost master'!$H:$H&gt;=B1587)+ISBLANK('cost master'!$H:$H))),1),0)"),2.6)</f>
        <v>2.6</v>
      </c>
      <c r="I1587" s="3">
        <f t="shared" si="4"/>
        <v>0</v>
      </c>
      <c r="J1587" s="27">
        <f t="shared" si="5"/>
        <v>45977</v>
      </c>
      <c r="K1587" s="27">
        <f t="shared" si="6"/>
        <v>46006</v>
      </c>
    </row>
    <row r="1588" hidden="1">
      <c r="A1588" s="3" t="str">
        <f t="shared" si="3"/>
        <v>SL-20251124-Vglobal-CS 012-12</v>
      </c>
      <c r="B1588" s="2">
        <f t="array" ref="B1588">INDEX(helper!$A$3:$A3996,ROUNDUP((ROW()-1)/COUNTA(helper!$D$3:$D3996),0))</f>
        <v>45985</v>
      </c>
      <c r="C1588" s="5" t="str">
        <f t="array" ref="C1588">IF(B1588="","",INDEX(helper!$D$3:$D3996,MOD(ROW()-2,COUNTA(helper!$D$3:$D3996))+1))</f>
        <v>Vglobal</v>
      </c>
      <c r="D1588" s="3" t="str">
        <f t="array" ref="D1588">IF(B1588="","",INDEX(helper!$E$3:$E3996,MOD(ROW()-2,COUNTA(helper!$D$3:$D3996))+1))</f>
        <v>CS 012</v>
      </c>
      <c r="E1588" s="3">
        <f t="array" ref="E1588">IF(B1588="","",INDEX(helper!$F$3:$F3996,MOD(ROW()-2,COUNTA(helper!$D$3:$D3996))+1))</f>
        <v>12</v>
      </c>
      <c r="F1588" s="3">
        <f>IF(B1588="","",SUMIFS('inventory ledger'!$H:$H,'inventory ledger'!$C:$C,C1588,'inventory ledger'!$D:$D,D1588,'inventory ledger'!$E:$E,E1588,'inventory ledger'!$A:$A,"&lt;="&amp;B1588+TIME(23,59,59))-SUMIFS('inventory ledger'!$I:$I,'inventory ledger'!$C:$C,C1588,'inventory ledger'!$D:$D,D1588,'inventory ledger'!$E:$E,E1588,'inventory ledger'!$A:$A,"&lt;="&amp;B1588+TIME(23,59,59)))</f>
        <v>0</v>
      </c>
      <c r="G1588" s="3">
        <f>IFERROR(__xludf.DUMMYFUNCTION("IF(F1588&lt;=0,0,IFERROR(ROUNDUP(F1588/INDEX(FILTER('warehouse config'!$D:$D,('warehouse config'!$B:$B=C1588)*('warehouse config'!$C:$C=D1588)*('warehouse config'!$G:$G&lt;=B1588)*(('warehouse config'!$H:$H&gt;=B1588)+ISBLANK('warehouse config'!$H:$H))),1)),0))"),0.0)</f>
        <v>0</v>
      </c>
      <c r="H1588" s="3">
        <f>IFERROR(__xludf.DUMMYFUNCTION("IFERROR(INDEX(FILTER('cost master'!$E:$E,('cost master'!$B:$B=C1588)*('cost master'!$D:$D=""Storage cost per pallet / week"")*('cost master'!$G:$G&lt;=B1588)*(('cost master'!$H:$H&gt;=B1588)+ISBLANK('cost master'!$H:$H))),1),0)"),2.6)</f>
        <v>2.6</v>
      </c>
      <c r="I1588" s="3">
        <f t="shared" si="4"/>
        <v>0</v>
      </c>
      <c r="J1588" s="27">
        <f t="shared" si="5"/>
        <v>45977</v>
      </c>
      <c r="K1588" s="27">
        <f t="shared" si="6"/>
        <v>46006</v>
      </c>
    </row>
    <row r="1589" hidden="1">
      <c r="A1589" s="3" t="str">
        <f t="shared" si="3"/>
        <v>SL-20251124-Vglobal-CS-CDS-001-3</v>
      </c>
      <c r="B1589" s="2">
        <f t="array" ref="B1589">INDEX(helper!$A$3:$A3996,ROUNDUP((ROW()-1)/COUNTA(helper!$D$3:$D3996),0))</f>
        <v>45985</v>
      </c>
      <c r="C1589" s="5" t="str">
        <f t="array" ref="C1589">IF(B1589="","",INDEX(helper!$D$3:$D3996,MOD(ROW()-2,COUNTA(helper!$D$3:$D3996))+1))</f>
        <v>Vglobal</v>
      </c>
      <c r="D1589" s="3" t="str">
        <f t="array" ref="D1589">IF(B1589="","",INDEX(helper!$E$3:$E3996,MOD(ROW()-2,COUNTA(helper!$D$3:$D3996))+1))</f>
        <v>CS-CDS-001</v>
      </c>
      <c r="E1589" s="3">
        <f t="array" ref="E1589">IF(B1589="","",INDEX(helper!$F$3:$F3996,MOD(ROW()-2,COUNTA(helper!$D$3:$D3996))+1))</f>
        <v>3</v>
      </c>
      <c r="F1589" s="3">
        <f>IF(B1589="","",SUMIFS('inventory ledger'!$H:$H,'inventory ledger'!$C:$C,C1589,'inventory ledger'!$D:$D,D1589,'inventory ledger'!$E:$E,E1589,'inventory ledger'!$A:$A,"&lt;="&amp;B1589+TIME(23,59,59))-SUMIFS('inventory ledger'!$I:$I,'inventory ledger'!$C:$C,C1589,'inventory ledger'!$D:$D,D1589,'inventory ledger'!$E:$E,E1589,'inventory ledger'!$A:$A,"&lt;="&amp;B1589+TIME(23,59,59)))</f>
        <v>1</v>
      </c>
      <c r="G1589" s="3">
        <f>IFERROR(__xludf.DUMMYFUNCTION("IF(F1589&lt;=0,0,IFERROR(ROUNDUP(F1589/INDEX(FILTER('warehouse config'!$D:$D,('warehouse config'!$B:$B=C1589)*('warehouse config'!$C:$C=D1589)*('warehouse config'!$G:$G&lt;=B1589)*(('warehouse config'!$H:$H&gt;=B1589)+ISBLANK('warehouse config'!$H:$H))),1)),0))"),1.0)</f>
        <v>1</v>
      </c>
      <c r="H1589" s="3">
        <f>IFERROR(__xludf.DUMMYFUNCTION("IFERROR(INDEX(FILTER('cost master'!$E:$E,('cost master'!$B:$B=C1589)*('cost master'!$D:$D=""Storage cost per pallet / week"")*('cost master'!$G:$G&lt;=B1589)*(('cost master'!$H:$H&gt;=B1589)+ISBLANK('cost master'!$H:$H))),1),0)"),2.6)</f>
        <v>2.6</v>
      </c>
      <c r="I1589" s="3">
        <f t="shared" si="4"/>
        <v>2.6</v>
      </c>
      <c r="J1589" s="27">
        <f t="shared" si="5"/>
        <v>45977</v>
      </c>
      <c r="K1589" s="27">
        <f t="shared" si="6"/>
        <v>46006</v>
      </c>
    </row>
    <row r="1590" hidden="1">
      <c r="A1590" s="3" t="str">
        <f t="shared" si="3"/>
        <v>SL-20251124-Vglobal-CS-CDS-002-3</v>
      </c>
      <c r="B1590" s="2">
        <f t="array" ref="B1590">INDEX(helper!$A$3:$A3996,ROUNDUP((ROW()-1)/COUNTA(helper!$D$3:$D3996),0))</f>
        <v>45985</v>
      </c>
      <c r="C1590" s="5" t="str">
        <f t="array" ref="C1590">IF(B1590="","",INDEX(helper!$D$3:$D3996,MOD(ROW()-2,COUNTA(helper!$D$3:$D3996))+1))</f>
        <v>Vglobal</v>
      </c>
      <c r="D1590" s="3" t="str">
        <f t="array" ref="D1590">IF(B1590="","",INDEX(helper!$E$3:$E3996,MOD(ROW()-2,COUNTA(helper!$D$3:$D3996))+1))</f>
        <v>CS-CDS-002</v>
      </c>
      <c r="E1590" s="3">
        <f t="array" ref="E1590">IF(B1590="","",INDEX(helper!$F$3:$F3996,MOD(ROW()-2,COUNTA(helper!$D$3:$D3996))+1))</f>
        <v>3</v>
      </c>
      <c r="F1590" s="3">
        <f>IF(B1590="","",SUMIFS('inventory ledger'!$H:$H,'inventory ledger'!$C:$C,C1590,'inventory ledger'!$D:$D,D1590,'inventory ledger'!$E:$E,E1590,'inventory ledger'!$A:$A,"&lt;="&amp;B1590+TIME(23,59,59))-SUMIFS('inventory ledger'!$I:$I,'inventory ledger'!$C:$C,C1590,'inventory ledger'!$D:$D,D1590,'inventory ledger'!$E:$E,E1590,'inventory ledger'!$A:$A,"&lt;="&amp;B1590+TIME(23,59,59)))</f>
        <v>0</v>
      </c>
      <c r="G1590" s="3">
        <f>IFERROR(__xludf.DUMMYFUNCTION("IF(F1590&lt;=0,0,IFERROR(ROUNDUP(F1590/INDEX(FILTER('warehouse config'!$D:$D,('warehouse config'!$B:$B=C1590)*('warehouse config'!$C:$C=D1590)*('warehouse config'!$G:$G&lt;=B1590)*(('warehouse config'!$H:$H&gt;=B1590)+ISBLANK('warehouse config'!$H:$H))),1)),0))"),0.0)</f>
        <v>0</v>
      </c>
      <c r="H1590" s="3">
        <f>IFERROR(__xludf.DUMMYFUNCTION("IFERROR(INDEX(FILTER('cost master'!$E:$E,('cost master'!$B:$B=C1590)*('cost master'!$D:$D=""Storage cost per pallet / week"")*('cost master'!$G:$G&lt;=B1590)*(('cost master'!$H:$H&gt;=B1590)+ISBLANK('cost master'!$H:$H))),1),0)"),2.6)</f>
        <v>2.6</v>
      </c>
      <c r="I1590" s="3">
        <f t="shared" si="4"/>
        <v>0</v>
      </c>
      <c r="J1590" s="27">
        <f t="shared" si="5"/>
        <v>45977</v>
      </c>
      <c r="K1590" s="27">
        <f t="shared" si="6"/>
        <v>46006</v>
      </c>
    </row>
    <row r="1591" hidden="1">
      <c r="A1591" s="3" t="str">
        <f t="shared" si="3"/>
        <v>SL-20251124-4as-CS-CDS-001-4</v>
      </c>
      <c r="B1591" s="2">
        <f t="array" ref="B1591">INDEX(helper!$A$3:$A3996,ROUNDUP((ROW()-1)/COUNTA(helper!$D$3:$D3996),0))</f>
        <v>45985</v>
      </c>
      <c r="C1591" s="5" t="str">
        <f t="array" ref="C1591">IF(B1591="","",INDEX(helper!$D$3:$D3996,MOD(ROW()-2,COUNTA(helper!$D$3:$D3996))+1))</f>
        <v>4as</v>
      </c>
      <c r="D1591" s="3" t="str">
        <f t="array" ref="D1591">IF(B1591="","",INDEX(helper!$E$3:$E3996,MOD(ROW()-2,COUNTA(helper!$D$3:$D3996))+1))</f>
        <v>CS-CDS-001</v>
      </c>
      <c r="E1591" s="3">
        <f t="array" ref="E1591">IF(B1591="","",INDEX(helper!$F$3:$F3996,MOD(ROW()-2,COUNTA(helper!$D$3:$D3996))+1))</f>
        <v>4</v>
      </c>
      <c r="F1591" s="3">
        <f>IF(B1591="","",SUMIFS('inventory ledger'!$H:$H,'inventory ledger'!$C:$C,C1591,'inventory ledger'!$D:$D,D1591,'inventory ledger'!$E:$E,E1591,'inventory ledger'!$A:$A,"&lt;="&amp;B1591+TIME(23,59,59))-SUMIFS('inventory ledger'!$I:$I,'inventory ledger'!$C:$C,C1591,'inventory ledger'!$D:$D,D1591,'inventory ledger'!$E:$E,E1591,'inventory ledger'!$A:$A,"&lt;="&amp;B1591+TIME(23,59,59)))</f>
        <v>0</v>
      </c>
      <c r="G1591" s="3">
        <f>IFERROR(__xludf.DUMMYFUNCTION("IF(F1591&lt;=0,0,IFERROR(ROUNDUP(F1591/INDEX(FILTER('warehouse config'!$D:$D,('warehouse config'!$B:$B=C1591)*('warehouse config'!$C:$C=D1591)*('warehouse config'!$G:$G&lt;=B1591)*(('warehouse config'!$H:$H&gt;=B1591)+ISBLANK('warehouse config'!$H:$H))),1)),0))"),0.0)</f>
        <v>0</v>
      </c>
      <c r="H1591" s="3">
        <f>IFERROR(__xludf.DUMMYFUNCTION("IFERROR(INDEX(FILTER('cost master'!$E:$E,('cost master'!$B:$B=C1591)*('cost master'!$D:$D=""Storage cost per pallet / week"")*('cost master'!$G:$G&lt;=B1591)*(('cost master'!$H:$H&gt;=B1591)+ISBLANK('cost master'!$H:$H))),1),0)"),9.0)</f>
        <v>9</v>
      </c>
      <c r="I1591" s="3">
        <f t="shared" si="4"/>
        <v>0</v>
      </c>
      <c r="J1591" s="27">
        <f t="shared" si="5"/>
        <v>45977</v>
      </c>
      <c r="K1591" s="27">
        <f t="shared" si="6"/>
        <v>46006</v>
      </c>
    </row>
    <row r="1592" hidden="1">
      <c r="A1592" s="3" t="str">
        <f t="shared" si="3"/>
        <v>SL-20251124-4as-CS-CDS-002-4</v>
      </c>
      <c r="B1592" s="2">
        <f t="array" ref="B1592">INDEX(helper!$A$3:$A3996,ROUNDUP((ROW()-1)/COUNTA(helper!$D$3:$D3996),0))</f>
        <v>45985</v>
      </c>
      <c r="C1592" s="5" t="str">
        <f t="array" ref="C1592">IF(B1592="","",INDEX(helper!$D$3:$D3996,MOD(ROW()-2,COUNTA(helper!$D$3:$D3996))+1))</f>
        <v>4as</v>
      </c>
      <c r="D1592" s="3" t="str">
        <f t="array" ref="D1592">IF(B1592="","",INDEX(helper!$E$3:$E3996,MOD(ROW()-2,COUNTA(helper!$D$3:$D3996))+1))</f>
        <v>CS-CDS-002</v>
      </c>
      <c r="E1592" s="3">
        <f t="array" ref="E1592">IF(B1592="","",INDEX(helper!$F$3:$F3996,MOD(ROW()-2,COUNTA(helper!$D$3:$D3996))+1))</f>
        <v>4</v>
      </c>
      <c r="F1592" s="3">
        <f>IF(B1592="","",SUMIFS('inventory ledger'!$H:$H,'inventory ledger'!$C:$C,C1592,'inventory ledger'!$D:$D,D1592,'inventory ledger'!$E:$E,E1592,'inventory ledger'!$A:$A,"&lt;="&amp;B1592+TIME(23,59,59))-SUMIFS('inventory ledger'!$I:$I,'inventory ledger'!$C:$C,C1592,'inventory ledger'!$D:$D,D1592,'inventory ledger'!$E:$E,E1592,'inventory ledger'!$A:$A,"&lt;="&amp;B1592+TIME(23,59,59)))</f>
        <v>0</v>
      </c>
      <c r="G1592" s="3">
        <f>IFERROR(__xludf.DUMMYFUNCTION("IF(F1592&lt;=0,0,IFERROR(ROUNDUP(F1592/INDEX(FILTER('warehouse config'!$D:$D,('warehouse config'!$B:$B=C1592)*('warehouse config'!$C:$C=D1592)*('warehouse config'!$G:$G&lt;=B1592)*(('warehouse config'!$H:$H&gt;=B1592)+ISBLANK('warehouse config'!$H:$H))),1)),0))"),0.0)</f>
        <v>0</v>
      </c>
      <c r="H1592" s="3">
        <f>IFERROR(__xludf.DUMMYFUNCTION("IFERROR(INDEX(FILTER('cost master'!$E:$E,('cost master'!$B:$B=C1592)*('cost master'!$D:$D=""Storage cost per pallet / week"")*('cost master'!$G:$G&lt;=B1592)*(('cost master'!$H:$H&gt;=B1592)+ISBLANK('cost master'!$H:$H))),1),0)"),9.0)</f>
        <v>9</v>
      </c>
      <c r="I1592" s="3">
        <f t="shared" si="4"/>
        <v>0</v>
      </c>
      <c r="J1592" s="27">
        <f t="shared" si="5"/>
        <v>45977</v>
      </c>
      <c r="K1592" s="27">
        <f t="shared" si="6"/>
        <v>46006</v>
      </c>
    </row>
    <row r="1593" hidden="1">
      <c r="A1593" s="3" t="str">
        <f t="shared" si="3"/>
        <v>SL-20251124-Vglobal-CS 007-13</v>
      </c>
      <c r="B1593" s="2">
        <f t="array" ref="B1593">INDEX(helper!$A$3:$A3996,ROUNDUP((ROW()-1)/COUNTA(helper!$D$3:$D3996),0))</f>
        <v>45985</v>
      </c>
      <c r="C1593" s="5" t="str">
        <f t="array" ref="C1593">IF(B1593="","",INDEX(helper!$D$3:$D3996,MOD(ROW()-2,COUNTA(helper!$D$3:$D3996))+1))</f>
        <v>Vglobal</v>
      </c>
      <c r="D1593" s="3" t="str">
        <f t="array" ref="D1593">IF(B1593="","",INDEX(helper!$E$3:$E3996,MOD(ROW()-2,COUNTA(helper!$D$3:$D3996))+1))</f>
        <v>CS 007</v>
      </c>
      <c r="E1593" s="3">
        <f t="array" ref="E1593">IF(B1593="","",INDEX(helper!$F$3:$F3996,MOD(ROW()-2,COUNTA(helper!$D$3:$D3996))+1))</f>
        <v>13</v>
      </c>
      <c r="F1593" s="3">
        <f>IF(B1593="","",SUMIFS('inventory ledger'!$H:$H,'inventory ledger'!$C:$C,C1593,'inventory ledger'!$D:$D,D1593,'inventory ledger'!$E:$E,E1593,'inventory ledger'!$A:$A,"&lt;="&amp;B1593+TIME(23,59,59))-SUMIFS('inventory ledger'!$I:$I,'inventory ledger'!$C:$C,C1593,'inventory ledger'!$D:$D,D1593,'inventory ledger'!$E:$E,E1593,'inventory ledger'!$A:$A,"&lt;="&amp;B1593+TIME(23,59,59)))</f>
        <v>45</v>
      </c>
      <c r="G1593" s="3">
        <f>IFERROR(__xludf.DUMMYFUNCTION("IF(F1593&lt;=0,0,IFERROR(ROUNDUP(F1593/INDEX(FILTER('warehouse config'!$D:$D,('warehouse config'!$B:$B=C1593)*('warehouse config'!$C:$C=D1593)*('warehouse config'!$G:$G&lt;=B1593)*(('warehouse config'!$H:$H&gt;=B1593)+ISBLANK('warehouse config'!$H:$H))),1)),0))"),3.0)</f>
        <v>3</v>
      </c>
      <c r="H1593" s="3">
        <f>IFERROR(__xludf.DUMMYFUNCTION("IFERROR(INDEX(FILTER('cost master'!$E:$E,('cost master'!$B:$B=C1593)*('cost master'!$D:$D=""Storage cost per pallet / week"")*('cost master'!$G:$G&lt;=B1593)*(('cost master'!$H:$H&gt;=B1593)+ISBLANK('cost master'!$H:$H))),1),0)"),2.6)</f>
        <v>2.6</v>
      </c>
      <c r="I1593" s="3">
        <f t="shared" si="4"/>
        <v>7.8</v>
      </c>
      <c r="J1593" s="27">
        <f t="shared" si="5"/>
        <v>45977</v>
      </c>
      <c r="K1593" s="27">
        <f t="shared" si="6"/>
        <v>46006</v>
      </c>
    </row>
    <row r="1594" hidden="1">
      <c r="A1594" s="3" t="str">
        <f t="shared" si="3"/>
        <v>SL-20251124-Vglobal-CS 011-13</v>
      </c>
      <c r="B1594" s="2">
        <f t="array" ref="B1594">INDEX(helper!$A$3:$A3996,ROUNDUP((ROW()-1)/COUNTA(helper!$D$3:$D3996),0))</f>
        <v>45985</v>
      </c>
      <c r="C1594" s="5" t="str">
        <f t="array" ref="C1594">IF(B1594="","",INDEX(helper!$D$3:$D3996,MOD(ROW()-2,COUNTA(helper!$D$3:$D3996))+1))</f>
        <v>Vglobal</v>
      </c>
      <c r="D1594" s="3" t="str">
        <f t="array" ref="D1594">IF(B1594="","",INDEX(helper!$E$3:$E3996,MOD(ROW()-2,COUNTA(helper!$D$3:$D3996))+1))</f>
        <v>CS 011</v>
      </c>
      <c r="E1594" s="3">
        <f t="array" ref="E1594">IF(B1594="","",INDEX(helper!$F$3:$F3996,MOD(ROW()-2,COUNTA(helper!$D$3:$D3996))+1))</f>
        <v>13</v>
      </c>
      <c r="F1594" s="3">
        <f>IF(B1594="","",SUMIFS('inventory ledger'!$H:$H,'inventory ledger'!$C:$C,C1594,'inventory ledger'!$D:$D,D1594,'inventory ledger'!$E:$E,E1594,'inventory ledger'!$A:$A,"&lt;="&amp;B1594+TIME(23,59,59))-SUMIFS('inventory ledger'!$I:$I,'inventory ledger'!$C:$C,C1594,'inventory ledger'!$D:$D,D1594,'inventory ledger'!$E:$E,E1594,'inventory ledger'!$A:$A,"&lt;="&amp;B1594+TIME(23,59,59)))</f>
        <v>0</v>
      </c>
      <c r="G1594" s="3">
        <f>IFERROR(__xludf.DUMMYFUNCTION("IF(F1594&lt;=0,0,IFERROR(ROUNDUP(F1594/INDEX(FILTER('warehouse config'!$D:$D,('warehouse config'!$B:$B=C1594)*('warehouse config'!$C:$C=D1594)*('warehouse config'!$G:$G&lt;=B1594)*(('warehouse config'!$H:$H&gt;=B1594)+ISBLANK('warehouse config'!$H:$H))),1)),0))"),0.0)</f>
        <v>0</v>
      </c>
      <c r="H1594" s="3">
        <f>IFERROR(__xludf.DUMMYFUNCTION("IFERROR(INDEX(FILTER('cost master'!$E:$E,('cost master'!$B:$B=C1594)*('cost master'!$D:$D=""Storage cost per pallet / week"")*('cost master'!$G:$G&lt;=B1594)*(('cost master'!$H:$H&gt;=B1594)+ISBLANK('cost master'!$H:$H))),1),0)"),2.6)</f>
        <v>2.6</v>
      </c>
      <c r="I1594" s="3">
        <f t="shared" si="4"/>
        <v>0</v>
      </c>
      <c r="J1594" s="27">
        <f t="shared" si="5"/>
        <v>45977</v>
      </c>
      <c r="K1594" s="27">
        <f t="shared" si="6"/>
        <v>46006</v>
      </c>
    </row>
    <row r="1595" hidden="1">
      <c r="A1595" s="3" t="str">
        <f t="shared" si="3"/>
        <v>SL-20251124-Vglobal-CS 008-13</v>
      </c>
      <c r="B1595" s="2">
        <f t="array" ref="B1595">INDEX(helper!$A$3:$A3996,ROUNDUP((ROW()-1)/COUNTA(helper!$D$3:$D3996),0))</f>
        <v>45985</v>
      </c>
      <c r="C1595" s="5" t="str">
        <f t="array" ref="C1595">IF(B1595="","",INDEX(helper!$D$3:$D3996,MOD(ROW()-2,COUNTA(helper!$D$3:$D3996))+1))</f>
        <v>Vglobal</v>
      </c>
      <c r="D1595" s="3" t="str">
        <f t="array" ref="D1595">IF(B1595="","",INDEX(helper!$E$3:$E3996,MOD(ROW()-2,COUNTA(helper!$D$3:$D3996))+1))</f>
        <v>CS 008</v>
      </c>
      <c r="E1595" s="3">
        <f t="array" ref="E1595">IF(B1595="","",INDEX(helper!$F$3:$F3996,MOD(ROW()-2,COUNTA(helper!$D$3:$D3996))+1))</f>
        <v>13</v>
      </c>
      <c r="F1595" s="3">
        <f>IF(B1595="","",SUMIFS('inventory ledger'!$H:$H,'inventory ledger'!$C:$C,C1595,'inventory ledger'!$D:$D,D1595,'inventory ledger'!$E:$E,E1595,'inventory ledger'!$A:$A,"&lt;="&amp;B1595+TIME(23,59,59))-SUMIFS('inventory ledger'!$I:$I,'inventory ledger'!$C:$C,C1595,'inventory ledger'!$D:$D,D1595,'inventory ledger'!$E:$E,E1595,'inventory ledger'!$A:$A,"&lt;="&amp;B1595+TIME(23,59,59)))</f>
        <v>20</v>
      </c>
      <c r="G1595" s="3">
        <f>IFERROR(__xludf.DUMMYFUNCTION("IF(F1595&lt;=0,0,IFERROR(ROUNDUP(F1595/INDEX(FILTER('warehouse config'!$D:$D,('warehouse config'!$B:$B=C1595)*('warehouse config'!$C:$C=D1595)*('warehouse config'!$G:$G&lt;=B1595)*(('warehouse config'!$H:$H&gt;=B1595)+ISBLANK('warehouse config'!$H:$H))),1)),0))"),1.0)</f>
        <v>1</v>
      </c>
      <c r="H1595" s="3">
        <f>IFERROR(__xludf.DUMMYFUNCTION("IFERROR(INDEX(FILTER('cost master'!$E:$E,('cost master'!$B:$B=C1595)*('cost master'!$D:$D=""Storage cost per pallet / week"")*('cost master'!$G:$G&lt;=B1595)*(('cost master'!$H:$H&gt;=B1595)+ISBLANK('cost master'!$H:$H))),1),0)"),2.6)</f>
        <v>2.6</v>
      </c>
      <c r="I1595" s="3">
        <f t="shared" si="4"/>
        <v>2.6</v>
      </c>
      <c r="J1595" s="27">
        <f t="shared" si="5"/>
        <v>45977</v>
      </c>
      <c r="K1595" s="27">
        <f t="shared" si="6"/>
        <v>46006</v>
      </c>
    </row>
    <row r="1596" hidden="1">
      <c r="A1596" s="3" t="str">
        <f t="shared" si="3"/>
        <v>SL-20251124-Vglobal-CS 010-13</v>
      </c>
      <c r="B1596" s="2">
        <f t="array" ref="B1596">INDEX(helper!$A$3:$A3996,ROUNDUP((ROW()-1)/COUNTA(helper!$D$3:$D3996),0))</f>
        <v>45985</v>
      </c>
      <c r="C1596" s="5" t="str">
        <f t="array" ref="C1596">IF(B1596="","",INDEX(helper!$D$3:$D3996,MOD(ROW()-2,COUNTA(helper!$D$3:$D3996))+1))</f>
        <v>Vglobal</v>
      </c>
      <c r="D1596" s="3" t="str">
        <f t="array" ref="D1596">IF(B1596="","",INDEX(helper!$E$3:$E3996,MOD(ROW()-2,COUNTA(helper!$D$3:$D3996))+1))</f>
        <v>CS 010</v>
      </c>
      <c r="E1596" s="3">
        <f t="array" ref="E1596">IF(B1596="","",INDEX(helper!$F$3:$F3996,MOD(ROW()-2,COUNTA(helper!$D$3:$D3996))+1))</f>
        <v>13</v>
      </c>
      <c r="F1596" s="3">
        <f>IF(B1596="","",SUMIFS('inventory ledger'!$H:$H,'inventory ledger'!$C:$C,C1596,'inventory ledger'!$D:$D,D1596,'inventory ledger'!$E:$E,E1596,'inventory ledger'!$A:$A,"&lt;="&amp;B1596+TIME(23,59,59))-SUMIFS('inventory ledger'!$I:$I,'inventory ledger'!$C:$C,C1596,'inventory ledger'!$D:$D,D1596,'inventory ledger'!$E:$E,E1596,'inventory ledger'!$A:$A,"&lt;="&amp;B1596+TIME(23,59,59)))</f>
        <v>80</v>
      </c>
      <c r="G1596" s="3">
        <f>IFERROR(__xludf.DUMMYFUNCTION("IF(F1596&lt;=0,0,IFERROR(ROUNDUP(F1596/INDEX(FILTER('warehouse config'!$D:$D,('warehouse config'!$B:$B=C1596)*('warehouse config'!$C:$C=D1596)*('warehouse config'!$G:$G&lt;=B1596)*(('warehouse config'!$H:$H&gt;=B1596)+ISBLANK('warehouse config'!$H:$H))),1)),0))"),4.0)</f>
        <v>4</v>
      </c>
      <c r="H1596" s="3">
        <f>IFERROR(__xludf.DUMMYFUNCTION("IFERROR(INDEX(FILTER('cost master'!$E:$E,('cost master'!$B:$B=C1596)*('cost master'!$D:$D=""Storage cost per pallet / week"")*('cost master'!$G:$G&lt;=B1596)*(('cost master'!$H:$H&gt;=B1596)+ISBLANK('cost master'!$H:$H))),1),0)"),2.6)</f>
        <v>2.6</v>
      </c>
      <c r="I1596" s="3">
        <f t="shared" si="4"/>
        <v>10.4</v>
      </c>
      <c r="J1596" s="27">
        <f t="shared" si="5"/>
        <v>45977</v>
      </c>
      <c r="K1596" s="27">
        <f t="shared" si="6"/>
        <v>46006</v>
      </c>
    </row>
    <row r="1597" hidden="1">
      <c r="A1597" s="3" t="str">
        <f t="shared" si="3"/>
        <v>SL-20251124-Vglobal-CS 009-13</v>
      </c>
      <c r="B1597" s="2">
        <f t="array" ref="B1597">INDEX(helper!$A$3:$A3996,ROUNDUP((ROW()-1)/COUNTA(helper!$D$3:$D3996),0))</f>
        <v>45985</v>
      </c>
      <c r="C1597" s="5" t="str">
        <f t="array" ref="C1597">IF(B1597="","",INDEX(helper!$D$3:$D3996,MOD(ROW()-2,COUNTA(helper!$D$3:$D3996))+1))</f>
        <v>Vglobal</v>
      </c>
      <c r="D1597" s="3" t="str">
        <f t="array" ref="D1597">IF(B1597="","",INDEX(helper!$E$3:$E3996,MOD(ROW()-2,COUNTA(helper!$D$3:$D3996))+1))</f>
        <v>CS 009</v>
      </c>
      <c r="E1597" s="3">
        <f t="array" ref="E1597">IF(B1597="","",INDEX(helper!$F$3:$F3996,MOD(ROW()-2,COUNTA(helper!$D$3:$D3996))+1))</f>
        <v>13</v>
      </c>
      <c r="F1597" s="3">
        <f>IF(B1597="","",SUMIFS('inventory ledger'!$H:$H,'inventory ledger'!$C:$C,C1597,'inventory ledger'!$D:$D,D1597,'inventory ledger'!$E:$E,E1597,'inventory ledger'!$A:$A,"&lt;="&amp;B1597+TIME(23,59,59))-SUMIFS('inventory ledger'!$I:$I,'inventory ledger'!$C:$C,C1597,'inventory ledger'!$D:$D,D1597,'inventory ledger'!$E:$E,E1597,'inventory ledger'!$A:$A,"&lt;="&amp;B1597+TIME(23,59,59)))</f>
        <v>0</v>
      </c>
      <c r="G1597" s="3">
        <f>IFERROR(__xludf.DUMMYFUNCTION("IF(F1597&lt;=0,0,IFERROR(ROUNDUP(F1597/INDEX(FILTER('warehouse config'!$D:$D,('warehouse config'!$B:$B=C1597)*('warehouse config'!$C:$C=D1597)*('warehouse config'!$G:$G&lt;=B1597)*(('warehouse config'!$H:$H&gt;=B1597)+ISBLANK('warehouse config'!$H:$H))),1)),0))"),0.0)</f>
        <v>0</v>
      </c>
      <c r="H1597" s="3">
        <f>IFERROR(__xludf.DUMMYFUNCTION("IFERROR(INDEX(FILTER('cost master'!$E:$E,('cost master'!$B:$B=C1597)*('cost master'!$D:$D=""Storage cost per pallet / week"")*('cost master'!$G:$G&lt;=B1597)*(('cost master'!$H:$H&gt;=B1597)+ISBLANK('cost master'!$H:$H))),1),0)"),2.6)</f>
        <v>2.6</v>
      </c>
      <c r="I1597" s="3">
        <f t="shared" si="4"/>
        <v>0</v>
      </c>
      <c r="J1597" s="27">
        <f t="shared" si="5"/>
        <v>45977</v>
      </c>
      <c r="K1597" s="27">
        <f t="shared" si="6"/>
        <v>46006</v>
      </c>
    </row>
    <row r="1598" hidden="1">
      <c r="A1598" s="3" t="str">
        <f t="shared" si="3"/>
        <v>SL-20251124-Vglobal-CS 012-13</v>
      </c>
      <c r="B1598" s="2">
        <f t="array" ref="B1598">INDEX(helper!$A$3:$A3996,ROUNDUP((ROW()-1)/COUNTA(helper!$D$3:$D3996),0))</f>
        <v>45985</v>
      </c>
      <c r="C1598" s="5" t="str">
        <f t="array" ref="C1598">IF(B1598="","",INDEX(helper!$D$3:$D3996,MOD(ROW()-2,COUNTA(helper!$D$3:$D3996))+1))</f>
        <v>Vglobal</v>
      </c>
      <c r="D1598" s="3" t="str">
        <f t="array" ref="D1598">IF(B1598="","",INDEX(helper!$E$3:$E3996,MOD(ROW()-2,COUNTA(helper!$D$3:$D3996))+1))</f>
        <v>CS 012</v>
      </c>
      <c r="E1598" s="3">
        <f t="array" ref="E1598">IF(B1598="","",INDEX(helper!$F$3:$F3996,MOD(ROW()-2,COUNTA(helper!$D$3:$D3996))+1))</f>
        <v>13</v>
      </c>
      <c r="F1598" s="3">
        <f>IF(B1598="","",SUMIFS('inventory ledger'!$H:$H,'inventory ledger'!$C:$C,C1598,'inventory ledger'!$D:$D,D1598,'inventory ledger'!$E:$E,E1598,'inventory ledger'!$A:$A,"&lt;="&amp;B1598+TIME(23,59,59))-SUMIFS('inventory ledger'!$I:$I,'inventory ledger'!$C:$C,C1598,'inventory ledger'!$D:$D,D1598,'inventory ledger'!$E:$E,E1598,'inventory ledger'!$A:$A,"&lt;="&amp;B1598+TIME(23,59,59)))</f>
        <v>0</v>
      </c>
      <c r="G1598" s="3">
        <f>IFERROR(__xludf.DUMMYFUNCTION("IF(F1598&lt;=0,0,IFERROR(ROUNDUP(F1598/INDEX(FILTER('warehouse config'!$D:$D,('warehouse config'!$B:$B=C1598)*('warehouse config'!$C:$C=D1598)*('warehouse config'!$G:$G&lt;=B1598)*(('warehouse config'!$H:$H&gt;=B1598)+ISBLANK('warehouse config'!$H:$H))),1)),0))"),0.0)</f>
        <v>0</v>
      </c>
      <c r="H1598" s="3">
        <f>IFERROR(__xludf.DUMMYFUNCTION("IFERROR(INDEX(FILTER('cost master'!$E:$E,('cost master'!$B:$B=C1598)*('cost master'!$D:$D=""Storage cost per pallet / week"")*('cost master'!$G:$G&lt;=B1598)*(('cost master'!$H:$H&gt;=B1598)+ISBLANK('cost master'!$H:$H))),1),0)"),2.6)</f>
        <v>2.6</v>
      </c>
      <c r="I1598" s="3">
        <f t="shared" si="4"/>
        <v>0</v>
      </c>
      <c r="J1598" s="27">
        <f t="shared" si="5"/>
        <v>45977</v>
      </c>
      <c r="K1598" s="27">
        <f t="shared" si="6"/>
        <v>46006</v>
      </c>
    </row>
    <row r="1599">
      <c r="A1599" s="3" t="str">
        <f t="shared" si="3"/>
        <v>SL-20251124-FMC-CS 008-11</v>
      </c>
      <c r="B1599" s="2">
        <f t="array" ref="B1599">INDEX(helper!$A$3:$A3996,ROUNDUP((ROW()-1)/COUNTA(helper!$D$3:$D3996),0))</f>
        <v>45985</v>
      </c>
      <c r="C1599" s="5" t="str">
        <f t="array" ref="C1599">IF(B1599="","",INDEX(helper!$D$3:$D3996,MOD(ROW()-2,COUNTA(helper!$D$3:$D3996))+1))</f>
        <v>FMC</v>
      </c>
      <c r="D1599" s="3" t="str">
        <f t="array" ref="D1599">IF(B1599="","",INDEX(helper!$E$3:$E3996,MOD(ROW()-2,COUNTA(helper!$D$3:$D3996))+1))</f>
        <v>CS 008</v>
      </c>
      <c r="E1599" s="3">
        <f t="array" ref="E1599">IF(B1599="","",INDEX(helper!$F$3:$F3996,MOD(ROW()-2,COUNTA(helper!$D$3:$D3996))+1))</f>
        <v>11</v>
      </c>
      <c r="F1599" s="3">
        <f>IF(B1599="","",SUMIFS('inventory ledger'!$H:$H,'inventory ledger'!$C:$C,C1599,'inventory ledger'!$D:$D,D1599,'inventory ledger'!$E:$E,E1599,'inventory ledger'!$A:$A,"&lt;="&amp;B1599+TIME(23,59,59))-SUMIFS('inventory ledger'!$I:$I,'inventory ledger'!$C:$C,C1599,'inventory ledger'!$D:$D,D1599,'inventory ledger'!$E:$E,E1599,'inventory ledger'!$A:$A,"&lt;="&amp;B1599+TIME(23,59,59)))</f>
        <v>-2</v>
      </c>
      <c r="G1599" s="3">
        <f>IFERROR(__xludf.DUMMYFUNCTION("IF(F1599&lt;=0,0,IFERROR(ROUNDUP(F1599/INDEX(FILTER('warehouse config'!$D:$D,('warehouse config'!$B:$B=C1599)*('warehouse config'!$C:$C=D1599)*('warehouse config'!$G:$G&lt;=B1599)*(('warehouse config'!$H:$H&gt;=B1599)+ISBLANK('warehouse config'!$H:$H))),1)),0))"),0.0)</f>
        <v>0</v>
      </c>
      <c r="H1599" s="3">
        <f>IFERROR(__xludf.DUMMYFUNCTION("IFERROR(INDEX(FILTER('cost master'!$E:$E,('cost master'!$B:$B=C1599)*('cost master'!$D:$D=""Storage cost per pallet / week"")*('cost master'!$G:$G&lt;=B1599)*(('cost master'!$H:$H&gt;=B1599)+ISBLANK('cost master'!$H:$H))),1),0)"),3.9)</f>
        <v>3.9</v>
      </c>
      <c r="I1599" s="3">
        <f t="shared" si="4"/>
        <v>0</v>
      </c>
      <c r="J1599" s="27">
        <f t="shared" si="5"/>
        <v>45977</v>
      </c>
      <c r="K1599" s="27">
        <f t="shared" si="6"/>
        <v>46006</v>
      </c>
    </row>
    <row r="1600" hidden="1">
      <c r="A1600" s="3" t="str">
        <f t="shared" si="3"/>
        <v>SL-20251201-FMC-CS 007-8</v>
      </c>
      <c r="B1600" s="2">
        <f t="array" ref="B1600">INDEX(helper!$A$3:$A3996,ROUNDUP((ROW()-1)/COUNTA(helper!$D$3:$D3996),0))</f>
        <v>45992</v>
      </c>
      <c r="C1600" s="5" t="str">
        <f t="array" ref="C1600">IF(B1600="","",INDEX(helper!$D$3:$D3996,MOD(ROW()-2,COUNTA(helper!$D$3:$D3996))+1))</f>
        <v>FMC</v>
      </c>
      <c r="D1600" s="3" t="str">
        <f t="array" ref="D1600">IF(B1600="","",INDEX(helper!$E$3:$E3996,MOD(ROW()-2,COUNTA(helper!$D$3:$D3996))+1))</f>
        <v>CS 007</v>
      </c>
      <c r="E1600" s="3">
        <f t="array" ref="E1600">IF(B1600="","",INDEX(helper!$F$3:$F3996,MOD(ROW()-2,COUNTA(helper!$D$3:$D3996))+1))</f>
        <v>8</v>
      </c>
      <c r="F1600" s="3">
        <f>IF(B1600="","",SUMIFS('inventory ledger'!$H:$H,'inventory ledger'!$C:$C,C1600,'inventory ledger'!$D:$D,D1600,'inventory ledger'!$E:$E,E1600,'inventory ledger'!$A:$A,"&lt;="&amp;B1600+TIME(23,59,59))-SUMIFS('inventory ledger'!$I:$I,'inventory ledger'!$C:$C,C1600,'inventory ledger'!$D:$D,D1600,'inventory ledger'!$E:$E,E1600,'inventory ledger'!$A:$A,"&lt;="&amp;B1600+TIME(23,59,59)))</f>
        <v>0</v>
      </c>
      <c r="G1600" s="3">
        <f>IFERROR(__xludf.DUMMYFUNCTION("IF(F1600&lt;=0,0,IFERROR(ROUNDUP(F1600/INDEX(FILTER('warehouse config'!$D:$D,('warehouse config'!$B:$B=C1600)*('warehouse config'!$C:$C=D1600)*('warehouse config'!$G:$G&lt;=B1600)*(('warehouse config'!$H:$H&gt;=B1600)+ISBLANK('warehouse config'!$H:$H))),1)),0))"),0.0)</f>
        <v>0</v>
      </c>
      <c r="H1600" s="3">
        <f>IFERROR(__xludf.DUMMYFUNCTION("IFERROR(INDEX(FILTER('cost master'!$E:$E,('cost master'!$B:$B=C1600)*('cost master'!$D:$D=""Storage cost per pallet / week"")*('cost master'!$G:$G&lt;=B1600)*(('cost master'!$H:$H&gt;=B1600)+ISBLANK('cost master'!$H:$H))),1),0)"),3.9)</f>
        <v>3.9</v>
      </c>
      <c r="I1600" s="3">
        <f t="shared" si="4"/>
        <v>0</v>
      </c>
      <c r="J1600" s="27">
        <f t="shared" si="5"/>
        <v>45977</v>
      </c>
      <c r="K1600" s="27">
        <f t="shared" si="6"/>
        <v>46006</v>
      </c>
    </row>
    <row r="1601" hidden="1">
      <c r="A1601" s="3" t="str">
        <f t="shared" si="3"/>
        <v>SL-20251201-FMC-CS 008-8</v>
      </c>
      <c r="B1601" s="2">
        <f t="array" ref="B1601">INDEX(helper!$A$3:$A3996,ROUNDUP((ROW()-1)/COUNTA(helper!$D$3:$D3996),0))</f>
        <v>45992</v>
      </c>
      <c r="C1601" s="5" t="str">
        <f t="array" ref="C1601">IF(B1601="","",INDEX(helper!$D$3:$D3996,MOD(ROW()-2,COUNTA(helper!$D$3:$D3996))+1))</f>
        <v>FMC</v>
      </c>
      <c r="D1601" s="3" t="str">
        <f t="array" ref="D1601">IF(B1601="","",INDEX(helper!$E$3:$E3996,MOD(ROW()-2,COUNTA(helper!$D$3:$D3996))+1))</f>
        <v>CS 008</v>
      </c>
      <c r="E1601" s="3">
        <f t="array" ref="E1601">IF(B1601="","",INDEX(helper!$F$3:$F3996,MOD(ROW()-2,COUNTA(helper!$D$3:$D3996))+1))</f>
        <v>8</v>
      </c>
      <c r="F1601" s="3">
        <f>IF(B1601="","",SUMIFS('inventory ledger'!$H:$H,'inventory ledger'!$C:$C,C1601,'inventory ledger'!$D:$D,D1601,'inventory ledger'!$E:$E,E1601,'inventory ledger'!$A:$A,"&lt;="&amp;B1601+TIME(23,59,59))-SUMIFS('inventory ledger'!$I:$I,'inventory ledger'!$C:$C,C1601,'inventory ledger'!$D:$D,D1601,'inventory ledger'!$E:$E,E1601,'inventory ledger'!$A:$A,"&lt;="&amp;B1601+TIME(23,59,59)))</f>
        <v>0</v>
      </c>
      <c r="G1601" s="3">
        <f>IFERROR(__xludf.DUMMYFUNCTION("IF(F1601&lt;=0,0,IFERROR(ROUNDUP(F1601/INDEX(FILTER('warehouse config'!$D:$D,('warehouse config'!$B:$B=C1601)*('warehouse config'!$C:$C=D1601)*('warehouse config'!$G:$G&lt;=B1601)*(('warehouse config'!$H:$H&gt;=B1601)+ISBLANK('warehouse config'!$H:$H))),1)),0))"),0.0)</f>
        <v>0</v>
      </c>
      <c r="H1601" s="3">
        <f>IFERROR(__xludf.DUMMYFUNCTION("IFERROR(INDEX(FILTER('cost master'!$E:$E,('cost master'!$B:$B=C1601)*('cost master'!$D:$D=""Storage cost per pallet / week"")*('cost master'!$G:$G&lt;=B1601)*(('cost master'!$H:$H&gt;=B1601)+ISBLANK('cost master'!$H:$H))),1),0)"),3.9)</f>
        <v>3.9</v>
      </c>
      <c r="I1601" s="3">
        <f t="shared" si="4"/>
        <v>0</v>
      </c>
      <c r="J1601" s="27">
        <f t="shared" si="5"/>
        <v>45977</v>
      </c>
      <c r="K1601" s="27">
        <f t="shared" si="6"/>
        <v>46006</v>
      </c>
    </row>
    <row r="1602" hidden="1">
      <c r="A1602" s="3" t="str">
        <f t="shared" si="3"/>
        <v>SL-20251201-FMC-CS 009-8</v>
      </c>
      <c r="B1602" s="2">
        <f t="array" ref="B1602">INDEX(helper!$A$3:$A3996,ROUNDUP((ROW()-1)/COUNTA(helper!$D$3:$D3996),0))</f>
        <v>45992</v>
      </c>
      <c r="C1602" s="5" t="str">
        <f t="array" ref="C1602">IF(B1602="","",INDEX(helper!$D$3:$D3996,MOD(ROW()-2,COUNTA(helper!$D$3:$D3996))+1))</f>
        <v>FMC</v>
      </c>
      <c r="D1602" s="3" t="str">
        <f t="array" ref="D1602">IF(B1602="","",INDEX(helper!$E$3:$E3996,MOD(ROW()-2,COUNTA(helper!$D$3:$D3996))+1))</f>
        <v>CS 009</v>
      </c>
      <c r="E1602" s="3">
        <f t="array" ref="E1602">IF(B1602="","",INDEX(helper!$F$3:$F3996,MOD(ROW()-2,COUNTA(helper!$D$3:$D3996))+1))</f>
        <v>8</v>
      </c>
      <c r="F1602" s="3">
        <f>IF(B1602="","",SUMIFS('inventory ledger'!$H:$H,'inventory ledger'!$C:$C,C1602,'inventory ledger'!$D:$D,D1602,'inventory ledger'!$E:$E,E1602,'inventory ledger'!$A:$A,"&lt;="&amp;B1602+TIME(23,59,59))-SUMIFS('inventory ledger'!$I:$I,'inventory ledger'!$C:$C,C1602,'inventory ledger'!$D:$D,D1602,'inventory ledger'!$E:$E,E1602,'inventory ledger'!$A:$A,"&lt;="&amp;B1602+TIME(23,59,59)))</f>
        <v>0</v>
      </c>
      <c r="G1602" s="3">
        <f>IFERROR(__xludf.DUMMYFUNCTION("IF(F1602&lt;=0,0,IFERROR(ROUNDUP(F1602/INDEX(FILTER('warehouse config'!$D:$D,('warehouse config'!$B:$B=C1602)*('warehouse config'!$C:$C=D1602)*('warehouse config'!$G:$G&lt;=B1602)*(('warehouse config'!$H:$H&gt;=B1602)+ISBLANK('warehouse config'!$H:$H))),1)),0))"),0.0)</f>
        <v>0</v>
      </c>
      <c r="H1602" s="3">
        <f>IFERROR(__xludf.DUMMYFUNCTION("IFERROR(INDEX(FILTER('cost master'!$E:$E,('cost master'!$B:$B=C1602)*('cost master'!$D:$D=""Storage cost per pallet / week"")*('cost master'!$G:$G&lt;=B1602)*(('cost master'!$H:$H&gt;=B1602)+ISBLANK('cost master'!$H:$H))),1),0)"),3.9)</f>
        <v>3.9</v>
      </c>
      <c r="I1602" s="3">
        <f t="shared" si="4"/>
        <v>0</v>
      </c>
      <c r="J1602" s="27">
        <f t="shared" si="5"/>
        <v>45977</v>
      </c>
      <c r="K1602" s="27">
        <f t="shared" si="6"/>
        <v>46006</v>
      </c>
    </row>
    <row r="1603" hidden="1">
      <c r="A1603" s="3" t="str">
        <f t="shared" si="3"/>
        <v>SL-20251201-FMC-CS 010-8</v>
      </c>
      <c r="B1603" s="2">
        <f t="array" ref="B1603">INDEX(helper!$A$3:$A3996,ROUNDUP((ROW()-1)/COUNTA(helper!$D$3:$D3996),0))</f>
        <v>45992</v>
      </c>
      <c r="C1603" s="5" t="str">
        <f t="array" ref="C1603">IF(B1603="","",INDEX(helper!$D$3:$D3996,MOD(ROW()-2,COUNTA(helper!$D$3:$D3996))+1))</f>
        <v>FMC</v>
      </c>
      <c r="D1603" s="3" t="str">
        <f t="array" ref="D1603">IF(B1603="","",INDEX(helper!$E$3:$E3996,MOD(ROW()-2,COUNTA(helper!$D$3:$D3996))+1))</f>
        <v>CS 010</v>
      </c>
      <c r="E1603" s="3">
        <f t="array" ref="E1603">IF(B1603="","",INDEX(helper!$F$3:$F3996,MOD(ROW()-2,COUNTA(helper!$D$3:$D3996))+1))</f>
        <v>8</v>
      </c>
      <c r="F1603" s="3">
        <f>IF(B1603="","",SUMIFS('inventory ledger'!$H:$H,'inventory ledger'!$C:$C,C1603,'inventory ledger'!$D:$D,D1603,'inventory ledger'!$E:$E,E1603,'inventory ledger'!$A:$A,"&lt;="&amp;B1603+TIME(23,59,59))-SUMIFS('inventory ledger'!$I:$I,'inventory ledger'!$C:$C,C1603,'inventory ledger'!$D:$D,D1603,'inventory ledger'!$E:$E,E1603,'inventory ledger'!$A:$A,"&lt;="&amp;B1603+TIME(23,59,59)))</f>
        <v>0</v>
      </c>
      <c r="G1603" s="3">
        <f>IFERROR(__xludf.DUMMYFUNCTION("IF(F1603&lt;=0,0,IFERROR(ROUNDUP(F1603/INDEX(FILTER('warehouse config'!$D:$D,('warehouse config'!$B:$B=C1603)*('warehouse config'!$C:$C=D1603)*('warehouse config'!$G:$G&lt;=B1603)*(('warehouse config'!$H:$H&gt;=B1603)+ISBLANK('warehouse config'!$H:$H))),1)),0))"),0.0)</f>
        <v>0</v>
      </c>
      <c r="H1603" s="3">
        <f>IFERROR(__xludf.DUMMYFUNCTION("IFERROR(INDEX(FILTER('cost master'!$E:$E,('cost master'!$B:$B=C1603)*('cost master'!$D:$D=""Storage cost per pallet / week"")*('cost master'!$G:$G&lt;=B1603)*(('cost master'!$H:$H&gt;=B1603)+ISBLANK('cost master'!$H:$H))),1),0)"),3.9)</f>
        <v>3.9</v>
      </c>
      <c r="I1603" s="3">
        <f t="shared" si="4"/>
        <v>0</v>
      </c>
      <c r="J1603" s="27">
        <f t="shared" si="5"/>
        <v>45977</v>
      </c>
      <c r="K1603" s="27">
        <f t="shared" si="6"/>
        <v>46006</v>
      </c>
    </row>
    <row r="1604" hidden="1">
      <c r="A1604" s="3" t="str">
        <f t="shared" si="3"/>
        <v>SL-20251201-FMC-CS 007-9</v>
      </c>
      <c r="B1604" s="2">
        <f t="array" ref="B1604">INDEX(helper!$A$3:$A3996,ROUNDUP((ROW()-1)/COUNTA(helper!$D$3:$D3996),0))</f>
        <v>45992</v>
      </c>
      <c r="C1604" s="5" t="str">
        <f t="array" ref="C1604">IF(B1604="","",INDEX(helper!$D$3:$D3996,MOD(ROW()-2,COUNTA(helper!$D$3:$D3996))+1))</f>
        <v>FMC</v>
      </c>
      <c r="D1604" s="3" t="str">
        <f t="array" ref="D1604">IF(B1604="","",INDEX(helper!$E$3:$E3996,MOD(ROW()-2,COUNTA(helper!$D$3:$D3996))+1))</f>
        <v>CS 007</v>
      </c>
      <c r="E1604" s="3">
        <f t="array" ref="E1604">IF(B1604="","",INDEX(helper!$F$3:$F3996,MOD(ROW()-2,COUNTA(helper!$D$3:$D3996))+1))</f>
        <v>9</v>
      </c>
      <c r="F1604" s="3">
        <f>IF(B1604="","",SUMIFS('inventory ledger'!$H:$H,'inventory ledger'!$C:$C,C1604,'inventory ledger'!$D:$D,D1604,'inventory ledger'!$E:$E,E1604,'inventory ledger'!$A:$A,"&lt;="&amp;B1604+TIME(23,59,59))-SUMIFS('inventory ledger'!$I:$I,'inventory ledger'!$C:$C,C1604,'inventory ledger'!$D:$D,D1604,'inventory ledger'!$E:$E,E1604,'inventory ledger'!$A:$A,"&lt;="&amp;B1604+TIME(23,59,59)))</f>
        <v>0</v>
      </c>
      <c r="G1604" s="3">
        <f>IFERROR(__xludf.DUMMYFUNCTION("IF(F1604&lt;=0,0,IFERROR(ROUNDUP(F1604/INDEX(FILTER('warehouse config'!$D:$D,('warehouse config'!$B:$B=C1604)*('warehouse config'!$C:$C=D1604)*('warehouse config'!$G:$G&lt;=B1604)*(('warehouse config'!$H:$H&gt;=B1604)+ISBLANK('warehouse config'!$H:$H))),1)),0))"),0.0)</f>
        <v>0</v>
      </c>
      <c r="H1604" s="3">
        <f>IFERROR(__xludf.DUMMYFUNCTION("IFERROR(INDEX(FILTER('cost master'!$E:$E,('cost master'!$B:$B=C1604)*('cost master'!$D:$D=""Storage cost per pallet / week"")*('cost master'!$G:$G&lt;=B1604)*(('cost master'!$H:$H&gt;=B1604)+ISBLANK('cost master'!$H:$H))),1),0)"),3.9)</f>
        <v>3.9</v>
      </c>
      <c r="I1604" s="3">
        <f t="shared" si="4"/>
        <v>0</v>
      </c>
      <c r="J1604" s="27">
        <f t="shared" si="5"/>
        <v>45977</v>
      </c>
      <c r="K1604" s="27">
        <f t="shared" si="6"/>
        <v>46006</v>
      </c>
    </row>
    <row r="1605" hidden="1">
      <c r="A1605" s="3" t="str">
        <f t="shared" si="3"/>
        <v>SL-20251201-FMC-CS 008-9</v>
      </c>
      <c r="B1605" s="2">
        <f t="array" ref="B1605">INDEX(helper!$A$3:$A3996,ROUNDUP((ROW()-1)/COUNTA(helper!$D$3:$D3996),0))</f>
        <v>45992</v>
      </c>
      <c r="C1605" s="5" t="str">
        <f t="array" ref="C1605">IF(B1605="","",INDEX(helper!$D$3:$D3996,MOD(ROW()-2,COUNTA(helper!$D$3:$D3996))+1))</f>
        <v>FMC</v>
      </c>
      <c r="D1605" s="3" t="str">
        <f t="array" ref="D1605">IF(B1605="","",INDEX(helper!$E$3:$E3996,MOD(ROW()-2,COUNTA(helper!$D$3:$D3996))+1))</f>
        <v>CS 008</v>
      </c>
      <c r="E1605" s="3">
        <f t="array" ref="E1605">IF(B1605="","",INDEX(helper!$F$3:$F3996,MOD(ROW()-2,COUNTA(helper!$D$3:$D3996))+1))</f>
        <v>9</v>
      </c>
      <c r="F1605" s="3">
        <f>IF(B1605="","",SUMIFS('inventory ledger'!$H:$H,'inventory ledger'!$C:$C,C1605,'inventory ledger'!$D:$D,D1605,'inventory ledger'!$E:$E,E1605,'inventory ledger'!$A:$A,"&lt;="&amp;B1605+TIME(23,59,59))-SUMIFS('inventory ledger'!$I:$I,'inventory ledger'!$C:$C,C1605,'inventory ledger'!$D:$D,D1605,'inventory ledger'!$E:$E,E1605,'inventory ledger'!$A:$A,"&lt;="&amp;B1605+TIME(23,59,59)))</f>
        <v>2</v>
      </c>
      <c r="G1605" s="3">
        <f>IFERROR(__xludf.DUMMYFUNCTION("IF(F1605&lt;=0,0,IFERROR(ROUNDUP(F1605/INDEX(FILTER('warehouse config'!$D:$D,('warehouse config'!$B:$B=C1605)*('warehouse config'!$C:$C=D1605)*('warehouse config'!$G:$G&lt;=B1605)*(('warehouse config'!$H:$H&gt;=B1605)+ISBLANK('warehouse config'!$H:$H))),1)),0))"),1.0)</f>
        <v>1</v>
      </c>
      <c r="H1605" s="3">
        <f>IFERROR(__xludf.DUMMYFUNCTION("IFERROR(INDEX(FILTER('cost master'!$E:$E,('cost master'!$B:$B=C1605)*('cost master'!$D:$D=""Storage cost per pallet / week"")*('cost master'!$G:$G&lt;=B1605)*(('cost master'!$H:$H&gt;=B1605)+ISBLANK('cost master'!$H:$H))),1),0)"),3.9)</f>
        <v>3.9</v>
      </c>
      <c r="I1605" s="3">
        <f t="shared" si="4"/>
        <v>3.9</v>
      </c>
      <c r="J1605" s="27">
        <f t="shared" si="5"/>
        <v>45977</v>
      </c>
      <c r="K1605" s="27">
        <f t="shared" si="6"/>
        <v>46006</v>
      </c>
    </row>
    <row r="1606" hidden="1">
      <c r="A1606" s="3" t="str">
        <f t="shared" si="3"/>
        <v>SL-20251201-FMC-CS 009-9</v>
      </c>
      <c r="B1606" s="2">
        <f t="array" ref="B1606">INDEX(helper!$A$3:$A3996,ROUNDUP((ROW()-1)/COUNTA(helper!$D$3:$D3996),0))</f>
        <v>45992</v>
      </c>
      <c r="C1606" s="5" t="str">
        <f t="array" ref="C1606">IF(B1606="","",INDEX(helper!$D$3:$D3996,MOD(ROW()-2,COUNTA(helper!$D$3:$D3996))+1))</f>
        <v>FMC</v>
      </c>
      <c r="D1606" s="3" t="str">
        <f t="array" ref="D1606">IF(B1606="","",INDEX(helper!$E$3:$E3996,MOD(ROW()-2,COUNTA(helper!$D$3:$D3996))+1))</f>
        <v>CS 009</v>
      </c>
      <c r="E1606" s="3">
        <f t="array" ref="E1606">IF(B1606="","",INDEX(helper!$F$3:$F3996,MOD(ROW()-2,COUNTA(helper!$D$3:$D3996))+1))</f>
        <v>9</v>
      </c>
      <c r="F1606" s="3">
        <f>IF(B1606="","",SUMIFS('inventory ledger'!$H:$H,'inventory ledger'!$C:$C,C1606,'inventory ledger'!$D:$D,D1606,'inventory ledger'!$E:$E,E1606,'inventory ledger'!$A:$A,"&lt;="&amp;B1606+TIME(23,59,59))-SUMIFS('inventory ledger'!$I:$I,'inventory ledger'!$C:$C,C1606,'inventory ledger'!$D:$D,D1606,'inventory ledger'!$E:$E,E1606,'inventory ledger'!$A:$A,"&lt;="&amp;B1606+TIME(23,59,59)))</f>
        <v>0</v>
      </c>
      <c r="G1606" s="3">
        <f>IFERROR(__xludf.DUMMYFUNCTION("IF(F1606&lt;=0,0,IFERROR(ROUNDUP(F1606/INDEX(FILTER('warehouse config'!$D:$D,('warehouse config'!$B:$B=C1606)*('warehouse config'!$C:$C=D1606)*('warehouse config'!$G:$G&lt;=B1606)*(('warehouse config'!$H:$H&gt;=B1606)+ISBLANK('warehouse config'!$H:$H))),1)),0))"),0.0)</f>
        <v>0</v>
      </c>
      <c r="H1606" s="3">
        <f>IFERROR(__xludf.DUMMYFUNCTION("IFERROR(INDEX(FILTER('cost master'!$E:$E,('cost master'!$B:$B=C1606)*('cost master'!$D:$D=""Storage cost per pallet / week"")*('cost master'!$G:$G&lt;=B1606)*(('cost master'!$H:$H&gt;=B1606)+ISBLANK('cost master'!$H:$H))),1),0)"),3.9)</f>
        <v>3.9</v>
      </c>
      <c r="I1606" s="3">
        <f t="shared" si="4"/>
        <v>0</v>
      </c>
      <c r="J1606" s="27">
        <f t="shared" si="5"/>
        <v>45977</v>
      </c>
      <c r="K1606" s="27">
        <f t="shared" si="6"/>
        <v>46006</v>
      </c>
    </row>
    <row r="1607" hidden="1">
      <c r="A1607" s="3" t="str">
        <f t="shared" si="3"/>
        <v>SL-20251201-FMC-CS 010-9</v>
      </c>
      <c r="B1607" s="2">
        <f t="array" ref="B1607">INDEX(helper!$A$3:$A3996,ROUNDUP((ROW()-1)/COUNTA(helper!$D$3:$D3996),0))</f>
        <v>45992</v>
      </c>
      <c r="C1607" s="5" t="str">
        <f t="array" ref="C1607">IF(B1607="","",INDEX(helper!$D$3:$D3996,MOD(ROW()-2,COUNTA(helper!$D$3:$D3996))+1))</f>
        <v>FMC</v>
      </c>
      <c r="D1607" s="3" t="str">
        <f t="array" ref="D1607">IF(B1607="","",INDEX(helper!$E$3:$E3996,MOD(ROW()-2,COUNTA(helper!$D$3:$D3996))+1))</f>
        <v>CS 010</v>
      </c>
      <c r="E1607" s="3">
        <f t="array" ref="E1607">IF(B1607="","",INDEX(helper!$F$3:$F3996,MOD(ROW()-2,COUNTA(helper!$D$3:$D3996))+1))</f>
        <v>9</v>
      </c>
      <c r="F1607" s="3">
        <f>IF(B1607="","",SUMIFS('inventory ledger'!$H:$H,'inventory ledger'!$C:$C,C1607,'inventory ledger'!$D:$D,D1607,'inventory ledger'!$E:$E,E1607,'inventory ledger'!$A:$A,"&lt;="&amp;B1607+TIME(23,59,59))-SUMIFS('inventory ledger'!$I:$I,'inventory ledger'!$C:$C,C1607,'inventory ledger'!$D:$D,D1607,'inventory ledger'!$E:$E,E1607,'inventory ledger'!$A:$A,"&lt;="&amp;B1607+TIME(23,59,59)))</f>
        <v>0</v>
      </c>
      <c r="G1607" s="3">
        <f>IFERROR(__xludf.DUMMYFUNCTION("IF(F1607&lt;=0,0,IFERROR(ROUNDUP(F1607/INDEX(FILTER('warehouse config'!$D:$D,('warehouse config'!$B:$B=C1607)*('warehouse config'!$C:$C=D1607)*('warehouse config'!$G:$G&lt;=B1607)*(('warehouse config'!$H:$H&gt;=B1607)+ISBLANK('warehouse config'!$H:$H))),1)),0))"),0.0)</f>
        <v>0</v>
      </c>
      <c r="H1607" s="3">
        <f>IFERROR(__xludf.DUMMYFUNCTION("IFERROR(INDEX(FILTER('cost master'!$E:$E,('cost master'!$B:$B=C1607)*('cost master'!$D:$D=""Storage cost per pallet / week"")*('cost master'!$G:$G&lt;=B1607)*(('cost master'!$H:$H&gt;=B1607)+ISBLANK('cost master'!$H:$H))),1),0)"),3.9)</f>
        <v>3.9</v>
      </c>
      <c r="I1607" s="3">
        <f t="shared" si="4"/>
        <v>0</v>
      </c>
      <c r="J1607" s="27">
        <f t="shared" si="5"/>
        <v>45977</v>
      </c>
      <c r="K1607" s="27">
        <f t="shared" si="6"/>
        <v>46006</v>
      </c>
    </row>
    <row r="1608" hidden="1">
      <c r="A1608" s="3" t="str">
        <f t="shared" si="3"/>
        <v>SL-20251201-FMC-CS-CDS-001-9</v>
      </c>
      <c r="B1608" s="2">
        <f t="array" ref="B1608">INDEX(helper!$A$3:$A3996,ROUNDUP((ROW()-1)/COUNTA(helper!$D$3:$D3996),0))</f>
        <v>45992</v>
      </c>
      <c r="C1608" s="5" t="str">
        <f t="array" ref="C1608">IF(B1608="","",INDEX(helper!$D$3:$D3996,MOD(ROW()-2,COUNTA(helper!$D$3:$D3996))+1))</f>
        <v>FMC</v>
      </c>
      <c r="D1608" s="3" t="str">
        <f t="array" ref="D1608">IF(B1608="","",INDEX(helper!$E$3:$E3996,MOD(ROW()-2,COUNTA(helper!$D$3:$D3996))+1))</f>
        <v>CS-CDS-001</v>
      </c>
      <c r="E1608" s="3">
        <f t="array" ref="E1608">IF(B1608="","",INDEX(helper!$F$3:$F3996,MOD(ROW()-2,COUNTA(helper!$D$3:$D3996))+1))</f>
        <v>9</v>
      </c>
      <c r="F1608" s="3">
        <f>IF(B1608="","",SUMIFS('inventory ledger'!$H:$H,'inventory ledger'!$C:$C,C1608,'inventory ledger'!$D:$D,D1608,'inventory ledger'!$E:$E,E1608,'inventory ledger'!$A:$A,"&lt;="&amp;B1608+TIME(23,59,59))-SUMIFS('inventory ledger'!$I:$I,'inventory ledger'!$C:$C,C1608,'inventory ledger'!$D:$D,D1608,'inventory ledger'!$E:$E,E1608,'inventory ledger'!$A:$A,"&lt;="&amp;B1608+TIME(23,59,59)))</f>
        <v>0</v>
      </c>
      <c r="G1608" s="3">
        <f>IFERROR(__xludf.DUMMYFUNCTION("IF(F1608&lt;=0,0,IFERROR(ROUNDUP(F1608/INDEX(FILTER('warehouse config'!$D:$D,('warehouse config'!$B:$B=C1608)*('warehouse config'!$C:$C=D1608)*('warehouse config'!$G:$G&lt;=B1608)*(('warehouse config'!$H:$H&gt;=B1608)+ISBLANK('warehouse config'!$H:$H))),1)),0))"),0.0)</f>
        <v>0</v>
      </c>
      <c r="H1608" s="3">
        <f>IFERROR(__xludf.DUMMYFUNCTION("IFERROR(INDEX(FILTER('cost master'!$E:$E,('cost master'!$B:$B=C1608)*('cost master'!$D:$D=""Storage cost per pallet / week"")*('cost master'!$G:$G&lt;=B1608)*(('cost master'!$H:$H&gt;=B1608)+ISBLANK('cost master'!$H:$H))),1),0)"),3.9)</f>
        <v>3.9</v>
      </c>
      <c r="I1608" s="3">
        <f t="shared" si="4"/>
        <v>0</v>
      </c>
      <c r="J1608" s="27">
        <f t="shared" si="5"/>
        <v>45977</v>
      </c>
      <c r="K1608" s="27">
        <f t="shared" si="6"/>
        <v>46006</v>
      </c>
    </row>
    <row r="1609" hidden="1">
      <c r="A1609" s="3" t="str">
        <f t="shared" si="3"/>
        <v>SL-20251201-FMC-CS-CDS-002-9</v>
      </c>
      <c r="B1609" s="2">
        <f t="array" ref="B1609">INDEX(helper!$A$3:$A3996,ROUNDUP((ROW()-1)/COUNTA(helper!$D$3:$D3996),0))</f>
        <v>45992</v>
      </c>
      <c r="C1609" s="5" t="str">
        <f t="array" ref="C1609">IF(B1609="","",INDEX(helper!$D$3:$D3996,MOD(ROW()-2,COUNTA(helper!$D$3:$D3996))+1))</f>
        <v>FMC</v>
      </c>
      <c r="D1609" s="3" t="str">
        <f t="array" ref="D1609">IF(B1609="","",INDEX(helper!$E$3:$E3996,MOD(ROW()-2,COUNTA(helper!$D$3:$D3996))+1))</f>
        <v>CS-CDS-002</v>
      </c>
      <c r="E1609" s="3">
        <f t="array" ref="E1609">IF(B1609="","",INDEX(helper!$F$3:$F3996,MOD(ROW()-2,COUNTA(helper!$D$3:$D3996))+1))</f>
        <v>9</v>
      </c>
      <c r="F1609" s="3">
        <f>IF(B1609="","",SUMIFS('inventory ledger'!$H:$H,'inventory ledger'!$C:$C,C1609,'inventory ledger'!$D:$D,D1609,'inventory ledger'!$E:$E,E1609,'inventory ledger'!$A:$A,"&lt;="&amp;B1609+TIME(23,59,59))-SUMIFS('inventory ledger'!$I:$I,'inventory ledger'!$C:$C,C1609,'inventory ledger'!$D:$D,D1609,'inventory ledger'!$E:$E,E1609,'inventory ledger'!$A:$A,"&lt;="&amp;B1609+TIME(23,59,59)))</f>
        <v>0</v>
      </c>
      <c r="G1609" s="3">
        <f>IFERROR(__xludf.DUMMYFUNCTION("IF(F1609&lt;=0,0,IFERROR(ROUNDUP(F1609/INDEX(FILTER('warehouse config'!$D:$D,('warehouse config'!$B:$B=C1609)*('warehouse config'!$C:$C=D1609)*('warehouse config'!$G:$G&lt;=B1609)*(('warehouse config'!$H:$H&gt;=B1609)+ISBLANK('warehouse config'!$H:$H))),1)),0))"),0.0)</f>
        <v>0</v>
      </c>
      <c r="H1609" s="3">
        <f>IFERROR(__xludf.DUMMYFUNCTION("IFERROR(INDEX(FILTER('cost master'!$E:$E,('cost master'!$B:$B=C1609)*('cost master'!$D:$D=""Storage cost per pallet / week"")*('cost master'!$G:$G&lt;=B1609)*(('cost master'!$H:$H&gt;=B1609)+ISBLANK('cost master'!$H:$H))),1),0)"),3.9)</f>
        <v>3.9</v>
      </c>
      <c r="I1609" s="3">
        <f t="shared" si="4"/>
        <v>0</v>
      </c>
      <c r="J1609" s="27">
        <f t="shared" si="5"/>
        <v>45977</v>
      </c>
      <c r="K1609" s="27">
        <f t="shared" si="6"/>
        <v>46006</v>
      </c>
    </row>
    <row r="1610" hidden="1">
      <c r="A1610" s="3" t="str">
        <f t="shared" si="3"/>
        <v>SL-20251201-FMC-CS 007-10</v>
      </c>
      <c r="B1610" s="2">
        <f t="array" ref="B1610">INDEX(helper!$A$3:$A3996,ROUNDUP((ROW()-1)/COUNTA(helper!$D$3:$D3996),0))</f>
        <v>45992</v>
      </c>
      <c r="C1610" s="5" t="str">
        <f t="array" ref="C1610">IF(B1610="","",INDEX(helper!$D$3:$D3996,MOD(ROW()-2,COUNTA(helper!$D$3:$D3996))+1))</f>
        <v>FMC</v>
      </c>
      <c r="D1610" s="3" t="str">
        <f t="array" ref="D1610">IF(B1610="","",INDEX(helper!$E$3:$E3996,MOD(ROW()-2,COUNTA(helper!$D$3:$D3996))+1))</f>
        <v>CS 007</v>
      </c>
      <c r="E1610" s="3">
        <f t="array" ref="E1610">IF(B1610="","",INDEX(helper!$F$3:$F3996,MOD(ROW()-2,COUNTA(helper!$D$3:$D3996))+1))</f>
        <v>10</v>
      </c>
      <c r="F1610" s="3">
        <f>IF(B1610="","",SUMIFS('inventory ledger'!$H:$H,'inventory ledger'!$C:$C,C1610,'inventory ledger'!$D:$D,D1610,'inventory ledger'!$E:$E,E1610,'inventory ledger'!$A:$A,"&lt;="&amp;B1610+TIME(23,59,59))-SUMIFS('inventory ledger'!$I:$I,'inventory ledger'!$C:$C,C1610,'inventory ledger'!$D:$D,D1610,'inventory ledger'!$E:$E,E1610,'inventory ledger'!$A:$A,"&lt;="&amp;B1610+TIME(23,59,59)))</f>
        <v>0</v>
      </c>
      <c r="G1610" s="3">
        <f>IFERROR(__xludf.DUMMYFUNCTION("IF(F1610&lt;=0,0,IFERROR(ROUNDUP(F1610/INDEX(FILTER('warehouse config'!$D:$D,('warehouse config'!$B:$B=C1610)*('warehouse config'!$C:$C=D1610)*('warehouse config'!$G:$G&lt;=B1610)*(('warehouse config'!$H:$H&gt;=B1610)+ISBLANK('warehouse config'!$H:$H))),1)),0))"),0.0)</f>
        <v>0</v>
      </c>
      <c r="H1610" s="3">
        <f>IFERROR(__xludf.DUMMYFUNCTION("IFERROR(INDEX(FILTER('cost master'!$E:$E,('cost master'!$B:$B=C1610)*('cost master'!$D:$D=""Storage cost per pallet / week"")*('cost master'!$G:$G&lt;=B1610)*(('cost master'!$H:$H&gt;=B1610)+ISBLANK('cost master'!$H:$H))),1),0)"),3.9)</f>
        <v>3.9</v>
      </c>
      <c r="I1610" s="3">
        <f t="shared" si="4"/>
        <v>0</v>
      </c>
      <c r="J1610" s="27">
        <f t="shared" si="5"/>
        <v>45977</v>
      </c>
      <c r="K1610" s="27">
        <f t="shared" si="6"/>
        <v>46006</v>
      </c>
    </row>
    <row r="1611" hidden="1">
      <c r="A1611" s="3" t="str">
        <f t="shared" si="3"/>
        <v>SL-20251201-FMC-CS 009-10</v>
      </c>
      <c r="B1611" s="2">
        <f t="array" ref="B1611">INDEX(helper!$A$3:$A3996,ROUNDUP((ROW()-1)/COUNTA(helper!$D$3:$D3996),0))</f>
        <v>45992</v>
      </c>
      <c r="C1611" s="5" t="str">
        <f t="array" ref="C1611">IF(B1611="","",INDEX(helper!$D$3:$D3996,MOD(ROW()-2,COUNTA(helper!$D$3:$D3996))+1))</f>
        <v>FMC</v>
      </c>
      <c r="D1611" s="3" t="str">
        <f t="array" ref="D1611">IF(B1611="","",INDEX(helper!$E$3:$E3996,MOD(ROW()-2,COUNTA(helper!$D$3:$D3996))+1))</f>
        <v>CS 009</v>
      </c>
      <c r="E1611" s="3">
        <f t="array" ref="E1611">IF(B1611="","",INDEX(helper!$F$3:$F3996,MOD(ROW()-2,COUNTA(helper!$D$3:$D3996))+1))</f>
        <v>10</v>
      </c>
      <c r="F1611" s="3">
        <f>IF(B1611="","",SUMIFS('inventory ledger'!$H:$H,'inventory ledger'!$C:$C,C1611,'inventory ledger'!$D:$D,D1611,'inventory ledger'!$E:$E,E1611,'inventory ledger'!$A:$A,"&lt;="&amp;B1611+TIME(23,59,59))-SUMIFS('inventory ledger'!$I:$I,'inventory ledger'!$C:$C,C1611,'inventory ledger'!$D:$D,D1611,'inventory ledger'!$E:$E,E1611,'inventory ledger'!$A:$A,"&lt;="&amp;B1611+TIME(23,59,59)))</f>
        <v>0</v>
      </c>
      <c r="G1611" s="3">
        <f>IFERROR(__xludf.DUMMYFUNCTION("IF(F1611&lt;=0,0,IFERROR(ROUNDUP(F1611/INDEX(FILTER('warehouse config'!$D:$D,('warehouse config'!$B:$B=C1611)*('warehouse config'!$C:$C=D1611)*('warehouse config'!$G:$G&lt;=B1611)*(('warehouse config'!$H:$H&gt;=B1611)+ISBLANK('warehouse config'!$H:$H))),1)),0))"),0.0)</f>
        <v>0</v>
      </c>
      <c r="H1611" s="3">
        <f>IFERROR(__xludf.DUMMYFUNCTION("IFERROR(INDEX(FILTER('cost master'!$E:$E,('cost master'!$B:$B=C1611)*('cost master'!$D:$D=""Storage cost per pallet / week"")*('cost master'!$G:$G&lt;=B1611)*(('cost master'!$H:$H&gt;=B1611)+ISBLANK('cost master'!$H:$H))),1),0)"),3.9)</f>
        <v>3.9</v>
      </c>
      <c r="I1611" s="3">
        <f t="shared" si="4"/>
        <v>0</v>
      </c>
      <c r="J1611" s="27">
        <f t="shared" si="5"/>
        <v>45977</v>
      </c>
      <c r="K1611" s="27">
        <f t="shared" si="6"/>
        <v>46006</v>
      </c>
    </row>
    <row r="1612" hidden="1">
      <c r="A1612" s="3" t="str">
        <f t="shared" si="3"/>
        <v>SL-20251201-FMC-CS 010-10</v>
      </c>
      <c r="B1612" s="2">
        <f t="array" ref="B1612">INDEX(helper!$A$3:$A3996,ROUNDUP((ROW()-1)/COUNTA(helper!$D$3:$D3996),0))</f>
        <v>45992</v>
      </c>
      <c r="C1612" s="5" t="str">
        <f t="array" ref="C1612">IF(B1612="","",INDEX(helper!$D$3:$D3996,MOD(ROW()-2,COUNTA(helper!$D$3:$D3996))+1))</f>
        <v>FMC</v>
      </c>
      <c r="D1612" s="3" t="str">
        <f t="array" ref="D1612">IF(B1612="","",INDEX(helper!$E$3:$E3996,MOD(ROW()-2,COUNTA(helper!$D$3:$D3996))+1))</f>
        <v>CS 010</v>
      </c>
      <c r="E1612" s="3">
        <f t="array" ref="E1612">IF(B1612="","",INDEX(helper!$F$3:$F3996,MOD(ROW()-2,COUNTA(helper!$D$3:$D3996))+1))</f>
        <v>10</v>
      </c>
      <c r="F1612" s="3">
        <f>IF(B1612="","",SUMIFS('inventory ledger'!$H:$H,'inventory ledger'!$C:$C,C1612,'inventory ledger'!$D:$D,D1612,'inventory ledger'!$E:$E,E1612,'inventory ledger'!$A:$A,"&lt;="&amp;B1612+TIME(23,59,59))-SUMIFS('inventory ledger'!$I:$I,'inventory ledger'!$C:$C,C1612,'inventory ledger'!$D:$D,D1612,'inventory ledger'!$E:$E,E1612,'inventory ledger'!$A:$A,"&lt;="&amp;B1612+TIME(23,59,59)))</f>
        <v>13</v>
      </c>
      <c r="G1612" s="3">
        <f>IFERROR(__xludf.DUMMYFUNCTION("IF(F1612&lt;=0,0,IFERROR(ROUNDUP(F1612/INDEX(FILTER('warehouse config'!$D:$D,('warehouse config'!$B:$B=C1612)*('warehouse config'!$C:$C=D1612)*('warehouse config'!$G:$G&lt;=B1612)*(('warehouse config'!$H:$H&gt;=B1612)+ISBLANK('warehouse config'!$H:$H))),1)),0))"),1.0)</f>
        <v>1</v>
      </c>
      <c r="H1612" s="3">
        <f>IFERROR(__xludf.DUMMYFUNCTION("IFERROR(INDEX(FILTER('cost master'!$E:$E,('cost master'!$B:$B=C1612)*('cost master'!$D:$D=""Storage cost per pallet / week"")*('cost master'!$G:$G&lt;=B1612)*(('cost master'!$H:$H&gt;=B1612)+ISBLANK('cost master'!$H:$H))),1),0)"),3.9)</f>
        <v>3.9</v>
      </c>
      <c r="I1612" s="3">
        <f t="shared" si="4"/>
        <v>3.9</v>
      </c>
      <c r="J1612" s="27">
        <f t="shared" si="5"/>
        <v>45977</v>
      </c>
      <c r="K1612" s="27">
        <f t="shared" si="6"/>
        <v>46006</v>
      </c>
    </row>
    <row r="1613" hidden="1">
      <c r="A1613" s="3" t="str">
        <f t="shared" si="3"/>
        <v>SL-20251201-FMC-CS-CDS-001-10</v>
      </c>
      <c r="B1613" s="2">
        <f t="array" ref="B1613">INDEX(helper!$A$3:$A3996,ROUNDUP((ROW()-1)/COUNTA(helper!$D$3:$D3996),0))</f>
        <v>45992</v>
      </c>
      <c r="C1613" s="5" t="str">
        <f t="array" ref="C1613">IF(B1613="","",INDEX(helper!$D$3:$D3996,MOD(ROW()-2,COUNTA(helper!$D$3:$D3996))+1))</f>
        <v>FMC</v>
      </c>
      <c r="D1613" s="3" t="str">
        <f t="array" ref="D1613">IF(B1613="","",INDEX(helper!$E$3:$E3996,MOD(ROW()-2,COUNTA(helper!$D$3:$D3996))+1))</f>
        <v>CS-CDS-001</v>
      </c>
      <c r="E1613" s="3">
        <f t="array" ref="E1613">IF(B1613="","",INDEX(helper!$F$3:$F3996,MOD(ROW()-2,COUNTA(helper!$D$3:$D3996))+1))</f>
        <v>10</v>
      </c>
      <c r="F1613" s="3">
        <f>IF(B1613="","",SUMIFS('inventory ledger'!$H:$H,'inventory ledger'!$C:$C,C1613,'inventory ledger'!$D:$D,D1613,'inventory ledger'!$E:$E,E1613,'inventory ledger'!$A:$A,"&lt;="&amp;B1613+TIME(23,59,59))-SUMIFS('inventory ledger'!$I:$I,'inventory ledger'!$C:$C,C1613,'inventory ledger'!$D:$D,D1613,'inventory ledger'!$E:$E,E1613,'inventory ledger'!$A:$A,"&lt;="&amp;B1613+TIME(23,59,59)))</f>
        <v>0</v>
      </c>
      <c r="G1613" s="3">
        <f>IFERROR(__xludf.DUMMYFUNCTION("IF(F1613&lt;=0,0,IFERROR(ROUNDUP(F1613/INDEX(FILTER('warehouse config'!$D:$D,('warehouse config'!$B:$B=C1613)*('warehouse config'!$C:$C=D1613)*('warehouse config'!$G:$G&lt;=B1613)*(('warehouse config'!$H:$H&gt;=B1613)+ISBLANK('warehouse config'!$H:$H))),1)),0))"),0.0)</f>
        <v>0</v>
      </c>
      <c r="H1613" s="3">
        <f>IFERROR(__xludf.DUMMYFUNCTION("IFERROR(INDEX(FILTER('cost master'!$E:$E,('cost master'!$B:$B=C1613)*('cost master'!$D:$D=""Storage cost per pallet / week"")*('cost master'!$G:$G&lt;=B1613)*(('cost master'!$H:$H&gt;=B1613)+ISBLANK('cost master'!$H:$H))),1),0)"),3.9)</f>
        <v>3.9</v>
      </c>
      <c r="I1613" s="3">
        <f t="shared" si="4"/>
        <v>0</v>
      </c>
      <c r="J1613" s="27">
        <f t="shared" si="5"/>
        <v>45977</v>
      </c>
      <c r="K1613" s="27">
        <f t="shared" si="6"/>
        <v>46006</v>
      </c>
    </row>
    <row r="1614">
      <c r="A1614" s="3" t="str">
        <f t="shared" si="3"/>
        <v>SL-20251201-FMC-CS 007-11</v>
      </c>
      <c r="B1614" s="2">
        <f t="array" ref="B1614">INDEX(helper!$A$3:$A3996,ROUNDUP((ROW()-1)/COUNTA(helper!$D$3:$D3996),0))</f>
        <v>45992</v>
      </c>
      <c r="C1614" s="5" t="str">
        <f t="array" ref="C1614">IF(B1614="","",INDEX(helper!$D$3:$D3996,MOD(ROW()-2,COUNTA(helper!$D$3:$D3996))+1))</f>
        <v>FMC</v>
      </c>
      <c r="D1614" s="3" t="str">
        <f t="array" ref="D1614">IF(B1614="","",INDEX(helper!$E$3:$E3996,MOD(ROW()-2,COUNTA(helper!$D$3:$D3996))+1))</f>
        <v>CS 007</v>
      </c>
      <c r="E1614" s="3">
        <f t="array" ref="E1614">IF(B1614="","",INDEX(helper!$F$3:$F3996,MOD(ROW()-2,COUNTA(helper!$D$3:$D3996))+1))</f>
        <v>11</v>
      </c>
      <c r="F1614" s="3">
        <f>IF(B1614="","",SUMIFS('inventory ledger'!$H:$H,'inventory ledger'!$C:$C,C1614,'inventory ledger'!$D:$D,D1614,'inventory ledger'!$E:$E,E1614,'inventory ledger'!$A:$A,"&lt;="&amp;B1614+TIME(23,59,59))-SUMIFS('inventory ledger'!$I:$I,'inventory ledger'!$C:$C,C1614,'inventory ledger'!$D:$D,D1614,'inventory ledger'!$E:$E,E1614,'inventory ledger'!$A:$A,"&lt;="&amp;B1614+TIME(23,59,59)))</f>
        <v>-1</v>
      </c>
      <c r="G1614" s="3">
        <f>IFERROR(__xludf.DUMMYFUNCTION("IF(F1614&lt;=0,0,IFERROR(ROUNDUP(F1614/INDEX(FILTER('warehouse config'!$D:$D,('warehouse config'!$B:$B=C1614)*('warehouse config'!$C:$C=D1614)*('warehouse config'!$G:$G&lt;=B1614)*(('warehouse config'!$H:$H&gt;=B1614)+ISBLANK('warehouse config'!$H:$H))),1)),0))"),0.0)</f>
        <v>0</v>
      </c>
      <c r="H1614" s="3">
        <f>IFERROR(__xludf.DUMMYFUNCTION("IFERROR(INDEX(FILTER('cost master'!$E:$E,('cost master'!$B:$B=C1614)*('cost master'!$D:$D=""Storage cost per pallet / week"")*('cost master'!$G:$G&lt;=B1614)*(('cost master'!$H:$H&gt;=B1614)+ISBLANK('cost master'!$H:$H))),1),0)"),3.9)</f>
        <v>3.9</v>
      </c>
      <c r="I1614" s="3">
        <f t="shared" si="4"/>
        <v>0</v>
      </c>
      <c r="J1614" s="27">
        <f t="shared" si="5"/>
        <v>45977</v>
      </c>
      <c r="K1614" s="27">
        <f t="shared" si="6"/>
        <v>46006</v>
      </c>
    </row>
    <row r="1615" hidden="1">
      <c r="A1615" s="3" t="str">
        <f t="shared" si="3"/>
        <v>SL-20251201-FMC-CS 009-11</v>
      </c>
      <c r="B1615" s="2">
        <f t="array" ref="B1615">INDEX(helper!$A$3:$A3996,ROUNDUP((ROW()-1)/COUNTA(helper!$D$3:$D3996),0))</f>
        <v>45992</v>
      </c>
      <c r="C1615" s="5" t="str">
        <f t="array" ref="C1615">IF(B1615="","",INDEX(helper!$D$3:$D3996,MOD(ROW()-2,COUNTA(helper!$D$3:$D3996))+1))</f>
        <v>FMC</v>
      </c>
      <c r="D1615" s="3" t="str">
        <f t="array" ref="D1615">IF(B1615="","",INDEX(helper!$E$3:$E3996,MOD(ROW()-2,COUNTA(helper!$D$3:$D3996))+1))</f>
        <v>CS 009</v>
      </c>
      <c r="E1615" s="3">
        <f t="array" ref="E1615">IF(B1615="","",INDEX(helper!$F$3:$F3996,MOD(ROW()-2,COUNTA(helper!$D$3:$D3996))+1))</f>
        <v>11</v>
      </c>
      <c r="F1615" s="3">
        <f>IF(B1615="","",SUMIFS('inventory ledger'!$H:$H,'inventory ledger'!$C:$C,C1615,'inventory ledger'!$D:$D,D1615,'inventory ledger'!$E:$E,E1615,'inventory ledger'!$A:$A,"&lt;="&amp;B1615+TIME(23,59,59))-SUMIFS('inventory ledger'!$I:$I,'inventory ledger'!$C:$C,C1615,'inventory ledger'!$D:$D,D1615,'inventory ledger'!$E:$E,E1615,'inventory ledger'!$A:$A,"&lt;="&amp;B1615+TIME(23,59,59)))</f>
        <v>0</v>
      </c>
      <c r="G1615" s="3">
        <f>IFERROR(__xludf.DUMMYFUNCTION("IF(F1615&lt;=0,0,IFERROR(ROUNDUP(F1615/INDEX(FILTER('warehouse config'!$D:$D,('warehouse config'!$B:$B=C1615)*('warehouse config'!$C:$C=D1615)*('warehouse config'!$G:$G&lt;=B1615)*(('warehouse config'!$H:$H&gt;=B1615)+ISBLANK('warehouse config'!$H:$H))),1)),0))"),0.0)</f>
        <v>0</v>
      </c>
      <c r="H1615" s="3">
        <f>IFERROR(__xludf.DUMMYFUNCTION("IFERROR(INDEX(FILTER('cost master'!$E:$E,('cost master'!$B:$B=C1615)*('cost master'!$D:$D=""Storage cost per pallet / week"")*('cost master'!$G:$G&lt;=B1615)*(('cost master'!$H:$H&gt;=B1615)+ISBLANK('cost master'!$H:$H))),1),0)"),3.9)</f>
        <v>3.9</v>
      </c>
      <c r="I1615" s="3">
        <f t="shared" si="4"/>
        <v>0</v>
      </c>
      <c r="J1615" s="27">
        <f t="shared" si="5"/>
        <v>45977</v>
      </c>
      <c r="K1615" s="27">
        <f t="shared" si="6"/>
        <v>46006</v>
      </c>
    </row>
    <row r="1616" hidden="1">
      <c r="A1616" s="3" t="str">
        <f t="shared" si="3"/>
        <v>SL-20251201-FMC-CS 010-11</v>
      </c>
      <c r="B1616" s="2">
        <f t="array" ref="B1616">INDEX(helper!$A$3:$A3996,ROUNDUP((ROW()-1)/COUNTA(helper!$D$3:$D3996),0))</f>
        <v>45992</v>
      </c>
      <c r="C1616" s="5" t="str">
        <f t="array" ref="C1616">IF(B1616="","",INDEX(helper!$D$3:$D3996,MOD(ROW()-2,COUNTA(helper!$D$3:$D3996))+1))</f>
        <v>FMC</v>
      </c>
      <c r="D1616" s="3" t="str">
        <f t="array" ref="D1616">IF(B1616="","",INDEX(helper!$E$3:$E3996,MOD(ROW()-2,COUNTA(helper!$D$3:$D3996))+1))</f>
        <v>CS 010</v>
      </c>
      <c r="E1616" s="3">
        <f t="array" ref="E1616">IF(B1616="","",INDEX(helper!$F$3:$F3996,MOD(ROW()-2,COUNTA(helper!$D$3:$D3996))+1))</f>
        <v>11</v>
      </c>
      <c r="F1616" s="3">
        <f>IF(B1616="","",SUMIFS('inventory ledger'!$H:$H,'inventory ledger'!$C:$C,C1616,'inventory ledger'!$D:$D,D1616,'inventory ledger'!$E:$E,E1616,'inventory ledger'!$A:$A,"&lt;="&amp;B1616+TIME(23,59,59))-SUMIFS('inventory ledger'!$I:$I,'inventory ledger'!$C:$C,C1616,'inventory ledger'!$D:$D,D1616,'inventory ledger'!$E:$E,E1616,'inventory ledger'!$A:$A,"&lt;="&amp;B1616+TIME(23,59,59)))</f>
        <v>6</v>
      </c>
      <c r="G1616" s="3">
        <f>IFERROR(__xludf.DUMMYFUNCTION("IF(F1616&lt;=0,0,IFERROR(ROUNDUP(F1616/INDEX(FILTER('warehouse config'!$D:$D,('warehouse config'!$B:$B=C1616)*('warehouse config'!$C:$C=D1616)*('warehouse config'!$G:$G&lt;=B1616)*(('warehouse config'!$H:$H&gt;=B1616)+ISBLANK('warehouse config'!$H:$H))),1)),0))"),1.0)</f>
        <v>1</v>
      </c>
      <c r="H1616" s="3">
        <f>IFERROR(__xludf.DUMMYFUNCTION("IFERROR(INDEX(FILTER('cost master'!$E:$E,('cost master'!$B:$B=C1616)*('cost master'!$D:$D=""Storage cost per pallet / week"")*('cost master'!$G:$G&lt;=B1616)*(('cost master'!$H:$H&gt;=B1616)+ISBLANK('cost master'!$H:$H))),1),0)"),3.9)</f>
        <v>3.9</v>
      </c>
      <c r="I1616" s="3">
        <f t="shared" si="4"/>
        <v>3.9</v>
      </c>
      <c r="J1616" s="27">
        <f t="shared" si="5"/>
        <v>45977</v>
      </c>
      <c r="K1616" s="27">
        <f t="shared" si="6"/>
        <v>46006</v>
      </c>
    </row>
    <row r="1617" hidden="1">
      <c r="A1617" s="3" t="str">
        <f t="shared" si="3"/>
        <v>SL-20251201-Vglobal-CS 007-12</v>
      </c>
      <c r="B1617" s="2">
        <f t="array" ref="B1617">INDEX(helper!$A$3:$A3996,ROUNDUP((ROW()-1)/COUNTA(helper!$D$3:$D3996),0))</f>
        <v>45992</v>
      </c>
      <c r="C1617" s="5" t="str">
        <f t="array" ref="C1617">IF(B1617="","",INDEX(helper!$D$3:$D3996,MOD(ROW()-2,COUNTA(helper!$D$3:$D3996))+1))</f>
        <v>Vglobal</v>
      </c>
      <c r="D1617" s="3" t="str">
        <f t="array" ref="D1617">IF(B1617="","",INDEX(helper!$E$3:$E3996,MOD(ROW()-2,COUNTA(helper!$D$3:$D3996))+1))</f>
        <v>CS 007</v>
      </c>
      <c r="E1617" s="3">
        <f t="array" ref="E1617">IF(B1617="","",INDEX(helper!$F$3:$F3996,MOD(ROW()-2,COUNTA(helper!$D$3:$D3996))+1))</f>
        <v>12</v>
      </c>
      <c r="F1617" s="3">
        <f>IF(B1617="","",SUMIFS('inventory ledger'!$H:$H,'inventory ledger'!$C:$C,C1617,'inventory ledger'!$D:$D,D1617,'inventory ledger'!$E:$E,E1617,'inventory ledger'!$A:$A,"&lt;="&amp;B1617+TIME(23,59,59))-SUMIFS('inventory ledger'!$I:$I,'inventory ledger'!$C:$C,C1617,'inventory ledger'!$D:$D,D1617,'inventory ledger'!$E:$E,E1617,'inventory ledger'!$A:$A,"&lt;="&amp;B1617+TIME(23,59,59)))</f>
        <v>0</v>
      </c>
      <c r="G1617" s="3">
        <f>IFERROR(__xludf.DUMMYFUNCTION("IF(F1617&lt;=0,0,IFERROR(ROUNDUP(F1617/INDEX(FILTER('warehouse config'!$D:$D,('warehouse config'!$B:$B=C1617)*('warehouse config'!$C:$C=D1617)*('warehouse config'!$G:$G&lt;=B1617)*(('warehouse config'!$H:$H&gt;=B1617)+ISBLANK('warehouse config'!$H:$H))),1)),0))"),0.0)</f>
        <v>0</v>
      </c>
      <c r="H1617" s="3">
        <f>IFERROR(__xludf.DUMMYFUNCTION("IFERROR(INDEX(FILTER('cost master'!$E:$E,('cost master'!$B:$B=C1617)*('cost master'!$D:$D=""Storage cost per pallet / week"")*('cost master'!$G:$G&lt;=B1617)*(('cost master'!$H:$H&gt;=B1617)+ISBLANK('cost master'!$H:$H))),1),0)"),2.6)</f>
        <v>2.6</v>
      </c>
      <c r="I1617" s="3">
        <f t="shared" si="4"/>
        <v>0</v>
      </c>
      <c r="J1617" s="27">
        <f t="shared" si="5"/>
        <v>45977</v>
      </c>
      <c r="K1617" s="27">
        <f t="shared" si="6"/>
        <v>46006</v>
      </c>
    </row>
    <row r="1618" hidden="1">
      <c r="A1618" s="3" t="str">
        <f t="shared" si="3"/>
        <v>SL-20251201-Vglobal-CS 011-12</v>
      </c>
      <c r="B1618" s="2">
        <f t="array" ref="B1618">INDEX(helper!$A$3:$A3996,ROUNDUP((ROW()-1)/COUNTA(helper!$D$3:$D3996),0))</f>
        <v>45992</v>
      </c>
      <c r="C1618" s="5" t="str">
        <f t="array" ref="C1618">IF(B1618="","",INDEX(helper!$D$3:$D3996,MOD(ROW()-2,COUNTA(helper!$D$3:$D3996))+1))</f>
        <v>Vglobal</v>
      </c>
      <c r="D1618" s="3" t="str">
        <f t="array" ref="D1618">IF(B1618="","",INDEX(helper!$E$3:$E3996,MOD(ROW()-2,COUNTA(helper!$D$3:$D3996))+1))</f>
        <v>CS 011</v>
      </c>
      <c r="E1618" s="3">
        <f t="array" ref="E1618">IF(B1618="","",INDEX(helper!$F$3:$F3996,MOD(ROW()-2,COUNTA(helper!$D$3:$D3996))+1))</f>
        <v>12</v>
      </c>
      <c r="F1618" s="3">
        <f>IF(B1618="","",SUMIFS('inventory ledger'!$H:$H,'inventory ledger'!$C:$C,C1618,'inventory ledger'!$D:$D,D1618,'inventory ledger'!$E:$E,E1618,'inventory ledger'!$A:$A,"&lt;="&amp;B1618+TIME(23,59,59))-SUMIFS('inventory ledger'!$I:$I,'inventory ledger'!$C:$C,C1618,'inventory ledger'!$D:$D,D1618,'inventory ledger'!$E:$E,E1618,'inventory ledger'!$A:$A,"&lt;="&amp;B1618+TIME(23,59,59)))</f>
        <v>0</v>
      </c>
      <c r="G1618" s="3">
        <f>IFERROR(__xludf.DUMMYFUNCTION("IF(F1618&lt;=0,0,IFERROR(ROUNDUP(F1618/INDEX(FILTER('warehouse config'!$D:$D,('warehouse config'!$B:$B=C1618)*('warehouse config'!$C:$C=D1618)*('warehouse config'!$G:$G&lt;=B1618)*(('warehouse config'!$H:$H&gt;=B1618)+ISBLANK('warehouse config'!$H:$H))),1)),0))"),0.0)</f>
        <v>0</v>
      </c>
      <c r="H1618" s="3">
        <f>IFERROR(__xludf.DUMMYFUNCTION("IFERROR(INDEX(FILTER('cost master'!$E:$E,('cost master'!$B:$B=C1618)*('cost master'!$D:$D=""Storage cost per pallet / week"")*('cost master'!$G:$G&lt;=B1618)*(('cost master'!$H:$H&gt;=B1618)+ISBLANK('cost master'!$H:$H))),1),0)"),2.6)</f>
        <v>2.6</v>
      </c>
      <c r="I1618" s="3">
        <f t="shared" si="4"/>
        <v>0</v>
      </c>
      <c r="J1618" s="27">
        <f t="shared" si="5"/>
        <v>45977</v>
      </c>
      <c r="K1618" s="27">
        <f t="shared" si="6"/>
        <v>46006</v>
      </c>
    </row>
    <row r="1619" hidden="1">
      <c r="A1619" s="3" t="str">
        <f t="shared" si="3"/>
        <v>SL-20251201-Vglobal-CS 008-12</v>
      </c>
      <c r="B1619" s="2">
        <f t="array" ref="B1619">INDEX(helper!$A$3:$A3996,ROUNDUP((ROW()-1)/COUNTA(helper!$D$3:$D3996),0))</f>
        <v>45992</v>
      </c>
      <c r="C1619" s="5" t="str">
        <f t="array" ref="C1619">IF(B1619="","",INDEX(helper!$D$3:$D3996,MOD(ROW()-2,COUNTA(helper!$D$3:$D3996))+1))</f>
        <v>Vglobal</v>
      </c>
      <c r="D1619" s="3" t="str">
        <f t="array" ref="D1619">IF(B1619="","",INDEX(helper!$E$3:$E3996,MOD(ROW()-2,COUNTA(helper!$D$3:$D3996))+1))</f>
        <v>CS 008</v>
      </c>
      <c r="E1619" s="3">
        <f t="array" ref="E1619">IF(B1619="","",INDEX(helper!$F$3:$F3996,MOD(ROW()-2,COUNTA(helper!$D$3:$D3996))+1))</f>
        <v>12</v>
      </c>
      <c r="F1619" s="3">
        <f>IF(B1619="","",SUMIFS('inventory ledger'!$H:$H,'inventory ledger'!$C:$C,C1619,'inventory ledger'!$D:$D,D1619,'inventory ledger'!$E:$E,E1619,'inventory ledger'!$A:$A,"&lt;="&amp;B1619+TIME(23,59,59))-SUMIFS('inventory ledger'!$I:$I,'inventory ledger'!$C:$C,C1619,'inventory ledger'!$D:$D,D1619,'inventory ledger'!$E:$E,E1619,'inventory ledger'!$A:$A,"&lt;="&amp;B1619+TIME(23,59,59)))</f>
        <v>0</v>
      </c>
      <c r="G1619" s="3">
        <f>IFERROR(__xludf.DUMMYFUNCTION("IF(F1619&lt;=0,0,IFERROR(ROUNDUP(F1619/INDEX(FILTER('warehouse config'!$D:$D,('warehouse config'!$B:$B=C1619)*('warehouse config'!$C:$C=D1619)*('warehouse config'!$G:$G&lt;=B1619)*(('warehouse config'!$H:$H&gt;=B1619)+ISBLANK('warehouse config'!$H:$H))),1)),0))"),0.0)</f>
        <v>0</v>
      </c>
      <c r="H1619" s="3">
        <f>IFERROR(__xludf.DUMMYFUNCTION("IFERROR(INDEX(FILTER('cost master'!$E:$E,('cost master'!$B:$B=C1619)*('cost master'!$D:$D=""Storage cost per pallet / week"")*('cost master'!$G:$G&lt;=B1619)*(('cost master'!$H:$H&gt;=B1619)+ISBLANK('cost master'!$H:$H))),1),0)"),2.6)</f>
        <v>2.6</v>
      </c>
      <c r="I1619" s="3">
        <f t="shared" si="4"/>
        <v>0</v>
      </c>
      <c r="J1619" s="27">
        <f t="shared" si="5"/>
        <v>45977</v>
      </c>
      <c r="K1619" s="27">
        <f t="shared" si="6"/>
        <v>46006</v>
      </c>
    </row>
    <row r="1620" hidden="1">
      <c r="A1620" s="3" t="str">
        <f t="shared" si="3"/>
        <v>SL-20251201-Vglobal-CS 010-12</v>
      </c>
      <c r="B1620" s="2">
        <f t="array" ref="B1620">INDEX(helper!$A$3:$A3996,ROUNDUP((ROW()-1)/COUNTA(helper!$D$3:$D3996),0))</f>
        <v>45992</v>
      </c>
      <c r="C1620" s="5" t="str">
        <f t="array" ref="C1620">IF(B1620="","",INDEX(helper!$D$3:$D3996,MOD(ROW()-2,COUNTA(helper!$D$3:$D3996))+1))</f>
        <v>Vglobal</v>
      </c>
      <c r="D1620" s="3" t="str">
        <f t="array" ref="D1620">IF(B1620="","",INDEX(helper!$E$3:$E3996,MOD(ROW()-2,COUNTA(helper!$D$3:$D3996))+1))</f>
        <v>CS 010</v>
      </c>
      <c r="E1620" s="3">
        <f t="array" ref="E1620">IF(B1620="","",INDEX(helper!$F$3:$F3996,MOD(ROW()-2,COUNTA(helper!$D$3:$D3996))+1))</f>
        <v>12</v>
      </c>
      <c r="F1620" s="3">
        <f>IF(B1620="","",SUMIFS('inventory ledger'!$H:$H,'inventory ledger'!$C:$C,C1620,'inventory ledger'!$D:$D,D1620,'inventory ledger'!$E:$E,E1620,'inventory ledger'!$A:$A,"&lt;="&amp;B1620+TIME(23,59,59))-SUMIFS('inventory ledger'!$I:$I,'inventory ledger'!$C:$C,C1620,'inventory ledger'!$D:$D,D1620,'inventory ledger'!$E:$E,E1620,'inventory ledger'!$A:$A,"&lt;="&amp;B1620+TIME(23,59,59)))</f>
        <v>70</v>
      </c>
      <c r="G1620" s="3">
        <f>IFERROR(__xludf.DUMMYFUNCTION("IF(F1620&lt;=0,0,IFERROR(ROUNDUP(F1620/INDEX(FILTER('warehouse config'!$D:$D,('warehouse config'!$B:$B=C1620)*('warehouse config'!$C:$C=D1620)*('warehouse config'!$G:$G&lt;=B1620)*(('warehouse config'!$H:$H&gt;=B1620)+ISBLANK('warehouse config'!$H:$H))),1)),0))"),3.0)</f>
        <v>3</v>
      </c>
      <c r="H1620" s="3">
        <f>IFERROR(__xludf.DUMMYFUNCTION("IFERROR(INDEX(FILTER('cost master'!$E:$E,('cost master'!$B:$B=C1620)*('cost master'!$D:$D=""Storage cost per pallet / week"")*('cost master'!$G:$G&lt;=B1620)*(('cost master'!$H:$H&gt;=B1620)+ISBLANK('cost master'!$H:$H))),1),0)"),2.6)</f>
        <v>2.6</v>
      </c>
      <c r="I1620" s="3">
        <f t="shared" si="4"/>
        <v>7.8</v>
      </c>
      <c r="J1620" s="27">
        <f t="shared" si="5"/>
        <v>45977</v>
      </c>
      <c r="K1620" s="27">
        <f t="shared" si="6"/>
        <v>46006</v>
      </c>
    </row>
    <row r="1621" hidden="1">
      <c r="A1621" s="3" t="str">
        <f t="shared" si="3"/>
        <v>SL-20251201-Vglobal-CS 009-12</v>
      </c>
      <c r="B1621" s="2">
        <f t="array" ref="B1621">INDEX(helper!$A$3:$A3996,ROUNDUP((ROW()-1)/COUNTA(helper!$D$3:$D3996),0))</f>
        <v>45992</v>
      </c>
      <c r="C1621" s="5" t="str">
        <f t="array" ref="C1621">IF(B1621="","",INDEX(helper!$D$3:$D3996,MOD(ROW()-2,COUNTA(helper!$D$3:$D3996))+1))</f>
        <v>Vglobal</v>
      </c>
      <c r="D1621" s="3" t="str">
        <f t="array" ref="D1621">IF(B1621="","",INDEX(helper!$E$3:$E3996,MOD(ROW()-2,COUNTA(helper!$D$3:$D3996))+1))</f>
        <v>CS 009</v>
      </c>
      <c r="E1621" s="3">
        <f t="array" ref="E1621">IF(B1621="","",INDEX(helper!$F$3:$F3996,MOD(ROW()-2,COUNTA(helper!$D$3:$D3996))+1))</f>
        <v>12</v>
      </c>
      <c r="F1621" s="3">
        <f>IF(B1621="","",SUMIFS('inventory ledger'!$H:$H,'inventory ledger'!$C:$C,C1621,'inventory ledger'!$D:$D,D1621,'inventory ledger'!$E:$E,E1621,'inventory ledger'!$A:$A,"&lt;="&amp;B1621+TIME(23,59,59))-SUMIFS('inventory ledger'!$I:$I,'inventory ledger'!$C:$C,C1621,'inventory ledger'!$D:$D,D1621,'inventory ledger'!$E:$E,E1621,'inventory ledger'!$A:$A,"&lt;="&amp;B1621+TIME(23,59,59)))</f>
        <v>0</v>
      </c>
      <c r="G1621" s="3">
        <f>IFERROR(__xludf.DUMMYFUNCTION("IF(F1621&lt;=0,0,IFERROR(ROUNDUP(F1621/INDEX(FILTER('warehouse config'!$D:$D,('warehouse config'!$B:$B=C1621)*('warehouse config'!$C:$C=D1621)*('warehouse config'!$G:$G&lt;=B1621)*(('warehouse config'!$H:$H&gt;=B1621)+ISBLANK('warehouse config'!$H:$H))),1)),0))"),0.0)</f>
        <v>0</v>
      </c>
      <c r="H1621" s="3">
        <f>IFERROR(__xludf.DUMMYFUNCTION("IFERROR(INDEX(FILTER('cost master'!$E:$E,('cost master'!$B:$B=C1621)*('cost master'!$D:$D=""Storage cost per pallet / week"")*('cost master'!$G:$G&lt;=B1621)*(('cost master'!$H:$H&gt;=B1621)+ISBLANK('cost master'!$H:$H))),1),0)"),2.6)</f>
        <v>2.6</v>
      </c>
      <c r="I1621" s="3">
        <f t="shared" si="4"/>
        <v>0</v>
      </c>
      <c r="J1621" s="27">
        <f t="shared" si="5"/>
        <v>45977</v>
      </c>
      <c r="K1621" s="27">
        <f t="shared" si="6"/>
        <v>46006</v>
      </c>
    </row>
    <row r="1622" hidden="1">
      <c r="A1622" s="3" t="str">
        <f t="shared" si="3"/>
        <v>SL-20251201-Vglobal-CS 012-12</v>
      </c>
      <c r="B1622" s="2">
        <f t="array" ref="B1622">INDEX(helper!$A$3:$A3996,ROUNDUP((ROW()-1)/COUNTA(helper!$D$3:$D3996),0))</f>
        <v>45992</v>
      </c>
      <c r="C1622" s="5" t="str">
        <f t="array" ref="C1622">IF(B1622="","",INDEX(helper!$D$3:$D3996,MOD(ROW()-2,COUNTA(helper!$D$3:$D3996))+1))</f>
        <v>Vglobal</v>
      </c>
      <c r="D1622" s="3" t="str">
        <f t="array" ref="D1622">IF(B1622="","",INDEX(helper!$E$3:$E3996,MOD(ROW()-2,COUNTA(helper!$D$3:$D3996))+1))</f>
        <v>CS 012</v>
      </c>
      <c r="E1622" s="3">
        <f t="array" ref="E1622">IF(B1622="","",INDEX(helper!$F$3:$F3996,MOD(ROW()-2,COUNTA(helper!$D$3:$D3996))+1))</f>
        <v>12</v>
      </c>
      <c r="F1622" s="3">
        <f>IF(B1622="","",SUMIFS('inventory ledger'!$H:$H,'inventory ledger'!$C:$C,C1622,'inventory ledger'!$D:$D,D1622,'inventory ledger'!$E:$E,E1622,'inventory ledger'!$A:$A,"&lt;="&amp;B1622+TIME(23,59,59))-SUMIFS('inventory ledger'!$I:$I,'inventory ledger'!$C:$C,C1622,'inventory ledger'!$D:$D,D1622,'inventory ledger'!$E:$E,E1622,'inventory ledger'!$A:$A,"&lt;="&amp;B1622+TIME(23,59,59)))</f>
        <v>0</v>
      </c>
      <c r="G1622" s="3">
        <f>IFERROR(__xludf.DUMMYFUNCTION("IF(F1622&lt;=0,0,IFERROR(ROUNDUP(F1622/INDEX(FILTER('warehouse config'!$D:$D,('warehouse config'!$B:$B=C1622)*('warehouse config'!$C:$C=D1622)*('warehouse config'!$G:$G&lt;=B1622)*(('warehouse config'!$H:$H&gt;=B1622)+ISBLANK('warehouse config'!$H:$H))),1)),0))"),0.0)</f>
        <v>0</v>
      </c>
      <c r="H1622" s="3">
        <f>IFERROR(__xludf.DUMMYFUNCTION("IFERROR(INDEX(FILTER('cost master'!$E:$E,('cost master'!$B:$B=C1622)*('cost master'!$D:$D=""Storage cost per pallet / week"")*('cost master'!$G:$G&lt;=B1622)*(('cost master'!$H:$H&gt;=B1622)+ISBLANK('cost master'!$H:$H))),1),0)"),2.6)</f>
        <v>2.6</v>
      </c>
      <c r="I1622" s="3">
        <f t="shared" si="4"/>
        <v>0</v>
      </c>
      <c r="J1622" s="27">
        <f t="shared" si="5"/>
        <v>45977</v>
      </c>
      <c r="K1622" s="27">
        <f t="shared" si="6"/>
        <v>46006</v>
      </c>
    </row>
    <row r="1623" hidden="1">
      <c r="A1623" s="3" t="str">
        <f t="shared" si="3"/>
        <v>SL-20251201-Vglobal-CS-CDS-001-3</v>
      </c>
      <c r="B1623" s="2">
        <f t="array" ref="B1623">INDEX(helper!$A$3:$A3996,ROUNDUP((ROW()-1)/COUNTA(helper!$D$3:$D3996),0))</f>
        <v>45992</v>
      </c>
      <c r="C1623" s="5" t="str">
        <f t="array" ref="C1623">IF(B1623="","",INDEX(helper!$D$3:$D3996,MOD(ROW()-2,COUNTA(helper!$D$3:$D3996))+1))</f>
        <v>Vglobal</v>
      </c>
      <c r="D1623" s="3" t="str">
        <f t="array" ref="D1623">IF(B1623="","",INDEX(helper!$E$3:$E3996,MOD(ROW()-2,COUNTA(helper!$D$3:$D3996))+1))</f>
        <v>CS-CDS-001</v>
      </c>
      <c r="E1623" s="3">
        <f t="array" ref="E1623">IF(B1623="","",INDEX(helper!$F$3:$F3996,MOD(ROW()-2,COUNTA(helper!$D$3:$D3996))+1))</f>
        <v>3</v>
      </c>
      <c r="F1623" s="3">
        <f>IF(B1623="","",SUMIFS('inventory ledger'!$H:$H,'inventory ledger'!$C:$C,C1623,'inventory ledger'!$D:$D,D1623,'inventory ledger'!$E:$E,E1623,'inventory ledger'!$A:$A,"&lt;="&amp;B1623+TIME(23,59,59))-SUMIFS('inventory ledger'!$I:$I,'inventory ledger'!$C:$C,C1623,'inventory ledger'!$D:$D,D1623,'inventory ledger'!$E:$E,E1623,'inventory ledger'!$A:$A,"&lt;="&amp;B1623+TIME(23,59,59)))</f>
        <v>1</v>
      </c>
      <c r="G1623" s="3">
        <f>IFERROR(__xludf.DUMMYFUNCTION("IF(F1623&lt;=0,0,IFERROR(ROUNDUP(F1623/INDEX(FILTER('warehouse config'!$D:$D,('warehouse config'!$B:$B=C1623)*('warehouse config'!$C:$C=D1623)*('warehouse config'!$G:$G&lt;=B1623)*(('warehouse config'!$H:$H&gt;=B1623)+ISBLANK('warehouse config'!$H:$H))),1)),0))"),1.0)</f>
        <v>1</v>
      </c>
      <c r="H1623" s="3">
        <f>IFERROR(__xludf.DUMMYFUNCTION("IFERROR(INDEX(FILTER('cost master'!$E:$E,('cost master'!$B:$B=C1623)*('cost master'!$D:$D=""Storage cost per pallet / week"")*('cost master'!$G:$G&lt;=B1623)*(('cost master'!$H:$H&gt;=B1623)+ISBLANK('cost master'!$H:$H))),1),0)"),2.6)</f>
        <v>2.6</v>
      </c>
      <c r="I1623" s="3">
        <f t="shared" si="4"/>
        <v>2.6</v>
      </c>
      <c r="J1623" s="27">
        <f t="shared" si="5"/>
        <v>45977</v>
      </c>
      <c r="K1623" s="27">
        <f t="shared" si="6"/>
        <v>46006</v>
      </c>
    </row>
    <row r="1624" hidden="1">
      <c r="A1624" s="3" t="str">
        <f t="shared" si="3"/>
        <v>SL-20251201-Vglobal-CS-CDS-002-3</v>
      </c>
      <c r="B1624" s="2">
        <f t="array" ref="B1624">INDEX(helper!$A$3:$A3996,ROUNDUP((ROW()-1)/COUNTA(helper!$D$3:$D3996),0))</f>
        <v>45992</v>
      </c>
      <c r="C1624" s="5" t="str">
        <f t="array" ref="C1624">IF(B1624="","",INDEX(helper!$D$3:$D3996,MOD(ROW()-2,COUNTA(helper!$D$3:$D3996))+1))</f>
        <v>Vglobal</v>
      </c>
      <c r="D1624" s="3" t="str">
        <f t="array" ref="D1624">IF(B1624="","",INDEX(helper!$E$3:$E3996,MOD(ROW()-2,COUNTA(helper!$D$3:$D3996))+1))</f>
        <v>CS-CDS-002</v>
      </c>
      <c r="E1624" s="3">
        <f t="array" ref="E1624">IF(B1624="","",INDEX(helper!$F$3:$F3996,MOD(ROW()-2,COUNTA(helper!$D$3:$D3996))+1))</f>
        <v>3</v>
      </c>
      <c r="F1624" s="3">
        <f>IF(B1624="","",SUMIFS('inventory ledger'!$H:$H,'inventory ledger'!$C:$C,C1624,'inventory ledger'!$D:$D,D1624,'inventory ledger'!$E:$E,E1624,'inventory ledger'!$A:$A,"&lt;="&amp;B1624+TIME(23,59,59))-SUMIFS('inventory ledger'!$I:$I,'inventory ledger'!$C:$C,C1624,'inventory ledger'!$D:$D,D1624,'inventory ledger'!$E:$E,E1624,'inventory ledger'!$A:$A,"&lt;="&amp;B1624+TIME(23,59,59)))</f>
        <v>0</v>
      </c>
      <c r="G1624" s="3">
        <f>IFERROR(__xludf.DUMMYFUNCTION("IF(F1624&lt;=0,0,IFERROR(ROUNDUP(F1624/INDEX(FILTER('warehouse config'!$D:$D,('warehouse config'!$B:$B=C1624)*('warehouse config'!$C:$C=D1624)*('warehouse config'!$G:$G&lt;=B1624)*(('warehouse config'!$H:$H&gt;=B1624)+ISBLANK('warehouse config'!$H:$H))),1)),0))"),0.0)</f>
        <v>0</v>
      </c>
      <c r="H1624" s="3">
        <f>IFERROR(__xludf.DUMMYFUNCTION("IFERROR(INDEX(FILTER('cost master'!$E:$E,('cost master'!$B:$B=C1624)*('cost master'!$D:$D=""Storage cost per pallet / week"")*('cost master'!$G:$G&lt;=B1624)*(('cost master'!$H:$H&gt;=B1624)+ISBLANK('cost master'!$H:$H))),1),0)"),2.6)</f>
        <v>2.6</v>
      </c>
      <c r="I1624" s="3">
        <f t="shared" si="4"/>
        <v>0</v>
      </c>
      <c r="J1624" s="27">
        <f t="shared" si="5"/>
        <v>45977</v>
      </c>
      <c r="K1624" s="27">
        <f t="shared" si="6"/>
        <v>46006</v>
      </c>
    </row>
    <row r="1625" hidden="1">
      <c r="A1625" s="3" t="str">
        <f t="shared" si="3"/>
        <v>SL-20251201-4as-CS-CDS-001-4</v>
      </c>
      <c r="B1625" s="2">
        <f t="array" ref="B1625">INDEX(helper!$A$3:$A3996,ROUNDUP((ROW()-1)/COUNTA(helper!$D$3:$D3996),0))</f>
        <v>45992</v>
      </c>
      <c r="C1625" s="5" t="str">
        <f t="array" ref="C1625">IF(B1625="","",INDEX(helper!$D$3:$D3996,MOD(ROW()-2,COUNTA(helper!$D$3:$D3996))+1))</f>
        <v>4as</v>
      </c>
      <c r="D1625" s="3" t="str">
        <f t="array" ref="D1625">IF(B1625="","",INDEX(helper!$E$3:$E3996,MOD(ROW()-2,COUNTA(helper!$D$3:$D3996))+1))</f>
        <v>CS-CDS-001</v>
      </c>
      <c r="E1625" s="3">
        <f t="array" ref="E1625">IF(B1625="","",INDEX(helper!$F$3:$F3996,MOD(ROW()-2,COUNTA(helper!$D$3:$D3996))+1))</f>
        <v>4</v>
      </c>
      <c r="F1625" s="3">
        <f>IF(B1625="","",SUMIFS('inventory ledger'!$H:$H,'inventory ledger'!$C:$C,C1625,'inventory ledger'!$D:$D,D1625,'inventory ledger'!$E:$E,E1625,'inventory ledger'!$A:$A,"&lt;="&amp;B1625+TIME(23,59,59))-SUMIFS('inventory ledger'!$I:$I,'inventory ledger'!$C:$C,C1625,'inventory ledger'!$D:$D,D1625,'inventory ledger'!$E:$E,E1625,'inventory ledger'!$A:$A,"&lt;="&amp;B1625+TIME(23,59,59)))</f>
        <v>0</v>
      </c>
      <c r="G1625" s="3">
        <f>IFERROR(__xludf.DUMMYFUNCTION("IF(F1625&lt;=0,0,IFERROR(ROUNDUP(F1625/INDEX(FILTER('warehouse config'!$D:$D,('warehouse config'!$B:$B=C1625)*('warehouse config'!$C:$C=D1625)*('warehouse config'!$G:$G&lt;=B1625)*(('warehouse config'!$H:$H&gt;=B1625)+ISBLANK('warehouse config'!$H:$H))),1)),0))"),0.0)</f>
        <v>0</v>
      </c>
      <c r="H1625" s="3">
        <f>IFERROR(__xludf.DUMMYFUNCTION("IFERROR(INDEX(FILTER('cost master'!$E:$E,('cost master'!$B:$B=C1625)*('cost master'!$D:$D=""Storage cost per pallet / week"")*('cost master'!$G:$G&lt;=B1625)*(('cost master'!$H:$H&gt;=B1625)+ISBLANK('cost master'!$H:$H))),1),0)"),9.0)</f>
        <v>9</v>
      </c>
      <c r="I1625" s="3">
        <f t="shared" si="4"/>
        <v>0</v>
      </c>
      <c r="J1625" s="27">
        <f t="shared" si="5"/>
        <v>45977</v>
      </c>
      <c r="K1625" s="27">
        <f t="shared" si="6"/>
        <v>46006</v>
      </c>
    </row>
    <row r="1626" hidden="1">
      <c r="A1626" s="3" t="str">
        <f t="shared" si="3"/>
        <v>SL-20251201-4as-CS-CDS-002-4</v>
      </c>
      <c r="B1626" s="2">
        <f t="array" ref="B1626">INDEX(helper!$A$3:$A3996,ROUNDUP((ROW()-1)/COUNTA(helper!$D$3:$D3996),0))</f>
        <v>45992</v>
      </c>
      <c r="C1626" s="5" t="str">
        <f t="array" ref="C1626">IF(B1626="","",INDEX(helper!$D$3:$D3996,MOD(ROW()-2,COUNTA(helper!$D$3:$D3996))+1))</f>
        <v>4as</v>
      </c>
      <c r="D1626" s="3" t="str">
        <f t="array" ref="D1626">IF(B1626="","",INDEX(helper!$E$3:$E3996,MOD(ROW()-2,COUNTA(helper!$D$3:$D3996))+1))</f>
        <v>CS-CDS-002</v>
      </c>
      <c r="E1626" s="3">
        <f t="array" ref="E1626">IF(B1626="","",INDEX(helper!$F$3:$F3996,MOD(ROW()-2,COUNTA(helper!$D$3:$D3996))+1))</f>
        <v>4</v>
      </c>
      <c r="F1626" s="3">
        <f>IF(B1626="","",SUMIFS('inventory ledger'!$H:$H,'inventory ledger'!$C:$C,C1626,'inventory ledger'!$D:$D,D1626,'inventory ledger'!$E:$E,E1626,'inventory ledger'!$A:$A,"&lt;="&amp;B1626+TIME(23,59,59))-SUMIFS('inventory ledger'!$I:$I,'inventory ledger'!$C:$C,C1626,'inventory ledger'!$D:$D,D1626,'inventory ledger'!$E:$E,E1626,'inventory ledger'!$A:$A,"&lt;="&amp;B1626+TIME(23,59,59)))</f>
        <v>0</v>
      </c>
      <c r="G1626" s="3">
        <f>IFERROR(__xludf.DUMMYFUNCTION("IF(F1626&lt;=0,0,IFERROR(ROUNDUP(F1626/INDEX(FILTER('warehouse config'!$D:$D,('warehouse config'!$B:$B=C1626)*('warehouse config'!$C:$C=D1626)*('warehouse config'!$G:$G&lt;=B1626)*(('warehouse config'!$H:$H&gt;=B1626)+ISBLANK('warehouse config'!$H:$H))),1)),0))"),0.0)</f>
        <v>0</v>
      </c>
      <c r="H1626" s="3">
        <f>IFERROR(__xludf.DUMMYFUNCTION("IFERROR(INDEX(FILTER('cost master'!$E:$E,('cost master'!$B:$B=C1626)*('cost master'!$D:$D=""Storage cost per pallet / week"")*('cost master'!$G:$G&lt;=B1626)*(('cost master'!$H:$H&gt;=B1626)+ISBLANK('cost master'!$H:$H))),1),0)"),9.0)</f>
        <v>9</v>
      </c>
      <c r="I1626" s="3">
        <f t="shared" si="4"/>
        <v>0</v>
      </c>
      <c r="J1626" s="27">
        <f t="shared" si="5"/>
        <v>45977</v>
      </c>
      <c r="K1626" s="27">
        <f t="shared" si="6"/>
        <v>46006</v>
      </c>
    </row>
    <row r="1627" hidden="1">
      <c r="A1627" s="3" t="str">
        <f t="shared" si="3"/>
        <v>SL-20251201-Vglobal-CS 007-13</v>
      </c>
      <c r="B1627" s="2">
        <f t="array" ref="B1627">INDEX(helper!$A$3:$A3996,ROUNDUP((ROW()-1)/COUNTA(helper!$D$3:$D3996),0))</f>
        <v>45992</v>
      </c>
      <c r="C1627" s="5" t="str">
        <f t="array" ref="C1627">IF(B1627="","",INDEX(helper!$D$3:$D3996,MOD(ROW()-2,COUNTA(helper!$D$3:$D3996))+1))</f>
        <v>Vglobal</v>
      </c>
      <c r="D1627" s="3" t="str">
        <f t="array" ref="D1627">IF(B1627="","",INDEX(helper!$E$3:$E3996,MOD(ROW()-2,COUNTA(helper!$D$3:$D3996))+1))</f>
        <v>CS 007</v>
      </c>
      <c r="E1627" s="3">
        <f t="array" ref="E1627">IF(B1627="","",INDEX(helper!$F$3:$F3996,MOD(ROW()-2,COUNTA(helper!$D$3:$D3996))+1))</f>
        <v>13</v>
      </c>
      <c r="F1627" s="3">
        <f>IF(B1627="","",SUMIFS('inventory ledger'!$H:$H,'inventory ledger'!$C:$C,C1627,'inventory ledger'!$D:$D,D1627,'inventory ledger'!$E:$E,E1627,'inventory ledger'!$A:$A,"&lt;="&amp;B1627+TIME(23,59,59))-SUMIFS('inventory ledger'!$I:$I,'inventory ledger'!$C:$C,C1627,'inventory ledger'!$D:$D,D1627,'inventory ledger'!$E:$E,E1627,'inventory ledger'!$A:$A,"&lt;="&amp;B1627+TIME(23,59,59)))</f>
        <v>45</v>
      </c>
      <c r="G1627" s="3">
        <f>IFERROR(__xludf.DUMMYFUNCTION("IF(F1627&lt;=0,0,IFERROR(ROUNDUP(F1627/INDEX(FILTER('warehouse config'!$D:$D,('warehouse config'!$B:$B=C1627)*('warehouse config'!$C:$C=D1627)*('warehouse config'!$G:$G&lt;=B1627)*(('warehouse config'!$H:$H&gt;=B1627)+ISBLANK('warehouse config'!$H:$H))),1)),0))"),3.0)</f>
        <v>3</v>
      </c>
      <c r="H1627" s="3">
        <f>IFERROR(__xludf.DUMMYFUNCTION("IFERROR(INDEX(FILTER('cost master'!$E:$E,('cost master'!$B:$B=C1627)*('cost master'!$D:$D=""Storage cost per pallet / week"")*('cost master'!$G:$G&lt;=B1627)*(('cost master'!$H:$H&gt;=B1627)+ISBLANK('cost master'!$H:$H))),1),0)"),2.6)</f>
        <v>2.6</v>
      </c>
      <c r="I1627" s="3">
        <f t="shared" si="4"/>
        <v>7.8</v>
      </c>
      <c r="J1627" s="27">
        <f t="shared" si="5"/>
        <v>45977</v>
      </c>
      <c r="K1627" s="27">
        <f t="shared" si="6"/>
        <v>46006</v>
      </c>
    </row>
    <row r="1628" hidden="1">
      <c r="A1628" s="3" t="str">
        <f t="shared" si="3"/>
        <v>SL-20251201-Vglobal-CS 011-13</v>
      </c>
      <c r="B1628" s="2">
        <f t="array" ref="B1628">INDEX(helper!$A$3:$A3996,ROUNDUP((ROW()-1)/COUNTA(helper!$D$3:$D3996),0))</f>
        <v>45992</v>
      </c>
      <c r="C1628" s="5" t="str">
        <f t="array" ref="C1628">IF(B1628="","",INDEX(helper!$D$3:$D3996,MOD(ROW()-2,COUNTA(helper!$D$3:$D3996))+1))</f>
        <v>Vglobal</v>
      </c>
      <c r="D1628" s="3" t="str">
        <f t="array" ref="D1628">IF(B1628="","",INDEX(helper!$E$3:$E3996,MOD(ROW()-2,COUNTA(helper!$D$3:$D3996))+1))</f>
        <v>CS 011</v>
      </c>
      <c r="E1628" s="3">
        <f t="array" ref="E1628">IF(B1628="","",INDEX(helper!$F$3:$F3996,MOD(ROW()-2,COUNTA(helper!$D$3:$D3996))+1))</f>
        <v>13</v>
      </c>
      <c r="F1628" s="3">
        <f>IF(B1628="","",SUMIFS('inventory ledger'!$H:$H,'inventory ledger'!$C:$C,C1628,'inventory ledger'!$D:$D,D1628,'inventory ledger'!$E:$E,E1628,'inventory ledger'!$A:$A,"&lt;="&amp;B1628+TIME(23,59,59))-SUMIFS('inventory ledger'!$I:$I,'inventory ledger'!$C:$C,C1628,'inventory ledger'!$D:$D,D1628,'inventory ledger'!$E:$E,E1628,'inventory ledger'!$A:$A,"&lt;="&amp;B1628+TIME(23,59,59)))</f>
        <v>0</v>
      </c>
      <c r="G1628" s="3">
        <f>IFERROR(__xludf.DUMMYFUNCTION("IF(F1628&lt;=0,0,IFERROR(ROUNDUP(F1628/INDEX(FILTER('warehouse config'!$D:$D,('warehouse config'!$B:$B=C1628)*('warehouse config'!$C:$C=D1628)*('warehouse config'!$G:$G&lt;=B1628)*(('warehouse config'!$H:$H&gt;=B1628)+ISBLANK('warehouse config'!$H:$H))),1)),0))"),0.0)</f>
        <v>0</v>
      </c>
      <c r="H1628" s="3">
        <f>IFERROR(__xludf.DUMMYFUNCTION("IFERROR(INDEX(FILTER('cost master'!$E:$E,('cost master'!$B:$B=C1628)*('cost master'!$D:$D=""Storage cost per pallet / week"")*('cost master'!$G:$G&lt;=B1628)*(('cost master'!$H:$H&gt;=B1628)+ISBLANK('cost master'!$H:$H))),1),0)"),2.6)</f>
        <v>2.6</v>
      </c>
      <c r="I1628" s="3">
        <f t="shared" si="4"/>
        <v>0</v>
      </c>
      <c r="J1628" s="27">
        <f t="shared" si="5"/>
        <v>45977</v>
      </c>
      <c r="K1628" s="27">
        <f t="shared" si="6"/>
        <v>46006</v>
      </c>
    </row>
    <row r="1629" hidden="1">
      <c r="A1629" s="3" t="str">
        <f t="shared" si="3"/>
        <v>SL-20251201-Vglobal-CS 008-13</v>
      </c>
      <c r="B1629" s="2">
        <f t="array" ref="B1629">INDEX(helper!$A$3:$A3996,ROUNDUP((ROW()-1)/COUNTA(helper!$D$3:$D3996),0))</f>
        <v>45992</v>
      </c>
      <c r="C1629" s="5" t="str">
        <f t="array" ref="C1629">IF(B1629="","",INDEX(helper!$D$3:$D3996,MOD(ROW()-2,COUNTA(helper!$D$3:$D3996))+1))</f>
        <v>Vglobal</v>
      </c>
      <c r="D1629" s="3" t="str">
        <f t="array" ref="D1629">IF(B1629="","",INDEX(helper!$E$3:$E3996,MOD(ROW()-2,COUNTA(helper!$D$3:$D3996))+1))</f>
        <v>CS 008</v>
      </c>
      <c r="E1629" s="3">
        <f t="array" ref="E1629">IF(B1629="","",INDEX(helper!$F$3:$F3996,MOD(ROW()-2,COUNTA(helper!$D$3:$D3996))+1))</f>
        <v>13</v>
      </c>
      <c r="F1629" s="3">
        <f>IF(B1629="","",SUMIFS('inventory ledger'!$H:$H,'inventory ledger'!$C:$C,C1629,'inventory ledger'!$D:$D,D1629,'inventory ledger'!$E:$E,E1629,'inventory ledger'!$A:$A,"&lt;="&amp;B1629+TIME(23,59,59))-SUMIFS('inventory ledger'!$I:$I,'inventory ledger'!$C:$C,C1629,'inventory ledger'!$D:$D,D1629,'inventory ledger'!$E:$E,E1629,'inventory ledger'!$A:$A,"&lt;="&amp;B1629+TIME(23,59,59)))</f>
        <v>20</v>
      </c>
      <c r="G1629" s="3">
        <f>IFERROR(__xludf.DUMMYFUNCTION("IF(F1629&lt;=0,0,IFERROR(ROUNDUP(F1629/INDEX(FILTER('warehouse config'!$D:$D,('warehouse config'!$B:$B=C1629)*('warehouse config'!$C:$C=D1629)*('warehouse config'!$G:$G&lt;=B1629)*(('warehouse config'!$H:$H&gt;=B1629)+ISBLANK('warehouse config'!$H:$H))),1)),0))"),1.0)</f>
        <v>1</v>
      </c>
      <c r="H1629" s="3">
        <f>IFERROR(__xludf.DUMMYFUNCTION("IFERROR(INDEX(FILTER('cost master'!$E:$E,('cost master'!$B:$B=C1629)*('cost master'!$D:$D=""Storage cost per pallet / week"")*('cost master'!$G:$G&lt;=B1629)*(('cost master'!$H:$H&gt;=B1629)+ISBLANK('cost master'!$H:$H))),1),0)"),2.6)</f>
        <v>2.6</v>
      </c>
      <c r="I1629" s="3">
        <f t="shared" si="4"/>
        <v>2.6</v>
      </c>
      <c r="J1629" s="27">
        <f t="shared" si="5"/>
        <v>45977</v>
      </c>
      <c r="K1629" s="27">
        <f t="shared" si="6"/>
        <v>46006</v>
      </c>
    </row>
    <row r="1630" hidden="1">
      <c r="A1630" s="3" t="str">
        <f t="shared" si="3"/>
        <v>SL-20251201-Vglobal-CS 010-13</v>
      </c>
      <c r="B1630" s="2">
        <f t="array" ref="B1630">INDEX(helper!$A$3:$A3996,ROUNDUP((ROW()-1)/COUNTA(helper!$D$3:$D3996),0))</f>
        <v>45992</v>
      </c>
      <c r="C1630" s="5" t="str">
        <f t="array" ref="C1630">IF(B1630="","",INDEX(helper!$D$3:$D3996,MOD(ROW()-2,COUNTA(helper!$D$3:$D3996))+1))</f>
        <v>Vglobal</v>
      </c>
      <c r="D1630" s="3" t="str">
        <f t="array" ref="D1630">IF(B1630="","",INDEX(helper!$E$3:$E3996,MOD(ROW()-2,COUNTA(helper!$D$3:$D3996))+1))</f>
        <v>CS 010</v>
      </c>
      <c r="E1630" s="3">
        <f t="array" ref="E1630">IF(B1630="","",INDEX(helper!$F$3:$F3996,MOD(ROW()-2,COUNTA(helper!$D$3:$D3996))+1))</f>
        <v>13</v>
      </c>
      <c r="F1630" s="3">
        <f>IF(B1630="","",SUMIFS('inventory ledger'!$H:$H,'inventory ledger'!$C:$C,C1630,'inventory ledger'!$D:$D,D1630,'inventory ledger'!$E:$E,E1630,'inventory ledger'!$A:$A,"&lt;="&amp;B1630+TIME(23,59,59))-SUMIFS('inventory ledger'!$I:$I,'inventory ledger'!$C:$C,C1630,'inventory ledger'!$D:$D,D1630,'inventory ledger'!$E:$E,E1630,'inventory ledger'!$A:$A,"&lt;="&amp;B1630+TIME(23,59,59)))</f>
        <v>80</v>
      </c>
      <c r="G1630" s="3">
        <f>IFERROR(__xludf.DUMMYFUNCTION("IF(F1630&lt;=0,0,IFERROR(ROUNDUP(F1630/INDEX(FILTER('warehouse config'!$D:$D,('warehouse config'!$B:$B=C1630)*('warehouse config'!$C:$C=D1630)*('warehouse config'!$G:$G&lt;=B1630)*(('warehouse config'!$H:$H&gt;=B1630)+ISBLANK('warehouse config'!$H:$H))),1)),0))"),4.0)</f>
        <v>4</v>
      </c>
      <c r="H1630" s="3">
        <f>IFERROR(__xludf.DUMMYFUNCTION("IFERROR(INDEX(FILTER('cost master'!$E:$E,('cost master'!$B:$B=C1630)*('cost master'!$D:$D=""Storage cost per pallet / week"")*('cost master'!$G:$G&lt;=B1630)*(('cost master'!$H:$H&gt;=B1630)+ISBLANK('cost master'!$H:$H))),1),0)"),2.6)</f>
        <v>2.6</v>
      </c>
      <c r="I1630" s="3">
        <f t="shared" si="4"/>
        <v>10.4</v>
      </c>
      <c r="J1630" s="27">
        <f t="shared" si="5"/>
        <v>45977</v>
      </c>
      <c r="K1630" s="27">
        <f t="shared" si="6"/>
        <v>46006</v>
      </c>
    </row>
    <row r="1631" hidden="1">
      <c r="A1631" s="3" t="str">
        <f t="shared" si="3"/>
        <v>SL-20251201-Vglobal-CS 009-13</v>
      </c>
      <c r="B1631" s="2">
        <f t="array" ref="B1631">INDEX(helper!$A$3:$A3996,ROUNDUP((ROW()-1)/COUNTA(helper!$D$3:$D3996),0))</f>
        <v>45992</v>
      </c>
      <c r="C1631" s="5" t="str">
        <f t="array" ref="C1631">IF(B1631="","",INDEX(helper!$D$3:$D3996,MOD(ROW()-2,COUNTA(helper!$D$3:$D3996))+1))</f>
        <v>Vglobal</v>
      </c>
      <c r="D1631" s="3" t="str">
        <f t="array" ref="D1631">IF(B1631="","",INDEX(helper!$E$3:$E3996,MOD(ROW()-2,COUNTA(helper!$D$3:$D3996))+1))</f>
        <v>CS 009</v>
      </c>
      <c r="E1631" s="3">
        <f t="array" ref="E1631">IF(B1631="","",INDEX(helper!$F$3:$F3996,MOD(ROW()-2,COUNTA(helper!$D$3:$D3996))+1))</f>
        <v>13</v>
      </c>
      <c r="F1631" s="3">
        <f>IF(B1631="","",SUMIFS('inventory ledger'!$H:$H,'inventory ledger'!$C:$C,C1631,'inventory ledger'!$D:$D,D1631,'inventory ledger'!$E:$E,E1631,'inventory ledger'!$A:$A,"&lt;="&amp;B1631+TIME(23,59,59))-SUMIFS('inventory ledger'!$I:$I,'inventory ledger'!$C:$C,C1631,'inventory ledger'!$D:$D,D1631,'inventory ledger'!$E:$E,E1631,'inventory ledger'!$A:$A,"&lt;="&amp;B1631+TIME(23,59,59)))</f>
        <v>0</v>
      </c>
      <c r="G1631" s="3">
        <f>IFERROR(__xludf.DUMMYFUNCTION("IF(F1631&lt;=0,0,IFERROR(ROUNDUP(F1631/INDEX(FILTER('warehouse config'!$D:$D,('warehouse config'!$B:$B=C1631)*('warehouse config'!$C:$C=D1631)*('warehouse config'!$G:$G&lt;=B1631)*(('warehouse config'!$H:$H&gt;=B1631)+ISBLANK('warehouse config'!$H:$H))),1)),0))"),0.0)</f>
        <v>0</v>
      </c>
      <c r="H1631" s="3">
        <f>IFERROR(__xludf.DUMMYFUNCTION("IFERROR(INDEX(FILTER('cost master'!$E:$E,('cost master'!$B:$B=C1631)*('cost master'!$D:$D=""Storage cost per pallet / week"")*('cost master'!$G:$G&lt;=B1631)*(('cost master'!$H:$H&gt;=B1631)+ISBLANK('cost master'!$H:$H))),1),0)"),2.6)</f>
        <v>2.6</v>
      </c>
      <c r="I1631" s="3">
        <f t="shared" si="4"/>
        <v>0</v>
      </c>
      <c r="J1631" s="27">
        <f t="shared" si="5"/>
        <v>45977</v>
      </c>
      <c r="K1631" s="27">
        <f t="shared" si="6"/>
        <v>46006</v>
      </c>
    </row>
    <row r="1632" hidden="1">
      <c r="A1632" s="3" t="str">
        <f t="shared" si="3"/>
        <v>SL-20251201-Vglobal-CS 012-13</v>
      </c>
      <c r="B1632" s="2">
        <f t="array" ref="B1632">INDEX(helper!$A$3:$A3996,ROUNDUP((ROW()-1)/COUNTA(helper!$D$3:$D3996),0))</f>
        <v>45992</v>
      </c>
      <c r="C1632" s="5" t="str">
        <f t="array" ref="C1632">IF(B1632="","",INDEX(helper!$D$3:$D3996,MOD(ROW()-2,COUNTA(helper!$D$3:$D3996))+1))</f>
        <v>Vglobal</v>
      </c>
      <c r="D1632" s="3" t="str">
        <f t="array" ref="D1632">IF(B1632="","",INDEX(helper!$E$3:$E3996,MOD(ROW()-2,COUNTA(helper!$D$3:$D3996))+1))</f>
        <v>CS 012</v>
      </c>
      <c r="E1632" s="3">
        <f t="array" ref="E1632">IF(B1632="","",INDEX(helper!$F$3:$F3996,MOD(ROW()-2,COUNTA(helper!$D$3:$D3996))+1))</f>
        <v>13</v>
      </c>
      <c r="F1632" s="3">
        <f>IF(B1632="","",SUMIFS('inventory ledger'!$H:$H,'inventory ledger'!$C:$C,C1632,'inventory ledger'!$D:$D,D1632,'inventory ledger'!$E:$E,E1632,'inventory ledger'!$A:$A,"&lt;="&amp;B1632+TIME(23,59,59))-SUMIFS('inventory ledger'!$I:$I,'inventory ledger'!$C:$C,C1632,'inventory ledger'!$D:$D,D1632,'inventory ledger'!$E:$E,E1632,'inventory ledger'!$A:$A,"&lt;="&amp;B1632+TIME(23,59,59)))</f>
        <v>0</v>
      </c>
      <c r="G1632" s="3">
        <f>IFERROR(__xludf.DUMMYFUNCTION("IF(F1632&lt;=0,0,IFERROR(ROUNDUP(F1632/INDEX(FILTER('warehouse config'!$D:$D,('warehouse config'!$B:$B=C1632)*('warehouse config'!$C:$C=D1632)*('warehouse config'!$G:$G&lt;=B1632)*(('warehouse config'!$H:$H&gt;=B1632)+ISBLANK('warehouse config'!$H:$H))),1)),0))"),0.0)</f>
        <v>0</v>
      </c>
      <c r="H1632" s="3">
        <f>IFERROR(__xludf.DUMMYFUNCTION("IFERROR(INDEX(FILTER('cost master'!$E:$E,('cost master'!$B:$B=C1632)*('cost master'!$D:$D=""Storage cost per pallet / week"")*('cost master'!$G:$G&lt;=B1632)*(('cost master'!$H:$H&gt;=B1632)+ISBLANK('cost master'!$H:$H))),1),0)"),2.6)</f>
        <v>2.6</v>
      </c>
      <c r="I1632" s="3">
        <f t="shared" si="4"/>
        <v>0</v>
      </c>
      <c r="J1632" s="27">
        <f t="shared" si="5"/>
        <v>45977</v>
      </c>
      <c r="K1632" s="27">
        <f t="shared" si="6"/>
        <v>46006</v>
      </c>
    </row>
    <row r="1633">
      <c r="A1633" s="3" t="str">
        <f t="shared" si="3"/>
        <v>SL-20251201-FMC-CS 008-11</v>
      </c>
      <c r="B1633" s="2">
        <f t="array" ref="B1633">INDEX(helper!$A$3:$A3996,ROUNDUP((ROW()-1)/COUNTA(helper!$D$3:$D3996),0))</f>
        <v>45992</v>
      </c>
      <c r="C1633" s="5" t="str">
        <f t="array" ref="C1633">IF(B1633="","",INDEX(helper!$D$3:$D3996,MOD(ROW()-2,COUNTA(helper!$D$3:$D3996))+1))</f>
        <v>FMC</v>
      </c>
      <c r="D1633" s="3" t="str">
        <f t="array" ref="D1633">IF(B1633="","",INDEX(helper!$E$3:$E3996,MOD(ROW()-2,COUNTA(helper!$D$3:$D3996))+1))</f>
        <v>CS 008</v>
      </c>
      <c r="E1633" s="3">
        <f t="array" ref="E1633">IF(B1633="","",INDEX(helper!$F$3:$F3996,MOD(ROW()-2,COUNTA(helper!$D$3:$D3996))+1))</f>
        <v>11</v>
      </c>
      <c r="F1633" s="3">
        <f>IF(B1633="","",SUMIFS('inventory ledger'!$H:$H,'inventory ledger'!$C:$C,C1633,'inventory ledger'!$D:$D,D1633,'inventory ledger'!$E:$E,E1633,'inventory ledger'!$A:$A,"&lt;="&amp;B1633+TIME(23,59,59))-SUMIFS('inventory ledger'!$I:$I,'inventory ledger'!$C:$C,C1633,'inventory ledger'!$D:$D,D1633,'inventory ledger'!$E:$E,E1633,'inventory ledger'!$A:$A,"&lt;="&amp;B1633+TIME(23,59,59)))</f>
        <v>-2</v>
      </c>
      <c r="G1633" s="3">
        <f>IFERROR(__xludf.DUMMYFUNCTION("IF(F1633&lt;=0,0,IFERROR(ROUNDUP(F1633/INDEX(FILTER('warehouse config'!$D:$D,('warehouse config'!$B:$B=C1633)*('warehouse config'!$C:$C=D1633)*('warehouse config'!$G:$G&lt;=B1633)*(('warehouse config'!$H:$H&gt;=B1633)+ISBLANK('warehouse config'!$H:$H))),1)),0))"),0.0)</f>
        <v>0</v>
      </c>
      <c r="H1633" s="3">
        <f>IFERROR(__xludf.DUMMYFUNCTION("IFERROR(INDEX(FILTER('cost master'!$E:$E,('cost master'!$B:$B=C1633)*('cost master'!$D:$D=""Storage cost per pallet / week"")*('cost master'!$G:$G&lt;=B1633)*(('cost master'!$H:$H&gt;=B1633)+ISBLANK('cost master'!$H:$H))),1),0)"),3.9)</f>
        <v>3.9</v>
      </c>
      <c r="I1633" s="3">
        <f t="shared" si="4"/>
        <v>0</v>
      </c>
      <c r="J1633" s="27">
        <f t="shared" si="5"/>
        <v>45977</v>
      </c>
      <c r="K1633" s="27">
        <f t="shared" si="6"/>
        <v>46006</v>
      </c>
    </row>
    <row r="1634" hidden="1">
      <c r="A1634" s="3" t="str">
        <f t="shared" si="3"/>
        <v>SL-20251208-FMC-CS 007-8</v>
      </c>
      <c r="B1634" s="2">
        <f t="array" ref="B1634">INDEX(helper!$A$3:$A3996,ROUNDUP((ROW()-1)/COUNTA(helper!$D$3:$D3996),0))</f>
        <v>45999</v>
      </c>
      <c r="C1634" s="5" t="str">
        <f t="array" ref="C1634">IF(B1634="","",INDEX(helper!$D$3:$D3996,MOD(ROW()-2,COUNTA(helper!$D$3:$D3996))+1))</f>
        <v>FMC</v>
      </c>
      <c r="D1634" s="3" t="str">
        <f t="array" ref="D1634">IF(B1634="","",INDEX(helper!$E$3:$E3996,MOD(ROW()-2,COUNTA(helper!$D$3:$D3996))+1))</f>
        <v>CS 007</v>
      </c>
      <c r="E1634" s="3">
        <f t="array" ref="E1634">IF(B1634="","",INDEX(helper!$F$3:$F3996,MOD(ROW()-2,COUNTA(helper!$D$3:$D3996))+1))</f>
        <v>8</v>
      </c>
      <c r="F1634" s="3">
        <f>IF(B1634="","",SUMIFS('inventory ledger'!$H:$H,'inventory ledger'!$C:$C,C1634,'inventory ledger'!$D:$D,D1634,'inventory ledger'!$E:$E,E1634,'inventory ledger'!$A:$A,"&lt;="&amp;B1634+TIME(23,59,59))-SUMIFS('inventory ledger'!$I:$I,'inventory ledger'!$C:$C,C1634,'inventory ledger'!$D:$D,D1634,'inventory ledger'!$E:$E,E1634,'inventory ledger'!$A:$A,"&lt;="&amp;B1634+TIME(23,59,59)))</f>
        <v>0</v>
      </c>
      <c r="G1634" s="3">
        <f>IFERROR(__xludf.DUMMYFUNCTION("IF(F1634&lt;=0,0,IFERROR(ROUNDUP(F1634/INDEX(FILTER('warehouse config'!$D:$D,('warehouse config'!$B:$B=C1634)*('warehouse config'!$C:$C=D1634)*('warehouse config'!$G:$G&lt;=B1634)*(('warehouse config'!$H:$H&gt;=B1634)+ISBLANK('warehouse config'!$H:$H))),1)),0))"),0.0)</f>
        <v>0</v>
      </c>
      <c r="H1634" s="3">
        <f>IFERROR(__xludf.DUMMYFUNCTION("IFERROR(INDEX(FILTER('cost master'!$E:$E,('cost master'!$B:$B=C1634)*('cost master'!$D:$D=""Storage cost per pallet / week"")*('cost master'!$G:$G&lt;=B1634)*(('cost master'!$H:$H&gt;=B1634)+ISBLANK('cost master'!$H:$H))),1),0)"),3.9)</f>
        <v>3.9</v>
      </c>
      <c r="I1634" s="3">
        <f t="shared" si="4"/>
        <v>0</v>
      </c>
      <c r="J1634" s="27">
        <f t="shared" si="5"/>
        <v>45977</v>
      </c>
      <c r="K1634" s="27">
        <f t="shared" si="6"/>
        <v>46006</v>
      </c>
    </row>
    <row r="1635" hidden="1">
      <c r="A1635" s="3" t="str">
        <f t="shared" si="3"/>
        <v>SL-20251208-FMC-CS 008-8</v>
      </c>
      <c r="B1635" s="2">
        <f t="array" ref="B1635">INDEX(helper!$A$3:$A3996,ROUNDUP((ROW()-1)/COUNTA(helper!$D$3:$D3996),0))</f>
        <v>45999</v>
      </c>
      <c r="C1635" s="5" t="str">
        <f t="array" ref="C1635">IF(B1635="","",INDEX(helper!$D$3:$D3996,MOD(ROW()-2,COUNTA(helper!$D$3:$D3996))+1))</f>
        <v>FMC</v>
      </c>
      <c r="D1635" s="3" t="str">
        <f t="array" ref="D1635">IF(B1635="","",INDEX(helper!$E$3:$E3996,MOD(ROW()-2,COUNTA(helper!$D$3:$D3996))+1))</f>
        <v>CS 008</v>
      </c>
      <c r="E1635" s="3">
        <f t="array" ref="E1635">IF(B1635="","",INDEX(helper!$F$3:$F3996,MOD(ROW()-2,COUNTA(helper!$D$3:$D3996))+1))</f>
        <v>8</v>
      </c>
      <c r="F1635" s="3">
        <f>IF(B1635="","",SUMIFS('inventory ledger'!$H:$H,'inventory ledger'!$C:$C,C1635,'inventory ledger'!$D:$D,D1635,'inventory ledger'!$E:$E,E1635,'inventory ledger'!$A:$A,"&lt;="&amp;B1635+TIME(23,59,59))-SUMIFS('inventory ledger'!$I:$I,'inventory ledger'!$C:$C,C1635,'inventory ledger'!$D:$D,D1635,'inventory ledger'!$E:$E,E1635,'inventory ledger'!$A:$A,"&lt;="&amp;B1635+TIME(23,59,59)))</f>
        <v>0</v>
      </c>
      <c r="G1635" s="3">
        <f>IFERROR(__xludf.DUMMYFUNCTION("IF(F1635&lt;=0,0,IFERROR(ROUNDUP(F1635/INDEX(FILTER('warehouse config'!$D:$D,('warehouse config'!$B:$B=C1635)*('warehouse config'!$C:$C=D1635)*('warehouse config'!$G:$G&lt;=B1635)*(('warehouse config'!$H:$H&gt;=B1635)+ISBLANK('warehouse config'!$H:$H))),1)),0))"),0.0)</f>
        <v>0</v>
      </c>
      <c r="H1635" s="3">
        <f>IFERROR(__xludf.DUMMYFUNCTION("IFERROR(INDEX(FILTER('cost master'!$E:$E,('cost master'!$B:$B=C1635)*('cost master'!$D:$D=""Storage cost per pallet / week"")*('cost master'!$G:$G&lt;=B1635)*(('cost master'!$H:$H&gt;=B1635)+ISBLANK('cost master'!$H:$H))),1),0)"),3.9)</f>
        <v>3.9</v>
      </c>
      <c r="I1635" s="3">
        <f t="shared" si="4"/>
        <v>0</v>
      </c>
      <c r="J1635" s="27">
        <f t="shared" si="5"/>
        <v>45977</v>
      </c>
      <c r="K1635" s="27">
        <f t="shared" si="6"/>
        <v>46006</v>
      </c>
    </row>
    <row r="1636" hidden="1">
      <c r="A1636" s="3" t="str">
        <f t="shared" si="3"/>
        <v>SL-20251208-FMC-CS 009-8</v>
      </c>
      <c r="B1636" s="2">
        <f t="array" ref="B1636">INDEX(helper!$A$3:$A3996,ROUNDUP((ROW()-1)/COUNTA(helper!$D$3:$D3996),0))</f>
        <v>45999</v>
      </c>
      <c r="C1636" s="5" t="str">
        <f t="array" ref="C1636">IF(B1636="","",INDEX(helper!$D$3:$D3996,MOD(ROW()-2,COUNTA(helper!$D$3:$D3996))+1))</f>
        <v>FMC</v>
      </c>
      <c r="D1636" s="3" t="str">
        <f t="array" ref="D1636">IF(B1636="","",INDEX(helper!$E$3:$E3996,MOD(ROW()-2,COUNTA(helper!$D$3:$D3996))+1))</f>
        <v>CS 009</v>
      </c>
      <c r="E1636" s="3">
        <f t="array" ref="E1636">IF(B1636="","",INDEX(helper!$F$3:$F3996,MOD(ROW()-2,COUNTA(helper!$D$3:$D3996))+1))</f>
        <v>8</v>
      </c>
      <c r="F1636" s="3">
        <f>IF(B1636="","",SUMIFS('inventory ledger'!$H:$H,'inventory ledger'!$C:$C,C1636,'inventory ledger'!$D:$D,D1636,'inventory ledger'!$E:$E,E1636,'inventory ledger'!$A:$A,"&lt;="&amp;B1636+TIME(23,59,59))-SUMIFS('inventory ledger'!$I:$I,'inventory ledger'!$C:$C,C1636,'inventory ledger'!$D:$D,D1636,'inventory ledger'!$E:$E,E1636,'inventory ledger'!$A:$A,"&lt;="&amp;B1636+TIME(23,59,59)))</f>
        <v>0</v>
      </c>
      <c r="G1636" s="3">
        <f>IFERROR(__xludf.DUMMYFUNCTION("IF(F1636&lt;=0,0,IFERROR(ROUNDUP(F1636/INDEX(FILTER('warehouse config'!$D:$D,('warehouse config'!$B:$B=C1636)*('warehouse config'!$C:$C=D1636)*('warehouse config'!$G:$G&lt;=B1636)*(('warehouse config'!$H:$H&gt;=B1636)+ISBLANK('warehouse config'!$H:$H))),1)),0))"),0.0)</f>
        <v>0</v>
      </c>
      <c r="H1636" s="3">
        <f>IFERROR(__xludf.DUMMYFUNCTION("IFERROR(INDEX(FILTER('cost master'!$E:$E,('cost master'!$B:$B=C1636)*('cost master'!$D:$D=""Storage cost per pallet / week"")*('cost master'!$G:$G&lt;=B1636)*(('cost master'!$H:$H&gt;=B1636)+ISBLANK('cost master'!$H:$H))),1),0)"),3.9)</f>
        <v>3.9</v>
      </c>
      <c r="I1636" s="3">
        <f t="shared" si="4"/>
        <v>0</v>
      </c>
      <c r="J1636" s="27">
        <f t="shared" si="5"/>
        <v>45977</v>
      </c>
      <c r="K1636" s="27">
        <f t="shared" si="6"/>
        <v>46006</v>
      </c>
    </row>
    <row r="1637" hidden="1">
      <c r="A1637" s="3" t="str">
        <f t="shared" si="3"/>
        <v>SL-20251208-FMC-CS 010-8</v>
      </c>
      <c r="B1637" s="2">
        <f t="array" ref="B1637">INDEX(helper!$A$3:$A3996,ROUNDUP((ROW()-1)/COUNTA(helper!$D$3:$D3996),0))</f>
        <v>45999</v>
      </c>
      <c r="C1637" s="5" t="str">
        <f t="array" ref="C1637">IF(B1637="","",INDEX(helper!$D$3:$D3996,MOD(ROW()-2,COUNTA(helper!$D$3:$D3996))+1))</f>
        <v>FMC</v>
      </c>
      <c r="D1637" s="3" t="str">
        <f t="array" ref="D1637">IF(B1637="","",INDEX(helper!$E$3:$E3996,MOD(ROW()-2,COUNTA(helper!$D$3:$D3996))+1))</f>
        <v>CS 010</v>
      </c>
      <c r="E1637" s="3">
        <f t="array" ref="E1637">IF(B1637="","",INDEX(helper!$F$3:$F3996,MOD(ROW()-2,COUNTA(helper!$D$3:$D3996))+1))</f>
        <v>8</v>
      </c>
      <c r="F1637" s="3">
        <f>IF(B1637="","",SUMIFS('inventory ledger'!$H:$H,'inventory ledger'!$C:$C,C1637,'inventory ledger'!$D:$D,D1637,'inventory ledger'!$E:$E,E1637,'inventory ledger'!$A:$A,"&lt;="&amp;B1637+TIME(23,59,59))-SUMIFS('inventory ledger'!$I:$I,'inventory ledger'!$C:$C,C1637,'inventory ledger'!$D:$D,D1637,'inventory ledger'!$E:$E,E1637,'inventory ledger'!$A:$A,"&lt;="&amp;B1637+TIME(23,59,59)))</f>
        <v>0</v>
      </c>
      <c r="G1637" s="3">
        <f>IFERROR(__xludf.DUMMYFUNCTION("IF(F1637&lt;=0,0,IFERROR(ROUNDUP(F1637/INDEX(FILTER('warehouse config'!$D:$D,('warehouse config'!$B:$B=C1637)*('warehouse config'!$C:$C=D1637)*('warehouse config'!$G:$G&lt;=B1637)*(('warehouse config'!$H:$H&gt;=B1637)+ISBLANK('warehouse config'!$H:$H))),1)),0))"),0.0)</f>
        <v>0</v>
      </c>
      <c r="H1637" s="3">
        <f>IFERROR(__xludf.DUMMYFUNCTION("IFERROR(INDEX(FILTER('cost master'!$E:$E,('cost master'!$B:$B=C1637)*('cost master'!$D:$D=""Storage cost per pallet / week"")*('cost master'!$G:$G&lt;=B1637)*(('cost master'!$H:$H&gt;=B1637)+ISBLANK('cost master'!$H:$H))),1),0)"),3.9)</f>
        <v>3.9</v>
      </c>
      <c r="I1637" s="3">
        <f t="shared" si="4"/>
        <v>0</v>
      </c>
      <c r="J1637" s="27">
        <f t="shared" si="5"/>
        <v>45977</v>
      </c>
      <c r="K1637" s="27">
        <f t="shared" si="6"/>
        <v>46006</v>
      </c>
    </row>
    <row r="1638" hidden="1">
      <c r="A1638" s="3" t="str">
        <f t="shared" si="3"/>
        <v>SL-20251208-FMC-CS 007-9</v>
      </c>
      <c r="B1638" s="2">
        <f t="array" ref="B1638">INDEX(helper!$A$3:$A3996,ROUNDUP((ROW()-1)/COUNTA(helper!$D$3:$D3996),0))</f>
        <v>45999</v>
      </c>
      <c r="C1638" s="5" t="str">
        <f t="array" ref="C1638">IF(B1638="","",INDEX(helper!$D$3:$D3996,MOD(ROW()-2,COUNTA(helper!$D$3:$D3996))+1))</f>
        <v>FMC</v>
      </c>
      <c r="D1638" s="3" t="str">
        <f t="array" ref="D1638">IF(B1638="","",INDEX(helper!$E$3:$E3996,MOD(ROW()-2,COUNTA(helper!$D$3:$D3996))+1))</f>
        <v>CS 007</v>
      </c>
      <c r="E1638" s="3">
        <f t="array" ref="E1638">IF(B1638="","",INDEX(helper!$F$3:$F3996,MOD(ROW()-2,COUNTA(helper!$D$3:$D3996))+1))</f>
        <v>9</v>
      </c>
      <c r="F1638" s="3">
        <f>IF(B1638="","",SUMIFS('inventory ledger'!$H:$H,'inventory ledger'!$C:$C,C1638,'inventory ledger'!$D:$D,D1638,'inventory ledger'!$E:$E,E1638,'inventory ledger'!$A:$A,"&lt;="&amp;B1638+TIME(23,59,59))-SUMIFS('inventory ledger'!$I:$I,'inventory ledger'!$C:$C,C1638,'inventory ledger'!$D:$D,D1638,'inventory ledger'!$E:$E,E1638,'inventory ledger'!$A:$A,"&lt;="&amp;B1638+TIME(23,59,59)))</f>
        <v>0</v>
      </c>
      <c r="G1638" s="3">
        <f>IFERROR(__xludf.DUMMYFUNCTION("IF(F1638&lt;=0,0,IFERROR(ROUNDUP(F1638/INDEX(FILTER('warehouse config'!$D:$D,('warehouse config'!$B:$B=C1638)*('warehouse config'!$C:$C=D1638)*('warehouse config'!$G:$G&lt;=B1638)*(('warehouse config'!$H:$H&gt;=B1638)+ISBLANK('warehouse config'!$H:$H))),1)),0))"),0.0)</f>
        <v>0</v>
      </c>
      <c r="H1638" s="3">
        <f>IFERROR(__xludf.DUMMYFUNCTION("IFERROR(INDEX(FILTER('cost master'!$E:$E,('cost master'!$B:$B=C1638)*('cost master'!$D:$D=""Storage cost per pallet / week"")*('cost master'!$G:$G&lt;=B1638)*(('cost master'!$H:$H&gt;=B1638)+ISBLANK('cost master'!$H:$H))),1),0)"),3.9)</f>
        <v>3.9</v>
      </c>
      <c r="I1638" s="3">
        <f t="shared" si="4"/>
        <v>0</v>
      </c>
      <c r="J1638" s="27">
        <f t="shared" si="5"/>
        <v>45977</v>
      </c>
      <c r="K1638" s="27">
        <f t="shared" si="6"/>
        <v>46006</v>
      </c>
    </row>
    <row r="1639" hidden="1">
      <c r="A1639" s="3" t="str">
        <f t="shared" si="3"/>
        <v>SL-20251208-FMC-CS 008-9</v>
      </c>
      <c r="B1639" s="2">
        <f t="array" ref="B1639">INDEX(helper!$A$3:$A3996,ROUNDUP((ROW()-1)/COUNTA(helper!$D$3:$D3996),0))</f>
        <v>45999</v>
      </c>
      <c r="C1639" s="5" t="str">
        <f t="array" ref="C1639">IF(B1639="","",INDEX(helper!$D$3:$D3996,MOD(ROW()-2,COUNTA(helper!$D$3:$D3996))+1))</f>
        <v>FMC</v>
      </c>
      <c r="D1639" s="3" t="str">
        <f t="array" ref="D1639">IF(B1639="","",INDEX(helper!$E$3:$E3996,MOD(ROW()-2,COUNTA(helper!$D$3:$D3996))+1))</f>
        <v>CS 008</v>
      </c>
      <c r="E1639" s="3">
        <f t="array" ref="E1639">IF(B1639="","",INDEX(helper!$F$3:$F3996,MOD(ROW()-2,COUNTA(helper!$D$3:$D3996))+1))</f>
        <v>9</v>
      </c>
      <c r="F1639" s="3">
        <f>IF(B1639="","",SUMIFS('inventory ledger'!$H:$H,'inventory ledger'!$C:$C,C1639,'inventory ledger'!$D:$D,D1639,'inventory ledger'!$E:$E,E1639,'inventory ledger'!$A:$A,"&lt;="&amp;B1639+TIME(23,59,59))-SUMIFS('inventory ledger'!$I:$I,'inventory ledger'!$C:$C,C1639,'inventory ledger'!$D:$D,D1639,'inventory ledger'!$E:$E,E1639,'inventory ledger'!$A:$A,"&lt;="&amp;B1639+TIME(23,59,59)))</f>
        <v>2</v>
      </c>
      <c r="G1639" s="3">
        <f>IFERROR(__xludf.DUMMYFUNCTION("IF(F1639&lt;=0,0,IFERROR(ROUNDUP(F1639/INDEX(FILTER('warehouse config'!$D:$D,('warehouse config'!$B:$B=C1639)*('warehouse config'!$C:$C=D1639)*('warehouse config'!$G:$G&lt;=B1639)*(('warehouse config'!$H:$H&gt;=B1639)+ISBLANK('warehouse config'!$H:$H))),1)),0))"),1.0)</f>
        <v>1</v>
      </c>
      <c r="H1639" s="3">
        <f>IFERROR(__xludf.DUMMYFUNCTION("IFERROR(INDEX(FILTER('cost master'!$E:$E,('cost master'!$B:$B=C1639)*('cost master'!$D:$D=""Storage cost per pallet / week"")*('cost master'!$G:$G&lt;=B1639)*(('cost master'!$H:$H&gt;=B1639)+ISBLANK('cost master'!$H:$H))),1),0)"),3.9)</f>
        <v>3.9</v>
      </c>
      <c r="I1639" s="3">
        <f t="shared" si="4"/>
        <v>3.9</v>
      </c>
      <c r="J1639" s="27">
        <f t="shared" si="5"/>
        <v>45977</v>
      </c>
      <c r="K1639" s="27">
        <f t="shared" si="6"/>
        <v>46006</v>
      </c>
    </row>
    <row r="1640" hidden="1">
      <c r="A1640" s="3" t="str">
        <f t="shared" si="3"/>
        <v>SL-20251208-FMC-CS 009-9</v>
      </c>
      <c r="B1640" s="2">
        <f t="array" ref="B1640">INDEX(helper!$A$3:$A3996,ROUNDUP((ROW()-1)/COUNTA(helper!$D$3:$D3996),0))</f>
        <v>45999</v>
      </c>
      <c r="C1640" s="5" t="str">
        <f t="array" ref="C1640">IF(B1640="","",INDEX(helper!$D$3:$D3996,MOD(ROW()-2,COUNTA(helper!$D$3:$D3996))+1))</f>
        <v>FMC</v>
      </c>
      <c r="D1640" s="3" t="str">
        <f t="array" ref="D1640">IF(B1640="","",INDEX(helper!$E$3:$E3996,MOD(ROW()-2,COUNTA(helper!$D$3:$D3996))+1))</f>
        <v>CS 009</v>
      </c>
      <c r="E1640" s="3">
        <f t="array" ref="E1640">IF(B1640="","",INDEX(helper!$F$3:$F3996,MOD(ROW()-2,COUNTA(helper!$D$3:$D3996))+1))</f>
        <v>9</v>
      </c>
      <c r="F1640" s="3">
        <f>IF(B1640="","",SUMIFS('inventory ledger'!$H:$H,'inventory ledger'!$C:$C,C1640,'inventory ledger'!$D:$D,D1640,'inventory ledger'!$E:$E,E1640,'inventory ledger'!$A:$A,"&lt;="&amp;B1640+TIME(23,59,59))-SUMIFS('inventory ledger'!$I:$I,'inventory ledger'!$C:$C,C1640,'inventory ledger'!$D:$D,D1640,'inventory ledger'!$E:$E,E1640,'inventory ledger'!$A:$A,"&lt;="&amp;B1640+TIME(23,59,59)))</f>
        <v>0</v>
      </c>
      <c r="G1640" s="3">
        <f>IFERROR(__xludf.DUMMYFUNCTION("IF(F1640&lt;=0,0,IFERROR(ROUNDUP(F1640/INDEX(FILTER('warehouse config'!$D:$D,('warehouse config'!$B:$B=C1640)*('warehouse config'!$C:$C=D1640)*('warehouse config'!$G:$G&lt;=B1640)*(('warehouse config'!$H:$H&gt;=B1640)+ISBLANK('warehouse config'!$H:$H))),1)),0))"),0.0)</f>
        <v>0</v>
      </c>
      <c r="H1640" s="3">
        <f>IFERROR(__xludf.DUMMYFUNCTION("IFERROR(INDEX(FILTER('cost master'!$E:$E,('cost master'!$B:$B=C1640)*('cost master'!$D:$D=""Storage cost per pallet / week"")*('cost master'!$G:$G&lt;=B1640)*(('cost master'!$H:$H&gt;=B1640)+ISBLANK('cost master'!$H:$H))),1),0)"),3.9)</f>
        <v>3.9</v>
      </c>
      <c r="I1640" s="3">
        <f t="shared" si="4"/>
        <v>0</v>
      </c>
      <c r="J1640" s="27">
        <f t="shared" si="5"/>
        <v>45977</v>
      </c>
      <c r="K1640" s="27">
        <f t="shared" si="6"/>
        <v>46006</v>
      </c>
    </row>
    <row r="1641" hidden="1">
      <c r="A1641" s="3" t="str">
        <f t="shared" si="3"/>
        <v>SL-20251208-FMC-CS 010-9</v>
      </c>
      <c r="B1641" s="2">
        <f t="array" ref="B1641">INDEX(helper!$A$3:$A3996,ROUNDUP((ROW()-1)/COUNTA(helper!$D$3:$D3996),0))</f>
        <v>45999</v>
      </c>
      <c r="C1641" s="5" t="str">
        <f t="array" ref="C1641">IF(B1641="","",INDEX(helper!$D$3:$D3996,MOD(ROW()-2,COUNTA(helper!$D$3:$D3996))+1))</f>
        <v>FMC</v>
      </c>
      <c r="D1641" s="3" t="str">
        <f t="array" ref="D1641">IF(B1641="","",INDEX(helper!$E$3:$E3996,MOD(ROW()-2,COUNTA(helper!$D$3:$D3996))+1))</f>
        <v>CS 010</v>
      </c>
      <c r="E1641" s="3">
        <f t="array" ref="E1641">IF(B1641="","",INDEX(helper!$F$3:$F3996,MOD(ROW()-2,COUNTA(helper!$D$3:$D3996))+1))</f>
        <v>9</v>
      </c>
      <c r="F1641" s="3">
        <f>IF(B1641="","",SUMIFS('inventory ledger'!$H:$H,'inventory ledger'!$C:$C,C1641,'inventory ledger'!$D:$D,D1641,'inventory ledger'!$E:$E,E1641,'inventory ledger'!$A:$A,"&lt;="&amp;B1641+TIME(23,59,59))-SUMIFS('inventory ledger'!$I:$I,'inventory ledger'!$C:$C,C1641,'inventory ledger'!$D:$D,D1641,'inventory ledger'!$E:$E,E1641,'inventory ledger'!$A:$A,"&lt;="&amp;B1641+TIME(23,59,59)))</f>
        <v>0</v>
      </c>
      <c r="G1641" s="3">
        <f>IFERROR(__xludf.DUMMYFUNCTION("IF(F1641&lt;=0,0,IFERROR(ROUNDUP(F1641/INDEX(FILTER('warehouse config'!$D:$D,('warehouse config'!$B:$B=C1641)*('warehouse config'!$C:$C=D1641)*('warehouse config'!$G:$G&lt;=B1641)*(('warehouse config'!$H:$H&gt;=B1641)+ISBLANK('warehouse config'!$H:$H))),1)),0))"),0.0)</f>
        <v>0</v>
      </c>
      <c r="H1641" s="3">
        <f>IFERROR(__xludf.DUMMYFUNCTION("IFERROR(INDEX(FILTER('cost master'!$E:$E,('cost master'!$B:$B=C1641)*('cost master'!$D:$D=""Storage cost per pallet / week"")*('cost master'!$G:$G&lt;=B1641)*(('cost master'!$H:$H&gt;=B1641)+ISBLANK('cost master'!$H:$H))),1),0)"),3.9)</f>
        <v>3.9</v>
      </c>
      <c r="I1641" s="3">
        <f t="shared" si="4"/>
        <v>0</v>
      </c>
      <c r="J1641" s="27">
        <f t="shared" si="5"/>
        <v>45977</v>
      </c>
      <c r="K1641" s="27">
        <f t="shared" si="6"/>
        <v>46006</v>
      </c>
    </row>
    <row r="1642" hidden="1">
      <c r="A1642" s="3" t="str">
        <f t="shared" si="3"/>
        <v>SL-20251208-FMC-CS-CDS-001-9</v>
      </c>
      <c r="B1642" s="2">
        <f t="array" ref="B1642">INDEX(helper!$A$3:$A3996,ROUNDUP((ROW()-1)/COUNTA(helper!$D$3:$D3996),0))</f>
        <v>45999</v>
      </c>
      <c r="C1642" s="5" t="str">
        <f t="array" ref="C1642">IF(B1642="","",INDEX(helper!$D$3:$D3996,MOD(ROW()-2,COUNTA(helper!$D$3:$D3996))+1))</f>
        <v>FMC</v>
      </c>
      <c r="D1642" s="3" t="str">
        <f t="array" ref="D1642">IF(B1642="","",INDEX(helper!$E$3:$E3996,MOD(ROW()-2,COUNTA(helper!$D$3:$D3996))+1))</f>
        <v>CS-CDS-001</v>
      </c>
      <c r="E1642" s="3">
        <f t="array" ref="E1642">IF(B1642="","",INDEX(helper!$F$3:$F3996,MOD(ROW()-2,COUNTA(helper!$D$3:$D3996))+1))</f>
        <v>9</v>
      </c>
      <c r="F1642" s="3">
        <f>IF(B1642="","",SUMIFS('inventory ledger'!$H:$H,'inventory ledger'!$C:$C,C1642,'inventory ledger'!$D:$D,D1642,'inventory ledger'!$E:$E,E1642,'inventory ledger'!$A:$A,"&lt;="&amp;B1642+TIME(23,59,59))-SUMIFS('inventory ledger'!$I:$I,'inventory ledger'!$C:$C,C1642,'inventory ledger'!$D:$D,D1642,'inventory ledger'!$E:$E,E1642,'inventory ledger'!$A:$A,"&lt;="&amp;B1642+TIME(23,59,59)))</f>
        <v>0</v>
      </c>
      <c r="G1642" s="3">
        <f>IFERROR(__xludf.DUMMYFUNCTION("IF(F1642&lt;=0,0,IFERROR(ROUNDUP(F1642/INDEX(FILTER('warehouse config'!$D:$D,('warehouse config'!$B:$B=C1642)*('warehouse config'!$C:$C=D1642)*('warehouse config'!$G:$G&lt;=B1642)*(('warehouse config'!$H:$H&gt;=B1642)+ISBLANK('warehouse config'!$H:$H))),1)),0))"),0.0)</f>
        <v>0</v>
      </c>
      <c r="H1642" s="3">
        <f>IFERROR(__xludf.DUMMYFUNCTION("IFERROR(INDEX(FILTER('cost master'!$E:$E,('cost master'!$B:$B=C1642)*('cost master'!$D:$D=""Storage cost per pallet / week"")*('cost master'!$G:$G&lt;=B1642)*(('cost master'!$H:$H&gt;=B1642)+ISBLANK('cost master'!$H:$H))),1),0)"),3.9)</f>
        <v>3.9</v>
      </c>
      <c r="I1642" s="3">
        <f t="shared" si="4"/>
        <v>0</v>
      </c>
      <c r="J1642" s="27">
        <f t="shared" si="5"/>
        <v>45977</v>
      </c>
      <c r="K1642" s="27">
        <f t="shared" si="6"/>
        <v>46006</v>
      </c>
    </row>
    <row r="1643" hidden="1">
      <c r="A1643" s="3" t="str">
        <f t="shared" si="3"/>
        <v>SL-20251208-FMC-CS-CDS-002-9</v>
      </c>
      <c r="B1643" s="2">
        <f t="array" ref="B1643">INDEX(helper!$A$3:$A3996,ROUNDUP((ROW()-1)/COUNTA(helper!$D$3:$D3996),0))</f>
        <v>45999</v>
      </c>
      <c r="C1643" s="5" t="str">
        <f t="array" ref="C1643">IF(B1643="","",INDEX(helper!$D$3:$D3996,MOD(ROW()-2,COUNTA(helper!$D$3:$D3996))+1))</f>
        <v>FMC</v>
      </c>
      <c r="D1643" s="3" t="str">
        <f t="array" ref="D1643">IF(B1643="","",INDEX(helper!$E$3:$E3996,MOD(ROW()-2,COUNTA(helper!$D$3:$D3996))+1))</f>
        <v>CS-CDS-002</v>
      </c>
      <c r="E1643" s="3">
        <f t="array" ref="E1643">IF(B1643="","",INDEX(helper!$F$3:$F3996,MOD(ROW()-2,COUNTA(helper!$D$3:$D3996))+1))</f>
        <v>9</v>
      </c>
      <c r="F1643" s="3">
        <f>IF(B1643="","",SUMIFS('inventory ledger'!$H:$H,'inventory ledger'!$C:$C,C1643,'inventory ledger'!$D:$D,D1643,'inventory ledger'!$E:$E,E1643,'inventory ledger'!$A:$A,"&lt;="&amp;B1643+TIME(23,59,59))-SUMIFS('inventory ledger'!$I:$I,'inventory ledger'!$C:$C,C1643,'inventory ledger'!$D:$D,D1643,'inventory ledger'!$E:$E,E1643,'inventory ledger'!$A:$A,"&lt;="&amp;B1643+TIME(23,59,59)))</f>
        <v>0</v>
      </c>
      <c r="G1643" s="3">
        <f>IFERROR(__xludf.DUMMYFUNCTION("IF(F1643&lt;=0,0,IFERROR(ROUNDUP(F1643/INDEX(FILTER('warehouse config'!$D:$D,('warehouse config'!$B:$B=C1643)*('warehouse config'!$C:$C=D1643)*('warehouse config'!$G:$G&lt;=B1643)*(('warehouse config'!$H:$H&gt;=B1643)+ISBLANK('warehouse config'!$H:$H))),1)),0))"),0.0)</f>
        <v>0</v>
      </c>
      <c r="H1643" s="3">
        <f>IFERROR(__xludf.DUMMYFUNCTION("IFERROR(INDEX(FILTER('cost master'!$E:$E,('cost master'!$B:$B=C1643)*('cost master'!$D:$D=""Storage cost per pallet / week"")*('cost master'!$G:$G&lt;=B1643)*(('cost master'!$H:$H&gt;=B1643)+ISBLANK('cost master'!$H:$H))),1),0)"),3.9)</f>
        <v>3.9</v>
      </c>
      <c r="I1643" s="3">
        <f t="shared" si="4"/>
        <v>0</v>
      </c>
      <c r="J1643" s="27">
        <f t="shared" si="5"/>
        <v>45977</v>
      </c>
      <c r="K1643" s="27">
        <f t="shared" si="6"/>
        <v>46006</v>
      </c>
    </row>
    <row r="1644" hidden="1">
      <c r="A1644" s="3" t="str">
        <f t="shared" si="3"/>
        <v>SL-20251208-FMC-CS 007-10</v>
      </c>
      <c r="B1644" s="2">
        <f t="array" ref="B1644">INDEX(helper!$A$3:$A3996,ROUNDUP((ROW()-1)/COUNTA(helper!$D$3:$D3996),0))</f>
        <v>45999</v>
      </c>
      <c r="C1644" s="5" t="str">
        <f t="array" ref="C1644">IF(B1644="","",INDEX(helper!$D$3:$D3996,MOD(ROW()-2,COUNTA(helper!$D$3:$D3996))+1))</f>
        <v>FMC</v>
      </c>
      <c r="D1644" s="3" t="str">
        <f t="array" ref="D1644">IF(B1644="","",INDEX(helper!$E$3:$E3996,MOD(ROW()-2,COUNTA(helper!$D$3:$D3996))+1))</f>
        <v>CS 007</v>
      </c>
      <c r="E1644" s="3">
        <f t="array" ref="E1644">IF(B1644="","",INDEX(helper!$F$3:$F3996,MOD(ROW()-2,COUNTA(helper!$D$3:$D3996))+1))</f>
        <v>10</v>
      </c>
      <c r="F1644" s="3">
        <f>IF(B1644="","",SUMIFS('inventory ledger'!$H:$H,'inventory ledger'!$C:$C,C1644,'inventory ledger'!$D:$D,D1644,'inventory ledger'!$E:$E,E1644,'inventory ledger'!$A:$A,"&lt;="&amp;B1644+TIME(23,59,59))-SUMIFS('inventory ledger'!$I:$I,'inventory ledger'!$C:$C,C1644,'inventory ledger'!$D:$D,D1644,'inventory ledger'!$E:$E,E1644,'inventory ledger'!$A:$A,"&lt;="&amp;B1644+TIME(23,59,59)))</f>
        <v>0</v>
      </c>
      <c r="G1644" s="3">
        <f>IFERROR(__xludf.DUMMYFUNCTION("IF(F1644&lt;=0,0,IFERROR(ROUNDUP(F1644/INDEX(FILTER('warehouse config'!$D:$D,('warehouse config'!$B:$B=C1644)*('warehouse config'!$C:$C=D1644)*('warehouse config'!$G:$G&lt;=B1644)*(('warehouse config'!$H:$H&gt;=B1644)+ISBLANK('warehouse config'!$H:$H))),1)),0))"),0.0)</f>
        <v>0</v>
      </c>
      <c r="H1644" s="3">
        <f>IFERROR(__xludf.DUMMYFUNCTION("IFERROR(INDEX(FILTER('cost master'!$E:$E,('cost master'!$B:$B=C1644)*('cost master'!$D:$D=""Storage cost per pallet / week"")*('cost master'!$G:$G&lt;=B1644)*(('cost master'!$H:$H&gt;=B1644)+ISBLANK('cost master'!$H:$H))),1),0)"),3.9)</f>
        <v>3.9</v>
      </c>
      <c r="I1644" s="3">
        <f t="shared" si="4"/>
        <v>0</v>
      </c>
      <c r="J1644" s="27">
        <f t="shared" si="5"/>
        <v>45977</v>
      </c>
      <c r="K1644" s="27">
        <f t="shared" si="6"/>
        <v>46006</v>
      </c>
    </row>
    <row r="1645" hidden="1">
      <c r="A1645" s="3" t="str">
        <f t="shared" si="3"/>
        <v>SL-20251208-FMC-CS 009-10</v>
      </c>
      <c r="B1645" s="2">
        <f t="array" ref="B1645">INDEX(helper!$A$3:$A3996,ROUNDUP((ROW()-1)/COUNTA(helper!$D$3:$D3996),0))</f>
        <v>45999</v>
      </c>
      <c r="C1645" s="5" t="str">
        <f t="array" ref="C1645">IF(B1645="","",INDEX(helper!$D$3:$D3996,MOD(ROW()-2,COUNTA(helper!$D$3:$D3996))+1))</f>
        <v>FMC</v>
      </c>
      <c r="D1645" s="3" t="str">
        <f t="array" ref="D1645">IF(B1645="","",INDEX(helper!$E$3:$E3996,MOD(ROW()-2,COUNTA(helper!$D$3:$D3996))+1))</f>
        <v>CS 009</v>
      </c>
      <c r="E1645" s="3">
        <f t="array" ref="E1645">IF(B1645="","",INDEX(helper!$F$3:$F3996,MOD(ROW()-2,COUNTA(helper!$D$3:$D3996))+1))</f>
        <v>10</v>
      </c>
      <c r="F1645" s="3">
        <f>IF(B1645="","",SUMIFS('inventory ledger'!$H:$H,'inventory ledger'!$C:$C,C1645,'inventory ledger'!$D:$D,D1645,'inventory ledger'!$E:$E,E1645,'inventory ledger'!$A:$A,"&lt;="&amp;B1645+TIME(23,59,59))-SUMIFS('inventory ledger'!$I:$I,'inventory ledger'!$C:$C,C1645,'inventory ledger'!$D:$D,D1645,'inventory ledger'!$E:$E,E1645,'inventory ledger'!$A:$A,"&lt;="&amp;B1645+TIME(23,59,59)))</f>
        <v>0</v>
      </c>
      <c r="G1645" s="3">
        <f>IFERROR(__xludf.DUMMYFUNCTION("IF(F1645&lt;=0,0,IFERROR(ROUNDUP(F1645/INDEX(FILTER('warehouse config'!$D:$D,('warehouse config'!$B:$B=C1645)*('warehouse config'!$C:$C=D1645)*('warehouse config'!$G:$G&lt;=B1645)*(('warehouse config'!$H:$H&gt;=B1645)+ISBLANK('warehouse config'!$H:$H))),1)),0))"),0.0)</f>
        <v>0</v>
      </c>
      <c r="H1645" s="3">
        <f>IFERROR(__xludf.DUMMYFUNCTION("IFERROR(INDEX(FILTER('cost master'!$E:$E,('cost master'!$B:$B=C1645)*('cost master'!$D:$D=""Storage cost per pallet / week"")*('cost master'!$G:$G&lt;=B1645)*(('cost master'!$H:$H&gt;=B1645)+ISBLANK('cost master'!$H:$H))),1),0)"),3.9)</f>
        <v>3.9</v>
      </c>
      <c r="I1645" s="3">
        <f t="shared" si="4"/>
        <v>0</v>
      </c>
      <c r="J1645" s="27">
        <f t="shared" si="5"/>
        <v>45977</v>
      </c>
      <c r="K1645" s="27">
        <f t="shared" si="6"/>
        <v>46006</v>
      </c>
    </row>
    <row r="1646" hidden="1">
      <c r="A1646" s="3" t="str">
        <f t="shared" si="3"/>
        <v>SL-20251208-FMC-CS 010-10</v>
      </c>
      <c r="B1646" s="2">
        <f t="array" ref="B1646">INDEX(helper!$A$3:$A3996,ROUNDUP((ROW()-1)/COUNTA(helper!$D$3:$D3996),0))</f>
        <v>45999</v>
      </c>
      <c r="C1646" s="5" t="str">
        <f t="array" ref="C1646">IF(B1646="","",INDEX(helper!$D$3:$D3996,MOD(ROW()-2,COUNTA(helper!$D$3:$D3996))+1))</f>
        <v>FMC</v>
      </c>
      <c r="D1646" s="3" t="str">
        <f t="array" ref="D1646">IF(B1646="","",INDEX(helper!$E$3:$E3996,MOD(ROW()-2,COUNTA(helper!$D$3:$D3996))+1))</f>
        <v>CS 010</v>
      </c>
      <c r="E1646" s="3">
        <f t="array" ref="E1646">IF(B1646="","",INDEX(helper!$F$3:$F3996,MOD(ROW()-2,COUNTA(helper!$D$3:$D3996))+1))</f>
        <v>10</v>
      </c>
      <c r="F1646" s="3">
        <f>IF(B1646="","",SUMIFS('inventory ledger'!$H:$H,'inventory ledger'!$C:$C,C1646,'inventory ledger'!$D:$D,D1646,'inventory ledger'!$E:$E,E1646,'inventory ledger'!$A:$A,"&lt;="&amp;B1646+TIME(23,59,59))-SUMIFS('inventory ledger'!$I:$I,'inventory ledger'!$C:$C,C1646,'inventory ledger'!$D:$D,D1646,'inventory ledger'!$E:$E,E1646,'inventory ledger'!$A:$A,"&lt;="&amp;B1646+TIME(23,59,59)))</f>
        <v>13</v>
      </c>
      <c r="G1646" s="3">
        <f>IFERROR(__xludf.DUMMYFUNCTION("IF(F1646&lt;=0,0,IFERROR(ROUNDUP(F1646/INDEX(FILTER('warehouse config'!$D:$D,('warehouse config'!$B:$B=C1646)*('warehouse config'!$C:$C=D1646)*('warehouse config'!$G:$G&lt;=B1646)*(('warehouse config'!$H:$H&gt;=B1646)+ISBLANK('warehouse config'!$H:$H))),1)),0))"),1.0)</f>
        <v>1</v>
      </c>
      <c r="H1646" s="3">
        <f>IFERROR(__xludf.DUMMYFUNCTION("IFERROR(INDEX(FILTER('cost master'!$E:$E,('cost master'!$B:$B=C1646)*('cost master'!$D:$D=""Storage cost per pallet / week"")*('cost master'!$G:$G&lt;=B1646)*(('cost master'!$H:$H&gt;=B1646)+ISBLANK('cost master'!$H:$H))),1),0)"),3.9)</f>
        <v>3.9</v>
      </c>
      <c r="I1646" s="3">
        <f t="shared" si="4"/>
        <v>3.9</v>
      </c>
      <c r="J1646" s="27">
        <f t="shared" si="5"/>
        <v>45977</v>
      </c>
      <c r="K1646" s="27">
        <f t="shared" si="6"/>
        <v>46006</v>
      </c>
    </row>
    <row r="1647" hidden="1">
      <c r="A1647" s="3" t="str">
        <f t="shared" si="3"/>
        <v>SL-20251208-FMC-CS-CDS-001-10</v>
      </c>
      <c r="B1647" s="2">
        <f t="array" ref="B1647">INDEX(helper!$A$3:$A3996,ROUNDUP((ROW()-1)/COUNTA(helper!$D$3:$D3996),0))</f>
        <v>45999</v>
      </c>
      <c r="C1647" s="5" t="str">
        <f t="array" ref="C1647">IF(B1647="","",INDEX(helper!$D$3:$D3996,MOD(ROW()-2,COUNTA(helper!$D$3:$D3996))+1))</f>
        <v>FMC</v>
      </c>
      <c r="D1647" s="3" t="str">
        <f t="array" ref="D1647">IF(B1647="","",INDEX(helper!$E$3:$E3996,MOD(ROW()-2,COUNTA(helper!$D$3:$D3996))+1))</f>
        <v>CS-CDS-001</v>
      </c>
      <c r="E1647" s="3">
        <f t="array" ref="E1647">IF(B1647="","",INDEX(helper!$F$3:$F3996,MOD(ROW()-2,COUNTA(helper!$D$3:$D3996))+1))</f>
        <v>10</v>
      </c>
      <c r="F1647" s="3">
        <f>IF(B1647="","",SUMIFS('inventory ledger'!$H:$H,'inventory ledger'!$C:$C,C1647,'inventory ledger'!$D:$D,D1647,'inventory ledger'!$E:$E,E1647,'inventory ledger'!$A:$A,"&lt;="&amp;B1647+TIME(23,59,59))-SUMIFS('inventory ledger'!$I:$I,'inventory ledger'!$C:$C,C1647,'inventory ledger'!$D:$D,D1647,'inventory ledger'!$E:$E,E1647,'inventory ledger'!$A:$A,"&lt;="&amp;B1647+TIME(23,59,59)))</f>
        <v>0</v>
      </c>
      <c r="G1647" s="3">
        <f>IFERROR(__xludf.DUMMYFUNCTION("IF(F1647&lt;=0,0,IFERROR(ROUNDUP(F1647/INDEX(FILTER('warehouse config'!$D:$D,('warehouse config'!$B:$B=C1647)*('warehouse config'!$C:$C=D1647)*('warehouse config'!$G:$G&lt;=B1647)*(('warehouse config'!$H:$H&gt;=B1647)+ISBLANK('warehouse config'!$H:$H))),1)),0))"),0.0)</f>
        <v>0</v>
      </c>
      <c r="H1647" s="3">
        <f>IFERROR(__xludf.DUMMYFUNCTION("IFERROR(INDEX(FILTER('cost master'!$E:$E,('cost master'!$B:$B=C1647)*('cost master'!$D:$D=""Storage cost per pallet / week"")*('cost master'!$G:$G&lt;=B1647)*(('cost master'!$H:$H&gt;=B1647)+ISBLANK('cost master'!$H:$H))),1),0)"),3.9)</f>
        <v>3.9</v>
      </c>
      <c r="I1647" s="3">
        <f t="shared" si="4"/>
        <v>0</v>
      </c>
      <c r="J1647" s="27">
        <f t="shared" si="5"/>
        <v>45977</v>
      </c>
      <c r="K1647" s="27">
        <f t="shared" si="6"/>
        <v>46006</v>
      </c>
    </row>
    <row r="1648">
      <c r="A1648" s="3" t="str">
        <f t="shared" si="3"/>
        <v>SL-20251208-FMC-CS 007-11</v>
      </c>
      <c r="B1648" s="2">
        <f t="array" ref="B1648">INDEX(helper!$A$3:$A3996,ROUNDUP((ROW()-1)/COUNTA(helper!$D$3:$D3996),0))</f>
        <v>45999</v>
      </c>
      <c r="C1648" s="5" t="str">
        <f t="array" ref="C1648">IF(B1648="","",INDEX(helper!$D$3:$D3996,MOD(ROW()-2,COUNTA(helper!$D$3:$D3996))+1))</f>
        <v>FMC</v>
      </c>
      <c r="D1648" s="3" t="str">
        <f t="array" ref="D1648">IF(B1648="","",INDEX(helper!$E$3:$E3996,MOD(ROW()-2,COUNTA(helper!$D$3:$D3996))+1))</f>
        <v>CS 007</v>
      </c>
      <c r="E1648" s="3">
        <f t="array" ref="E1648">IF(B1648="","",INDEX(helper!$F$3:$F3996,MOD(ROW()-2,COUNTA(helper!$D$3:$D3996))+1))</f>
        <v>11</v>
      </c>
      <c r="F1648" s="3">
        <f>IF(B1648="","",SUMIFS('inventory ledger'!$H:$H,'inventory ledger'!$C:$C,C1648,'inventory ledger'!$D:$D,D1648,'inventory ledger'!$E:$E,E1648,'inventory ledger'!$A:$A,"&lt;="&amp;B1648+TIME(23,59,59))-SUMIFS('inventory ledger'!$I:$I,'inventory ledger'!$C:$C,C1648,'inventory ledger'!$D:$D,D1648,'inventory ledger'!$E:$E,E1648,'inventory ledger'!$A:$A,"&lt;="&amp;B1648+TIME(23,59,59)))</f>
        <v>-1</v>
      </c>
      <c r="G1648" s="3">
        <f>IFERROR(__xludf.DUMMYFUNCTION("IF(F1648&lt;=0,0,IFERROR(ROUNDUP(F1648/INDEX(FILTER('warehouse config'!$D:$D,('warehouse config'!$B:$B=C1648)*('warehouse config'!$C:$C=D1648)*('warehouse config'!$G:$G&lt;=B1648)*(('warehouse config'!$H:$H&gt;=B1648)+ISBLANK('warehouse config'!$H:$H))),1)),0))"),0.0)</f>
        <v>0</v>
      </c>
      <c r="H1648" s="3">
        <f>IFERROR(__xludf.DUMMYFUNCTION("IFERROR(INDEX(FILTER('cost master'!$E:$E,('cost master'!$B:$B=C1648)*('cost master'!$D:$D=""Storage cost per pallet / week"")*('cost master'!$G:$G&lt;=B1648)*(('cost master'!$H:$H&gt;=B1648)+ISBLANK('cost master'!$H:$H))),1),0)"),3.9)</f>
        <v>3.9</v>
      </c>
      <c r="I1648" s="3">
        <f t="shared" si="4"/>
        <v>0</v>
      </c>
      <c r="J1648" s="27">
        <f t="shared" si="5"/>
        <v>45977</v>
      </c>
      <c r="K1648" s="27">
        <f t="shared" si="6"/>
        <v>46006</v>
      </c>
    </row>
    <row r="1649" hidden="1">
      <c r="A1649" s="3" t="str">
        <f t="shared" si="3"/>
        <v>SL-20251208-FMC-CS 009-11</v>
      </c>
      <c r="B1649" s="2">
        <f t="array" ref="B1649">INDEX(helper!$A$3:$A3996,ROUNDUP((ROW()-1)/COUNTA(helper!$D$3:$D3996),0))</f>
        <v>45999</v>
      </c>
      <c r="C1649" s="5" t="str">
        <f t="array" ref="C1649">IF(B1649="","",INDEX(helper!$D$3:$D3996,MOD(ROW()-2,COUNTA(helper!$D$3:$D3996))+1))</f>
        <v>FMC</v>
      </c>
      <c r="D1649" s="3" t="str">
        <f t="array" ref="D1649">IF(B1649="","",INDEX(helper!$E$3:$E3996,MOD(ROW()-2,COUNTA(helper!$D$3:$D3996))+1))</f>
        <v>CS 009</v>
      </c>
      <c r="E1649" s="3">
        <f t="array" ref="E1649">IF(B1649="","",INDEX(helper!$F$3:$F3996,MOD(ROW()-2,COUNTA(helper!$D$3:$D3996))+1))</f>
        <v>11</v>
      </c>
      <c r="F1649" s="3">
        <f>IF(B1649="","",SUMIFS('inventory ledger'!$H:$H,'inventory ledger'!$C:$C,C1649,'inventory ledger'!$D:$D,D1649,'inventory ledger'!$E:$E,E1649,'inventory ledger'!$A:$A,"&lt;="&amp;B1649+TIME(23,59,59))-SUMIFS('inventory ledger'!$I:$I,'inventory ledger'!$C:$C,C1649,'inventory ledger'!$D:$D,D1649,'inventory ledger'!$E:$E,E1649,'inventory ledger'!$A:$A,"&lt;="&amp;B1649+TIME(23,59,59)))</f>
        <v>0</v>
      </c>
      <c r="G1649" s="3">
        <f>IFERROR(__xludf.DUMMYFUNCTION("IF(F1649&lt;=0,0,IFERROR(ROUNDUP(F1649/INDEX(FILTER('warehouse config'!$D:$D,('warehouse config'!$B:$B=C1649)*('warehouse config'!$C:$C=D1649)*('warehouse config'!$G:$G&lt;=B1649)*(('warehouse config'!$H:$H&gt;=B1649)+ISBLANK('warehouse config'!$H:$H))),1)),0))"),0.0)</f>
        <v>0</v>
      </c>
      <c r="H1649" s="3">
        <f>IFERROR(__xludf.DUMMYFUNCTION("IFERROR(INDEX(FILTER('cost master'!$E:$E,('cost master'!$B:$B=C1649)*('cost master'!$D:$D=""Storage cost per pallet / week"")*('cost master'!$G:$G&lt;=B1649)*(('cost master'!$H:$H&gt;=B1649)+ISBLANK('cost master'!$H:$H))),1),0)"),3.9)</f>
        <v>3.9</v>
      </c>
      <c r="I1649" s="3">
        <f t="shared" si="4"/>
        <v>0</v>
      </c>
      <c r="J1649" s="27">
        <f t="shared" si="5"/>
        <v>45977</v>
      </c>
      <c r="K1649" s="27">
        <f t="shared" si="6"/>
        <v>46006</v>
      </c>
    </row>
    <row r="1650" hidden="1">
      <c r="A1650" s="3" t="str">
        <f t="shared" si="3"/>
        <v>SL-20251208-FMC-CS 010-11</v>
      </c>
      <c r="B1650" s="2">
        <f t="array" ref="B1650">INDEX(helper!$A$3:$A3996,ROUNDUP((ROW()-1)/COUNTA(helper!$D$3:$D3996),0))</f>
        <v>45999</v>
      </c>
      <c r="C1650" s="5" t="str">
        <f t="array" ref="C1650">IF(B1650="","",INDEX(helper!$D$3:$D3996,MOD(ROW()-2,COUNTA(helper!$D$3:$D3996))+1))</f>
        <v>FMC</v>
      </c>
      <c r="D1650" s="3" t="str">
        <f t="array" ref="D1650">IF(B1650="","",INDEX(helper!$E$3:$E3996,MOD(ROW()-2,COUNTA(helper!$D$3:$D3996))+1))</f>
        <v>CS 010</v>
      </c>
      <c r="E1650" s="3">
        <f t="array" ref="E1650">IF(B1650="","",INDEX(helper!$F$3:$F3996,MOD(ROW()-2,COUNTA(helper!$D$3:$D3996))+1))</f>
        <v>11</v>
      </c>
      <c r="F1650" s="3">
        <f>IF(B1650="","",SUMIFS('inventory ledger'!$H:$H,'inventory ledger'!$C:$C,C1650,'inventory ledger'!$D:$D,D1650,'inventory ledger'!$E:$E,E1650,'inventory ledger'!$A:$A,"&lt;="&amp;B1650+TIME(23,59,59))-SUMIFS('inventory ledger'!$I:$I,'inventory ledger'!$C:$C,C1650,'inventory ledger'!$D:$D,D1650,'inventory ledger'!$E:$E,E1650,'inventory ledger'!$A:$A,"&lt;="&amp;B1650+TIME(23,59,59)))</f>
        <v>6</v>
      </c>
      <c r="G1650" s="3">
        <f>IFERROR(__xludf.DUMMYFUNCTION("IF(F1650&lt;=0,0,IFERROR(ROUNDUP(F1650/INDEX(FILTER('warehouse config'!$D:$D,('warehouse config'!$B:$B=C1650)*('warehouse config'!$C:$C=D1650)*('warehouse config'!$G:$G&lt;=B1650)*(('warehouse config'!$H:$H&gt;=B1650)+ISBLANK('warehouse config'!$H:$H))),1)),0))"),1.0)</f>
        <v>1</v>
      </c>
      <c r="H1650" s="3">
        <f>IFERROR(__xludf.DUMMYFUNCTION("IFERROR(INDEX(FILTER('cost master'!$E:$E,('cost master'!$B:$B=C1650)*('cost master'!$D:$D=""Storage cost per pallet / week"")*('cost master'!$G:$G&lt;=B1650)*(('cost master'!$H:$H&gt;=B1650)+ISBLANK('cost master'!$H:$H))),1),0)"),3.9)</f>
        <v>3.9</v>
      </c>
      <c r="I1650" s="3">
        <f t="shared" si="4"/>
        <v>3.9</v>
      </c>
      <c r="J1650" s="27">
        <f t="shared" si="5"/>
        <v>45977</v>
      </c>
      <c r="K1650" s="27">
        <f t="shared" si="6"/>
        <v>46006</v>
      </c>
    </row>
    <row r="1651" hidden="1">
      <c r="A1651" s="3" t="str">
        <f t="shared" si="3"/>
        <v>SL-20251208-Vglobal-CS 007-12</v>
      </c>
      <c r="B1651" s="2">
        <f t="array" ref="B1651">INDEX(helper!$A$3:$A3996,ROUNDUP((ROW()-1)/COUNTA(helper!$D$3:$D3996),0))</f>
        <v>45999</v>
      </c>
      <c r="C1651" s="5" t="str">
        <f t="array" ref="C1651">IF(B1651="","",INDEX(helper!$D$3:$D3996,MOD(ROW()-2,COUNTA(helper!$D$3:$D3996))+1))</f>
        <v>Vglobal</v>
      </c>
      <c r="D1651" s="3" t="str">
        <f t="array" ref="D1651">IF(B1651="","",INDEX(helper!$E$3:$E3996,MOD(ROW()-2,COUNTA(helper!$D$3:$D3996))+1))</f>
        <v>CS 007</v>
      </c>
      <c r="E1651" s="3">
        <f t="array" ref="E1651">IF(B1651="","",INDEX(helper!$F$3:$F3996,MOD(ROW()-2,COUNTA(helper!$D$3:$D3996))+1))</f>
        <v>12</v>
      </c>
      <c r="F1651" s="3">
        <f>IF(B1651="","",SUMIFS('inventory ledger'!$H:$H,'inventory ledger'!$C:$C,C1651,'inventory ledger'!$D:$D,D1651,'inventory ledger'!$E:$E,E1651,'inventory ledger'!$A:$A,"&lt;="&amp;B1651+TIME(23,59,59))-SUMIFS('inventory ledger'!$I:$I,'inventory ledger'!$C:$C,C1651,'inventory ledger'!$D:$D,D1651,'inventory ledger'!$E:$E,E1651,'inventory ledger'!$A:$A,"&lt;="&amp;B1651+TIME(23,59,59)))</f>
        <v>0</v>
      </c>
      <c r="G1651" s="3">
        <f>IFERROR(__xludf.DUMMYFUNCTION("IF(F1651&lt;=0,0,IFERROR(ROUNDUP(F1651/INDEX(FILTER('warehouse config'!$D:$D,('warehouse config'!$B:$B=C1651)*('warehouse config'!$C:$C=D1651)*('warehouse config'!$G:$G&lt;=B1651)*(('warehouse config'!$H:$H&gt;=B1651)+ISBLANK('warehouse config'!$H:$H))),1)),0))"),0.0)</f>
        <v>0</v>
      </c>
      <c r="H1651" s="3">
        <f>IFERROR(__xludf.DUMMYFUNCTION("IFERROR(INDEX(FILTER('cost master'!$E:$E,('cost master'!$B:$B=C1651)*('cost master'!$D:$D=""Storage cost per pallet / week"")*('cost master'!$G:$G&lt;=B1651)*(('cost master'!$H:$H&gt;=B1651)+ISBLANK('cost master'!$H:$H))),1),0)"),2.6)</f>
        <v>2.6</v>
      </c>
      <c r="I1651" s="3">
        <f t="shared" si="4"/>
        <v>0</v>
      </c>
      <c r="J1651" s="27">
        <f t="shared" si="5"/>
        <v>45977</v>
      </c>
      <c r="K1651" s="27">
        <f t="shared" si="6"/>
        <v>46006</v>
      </c>
    </row>
    <row r="1652" hidden="1">
      <c r="A1652" s="3" t="str">
        <f t="shared" si="3"/>
        <v>SL-20251208-Vglobal-CS 011-12</v>
      </c>
      <c r="B1652" s="2">
        <f t="array" ref="B1652">INDEX(helper!$A$3:$A3996,ROUNDUP((ROW()-1)/COUNTA(helper!$D$3:$D3996),0))</f>
        <v>45999</v>
      </c>
      <c r="C1652" s="5" t="str">
        <f t="array" ref="C1652">IF(B1652="","",INDEX(helper!$D$3:$D3996,MOD(ROW()-2,COUNTA(helper!$D$3:$D3996))+1))</f>
        <v>Vglobal</v>
      </c>
      <c r="D1652" s="3" t="str">
        <f t="array" ref="D1652">IF(B1652="","",INDEX(helper!$E$3:$E3996,MOD(ROW()-2,COUNTA(helper!$D$3:$D3996))+1))</f>
        <v>CS 011</v>
      </c>
      <c r="E1652" s="3">
        <f t="array" ref="E1652">IF(B1652="","",INDEX(helper!$F$3:$F3996,MOD(ROW()-2,COUNTA(helper!$D$3:$D3996))+1))</f>
        <v>12</v>
      </c>
      <c r="F1652" s="3">
        <f>IF(B1652="","",SUMIFS('inventory ledger'!$H:$H,'inventory ledger'!$C:$C,C1652,'inventory ledger'!$D:$D,D1652,'inventory ledger'!$E:$E,E1652,'inventory ledger'!$A:$A,"&lt;="&amp;B1652+TIME(23,59,59))-SUMIFS('inventory ledger'!$I:$I,'inventory ledger'!$C:$C,C1652,'inventory ledger'!$D:$D,D1652,'inventory ledger'!$E:$E,E1652,'inventory ledger'!$A:$A,"&lt;="&amp;B1652+TIME(23,59,59)))</f>
        <v>0</v>
      </c>
      <c r="G1652" s="3">
        <f>IFERROR(__xludf.DUMMYFUNCTION("IF(F1652&lt;=0,0,IFERROR(ROUNDUP(F1652/INDEX(FILTER('warehouse config'!$D:$D,('warehouse config'!$B:$B=C1652)*('warehouse config'!$C:$C=D1652)*('warehouse config'!$G:$G&lt;=B1652)*(('warehouse config'!$H:$H&gt;=B1652)+ISBLANK('warehouse config'!$H:$H))),1)),0))"),0.0)</f>
        <v>0</v>
      </c>
      <c r="H1652" s="3">
        <f>IFERROR(__xludf.DUMMYFUNCTION("IFERROR(INDEX(FILTER('cost master'!$E:$E,('cost master'!$B:$B=C1652)*('cost master'!$D:$D=""Storage cost per pallet / week"")*('cost master'!$G:$G&lt;=B1652)*(('cost master'!$H:$H&gt;=B1652)+ISBLANK('cost master'!$H:$H))),1),0)"),2.6)</f>
        <v>2.6</v>
      </c>
      <c r="I1652" s="3">
        <f t="shared" si="4"/>
        <v>0</v>
      </c>
      <c r="J1652" s="27">
        <f t="shared" si="5"/>
        <v>45977</v>
      </c>
      <c r="K1652" s="27">
        <f t="shared" si="6"/>
        <v>46006</v>
      </c>
    </row>
    <row r="1653" hidden="1">
      <c r="A1653" s="3" t="str">
        <f t="shared" si="3"/>
        <v>SL-20251208-Vglobal-CS 008-12</v>
      </c>
      <c r="B1653" s="2">
        <f t="array" ref="B1653">INDEX(helper!$A$3:$A3996,ROUNDUP((ROW()-1)/COUNTA(helper!$D$3:$D3996),0))</f>
        <v>45999</v>
      </c>
      <c r="C1653" s="5" t="str">
        <f t="array" ref="C1653">IF(B1653="","",INDEX(helper!$D$3:$D3996,MOD(ROW()-2,COUNTA(helper!$D$3:$D3996))+1))</f>
        <v>Vglobal</v>
      </c>
      <c r="D1653" s="3" t="str">
        <f t="array" ref="D1653">IF(B1653="","",INDEX(helper!$E$3:$E3996,MOD(ROW()-2,COUNTA(helper!$D$3:$D3996))+1))</f>
        <v>CS 008</v>
      </c>
      <c r="E1653" s="3">
        <f t="array" ref="E1653">IF(B1653="","",INDEX(helper!$F$3:$F3996,MOD(ROW()-2,COUNTA(helper!$D$3:$D3996))+1))</f>
        <v>12</v>
      </c>
      <c r="F1653" s="3">
        <f>IF(B1653="","",SUMIFS('inventory ledger'!$H:$H,'inventory ledger'!$C:$C,C1653,'inventory ledger'!$D:$D,D1653,'inventory ledger'!$E:$E,E1653,'inventory ledger'!$A:$A,"&lt;="&amp;B1653+TIME(23,59,59))-SUMIFS('inventory ledger'!$I:$I,'inventory ledger'!$C:$C,C1653,'inventory ledger'!$D:$D,D1653,'inventory ledger'!$E:$E,E1653,'inventory ledger'!$A:$A,"&lt;="&amp;B1653+TIME(23,59,59)))</f>
        <v>0</v>
      </c>
      <c r="G1653" s="3">
        <f>IFERROR(__xludf.DUMMYFUNCTION("IF(F1653&lt;=0,0,IFERROR(ROUNDUP(F1653/INDEX(FILTER('warehouse config'!$D:$D,('warehouse config'!$B:$B=C1653)*('warehouse config'!$C:$C=D1653)*('warehouse config'!$G:$G&lt;=B1653)*(('warehouse config'!$H:$H&gt;=B1653)+ISBLANK('warehouse config'!$H:$H))),1)),0))"),0.0)</f>
        <v>0</v>
      </c>
      <c r="H1653" s="3">
        <f>IFERROR(__xludf.DUMMYFUNCTION("IFERROR(INDEX(FILTER('cost master'!$E:$E,('cost master'!$B:$B=C1653)*('cost master'!$D:$D=""Storage cost per pallet / week"")*('cost master'!$G:$G&lt;=B1653)*(('cost master'!$H:$H&gt;=B1653)+ISBLANK('cost master'!$H:$H))),1),0)"),2.6)</f>
        <v>2.6</v>
      </c>
      <c r="I1653" s="3">
        <f t="shared" si="4"/>
        <v>0</v>
      </c>
      <c r="J1653" s="27">
        <f t="shared" si="5"/>
        <v>45977</v>
      </c>
      <c r="K1653" s="27">
        <f t="shared" si="6"/>
        <v>46006</v>
      </c>
    </row>
    <row r="1654" hidden="1">
      <c r="A1654" s="3" t="str">
        <f t="shared" si="3"/>
        <v>SL-20251208-Vglobal-CS 010-12</v>
      </c>
      <c r="B1654" s="2">
        <f t="array" ref="B1654">INDEX(helper!$A$3:$A3996,ROUNDUP((ROW()-1)/COUNTA(helper!$D$3:$D3996),0))</f>
        <v>45999</v>
      </c>
      <c r="C1654" s="5" t="str">
        <f t="array" ref="C1654">IF(B1654="","",INDEX(helper!$D$3:$D3996,MOD(ROW()-2,COUNTA(helper!$D$3:$D3996))+1))</f>
        <v>Vglobal</v>
      </c>
      <c r="D1654" s="3" t="str">
        <f t="array" ref="D1654">IF(B1654="","",INDEX(helper!$E$3:$E3996,MOD(ROW()-2,COUNTA(helper!$D$3:$D3996))+1))</f>
        <v>CS 010</v>
      </c>
      <c r="E1654" s="3">
        <f t="array" ref="E1654">IF(B1654="","",INDEX(helper!$F$3:$F3996,MOD(ROW()-2,COUNTA(helper!$D$3:$D3996))+1))</f>
        <v>12</v>
      </c>
      <c r="F1654" s="3">
        <f>IF(B1654="","",SUMIFS('inventory ledger'!$H:$H,'inventory ledger'!$C:$C,C1654,'inventory ledger'!$D:$D,D1654,'inventory ledger'!$E:$E,E1654,'inventory ledger'!$A:$A,"&lt;="&amp;B1654+TIME(23,59,59))-SUMIFS('inventory ledger'!$I:$I,'inventory ledger'!$C:$C,C1654,'inventory ledger'!$D:$D,D1654,'inventory ledger'!$E:$E,E1654,'inventory ledger'!$A:$A,"&lt;="&amp;B1654+TIME(23,59,59)))</f>
        <v>70</v>
      </c>
      <c r="G1654" s="3">
        <f>IFERROR(__xludf.DUMMYFUNCTION("IF(F1654&lt;=0,0,IFERROR(ROUNDUP(F1654/INDEX(FILTER('warehouse config'!$D:$D,('warehouse config'!$B:$B=C1654)*('warehouse config'!$C:$C=D1654)*('warehouse config'!$G:$G&lt;=B1654)*(('warehouse config'!$H:$H&gt;=B1654)+ISBLANK('warehouse config'!$H:$H))),1)),0))"),3.0)</f>
        <v>3</v>
      </c>
      <c r="H1654" s="3">
        <f>IFERROR(__xludf.DUMMYFUNCTION("IFERROR(INDEX(FILTER('cost master'!$E:$E,('cost master'!$B:$B=C1654)*('cost master'!$D:$D=""Storage cost per pallet / week"")*('cost master'!$G:$G&lt;=B1654)*(('cost master'!$H:$H&gt;=B1654)+ISBLANK('cost master'!$H:$H))),1),0)"),2.6)</f>
        <v>2.6</v>
      </c>
      <c r="I1654" s="3">
        <f t="shared" si="4"/>
        <v>7.8</v>
      </c>
      <c r="J1654" s="27">
        <f t="shared" si="5"/>
        <v>45977</v>
      </c>
      <c r="K1654" s="27">
        <f t="shared" si="6"/>
        <v>46006</v>
      </c>
    </row>
    <row r="1655" hidden="1">
      <c r="A1655" s="3" t="str">
        <f t="shared" si="3"/>
        <v>SL-20251208-Vglobal-CS 009-12</v>
      </c>
      <c r="B1655" s="2">
        <f t="array" ref="B1655">INDEX(helper!$A$3:$A3996,ROUNDUP((ROW()-1)/COUNTA(helper!$D$3:$D3996),0))</f>
        <v>45999</v>
      </c>
      <c r="C1655" s="5" t="str">
        <f t="array" ref="C1655">IF(B1655="","",INDEX(helper!$D$3:$D3996,MOD(ROW()-2,COUNTA(helper!$D$3:$D3996))+1))</f>
        <v>Vglobal</v>
      </c>
      <c r="D1655" s="3" t="str">
        <f t="array" ref="D1655">IF(B1655="","",INDEX(helper!$E$3:$E3996,MOD(ROW()-2,COUNTA(helper!$D$3:$D3996))+1))</f>
        <v>CS 009</v>
      </c>
      <c r="E1655" s="3">
        <f t="array" ref="E1655">IF(B1655="","",INDEX(helper!$F$3:$F3996,MOD(ROW()-2,COUNTA(helper!$D$3:$D3996))+1))</f>
        <v>12</v>
      </c>
      <c r="F1655" s="3">
        <f>IF(B1655="","",SUMIFS('inventory ledger'!$H:$H,'inventory ledger'!$C:$C,C1655,'inventory ledger'!$D:$D,D1655,'inventory ledger'!$E:$E,E1655,'inventory ledger'!$A:$A,"&lt;="&amp;B1655+TIME(23,59,59))-SUMIFS('inventory ledger'!$I:$I,'inventory ledger'!$C:$C,C1655,'inventory ledger'!$D:$D,D1655,'inventory ledger'!$E:$E,E1655,'inventory ledger'!$A:$A,"&lt;="&amp;B1655+TIME(23,59,59)))</f>
        <v>0</v>
      </c>
      <c r="G1655" s="3">
        <f>IFERROR(__xludf.DUMMYFUNCTION("IF(F1655&lt;=0,0,IFERROR(ROUNDUP(F1655/INDEX(FILTER('warehouse config'!$D:$D,('warehouse config'!$B:$B=C1655)*('warehouse config'!$C:$C=D1655)*('warehouse config'!$G:$G&lt;=B1655)*(('warehouse config'!$H:$H&gt;=B1655)+ISBLANK('warehouse config'!$H:$H))),1)),0))"),0.0)</f>
        <v>0</v>
      </c>
      <c r="H1655" s="3">
        <f>IFERROR(__xludf.DUMMYFUNCTION("IFERROR(INDEX(FILTER('cost master'!$E:$E,('cost master'!$B:$B=C1655)*('cost master'!$D:$D=""Storage cost per pallet / week"")*('cost master'!$G:$G&lt;=B1655)*(('cost master'!$H:$H&gt;=B1655)+ISBLANK('cost master'!$H:$H))),1),0)"),2.6)</f>
        <v>2.6</v>
      </c>
      <c r="I1655" s="3">
        <f t="shared" si="4"/>
        <v>0</v>
      </c>
      <c r="J1655" s="27">
        <f t="shared" si="5"/>
        <v>45977</v>
      </c>
      <c r="K1655" s="27">
        <f t="shared" si="6"/>
        <v>46006</v>
      </c>
    </row>
    <row r="1656" hidden="1">
      <c r="A1656" s="3" t="str">
        <f t="shared" si="3"/>
        <v>SL-20251208-Vglobal-CS 012-12</v>
      </c>
      <c r="B1656" s="2">
        <f t="array" ref="B1656">INDEX(helper!$A$3:$A3996,ROUNDUP((ROW()-1)/COUNTA(helper!$D$3:$D3996),0))</f>
        <v>45999</v>
      </c>
      <c r="C1656" s="5" t="str">
        <f t="array" ref="C1656">IF(B1656="","",INDEX(helper!$D$3:$D3996,MOD(ROW()-2,COUNTA(helper!$D$3:$D3996))+1))</f>
        <v>Vglobal</v>
      </c>
      <c r="D1656" s="3" t="str">
        <f t="array" ref="D1656">IF(B1656="","",INDEX(helper!$E$3:$E3996,MOD(ROW()-2,COUNTA(helper!$D$3:$D3996))+1))</f>
        <v>CS 012</v>
      </c>
      <c r="E1656" s="3">
        <f t="array" ref="E1656">IF(B1656="","",INDEX(helper!$F$3:$F3996,MOD(ROW()-2,COUNTA(helper!$D$3:$D3996))+1))</f>
        <v>12</v>
      </c>
      <c r="F1656" s="3">
        <f>IF(B1656="","",SUMIFS('inventory ledger'!$H:$H,'inventory ledger'!$C:$C,C1656,'inventory ledger'!$D:$D,D1656,'inventory ledger'!$E:$E,E1656,'inventory ledger'!$A:$A,"&lt;="&amp;B1656+TIME(23,59,59))-SUMIFS('inventory ledger'!$I:$I,'inventory ledger'!$C:$C,C1656,'inventory ledger'!$D:$D,D1656,'inventory ledger'!$E:$E,E1656,'inventory ledger'!$A:$A,"&lt;="&amp;B1656+TIME(23,59,59)))</f>
        <v>0</v>
      </c>
      <c r="G1656" s="3">
        <f>IFERROR(__xludf.DUMMYFUNCTION("IF(F1656&lt;=0,0,IFERROR(ROUNDUP(F1656/INDEX(FILTER('warehouse config'!$D:$D,('warehouse config'!$B:$B=C1656)*('warehouse config'!$C:$C=D1656)*('warehouse config'!$G:$G&lt;=B1656)*(('warehouse config'!$H:$H&gt;=B1656)+ISBLANK('warehouse config'!$H:$H))),1)),0))"),0.0)</f>
        <v>0</v>
      </c>
      <c r="H1656" s="3">
        <f>IFERROR(__xludf.DUMMYFUNCTION("IFERROR(INDEX(FILTER('cost master'!$E:$E,('cost master'!$B:$B=C1656)*('cost master'!$D:$D=""Storage cost per pallet / week"")*('cost master'!$G:$G&lt;=B1656)*(('cost master'!$H:$H&gt;=B1656)+ISBLANK('cost master'!$H:$H))),1),0)"),2.6)</f>
        <v>2.6</v>
      </c>
      <c r="I1656" s="3">
        <f t="shared" si="4"/>
        <v>0</v>
      </c>
      <c r="J1656" s="27">
        <f t="shared" si="5"/>
        <v>45977</v>
      </c>
      <c r="K1656" s="27">
        <f t="shared" si="6"/>
        <v>46006</v>
      </c>
    </row>
    <row r="1657" hidden="1">
      <c r="A1657" s="3" t="str">
        <f t="shared" si="3"/>
        <v>SL-20251208-Vglobal-CS-CDS-001-3</v>
      </c>
      <c r="B1657" s="2">
        <f t="array" ref="B1657">INDEX(helper!$A$3:$A3996,ROUNDUP((ROW()-1)/COUNTA(helper!$D$3:$D3996),0))</f>
        <v>45999</v>
      </c>
      <c r="C1657" s="5" t="str">
        <f t="array" ref="C1657">IF(B1657="","",INDEX(helper!$D$3:$D3996,MOD(ROW()-2,COUNTA(helper!$D$3:$D3996))+1))</f>
        <v>Vglobal</v>
      </c>
      <c r="D1657" s="3" t="str">
        <f t="array" ref="D1657">IF(B1657="","",INDEX(helper!$E$3:$E3996,MOD(ROW()-2,COUNTA(helper!$D$3:$D3996))+1))</f>
        <v>CS-CDS-001</v>
      </c>
      <c r="E1657" s="3">
        <f t="array" ref="E1657">IF(B1657="","",INDEX(helper!$F$3:$F3996,MOD(ROW()-2,COUNTA(helper!$D$3:$D3996))+1))</f>
        <v>3</v>
      </c>
      <c r="F1657" s="3">
        <f>IF(B1657="","",SUMIFS('inventory ledger'!$H:$H,'inventory ledger'!$C:$C,C1657,'inventory ledger'!$D:$D,D1657,'inventory ledger'!$E:$E,E1657,'inventory ledger'!$A:$A,"&lt;="&amp;B1657+TIME(23,59,59))-SUMIFS('inventory ledger'!$I:$I,'inventory ledger'!$C:$C,C1657,'inventory ledger'!$D:$D,D1657,'inventory ledger'!$E:$E,E1657,'inventory ledger'!$A:$A,"&lt;="&amp;B1657+TIME(23,59,59)))</f>
        <v>1</v>
      </c>
      <c r="G1657" s="3">
        <f>IFERROR(__xludf.DUMMYFUNCTION("IF(F1657&lt;=0,0,IFERROR(ROUNDUP(F1657/INDEX(FILTER('warehouse config'!$D:$D,('warehouse config'!$B:$B=C1657)*('warehouse config'!$C:$C=D1657)*('warehouse config'!$G:$G&lt;=B1657)*(('warehouse config'!$H:$H&gt;=B1657)+ISBLANK('warehouse config'!$H:$H))),1)),0))"),1.0)</f>
        <v>1</v>
      </c>
      <c r="H1657" s="3">
        <f>IFERROR(__xludf.DUMMYFUNCTION("IFERROR(INDEX(FILTER('cost master'!$E:$E,('cost master'!$B:$B=C1657)*('cost master'!$D:$D=""Storage cost per pallet / week"")*('cost master'!$G:$G&lt;=B1657)*(('cost master'!$H:$H&gt;=B1657)+ISBLANK('cost master'!$H:$H))),1),0)"),2.6)</f>
        <v>2.6</v>
      </c>
      <c r="I1657" s="3">
        <f t="shared" si="4"/>
        <v>2.6</v>
      </c>
      <c r="J1657" s="27">
        <f t="shared" si="5"/>
        <v>45977</v>
      </c>
      <c r="K1657" s="27">
        <f t="shared" si="6"/>
        <v>46006</v>
      </c>
    </row>
    <row r="1658" hidden="1">
      <c r="A1658" s="3" t="str">
        <f t="shared" si="3"/>
        <v>SL-20251208-Vglobal-CS-CDS-002-3</v>
      </c>
      <c r="B1658" s="2">
        <f t="array" ref="B1658">INDEX(helper!$A$3:$A3996,ROUNDUP((ROW()-1)/COUNTA(helper!$D$3:$D3996),0))</f>
        <v>45999</v>
      </c>
      <c r="C1658" s="5" t="str">
        <f t="array" ref="C1658">IF(B1658="","",INDEX(helper!$D$3:$D3996,MOD(ROW()-2,COUNTA(helper!$D$3:$D3996))+1))</f>
        <v>Vglobal</v>
      </c>
      <c r="D1658" s="3" t="str">
        <f t="array" ref="D1658">IF(B1658="","",INDEX(helper!$E$3:$E3996,MOD(ROW()-2,COUNTA(helper!$D$3:$D3996))+1))</f>
        <v>CS-CDS-002</v>
      </c>
      <c r="E1658" s="3">
        <f t="array" ref="E1658">IF(B1658="","",INDEX(helper!$F$3:$F3996,MOD(ROW()-2,COUNTA(helper!$D$3:$D3996))+1))</f>
        <v>3</v>
      </c>
      <c r="F1658" s="3">
        <f>IF(B1658="","",SUMIFS('inventory ledger'!$H:$H,'inventory ledger'!$C:$C,C1658,'inventory ledger'!$D:$D,D1658,'inventory ledger'!$E:$E,E1658,'inventory ledger'!$A:$A,"&lt;="&amp;B1658+TIME(23,59,59))-SUMIFS('inventory ledger'!$I:$I,'inventory ledger'!$C:$C,C1658,'inventory ledger'!$D:$D,D1658,'inventory ledger'!$E:$E,E1658,'inventory ledger'!$A:$A,"&lt;="&amp;B1658+TIME(23,59,59)))</f>
        <v>0</v>
      </c>
      <c r="G1658" s="3">
        <f>IFERROR(__xludf.DUMMYFUNCTION("IF(F1658&lt;=0,0,IFERROR(ROUNDUP(F1658/INDEX(FILTER('warehouse config'!$D:$D,('warehouse config'!$B:$B=C1658)*('warehouse config'!$C:$C=D1658)*('warehouse config'!$G:$G&lt;=B1658)*(('warehouse config'!$H:$H&gt;=B1658)+ISBLANK('warehouse config'!$H:$H))),1)),0))"),0.0)</f>
        <v>0</v>
      </c>
      <c r="H1658" s="3">
        <f>IFERROR(__xludf.DUMMYFUNCTION("IFERROR(INDEX(FILTER('cost master'!$E:$E,('cost master'!$B:$B=C1658)*('cost master'!$D:$D=""Storage cost per pallet / week"")*('cost master'!$G:$G&lt;=B1658)*(('cost master'!$H:$H&gt;=B1658)+ISBLANK('cost master'!$H:$H))),1),0)"),2.6)</f>
        <v>2.6</v>
      </c>
      <c r="I1658" s="3">
        <f t="shared" si="4"/>
        <v>0</v>
      </c>
      <c r="J1658" s="27">
        <f t="shared" si="5"/>
        <v>45977</v>
      </c>
      <c r="K1658" s="27">
        <f t="shared" si="6"/>
        <v>46006</v>
      </c>
    </row>
    <row r="1659" hidden="1">
      <c r="A1659" s="3" t="str">
        <f t="shared" si="3"/>
        <v>SL-20251208-4as-CS-CDS-001-4</v>
      </c>
      <c r="B1659" s="2">
        <f t="array" ref="B1659">INDEX(helper!$A$3:$A3996,ROUNDUP((ROW()-1)/COUNTA(helper!$D$3:$D3996),0))</f>
        <v>45999</v>
      </c>
      <c r="C1659" s="5" t="str">
        <f t="array" ref="C1659">IF(B1659="","",INDEX(helper!$D$3:$D3996,MOD(ROW()-2,COUNTA(helper!$D$3:$D3996))+1))</f>
        <v>4as</v>
      </c>
      <c r="D1659" s="3" t="str">
        <f t="array" ref="D1659">IF(B1659="","",INDEX(helper!$E$3:$E3996,MOD(ROW()-2,COUNTA(helper!$D$3:$D3996))+1))</f>
        <v>CS-CDS-001</v>
      </c>
      <c r="E1659" s="3">
        <f t="array" ref="E1659">IF(B1659="","",INDEX(helper!$F$3:$F3996,MOD(ROW()-2,COUNTA(helper!$D$3:$D3996))+1))</f>
        <v>4</v>
      </c>
      <c r="F1659" s="3">
        <f>IF(B1659="","",SUMIFS('inventory ledger'!$H:$H,'inventory ledger'!$C:$C,C1659,'inventory ledger'!$D:$D,D1659,'inventory ledger'!$E:$E,E1659,'inventory ledger'!$A:$A,"&lt;="&amp;B1659+TIME(23,59,59))-SUMIFS('inventory ledger'!$I:$I,'inventory ledger'!$C:$C,C1659,'inventory ledger'!$D:$D,D1659,'inventory ledger'!$E:$E,E1659,'inventory ledger'!$A:$A,"&lt;="&amp;B1659+TIME(23,59,59)))</f>
        <v>0</v>
      </c>
      <c r="G1659" s="3">
        <f>IFERROR(__xludf.DUMMYFUNCTION("IF(F1659&lt;=0,0,IFERROR(ROUNDUP(F1659/INDEX(FILTER('warehouse config'!$D:$D,('warehouse config'!$B:$B=C1659)*('warehouse config'!$C:$C=D1659)*('warehouse config'!$G:$G&lt;=B1659)*(('warehouse config'!$H:$H&gt;=B1659)+ISBLANK('warehouse config'!$H:$H))),1)),0))"),0.0)</f>
        <v>0</v>
      </c>
      <c r="H1659" s="3">
        <f>IFERROR(__xludf.DUMMYFUNCTION("IFERROR(INDEX(FILTER('cost master'!$E:$E,('cost master'!$B:$B=C1659)*('cost master'!$D:$D=""Storage cost per pallet / week"")*('cost master'!$G:$G&lt;=B1659)*(('cost master'!$H:$H&gt;=B1659)+ISBLANK('cost master'!$H:$H))),1),0)"),9.0)</f>
        <v>9</v>
      </c>
      <c r="I1659" s="3">
        <f t="shared" si="4"/>
        <v>0</v>
      </c>
      <c r="J1659" s="27">
        <f t="shared" si="5"/>
        <v>45977</v>
      </c>
      <c r="K1659" s="27">
        <f t="shared" si="6"/>
        <v>46006</v>
      </c>
    </row>
    <row r="1660" hidden="1">
      <c r="A1660" s="3" t="str">
        <f t="shared" si="3"/>
        <v>SL-20251208-4as-CS-CDS-002-4</v>
      </c>
      <c r="B1660" s="2">
        <f t="array" ref="B1660">INDEX(helper!$A$3:$A3996,ROUNDUP((ROW()-1)/COUNTA(helper!$D$3:$D3996),0))</f>
        <v>45999</v>
      </c>
      <c r="C1660" s="5" t="str">
        <f t="array" ref="C1660">IF(B1660="","",INDEX(helper!$D$3:$D3996,MOD(ROW()-2,COUNTA(helper!$D$3:$D3996))+1))</f>
        <v>4as</v>
      </c>
      <c r="D1660" s="3" t="str">
        <f t="array" ref="D1660">IF(B1660="","",INDEX(helper!$E$3:$E3996,MOD(ROW()-2,COUNTA(helper!$D$3:$D3996))+1))</f>
        <v>CS-CDS-002</v>
      </c>
      <c r="E1660" s="3">
        <f t="array" ref="E1660">IF(B1660="","",INDEX(helper!$F$3:$F3996,MOD(ROW()-2,COUNTA(helper!$D$3:$D3996))+1))</f>
        <v>4</v>
      </c>
      <c r="F1660" s="3">
        <f>IF(B1660="","",SUMIFS('inventory ledger'!$H:$H,'inventory ledger'!$C:$C,C1660,'inventory ledger'!$D:$D,D1660,'inventory ledger'!$E:$E,E1660,'inventory ledger'!$A:$A,"&lt;="&amp;B1660+TIME(23,59,59))-SUMIFS('inventory ledger'!$I:$I,'inventory ledger'!$C:$C,C1660,'inventory ledger'!$D:$D,D1660,'inventory ledger'!$E:$E,E1660,'inventory ledger'!$A:$A,"&lt;="&amp;B1660+TIME(23,59,59)))</f>
        <v>0</v>
      </c>
      <c r="G1660" s="3">
        <f>IFERROR(__xludf.DUMMYFUNCTION("IF(F1660&lt;=0,0,IFERROR(ROUNDUP(F1660/INDEX(FILTER('warehouse config'!$D:$D,('warehouse config'!$B:$B=C1660)*('warehouse config'!$C:$C=D1660)*('warehouse config'!$G:$G&lt;=B1660)*(('warehouse config'!$H:$H&gt;=B1660)+ISBLANK('warehouse config'!$H:$H))),1)),0))"),0.0)</f>
        <v>0</v>
      </c>
      <c r="H1660" s="3">
        <f>IFERROR(__xludf.DUMMYFUNCTION("IFERROR(INDEX(FILTER('cost master'!$E:$E,('cost master'!$B:$B=C1660)*('cost master'!$D:$D=""Storage cost per pallet / week"")*('cost master'!$G:$G&lt;=B1660)*(('cost master'!$H:$H&gt;=B1660)+ISBLANK('cost master'!$H:$H))),1),0)"),9.0)</f>
        <v>9</v>
      </c>
      <c r="I1660" s="3">
        <f t="shared" si="4"/>
        <v>0</v>
      </c>
      <c r="J1660" s="27">
        <f t="shared" si="5"/>
        <v>45977</v>
      </c>
      <c r="K1660" s="27">
        <f t="shared" si="6"/>
        <v>46006</v>
      </c>
    </row>
    <row r="1661" hidden="1">
      <c r="A1661" s="3" t="str">
        <f t="shared" si="3"/>
        <v>SL-20251208-Vglobal-CS 007-13</v>
      </c>
      <c r="B1661" s="2">
        <f t="array" ref="B1661">INDEX(helper!$A$3:$A3996,ROUNDUP((ROW()-1)/COUNTA(helper!$D$3:$D3996),0))</f>
        <v>45999</v>
      </c>
      <c r="C1661" s="5" t="str">
        <f t="array" ref="C1661">IF(B1661="","",INDEX(helper!$D$3:$D3996,MOD(ROW()-2,COUNTA(helper!$D$3:$D3996))+1))</f>
        <v>Vglobal</v>
      </c>
      <c r="D1661" s="3" t="str">
        <f t="array" ref="D1661">IF(B1661="","",INDEX(helper!$E$3:$E3996,MOD(ROW()-2,COUNTA(helper!$D$3:$D3996))+1))</f>
        <v>CS 007</v>
      </c>
      <c r="E1661" s="3">
        <f t="array" ref="E1661">IF(B1661="","",INDEX(helper!$F$3:$F3996,MOD(ROW()-2,COUNTA(helper!$D$3:$D3996))+1))</f>
        <v>13</v>
      </c>
      <c r="F1661" s="3">
        <f>IF(B1661="","",SUMIFS('inventory ledger'!$H:$H,'inventory ledger'!$C:$C,C1661,'inventory ledger'!$D:$D,D1661,'inventory ledger'!$E:$E,E1661,'inventory ledger'!$A:$A,"&lt;="&amp;B1661+TIME(23,59,59))-SUMIFS('inventory ledger'!$I:$I,'inventory ledger'!$C:$C,C1661,'inventory ledger'!$D:$D,D1661,'inventory ledger'!$E:$E,E1661,'inventory ledger'!$A:$A,"&lt;="&amp;B1661+TIME(23,59,59)))</f>
        <v>45</v>
      </c>
      <c r="G1661" s="3">
        <f>IFERROR(__xludf.DUMMYFUNCTION("IF(F1661&lt;=0,0,IFERROR(ROUNDUP(F1661/INDEX(FILTER('warehouse config'!$D:$D,('warehouse config'!$B:$B=C1661)*('warehouse config'!$C:$C=D1661)*('warehouse config'!$G:$G&lt;=B1661)*(('warehouse config'!$H:$H&gt;=B1661)+ISBLANK('warehouse config'!$H:$H))),1)),0))"),3.0)</f>
        <v>3</v>
      </c>
      <c r="H1661" s="3">
        <f>IFERROR(__xludf.DUMMYFUNCTION("IFERROR(INDEX(FILTER('cost master'!$E:$E,('cost master'!$B:$B=C1661)*('cost master'!$D:$D=""Storage cost per pallet / week"")*('cost master'!$G:$G&lt;=B1661)*(('cost master'!$H:$H&gt;=B1661)+ISBLANK('cost master'!$H:$H))),1),0)"),2.6)</f>
        <v>2.6</v>
      </c>
      <c r="I1661" s="3">
        <f t="shared" si="4"/>
        <v>7.8</v>
      </c>
      <c r="J1661" s="27">
        <f t="shared" si="5"/>
        <v>45977</v>
      </c>
      <c r="K1661" s="27">
        <f t="shared" si="6"/>
        <v>46006</v>
      </c>
    </row>
    <row r="1662" hidden="1">
      <c r="A1662" s="3" t="str">
        <f t="shared" si="3"/>
        <v>SL-20251208-Vglobal-CS 011-13</v>
      </c>
      <c r="B1662" s="2">
        <f t="array" ref="B1662">INDEX(helper!$A$3:$A3996,ROUNDUP((ROW()-1)/COUNTA(helper!$D$3:$D3996),0))</f>
        <v>45999</v>
      </c>
      <c r="C1662" s="5" t="str">
        <f t="array" ref="C1662">IF(B1662="","",INDEX(helper!$D$3:$D3996,MOD(ROW()-2,COUNTA(helper!$D$3:$D3996))+1))</f>
        <v>Vglobal</v>
      </c>
      <c r="D1662" s="3" t="str">
        <f t="array" ref="D1662">IF(B1662="","",INDEX(helper!$E$3:$E3996,MOD(ROW()-2,COUNTA(helper!$D$3:$D3996))+1))</f>
        <v>CS 011</v>
      </c>
      <c r="E1662" s="3">
        <f t="array" ref="E1662">IF(B1662="","",INDEX(helper!$F$3:$F3996,MOD(ROW()-2,COUNTA(helper!$D$3:$D3996))+1))</f>
        <v>13</v>
      </c>
      <c r="F1662" s="3">
        <f>IF(B1662="","",SUMIFS('inventory ledger'!$H:$H,'inventory ledger'!$C:$C,C1662,'inventory ledger'!$D:$D,D1662,'inventory ledger'!$E:$E,E1662,'inventory ledger'!$A:$A,"&lt;="&amp;B1662+TIME(23,59,59))-SUMIFS('inventory ledger'!$I:$I,'inventory ledger'!$C:$C,C1662,'inventory ledger'!$D:$D,D1662,'inventory ledger'!$E:$E,E1662,'inventory ledger'!$A:$A,"&lt;="&amp;B1662+TIME(23,59,59)))</f>
        <v>0</v>
      </c>
      <c r="G1662" s="3">
        <f>IFERROR(__xludf.DUMMYFUNCTION("IF(F1662&lt;=0,0,IFERROR(ROUNDUP(F1662/INDEX(FILTER('warehouse config'!$D:$D,('warehouse config'!$B:$B=C1662)*('warehouse config'!$C:$C=D1662)*('warehouse config'!$G:$G&lt;=B1662)*(('warehouse config'!$H:$H&gt;=B1662)+ISBLANK('warehouse config'!$H:$H))),1)),0))"),0.0)</f>
        <v>0</v>
      </c>
      <c r="H1662" s="3">
        <f>IFERROR(__xludf.DUMMYFUNCTION("IFERROR(INDEX(FILTER('cost master'!$E:$E,('cost master'!$B:$B=C1662)*('cost master'!$D:$D=""Storage cost per pallet / week"")*('cost master'!$G:$G&lt;=B1662)*(('cost master'!$H:$H&gt;=B1662)+ISBLANK('cost master'!$H:$H))),1),0)"),2.6)</f>
        <v>2.6</v>
      </c>
      <c r="I1662" s="3">
        <f t="shared" si="4"/>
        <v>0</v>
      </c>
      <c r="J1662" s="27">
        <f t="shared" si="5"/>
        <v>45977</v>
      </c>
      <c r="K1662" s="27">
        <f t="shared" si="6"/>
        <v>46006</v>
      </c>
    </row>
    <row r="1663" hidden="1">
      <c r="A1663" s="3" t="str">
        <f t="shared" si="3"/>
        <v>SL-20251208-Vglobal-CS 008-13</v>
      </c>
      <c r="B1663" s="2">
        <f t="array" ref="B1663">INDEX(helper!$A$3:$A3996,ROUNDUP((ROW()-1)/COUNTA(helper!$D$3:$D3996),0))</f>
        <v>45999</v>
      </c>
      <c r="C1663" s="5" t="str">
        <f t="array" ref="C1663">IF(B1663="","",INDEX(helper!$D$3:$D3996,MOD(ROW()-2,COUNTA(helper!$D$3:$D3996))+1))</f>
        <v>Vglobal</v>
      </c>
      <c r="D1663" s="3" t="str">
        <f t="array" ref="D1663">IF(B1663="","",INDEX(helper!$E$3:$E3996,MOD(ROW()-2,COUNTA(helper!$D$3:$D3996))+1))</f>
        <v>CS 008</v>
      </c>
      <c r="E1663" s="3">
        <f t="array" ref="E1663">IF(B1663="","",INDEX(helper!$F$3:$F3996,MOD(ROW()-2,COUNTA(helper!$D$3:$D3996))+1))</f>
        <v>13</v>
      </c>
      <c r="F1663" s="3">
        <f>IF(B1663="","",SUMIFS('inventory ledger'!$H:$H,'inventory ledger'!$C:$C,C1663,'inventory ledger'!$D:$D,D1663,'inventory ledger'!$E:$E,E1663,'inventory ledger'!$A:$A,"&lt;="&amp;B1663+TIME(23,59,59))-SUMIFS('inventory ledger'!$I:$I,'inventory ledger'!$C:$C,C1663,'inventory ledger'!$D:$D,D1663,'inventory ledger'!$E:$E,E1663,'inventory ledger'!$A:$A,"&lt;="&amp;B1663+TIME(23,59,59)))</f>
        <v>20</v>
      </c>
      <c r="G1663" s="3">
        <f>IFERROR(__xludf.DUMMYFUNCTION("IF(F1663&lt;=0,0,IFERROR(ROUNDUP(F1663/INDEX(FILTER('warehouse config'!$D:$D,('warehouse config'!$B:$B=C1663)*('warehouse config'!$C:$C=D1663)*('warehouse config'!$G:$G&lt;=B1663)*(('warehouse config'!$H:$H&gt;=B1663)+ISBLANK('warehouse config'!$H:$H))),1)),0))"),1.0)</f>
        <v>1</v>
      </c>
      <c r="H1663" s="3">
        <f>IFERROR(__xludf.DUMMYFUNCTION("IFERROR(INDEX(FILTER('cost master'!$E:$E,('cost master'!$B:$B=C1663)*('cost master'!$D:$D=""Storage cost per pallet / week"")*('cost master'!$G:$G&lt;=B1663)*(('cost master'!$H:$H&gt;=B1663)+ISBLANK('cost master'!$H:$H))),1),0)"),2.6)</f>
        <v>2.6</v>
      </c>
      <c r="I1663" s="3">
        <f t="shared" si="4"/>
        <v>2.6</v>
      </c>
      <c r="J1663" s="27">
        <f t="shared" si="5"/>
        <v>45977</v>
      </c>
      <c r="K1663" s="27">
        <f t="shared" si="6"/>
        <v>46006</v>
      </c>
    </row>
    <row r="1664" hidden="1">
      <c r="A1664" s="3" t="str">
        <f t="shared" si="3"/>
        <v>SL-20251208-Vglobal-CS 010-13</v>
      </c>
      <c r="B1664" s="2">
        <f t="array" ref="B1664">INDEX(helper!$A$3:$A3996,ROUNDUP((ROW()-1)/COUNTA(helper!$D$3:$D3996),0))</f>
        <v>45999</v>
      </c>
      <c r="C1664" s="5" t="str">
        <f t="array" ref="C1664">IF(B1664="","",INDEX(helper!$D$3:$D3996,MOD(ROW()-2,COUNTA(helper!$D$3:$D3996))+1))</f>
        <v>Vglobal</v>
      </c>
      <c r="D1664" s="3" t="str">
        <f t="array" ref="D1664">IF(B1664="","",INDEX(helper!$E$3:$E3996,MOD(ROW()-2,COUNTA(helper!$D$3:$D3996))+1))</f>
        <v>CS 010</v>
      </c>
      <c r="E1664" s="3">
        <f t="array" ref="E1664">IF(B1664="","",INDEX(helper!$F$3:$F3996,MOD(ROW()-2,COUNTA(helper!$D$3:$D3996))+1))</f>
        <v>13</v>
      </c>
      <c r="F1664" s="3">
        <f>IF(B1664="","",SUMIFS('inventory ledger'!$H:$H,'inventory ledger'!$C:$C,C1664,'inventory ledger'!$D:$D,D1664,'inventory ledger'!$E:$E,E1664,'inventory ledger'!$A:$A,"&lt;="&amp;B1664+TIME(23,59,59))-SUMIFS('inventory ledger'!$I:$I,'inventory ledger'!$C:$C,C1664,'inventory ledger'!$D:$D,D1664,'inventory ledger'!$E:$E,E1664,'inventory ledger'!$A:$A,"&lt;="&amp;B1664+TIME(23,59,59)))</f>
        <v>80</v>
      </c>
      <c r="G1664" s="3">
        <f>IFERROR(__xludf.DUMMYFUNCTION("IF(F1664&lt;=0,0,IFERROR(ROUNDUP(F1664/INDEX(FILTER('warehouse config'!$D:$D,('warehouse config'!$B:$B=C1664)*('warehouse config'!$C:$C=D1664)*('warehouse config'!$G:$G&lt;=B1664)*(('warehouse config'!$H:$H&gt;=B1664)+ISBLANK('warehouse config'!$H:$H))),1)),0))"),4.0)</f>
        <v>4</v>
      </c>
      <c r="H1664" s="3">
        <f>IFERROR(__xludf.DUMMYFUNCTION("IFERROR(INDEX(FILTER('cost master'!$E:$E,('cost master'!$B:$B=C1664)*('cost master'!$D:$D=""Storage cost per pallet / week"")*('cost master'!$G:$G&lt;=B1664)*(('cost master'!$H:$H&gt;=B1664)+ISBLANK('cost master'!$H:$H))),1),0)"),2.6)</f>
        <v>2.6</v>
      </c>
      <c r="I1664" s="3">
        <f t="shared" si="4"/>
        <v>10.4</v>
      </c>
      <c r="J1664" s="27">
        <f t="shared" si="5"/>
        <v>45977</v>
      </c>
      <c r="K1664" s="27">
        <f t="shared" si="6"/>
        <v>46006</v>
      </c>
    </row>
    <row r="1665" hidden="1">
      <c r="A1665" s="3" t="str">
        <f t="shared" si="3"/>
        <v>SL-20251208-Vglobal-CS 009-13</v>
      </c>
      <c r="B1665" s="2">
        <f t="array" ref="B1665">INDEX(helper!$A$3:$A3996,ROUNDUP((ROW()-1)/COUNTA(helper!$D$3:$D3996),0))</f>
        <v>45999</v>
      </c>
      <c r="C1665" s="5" t="str">
        <f t="array" ref="C1665">IF(B1665="","",INDEX(helper!$D$3:$D3996,MOD(ROW()-2,COUNTA(helper!$D$3:$D3996))+1))</f>
        <v>Vglobal</v>
      </c>
      <c r="D1665" s="3" t="str">
        <f t="array" ref="D1665">IF(B1665="","",INDEX(helper!$E$3:$E3996,MOD(ROW()-2,COUNTA(helper!$D$3:$D3996))+1))</f>
        <v>CS 009</v>
      </c>
      <c r="E1665" s="3">
        <f t="array" ref="E1665">IF(B1665="","",INDEX(helper!$F$3:$F3996,MOD(ROW()-2,COUNTA(helper!$D$3:$D3996))+1))</f>
        <v>13</v>
      </c>
      <c r="F1665" s="3">
        <f>IF(B1665="","",SUMIFS('inventory ledger'!$H:$H,'inventory ledger'!$C:$C,C1665,'inventory ledger'!$D:$D,D1665,'inventory ledger'!$E:$E,E1665,'inventory ledger'!$A:$A,"&lt;="&amp;B1665+TIME(23,59,59))-SUMIFS('inventory ledger'!$I:$I,'inventory ledger'!$C:$C,C1665,'inventory ledger'!$D:$D,D1665,'inventory ledger'!$E:$E,E1665,'inventory ledger'!$A:$A,"&lt;="&amp;B1665+TIME(23,59,59)))</f>
        <v>0</v>
      </c>
      <c r="G1665" s="3">
        <f>IFERROR(__xludf.DUMMYFUNCTION("IF(F1665&lt;=0,0,IFERROR(ROUNDUP(F1665/INDEX(FILTER('warehouse config'!$D:$D,('warehouse config'!$B:$B=C1665)*('warehouse config'!$C:$C=D1665)*('warehouse config'!$G:$G&lt;=B1665)*(('warehouse config'!$H:$H&gt;=B1665)+ISBLANK('warehouse config'!$H:$H))),1)),0))"),0.0)</f>
        <v>0</v>
      </c>
      <c r="H1665" s="3">
        <f>IFERROR(__xludf.DUMMYFUNCTION("IFERROR(INDEX(FILTER('cost master'!$E:$E,('cost master'!$B:$B=C1665)*('cost master'!$D:$D=""Storage cost per pallet / week"")*('cost master'!$G:$G&lt;=B1665)*(('cost master'!$H:$H&gt;=B1665)+ISBLANK('cost master'!$H:$H))),1),0)"),2.6)</f>
        <v>2.6</v>
      </c>
      <c r="I1665" s="3">
        <f t="shared" si="4"/>
        <v>0</v>
      </c>
      <c r="J1665" s="27">
        <f t="shared" si="5"/>
        <v>45977</v>
      </c>
      <c r="K1665" s="27">
        <f t="shared" si="6"/>
        <v>46006</v>
      </c>
    </row>
    <row r="1666" hidden="1">
      <c r="A1666" s="3" t="str">
        <f t="shared" si="3"/>
        <v>SL-20251208-Vglobal-CS 012-13</v>
      </c>
      <c r="B1666" s="2">
        <f t="array" ref="B1666">INDEX(helper!$A$3:$A3996,ROUNDUP((ROW()-1)/COUNTA(helper!$D$3:$D3996),0))</f>
        <v>45999</v>
      </c>
      <c r="C1666" s="5" t="str">
        <f t="array" ref="C1666">IF(B1666="","",INDEX(helper!$D$3:$D3996,MOD(ROW()-2,COUNTA(helper!$D$3:$D3996))+1))</f>
        <v>Vglobal</v>
      </c>
      <c r="D1666" s="3" t="str">
        <f t="array" ref="D1666">IF(B1666="","",INDEX(helper!$E$3:$E3996,MOD(ROW()-2,COUNTA(helper!$D$3:$D3996))+1))</f>
        <v>CS 012</v>
      </c>
      <c r="E1666" s="3">
        <f t="array" ref="E1666">IF(B1666="","",INDEX(helper!$F$3:$F3996,MOD(ROW()-2,COUNTA(helper!$D$3:$D3996))+1))</f>
        <v>13</v>
      </c>
      <c r="F1666" s="3">
        <f>IF(B1666="","",SUMIFS('inventory ledger'!$H:$H,'inventory ledger'!$C:$C,C1666,'inventory ledger'!$D:$D,D1666,'inventory ledger'!$E:$E,E1666,'inventory ledger'!$A:$A,"&lt;="&amp;B1666+TIME(23,59,59))-SUMIFS('inventory ledger'!$I:$I,'inventory ledger'!$C:$C,C1666,'inventory ledger'!$D:$D,D1666,'inventory ledger'!$E:$E,E1666,'inventory ledger'!$A:$A,"&lt;="&amp;B1666+TIME(23,59,59)))</f>
        <v>0</v>
      </c>
      <c r="G1666" s="3">
        <f>IFERROR(__xludf.DUMMYFUNCTION("IF(F1666&lt;=0,0,IFERROR(ROUNDUP(F1666/INDEX(FILTER('warehouse config'!$D:$D,('warehouse config'!$B:$B=C1666)*('warehouse config'!$C:$C=D1666)*('warehouse config'!$G:$G&lt;=B1666)*(('warehouse config'!$H:$H&gt;=B1666)+ISBLANK('warehouse config'!$H:$H))),1)),0))"),0.0)</f>
        <v>0</v>
      </c>
      <c r="H1666" s="3">
        <f>IFERROR(__xludf.DUMMYFUNCTION("IFERROR(INDEX(FILTER('cost master'!$E:$E,('cost master'!$B:$B=C1666)*('cost master'!$D:$D=""Storage cost per pallet / week"")*('cost master'!$G:$G&lt;=B1666)*(('cost master'!$H:$H&gt;=B1666)+ISBLANK('cost master'!$H:$H))),1),0)"),2.6)</f>
        <v>2.6</v>
      </c>
      <c r="I1666" s="3">
        <f t="shared" si="4"/>
        <v>0</v>
      </c>
      <c r="J1666" s="27">
        <f t="shared" si="5"/>
        <v>45977</v>
      </c>
      <c r="K1666" s="27">
        <f t="shared" si="6"/>
        <v>46006</v>
      </c>
    </row>
    <row r="1667">
      <c r="A1667" s="3" t="str">
        <f t="shared" si="3"/>
        <v>SL-20251208-FMC-CS 008-11</v>
      </c>
      <c r="B1667" s="2">
        <f t="array" ref="B1667">INDEX(helper!$A$3:$A3996,ROUNDUP((ROW()-1)/COUNTA(helper!$D$3:$D3996),0))</f>
        <v>45999</v>
      </c>
      <c r="C1667" s="5" t="str">
        <f t="array" ref="C1667">IF(B1667="","",INDEX(helper!$D$3:$D3996,MOD(ROW()-2,COUNTA(helper!$D$3:$D3996))+1))</f>
        <v>FMC</v>
      </c>
      <c r="D1667" s="3" t="str">
        <f t="array" ref="D1667">IF(B1667="","",INDEX(helper!$E$3:$E3996,MOD(ROW()-2,COUNTA(helper!$D$3:$D3996))+1))</f>
        <v>CS 008</v>
      </c>
      <c r="E1667" s="3">
        <f t="array" ref="E1667">IF(B1667="","",INDEX(helper!$F$3:$F3996,MOD(ROW()-2,COUNTA(helper!$D$3:$D3996))+1))</f>
        <v>11</v>
      </c>
      <c r="F1667" s="3">
        <f>IF(B1667="","",SUMIFS('inventory ledger'!$H:$H,'inventory ledger'!$C:$C,C1667,'inventory ledger'!$D:$D,D1667,'inventory ledger'!$E:$E,E1667,'inventory ledger'!$A:$A,"&lt;="&amp;B1667+TIME(23,59,59))-SUMIFS('inventory ledger'!$I:$I,'inventory ledger'!$C:$C,C1667,'inventory ledger'!$D:$D,D1667,'inventory ledger'!$E:$E,E1667,'inventory ledger'!$A:$A,"&lt;="&amp;B1667+TIME(23,59,59)))</f>
        <v>-2</v>
      </c>
      <c r="G1667" s="3">
        <f>IFERROR(__xludf.DUMMYFUNCTION("IF(F1667&lt;=0,0,IFERROR(ROUNDUP(F1667/INDEX(FILTER('warehouse config'!$D:$D,('warehouse config'!$B:$B=C1667)*('warehouse config'!$C:$C=D1667)*('warehouse config'!$G:$G&lt;=B1667)*(('warehouse config'!$H:$H&gt;=B1667)+ISBLANK('warehouse config'!$H:$H))),1)),0))"),0.0)</f>
        <v>0</v>
      </c>
      <c r="H1667" s="3">
        <f>IFERROR(__xludf.DUMMYFUNCTION("IFERROR(INDEX(FILTER('cost master'!$E:$E,('cost master'!$B:$B=C1667)*('cost master'!$D:$D=""Storage cost per pallet / week"")*('cost master'!$G:$G&lt;=B1667)*(('cost master'!$H:$H&gt;=B1667)+ISBLANK('cost master'!$H:$H))),1),0)"),3.9)</f>
        <v>3.9</v>
      </c>
      <c r="I1667" s="3">
        <f t="shared" si="4"/>
        <v>0</v>
      </c>
      <c r="J1667" s="27">
        <f t="shared" si="5"/>
        <v>45977</v>
      </c>
      <c r="K1667" s="27">
        <f t="shared" si="6"/>
        <v>46006</v>
      </c>
    </row>
    <row r="1668" hidden="1">
      <c r="A1668" s="3" t="str">
        <f t="shared" si="3"/>
        <v>SL-20251215-FMC-CS 007-8</v>
      </c>
      <c r="B1668" s="2">
        <f t="array" ref="B1668">INDEX(helper!$A$3:$A3996,ROUNDUP((ROW()-1)/COUNTA(helper!$D$3:$D3996),0))</f>
        <v>46006</v>
      </c>
      <c r="C1668" s="5" t="str">
        <f t="array" ref="C1668">IF(B1668="","",INDEX(helper!$D$3:$D3996,MOD(ROW()-2,COUNTA(helper!$D$3:$D3996))+1))</f>
        <v>FMC</v>
      </c>
      <c r="D1668" s="3" t="str">
        <f t="array" ref="D1668">IF(B1668="","",INDEX(helper!$E$3:$E3996,MOD(ROW()-2,COUNTA(helper!$D$3:$D3996))+1))</f>
        <v>CS 007</v>
      </c>
      <c r="E1668" s="3">
        <f t="array" ref="E1668">IF(B1668="","",INDEX(helper!$F$3:$F3996,MOD(ROW()-2,COUNTA(helper!$D$3:$D3996))+1))</f>
        <v>8</v>
      </c>
      <c r="F1668" s="3">
        <f>IF(B1668="","",SUMIFS('inventory ledger'!$H:$H,'inventory ledger'!$C:$C,C1668,'inventory ledger'!$D:$D,D1668,'inventory ledger'!$E:$E,E1668,'inventory ledger'!$A:$A,"&lt;="&amp;B1668+TIME(23,59,59))-SUMIFS('inventory ledger'!$I:$I,'inventory ledger'!$C:$C,C1668,'inventory ledger'!$D:$D,D1668,'inventory ledger'!$E:$E,E1668,'inventory ledger'!$A:$A,"&lt;="&amp;B1668+TIME(23,59,59)))</f>
        <v>0</v>
      </c>
      <c r="G1668" s="3">
        <f>IFERROR(__xludf.DUMMYFUNCTION("IF(F1668&lt;=0,0,IFERROR(ROUNDUP(F1668/INDEX(FILTER('warehouse config'!$D:$D,('warehouse config'!$B:$B=C1668)*('warehouse config'!$C:$C=D1668)*('warehouse config'!$G:$G&lt;=B1668)*(('warehouse config'!$H:$H&gt;=B1668)+ISBLANK('warehouse config'!$H:$H))),1)),0))"),0.0)</f>
        <v>0</v>
      </c>
      <c r="H1668" s="3">
        <f>IFERROR(__xludf.DUMMYFUNCTION("IFERROR(INDEX(FILTER('cost master'!$E:$E,('cost master'!$B:$B=C1668)*('cost master'!$D:$D=""Storage cost per pallet / week"")*('cost master'!$G:$G&lt;=B1668)*(('cost master'!$H:$H&gt;=B1668)+ISBLANK('cost master'!$H:$H))),1),0)"),3.9)</f>
        <v>3.9</v>
      </c>
      <c r="I1668" s="3">
        <f t="shared" si="4"/>
        <v>0</v>
      </c>
      <c r="J1668" s="27">
        <f t="shared" si="5"/>
        <v>45977</v>
      </c>
      <c r="K1668" s="27">
        <f t="shared" si="6"/>
        <v>46006</v>
      </c>
    </row>
    <row r="1669" hidden="1">
      <c r="A1669" s="3" t="str">
        <f t="shared" si="3"/>
        <v>SL-20251215-FMC-CS 008-8</v>
      </c>
      <c r="B1669" s="2">
        <f t="array" ref="B1669">INDEX(helper!$A$3:$A3996,ROUNDUP((ROW()-1)/COUNTA(helper!$D$3:$D3996),0))</f>
        <v>46006</v>
      </c>
      <c r="C1669" s="5" t="str">
        <f t="array" ref="C1669">IF(B1669="","",INDEX(helper!$D$3:$D3996,MOD(ROW()-2,COUNTA(helper!$D$3:$D3996))+1))</f>
        <v>FMC</v>
      </c>
      <c r="D1669" s="3" t="str">
        <f t="array" ref="D1669">IF(B1669="","",INDEX(helper!$E$3:$E3996,MOD(ROW()-2,COUNTA(helper!$D$3:$D3996))+1))</f>
        <v>CS 008</v>
      </c>
      <c r="E1669" s="3">
        <f t="array" ref="E1669">IF(B1669="","",INDEX(helper!$F$3:$F3996,MOD(ROW()-2,COUNTA(helper!$D$3:$D3996))+1))</f>
        <v>8</v>
      </c>
      <c r="F1669" s="3">
        <f>IF(B1669="","",SUMIFS('inventory ledger'!$H:$H,'inventory ledger'!$C:$C,C1669,'inventory ledger'!$D:$D,D1669,'inventory ledger'!$E:$E,E1669,'inventory ledger'!$A:$A,"&lt;="&amp;B1669+TIME(23,59,59))-SUMIFS('inventory ledger'!$I:$I,'inventory ledger'!$C:$C,C1669,'inventory ledger'!$D:$D,D1669,'inventory ledger'!$E:$E,E1669,'inventory ledger'!$A:$A,"&lt;="&amp;B1669+TIME(23,59,59)))</f>
        <v>0</v>
      </c>
      <c r="G1669" s="3">
        <f>IFERROR(__xludf.DUMMYFUNCTION("IF(F1669&lt;=0,0,IFERROR(ROUNDUP(F1669/INDEX(FILTER('warehouse config'!$D:$D,('warehouse config'!$B:$B=C1669)*('warehouse config'!$C:$C=D1669)*('warehouse config'!$G:$G&lt;=B1669)*(('warehouse config'!$H:$H&gt;=B1669)+ISBLANK('warehouse config'!$H:$H))),1)),0))"),0.0)</f>
        <v>0</v>
      </c>
      <c r="H1669" s="3">
        <f>IFERROR(__xludf.DUMMYFUNCTION("IFERROR(INDEX(FILTER('cost master'!$E:$E,('cost master'!$B:$B=C1669)*('cost master'!$D:$D=""Storage cost per pallet / week"")*('cost master'!$G:$G&lt;=B1669)*(('cost master'!$H:$H&gt;=B1669)+ISBLANK('cost master'!$H:$H))),1),0)"),3.9)</f>
        <v>3.9</v>
      </c>
      <c r="I1669" s="3">
        <f t="shared" si="4"/>
        <v>0</v>
      </c>
      <c r="J1669" s="27">
        <f t="shared" si="5"/>
        <v>45977</v>
      </c>
      <c r="K1669" s="27">
        <f t="shared" si="6"/>
        <v>46006</v>
      </c>
    </row>
    <row r="1670" hidden="1">
      <c r="A1670" s="3" t="str">
        <f t="shared" si="3"/>
        <v>SL-20251215-FMC-CS 009-8</v>
      </c>
      <c r="B1670" s="2">
        <f t="array" ref="B1670">INDEX(helper!$A$3:$A3996,ROUNDUP((ROW()-1)/COUNTA(helper!$D$3:$D3996),0))</f>
        <v>46006</v>
      </c>
      <c r="C1670" s="5" t="str">
        <f t="array" ref="C1670">IF(B1670="","",INDEX(helper!$D$3:$D3996,MOD(ROW()-2,COUNTA(helper!$D$3:$D3996))+1))</f>
        <v>FMC</v>
      </c>
      <c r="D1670" s="3" t="str">
        <f t="array" ref="D1670">IF(B1670="","",INDEX(helper!$E$3:$E3996,MOD(ROW()-2,COUNTA(helper!$D$3:$D3996))+1))</f>
        <v>CS 009</v>
      </c>
      <c r="E1670" s="3">
        <f t="array" ref="E1670">IF(B1670="","",INDEX(helper!$F$3:$F3996,MOD(ROW()-2,COUNTA(helper!$D$3:$D3996))+1))</f>
        <v>8</v>
      </c>
      <c r="F1670" s="3">
        <f>IF(B1670="","",SUMIFS('inventory ledger'!$H:$H,'inventory ledger'!$C:$C,C1670,'inventory ledger'!$D:$D,D1670,'inventory ledger'!$E:$E,E1670,'inventory ledger'!$A:$A,"&lt;="&amp;B1670+TIME(23,59,59))-SUMIFS('inventory ledger'!$I:$I,'inventory ledger'!$C:$C,C1670,'inventory ledger'!$D:$D,D1670,'inventory ledger'!$E:$E,E1670,'inventory ledger'!$A:$A,"&lt;="&amp;B1670+TIME(23,59,59)))</f>
        <v>0</v>
      </c>
      <c r="G1670" s="3">
        <f>IFERROR(__xludf.DUMMYFUNCTION("IF(F1670&lt;=0,0,IFERROR(ROUNDUP(F1670/INDEX(FILTER('warehouse config'!$D:$D,('warehouse config'!$B:$B=C1670)*('warehouse config'!$C:$C=D1670)*('warehouse config'!$G:$G&lt;=B1670)*(('warehouse config'!$H:$H&gt;=B1670)+ISBLANK('warehouse config'!$H:$H))),1)),0))"),0.0)</f>
        <v>0</v>
      </c>
      <c r="H1670" s="3">
        <f>IFERROR(__xludf.DUMMYFUNCTION("IFERROR(INDEX(FILTER('cost master'!$E:$E,('cost master'!$B:$B=C1670)*('cost master'!$D:$D=""Storage cost per pallet / week"")*('cost master'!$G:$G&lt;=B1670)*(('cost master'!$H:$H&gt;=B1670)+ISBLANK('cost master'!$H:$H))),1),0)"),3.9)</f>
        <v>3.9</v>
      </c>
      <c r="I1670" s="3">
        <f t="shared" si="4"/>
        <v>0</v>
      </c>
      <c r="J1670" s="27">
        <f t="shared" si="5"/>
        <v>45977</v>
      </c>
      <c r="K1670" s="27">
        <f t="shared" si="6"/>
        <v>46006</v>
      </c>
    </row>
    <row r="1671" hidden="1">
      <c r="A1671" s="3" t="str">
        <f t="shared" si="3"/>
        <v>SL-20251215-FMC-CS 010-8</v>
      </c>
      <c r="B1671" s="2">
        <f t="array" ref="B1671">INDEX(helper!$A$3:$A3996,ROUNDUP((ROW()-1)/COUNTA(helper!$D$3:$D3996),0))</f>
        <v>46006</v>
      </c>
      <c r="C1671" s="5" t="str">
        <f t="array" ref="C1671">IF(B1671="","",INDEX(helper!$D$3:$D3996,MOD(ROW()-2,COUNTA(helper!$D$3:$D3996))+1))</f>
        <v>FMC</v>
      </c>
      <c r="D1671" s="3" t="str">
        <f t="array" ref="D1671">IF(B1671="","",INDEX(helper!$E$3:$E3996,MOD(ROW()-2,COUNTA(helper!$D$3:$D3996))+1))</f>
        <v>CS 010</v>
      </c>
      <c r="E1671" s="3">
        <f t="array" ref="E1671">IF(B1671="","",INDEX(helper!$F$3:$F3996,MOD(ROW()-2,COUNTA(helper!$D$3:$D3996))+1))</f>
        <v>8</v>
      </c>
      <c r="F1671" s="3">
        <f>IF(B1671="","",SUMIFS('inventory ledger'!$H:$H,'inventory ledger'!$C:$C,C1671,'inventory ledger'!$D:$D,D1671,'inventory ledger'!$E:$E,E1671,'inventory ledger'!$A:$A,"&lt;="&amp;B1671+TIME(23,59,59))-SUMIFS('inventory ledger'!$I:$I,'inventory ledger'!$C:$C,C1671,'inventory ledger'!$D:$D,D1671,'inventory ledger'!$E:$E,E1671,'inventory ledger'!$A:$A,"&lt;="&amp;B1671+TIME(23,59,59)))</f>
        <v>0</v>
      </c>
      <c r="G1671" s="3">
        <f>IFERROR(__xludf.DUMMYFUNCTION("IF(F1671&lt;=0,0,IFERROR(ROUNDUP(F1671/INDEX(FILTER('warehouse config'!$D:$D,('warehouse config'!$B:$B=C1671)*('warehouse config'!$C:$C=D1671)*('warehouse config'!$G:$G&lt;=B1671)*(('warehouse config'!$H:$H&gt;=B1671)+ISBLANK('warehouse config'!$H:$H))),1)),0))"),0.0)</f>
        <v>0</v>
      </c>
      <c r="H1671" s="3">
        <f>IFERROR(__xludf.DUMMYFUNCTION("IFERROR(INDEX(FILTER('cost master'!$E:$E,('cost master'!$B:$B=C1671)*('cost master'!$D:$D=""Storage cost per pallet / week"")*('cost master'!$G:$G&lt;=B1671)*(('cost master'!$H:$H&gt;=B1671)+ISBLANK('cost master'!$H:$H))),1),0)"),3.9)</f>
        <v>3.9</v>
      </c>
      <c r="I1671" s="3">
        <f t="shared" si="4"/>
        <v>0</v>
      </c>
      <c r="J1671" s="27">
        <f t="shared" si="5"/>
        <v>45977</v>
      </c>
      <c r="K1671" s="27">
        <f t="shared" si="6"/>
        <v>46006</v>
      </c>
    </row>
    <row r="1672" hidden="1">
      <c r="A1672" s="3" t="str">
        <f t="shared" si="3"/>
        <v>SL-20251215-FMC-CS 007-9</v>
      </c>
      <c r="B1672" s="2">
        <f t="array" ref="B1672">INDEX(helper!$A$3:$A3996,ROUNDUP((ROW()-1)/COUNTA(helper!$D$3:$D3996),0))</f>
        <v>46006</v>
      </c>
      <c r="C1672" s="5" t="str">
        <f t="array" ref="C1672">IF(B1672="","",INDEX(helper!$D$3:$D3996,MOD(ROW()-2,COUNTA(helper!$D$3:$D3996))+1))</f>
        <v>FMC</v>
      </c>
      <c r="D1672" s="3" t="str">
        <f t="array" ref="D1672">IF(B1672="","",INDEX(helper!$E$3:$E3996,MOD(ROW()-2,COUNTA(helper!$D$3:$D3996))+1))</f>
        <v>CS 007</v>
      </c>
      <c r="E1672" s="3">
        <f t="array" ref="E1672">IF(B1672="","",INDEX(helper!$F$3:$F3996,MOD(ROW()-2,COUNTA(helper!$D$3:$D3996))+1))</f>
        <v>9</v>
      </c>
      <c r="F1672" s="3">
        <f>IF(B1672="","",SUMIFS('inventory ledger'!$H:$H,'inventory ledger'!$C:$C,C1672,'inventory ledger'!$D:$D,D1672,'inventory ledger'!$E:$E,E1672,'inventory ledger'!$A:$A,"&lt;="&amp;B1672+TIME(23,59,59))-SUMIFS('inventory ledger'!$I:$I,'inventory ledger'!$C:$C,C1672,'inventory ledger'!$D:$D,D1672,'inventory ledger'!$E:$E,E1672,'inventory ledger'!$A:$A,"&lt;="&amp;B1672+TIME(23,59,59)))</f>
        <v>0</v>
      </c>
      <c r="G1672" s="3">
        <f>IFERROR(__xludf.DUMMYFUNCTION("IF(F1672&lt;=0,0,IFERROR(ROUNDUP(F1672/INDEX(FILTER('warehouse config'!$D:$D,('warehouse config'!$B:$B=C1672)*('warehouse config'!$C:$C=D1672)*('warehouse config'!$G:$G&lt;=B1672)*(('warehouse config'!$H:$H&gt;=B1672)+ISBLANK('warehouse config'!$H:$H))),1)),0))"),0.0)</f>
        <v>0</v>
      </c>
      <c r="H1672" s="3">
        <f>IFERROR(__xludf.DUMMYFUNCTION("IFERROR(INDEX(FILTER('cost master'!$E:$E,('cost master'!$B:$B=C1672)*('cost master'!$D:$D=""Storage cost per pallet / week"")*('cost master'!$G:$G&lt;=B1672)*(('cost master'!$H:$H&gt;=B1672)+ISBLANK('cost master'!$H:$H))),1),0)"),3.9)</f>
        <v>3.9</v>
      </c>
      <c r="I1672" s="3">
        <f t="shared" si="4"/>
        <v>0</v>
      </c>
      <c r="J1672" s="27">
        <f t="shared" si="5"/>
        <v>45977</v>
      </c>
      <c r="K1672" s="27">
        <f t="shared" si="6"/>
        <v>46006</v>
      </c>
    </row>
    <row r="1673" hidden="1">
      <c r="A1673" s="3" t="str">
        <f t="shared" si="3"/>
        <v>SL-20251215-FMC-CS 008-9</v>
      </c>
      <c r="B1673" s="2">
        <f t="array" ref="B1673">INDEX(helper!$A$3:$A3996,ROUNDUP((ROW()-1)/COUNTA(helper!$D$3:$D3996),0))</f>
        <v>46006</v>
      </c>
      <c r="C1673" s="5" t="str">
        <f t="array" ref="C1673">IF(B1673="","",INDEX(helper!$D$3:$D3996,MOD(ROW()-2,COUNTA(helper!$D$3:$D3996))+1))</f>
        <v>FMC</v>
      </c>
      <c r="D1673" s="3" t="str">
        <f t="array" ref="D1673">IF(B1673="","",INDEX(helper!$E$3:$E3996,MOD(ROW()-2,COUNTA(helper!$D$3:$D3996))+1))</f>
        <v>CS 008</v>
      </c>
      <c r="E1673" s="3">
        <f t="array" ref="E1673">IF(B1673="","",INDEX(helper!$F$3:$F3996,MOD(ROW()-2,COUNTA(helper!$D$3:$D3996))+1))</f>
        <v>9</v>
      </c>
      <c r="F1673" s="3">
        <f>IF(B1673="","",SUMIFS('inventory ledger'!$H:$H,'inventory ledger'!$C:$C,C1673,'inventory ledger'!$D:$D,D1673,'inventory ledger'!$E:$E,E1673,'inventory ledger'!$A:$A,"&lt;="&amp;B1673+TIME(23,59,59))-SUMIFS('inventory ledger'!$I:$I,'inventory ledger'!$C:$C,C1673,'inventory ledger'!$D:$D,D1673,'inventory ledger'!$E:$E,E1673,'inventory ledger'!$A:$A,"&lt;="&amp;B1673+TIME(23,59,59)))</f>
        <v>2</v>
      </c>
      <c r="G1673" s="3">
        <f>IFERROR(__xludf.DUMMYFUNCTION("IF(F1673&lt;=0,0,IFERROR(ROUNDUP(F1673/INDEX(FILTER('warehouse config'!$D:$D,('warehouse config'!$B:$B=C1673)*('warehouse config'!$C:$C=D1673)*('warehouse config'!$G:$G&lt;=B1673)*(('warehouse config'!$H:$H&gt;=B1673)+ISBLANK('warehouse config'!$H:$H))),1)),0))"),1.0)</f>
        <v>1</v>
      </c>
      <c r="H1673" s="3">
        <f>IFERROR(__xludf.DUMMYFUNCTION("IFERROR(INDEX(FILTER('cost master'!$E:$E,('cost master'!$B:$B=C1673)*('cost master'!$D:$D=""Storage cost per pallet / week"")*('cost master'!$G:$G&lt;=B1673)*(('cost master'!$H:$H&gt;=B1673)+ISBLANK('cost master'!$H:$H))),1),0)"),3.9)</f>
        <v>3.9</v>
      </c>
      <c r="I1673" s="3">
        <f t="shared" si="4"/>
        <v>3.9</v>
      </c>
      <c r="J1673" s="27">
        <f t="shared" si="5"/>
        <v>45977</v>
      </c>
      <c r="K1673" s="27">
        <f t="shared" si="6"/>
        <v>46006</v>
      </c>
    </row>
    <row r="1674" hidden="1">
      <c r="A1674" s="3" t="str">
        <f t="shared" si="3"/>
        <v>SL-20251215-FMC-CS 009-9</v>
      </c>
      <c r="B1674" s="2">
        <f t="array" ref="B1674">INDEX(helper!$A$3:$A3996,ROUNDUP((ROW()-1)/COUNTA(helper!$D$3:$D3996),0))</f>
        <v>46006</v>
      </c>
      <c r="C1674" s="5" t="str">
        <f t="array" ref="C1674">IF(B1674="","",INDEX(helper!$D$3:$D3996,MOD(ROW()-2,COUNTA(helper!$D$3:$D3996))+1))</f>
        <v>FMC</v>
      </c>
      <c r="D1674" s="3" t="str">
        <f t="array" ref="D1674">IF(B1674="","",INDEX(helper!$E$3:$E3996,MOD(ROW()-2,COUNTA(helper!$D$3:$D3996))+1))</f>
        <v>CS 009</v>
      </c>
      <c r="E1674" s="3">
        <f t="array" ref="E1674">IF(B1674="","",INDEX(helper!$F$3:$F3996,MOD(ROW()-2,COUNTA(helper!$D$3:$D3996))+1))</f>
        <v>9</v>
      </c>
      <c r="F1674" s="3">
        <f>IF(B1674="","",SUMIFS('inventory ledger'!$H:$H,'inventory ledger'!$C:$C,C1674,'inventory ledger'!$D:$D,D1674,'inventory ledger'!$E:$E,E1674,'inventory ledger'!$A:$A,"&lt;="&amp;B1674+TIME(23,59,59))-SUMIFS('inventory ledger'!$I:$I,'inventory ledger'!$C:$C,C1674,'inventory ledger'!$D:$D,D1674,'inventory ledger'!$E:$E,E1674,'inventory ledger'!$A:$A,"&lt;="&amp;B1674+TIME(23,59,59)))</f>
        <v>0</v>
      </c>
      <c r="G1674" s="3">
        <f>IFERROR(__xludf.DUMMYFUNCTION("IF(F1674&lt;=0,0,IFERROR(ROUNDUP(F1674/INDEX(FILTER('warehouse config'!$D:$D,('warehouse config'!$B:$B=C1674)*('warehouse config'!$C:$C=D1674)*('warehouse config'!$G:$G&lt;=B1674)*(('warehouse config'!$H:$H&gt;=B1674)+ISBLANK('warehouse config'!$H:$H))),1)),0))"),0.0)</f>
        <v>0</v>
      </c>
      <c r="H1674" s="3">
        <f>IFERROR(__xludf.DUMMYFUNCTION("IFERROR(INDEX(FILTER('cost master'!$E:$E,('cost master'!$B:$B=C1674)*('cost master'!$D:$D=""Storage cost per pallet / week"")*('cost master'!$G:$G&lt;=B1674)*(('cost master'!$H:$H&gt;=B1674)+ISBLANK('cost master'!$H:$H))),1),0)"),3.9)</f>
        <v>3.9</v>
      </c>
      <c r="I1674" s="3">
        <f t="shared" si="4"/>
        <v>0</v>
      </c>
      <c r="J1674" s="27">
        <f t="shared" si="5"/>
        <v>45977</v>
      </c>
      <c r="K1674" s="27">
        <f t="shared" si="6"/>
        <v>46006</v>
      </c>
    </row>
    <row r="1675" hidden="1">
      <c r="A1675" s="3" t="str">
        <f t="shared" si="3"/>
        <v>SL-20251215-FMC-CS 010-9</v>
      </c>
      <c r="B1675" s="2">
        <f t="array" ref="B1675">INDEX(helper!$A$3:$A3996,ROUNDUP((ROW()-1)/COUNTA(helper!$D$3:$D3996),0))</f>
        <v>46006</v>
      </c>
      <c r="C1675" s="5" t="str">
        <f t="array" ref="C1675">IF(B1675="","",INDEX(helper!$D$3:$D3996,MOD(ROW()-2,COUNTA(helper!$D$3:$D3996))+1))</f>
        <v>FMC</v>
      </c>
      <c r="D1675" s="3" t="str">
        <f t="array" ref="D1675">IF(B1675="","",INDEX(helper!$E$3:$E3996,MOD(ROW()-2,COUNTA(helper!$D$3:$D3996))+1))</f>
        <v>CS 010</v>
      </c>
      <c r="E1675" s="3">
        <f t="array" ref="E1675">IF(B1675="","",INDEX(helper!$F$3:$F3996,MOD(ROW()-2,COUNTA(helper!$D$3:$D3996))+1))</f>
        <v>9</v>
      </c>
      <c r="F1675" s="3">
        <f>IF(B1675="","",SUMIFS('inventory ledger'!$H:$H,'inventory ledger'!$C:$C,C1675,'inventory ledger'!$D:$D,D1675,'inventory ledger'!$E:$E,E1675,'inventory ledger'!$A:$A,"&lt;="&amp;B1675+TIME(23,59,59))-SUMIFS('inventory ledger'!$I:$I,'inventory ledger'!$C:$C,C1675,'inventory ledger'!$D:$D,D1675,'inventory ledger'!$E:$E,E1675,'inventory ledger'!$A:$A,"&lt;="&amp;B1675+TIME(23,59,59)))</f>
        <v>0</v>
      </c>
      <c r="G1675" s="3">
        <f>IFERROR(__xludf.DUMMYFUNCTION("IF(F1675&lt;=0,0,IFERROR(ROUNDUP(F1675/INDEX(FILTER('warehouse config'!$D:$D,('warehouse config'!$B:$B=C1675)*('warehouse config'!$C:$C=D1675)*('warehouse config'!$G:$G&lt;=B1675)*(('warehouse config'!$H:$H&gt;=B1675)+ISBLANK('warehouse config'!$H:$H))),1)),0))"),0.0)</f>
        <v>0</v>
      </c>
      <c r="H1675" s="3">
        <f>IFERROR(__xludf.DUMMYFUNCTION("IFERROR(INDEX(FILTER('cost master'!$E:$E,('cost master'!$B:$B=C1675)*('cost master'!$D:$D=""Storage cost per pallet / week"")*('cost master'!$G:$G&lt;=B1675)*(('cost master'!$H:$H&gt;=B1675)+ISBLANK('cost master'!$H:$H))),1),0)"),3.9)</f>
        <v>3.9</v>
      </c>
      <c r="I1675" s="3">
        <f t="shared" si="4"/>
        <v>0</v>
      </c>
      <c r="J1675" s="27">
        <f t="shared" si="5"/>
        <v>45977</v>
      </c>
      <c r="K1675" s="27">
        <f t="shared" si="6"/>
        <v>46006</v>
      </c>
    </row>
    <row r="1676" hidden="1">
      <c r="A1676" s="3" t="str">
        <f t="shared" si="3"/>
        <v>SL-20251215-FMC-CS-CDS-001-9</v>
      </c>
      <c r="B1676" s="2">
        <f t="array" ref="B1676">INDEX(helper!$A$3:$A3996,ROUNDUP((ROW()-1)/COUNTA(helper!$D$3:$D3996),0))</f>
        <v>46006</v>
      </c>
      <c r="C1676" s="5" t="str">
        <f t="array" ref="C1676">IF(B1676="","",INDEX(helper!$D$3:$D3996,MOD(ROW()-2,COUNTA(helper!$D$3:$D3996))+1))</f>
        <v>FMC</v>
      </c>
      <c r="D1676" s="3" t="str">
        <f t="array" ref="D1676">IF(B1676="","",INDEX(helper!$E$3:$E3996,MOD(ROW()-2,COUNTA(helper!$D$3:$D3996))+1))</f>
        <v>CS-CDS-001</v>
      </c>
      <c r="E1676" s="3">
        <f t="array" ref="E1676">IF(B1676="","",INDEX(helper!$F$3:$F3996,MOD(ROW()-2,COUNTA(helper!$D$3:$D3996))+1))</f>
        <v>9</v>
      </c>
      <c r="F1676" s="3">
        <f>IF(B1676="","",SUMIFS('inventory ledger'!$H:$H,'inventory ledger'!$C:$C,C1676,'inventory ledger'!$D:$D,D1676,'inventory ledger'!$E:$E,E1676,'inventory ledger'!$A:$A,"&lt;="&amp;B1676+TIME(23,59,59))-SUMIFS('inventory ledger'!$I:$I,'inventory ledger'!$C:$C,C1676,'inventory ledger'!$D:$D,D1676,'inventory ledger'!$E:$E,E1676,'inventory ledger'!$A:$A,"&lt;="&amp;B1676+TIME(23,59,59)))</f>
        <v>0</v>
      </c>
      <c r="G1676" s="3">
        <f>IFERROR(__xludf.DUMMYFUNCTION("IF(F1676&lt;=0,0,IFERROR(ROUNDUP(F1676/INDEX(FILTER('warehouse config'!$D:$D,('warehouse config'!$B:$B=C1676)*('warehouse config'!$C:$C=D1676)*('warehouse config'!$G:$G&lt;=B1676)*(('warehouse config'!$H:$H&gt;=B1676)+ISBLANK('warehouse config'!$H:$H))),1)),0))"),0.0)</f>
        <v>0</v>
      </c>
      <c r="H1676" s="3">
        <f>IFERROR(__xludf.DUMMYFUNCTION("IFERROR(INDEX(FILTER('cost master'!$E:$E,('cost master'!$B:$B=C1676)*('cost master'!$D:$D=""Storage cost per pallet / week"")*('cost master'!$G:$G&lt;=B1676)*(('cost master'!$H:$H&gt;=B1676)+ISBLANK('cost master'!$H:$H))),1),0)"),3.9)</f>
        <v>3.9</v>
      </c>
      <c r="I1676" s="3">
        <f t="shared" si="4"/>
        <v>0</v>
      </c>
      <c r="J1676" s="27">
        <f t="shared" si="5"/>
        <v>45977</v>
      </c>
      <c r="K1676" s="27">
        <f t="shared" si="6"/>
        <v>46006</v>
      </c>
    </row>
    <row r="1677" hidden="1">
      <c r="A1677" s="3" t="str">
        <f t="shared" si="3"/>
        <v>SL-20251215-FMC-CS-CDS-002-9</v>
      </c>
      <c r="B1677" s="2">
        <f t="array" ref="B1677">INDEX(helper!$A$3:$A3996,ROUNDUP((ROW()-1)/COUNTA(helper!$D$3:$D3996),0))</f>
        <v>46006</v>
      </c>
      <c r="C1677" s="5" t="str">
        <f t="array" ref="C1677">IF(B1677="","",INDEX(helper!$D$3:$D3996,MOD(ROW()-2,COUNTA(helper!$D$3:$D3996))+1))</f>
        <v>FMC</v>
      </c>
      <c r="D1677" s="3" t="str">
        <f t="array" ref="D1677">IF(B1677="","",INDEX(helper!$E$3:$E3996,MOD(ROW()-2,COUNTA(helper!$D$3:$D3996))+1))</f>
        <v>CS-CDS-002</v>
      </c>
      <c r="E1677" s="3">
        <f t="array" ref="E1677">IF(B1677="","",INDEX(helper!$F$3:$F3996,MOD(ROW()-2,COUNTA(helper!$D$3:$D3996))+1))</f>
        <v>9</v>
      </c>
      <c r="F1677" s="3">
        <f>IF(B1677="","",SUMIFS('inventory ledger'!$H:$H,'inventory ledger'!$C:$C,C1677,'inventory ledger'!$D:$D,D1677,'inventory ledger'!$E:$E,E1677,'inventory ledger'!$A:$A,"&lt;="&amp;B1677+TIME(23,59,59))-SUMIFS('inventory ledger'!$I:$I,'inventory ledger'!$C:$C,C1677,'inventory ledger'!$D:$D,D1677,'inventory ledger'!$E:$E,E1677,'inventory ledger'!$A:$A,"&lt;="&amp;B1677+TIME(23,59,59)))</f>
        <v>0</v>
      </c>
      <c r="G1677" s="3">
        <f>IFERROR(__xludf.DUMMYFUNCTION("IF(F1677&lt;=0,0,IFERROR(ROUNDUP(F1677/INDEX(FILTER('warehouse config'!$D:$D,('warehouse config'!$B:$B=C1677)*('warehouse config'!$C:$C=D1677)*('warehouse config'!$G:$G&lt;=B1677)*(('warehouse config'!$H:$H&gt;=B1677)+ISBLANK('warehouse config'!$H:$H))),1)),0))"),0.0)</f>
        <v>0</v>
      </c>
      <c r="H1677" s="3">
        <f>IFERROR(__xludf.DUMMYFUNCTION("IFERROR(INDEX(FILTER('cost master'!$E:$E,('cost master'!$B:$B=C1677)*('cost master'!$D:$D=""Storage cost per pallet / week"")*('cost master'!$G:$G&lt;=B1677)*(('cost master'!$H:$H&gt;=B1677)+ISBLANK('cost master'!$H:$H))),1),0)"),3.9)</f>
        <v>3.9</v>
      </c>
      <c r="I1677" s="3">
        <f t="shared" si="4"/>
        <v>0</v>
      </c>
      <c r="J1677" s="27">
        <f t="shared" si="5"/>
        <v>45977</v>
      </c>
      <c r="K1677" s="27">
        <f t="shared" si="6"/>
        <v>46006</v>
      </c>
    </row>
    <row r="1678" hidden="1">
      <c r="A1678" s="3" t="str">
        <f t="shared" si="3"/>
        <v>SL-20251215-FMC-CS 007-10</v>
      </c>
      <c r="B1678" s="2">
        <f t="array" ref="B1678">INDEX(helper!$A$3:$A3996,ROUNDUP((ROW()-1)/COUNTA(helper!$D$3:$D3996),0))</f>
        <v>46006</v>
      </c>
      <c r="C1678" s="5" t="str">
        <f t="array" ref="C1678">IF(B1678="","",INDEX(helper!$D$3:$D3996,MOD(ROW()-2,COUNTA(helper!$D$3:$D3996))+1))</f>
        <v>FMC</v>
      </c>
      <c r="D1678" s="3" t="str">
        <f t="array" ref="D1678">IF(B1678="","",INDEX(helper!$E$3:$E3996,MOD(ROW()-2,COUNTA(helper!$D$3:$D3996))+1))</f>
        <v>CS 007</v>
      </c>
      <c r="E1678" s="3">
        <f t="array" ref="E1678">IF(B1678="","",INDEX(helper!$F$3:$F3996,MOD(ROW()-2,COUNTA(helper!$D$3:$D3996))+1))</f>
        <v>10</v>
      </c>
      <c r="F1678" s="3">
        <f>IF(B1678="","",SUMIFS('inventory ledger'!$H:$H,'inventory ledger'!$C:$C,C1678,'inventory ledger'!$D:$D,D1678,'inventory ledger'!$E:$E,E1678,'inventory ledger'!$A:$A,"&lt;="&amp;B1678+TIME(23,59,59))-SUMIFS('inventory ledger'!$I:$I,'inventory ledger'!$C:$C,C1678,'inventory ledger'!$D:$D,D1678,'inventory ledger'!$E:$E,E1678,'inventory ledger'!$A:$A,"&lt;="&amp;B1678+TIME(23,59,59)))</f>
        <v>0</v>
      </c>
      <c r="G1678" s="3">
        <f>IFERROR(__xludf.DUMMYFUNCTION("IF(F1678&lt;=0,0,IFERROR(ROUNDUP(F1678/INDEX(FILTER('warehouse config'!$D:$D,('warehouse config'!$B:$B=C1678)*('warehouse config'!$C:$C=D1678)*('warehouse config'!$G:$G&lt;=B1678)*(('warehouse config'!$H:$H&gt;=B1678)+ISBLANK('warehouse config'!$H:$H))),1)),0))"),0.0)</f>
        <v>0</v>
      </c>
      <c r="H1678" s="3">
        <f>IFERROR(__xludf.DUMMYFUNCTION("IFERROR(INDEX(FILTER('cost master'!$E:$E,('cost master'!$B:$B=C1678)*('cost master'!$D:$D=""Storage cost per pallet / week"")*('cost master'!$G:$G&lt;=B1678)*(('cost master'!$H:$H&gt;=B1678)+ISBLANK('cost master'!$H:$H))),1),0)"),3.9)</f>
        <v>3.9</v>
      </c>
      <c r="I1678" s="3">
        <f t="shared" si="4"/>
        <v>0</v>
      </c>
      <c r="J1678" s="27">
        <f t="shared" si="5"/>
        <v>45977</v>
      </c>
      <c r="K1678" s="27">
        <f t="shared" si="6"/>
        <v>46006</v>
      </c>
    </row>
    <row r="1679" hidden="1">
      <c r="A1679" s="3" t="str">
        <f t="shared" si="3"/>
        <v>SL-20251215-FMC-CS 009-10</v>
      </c>
      <c r="B1679" s="2">
        <f t="array" ref="B1679">INDEX(helper!$A$3:$A3996,ROUNDUP((ROW()-1)/COUNTA(helper!$D$3:$D3996),0))</f>
        <v>46006</v>
      </c>
      <c r="C1679" s="5" t="str">
        <f t="array" ref="C1679">IF(B1679="","",INDEX(helper!$D$3:$D3996,MOD(ROW()-2,COUNTA(helper!$D$3:$D3996))+1))</f>
        <v>FMC</v>
      </c>
      <c r="D1679" s="3" t="str">
        <f t="array" ref="D1679">IF(B1679="","",INDEX(helper!$E$3:$E3996,MOD(ROW()-2,COUNTA(helper!$D$3:$D3996))+1))</f>
        <v>CS 009</v>
      </c>
      <c r="E1679" s="3">
        <f t="array" ref="E1679">IF(B1679="","",INDEX(helper!$F$3:$F3996,MOD(ROW()-2,COUNTA(helper!$D$3:$D3996))+1))</f>
        <v>10</v>
      </c>
      <c r="F1679" s="3">
        <f>IF(B1679="","",SUMIFS('inventory ledger'!$H:$H,'inventory ledger'!$C:$C,C1679,'inventory ledger'!$D:$D,D1679,'inventory ledger'!$E:$E,E1679,'inventory ledger'!$A:$A,"&lt;="&amp;B1679+TIME(23,59,59))-SUMIFS('inventory ledger'!$I:$I,'inventory ledger'!$C:$C,C1679,'inventory ledger'!$D:$D,D1679,'inventory ledger'!$E:$E,E1679,'inventory ledger'!$A:$A,"&lt;="&amp;B1679+TIME(23,59,59)))</f>
        <v>0</v>
      </c>
      <c r="G1679" s="3">
        <f>IFERROR(__xludf.DUMMYFUNCTION("IF(F1679&lt;=0,0,IFERROR(ROUNDUP(F1679/INDEX(FILTER('warehouse config'!$D:$D,('warehouse config'!$B:$B=C1679)*('warehouse config'!$C:$C=D1679)*('warehouse config'!$G:$G&lt;=B1679)*(('warehouse config'!$H:$H&gt;=B1679)+ISBLANK('warehouse config'!$H:$H))),1)),0))"),0.0)</f>
        <v>0</v>
      </c>
      <c r="H1679" s="3">
        <f>IFERROR(__xludf.DUMMYFUNCTION("IFERROR(INDEX(FILTER('cost master'!$E:$E,('cost master'!$B:$B=C1679)*('cost master'!$D:$D=""Storage cost per pallet / week"")*('cost master'!$G:$G&lt;=B1679)*(('cost master'!$H:$H&gt;=B1679)+ISBLANK('cost master'!$H:$H))),1),0)"),3.9)</f>
        <v>3.9</v>
      </c>
      <c r="I1679" s="3">
        <f t="shared" si="4"/>
        <v>0</v>
      </c>
      <c r="J1679" s="27">
        <f t="shared" si="5"/>
        <v>45977</v>
      </c>
      <c r="K1679" s="27">
        <f t="shared" si="6"/>
        <v>46006</v>
      </c>
    </row>
    <row r="1680" hidden="1">
      <c r="A1680" s="3" t="str">
        <f t="shared" si="3"/>
        <v>SL-20251215-FMC-CS 010-10</v>
      </c>
      <c r="B1680" s="2">
        <f t="array" ref="B1680">INDEX(helper!$A$3:$A3996,ROUNDUP((ROW()-1)/COUNTA(helper!$D$3:$D3996),0))</f>
        <v>46006</v>
      </c>
      <c r="C1680" s="5" t="str">
        <f t="array" ref="C1680">IF(B1680="","",INDEX(helper!$D$3:$D3996,MOD(ROW()-2,COUNTA(helper!$D$3:$D3996))+1))</f>
        <v>FMC</v>
      </c>
      <c r="D1680" s="3" t="str">
        <f t="array" ref="D1680">IF(B1680="","",INDEX(helper!$E$3:$E3996,MOD(ROW()-2,COUNTA(helper!$D$3:$D3996))+1))</f>
        <v>CS 010</v>
      </c>
      <c r="E1680" s="3">
        <f t="array" ref="E1680">IF(B1680="","",INDEX(helper!$F$3:$F3996,MOD(ROW()-2,COUNTA(helper!$D$3:$D3996))+1))</f>
        <v>10</v>
      </c>
      <c r="F1680" s="3">
        <f>IF(B1680="","",SUMIFS('inventory ledger'!$H:$H,'inventory ledger'!$C:$C,C1680,'inventory ledger'!$D:$D,D1680,'inventory ledger'!$E:$E,E1680,'inventory ledger'!$A:$A,"&lt;="&amp;B1680+TIME(23,59,59))-SUMIFS('inventory ledger'!$I:$I,'inventory ledger'!$C:$C,C1680,'inventory ledger'!$D:$D,D1680,'inventory ledger'!$E:$E,E1680,'inventory ledger'!$A:$A,"&lt;="&amp;B1680+TIME(23,59,59)))</f>
        <v>13</v>
      </c>
      <c r="G1680" s="3">
        <f>IFERROR(__xludf.DUMMYFUNCTION("IF(F1680&lt;=0,0,IFERROR(ROUNDUP(F1680/INDEX(FILTER('warehouse config'!$D:$D,('warehouse config'!$B:$B=C1680)*('warehouse config'!$C:$C=D1680)*('warehouse config'!$G:$G&lt;=B1680)*(('warehouse config'!$H:$H&gt;=B1680)+ISBLANK('warehouse config'!$H:$H))),1)),0))"),1.0)</f>
        <v>1</v>
      </c>
      <c r="H1680" s="3">
        <f>IFERROR(__xludf.DUMMYFUNCTION("IFERROR(INDEX(FILTER('cost master'!$E:$E,('cost master'!$B:$B=C1680)*('cost master'!$D:$D=""Storage cost per pallet / week"")*('cost master'!$G:$G&lt;=B1680)*(('cost master'!$H:$H&gt;=B1680)+ISBLANK('cost master'!$H:$H))),1),0)"),3.9)</f>
        <v>3.9</v>
      </c>
      <c r="I1680" s="3">
        <f t="shared" si="4"/>
        <v>3.9</v>
      </c>
      <c r="J1680" s="27">
        <f t="shared" si="5"/>
        <v>45977</v>
      </c>
      <c r="K1680" s="27">
        <f t="shared" si="6"/>
        <v>46006</v>
      </c>
    </row>
    <row r="1681" hidden="1">
      <c r="A1681" s="3" t="str">
        <f t="shared" si="3"/>
        <v>SL-20251215-FMC-CS-CDS-001-10</v>
      </c>
      <c r="B1681" s="2">
        <f t="array" ref="B1681">INDEX(helper!$A$3:$A3996,ROUNDUP((ROW()-1)/COUNTA(helper!$D$3:$D3996),0))</f>
        <v>46006</v>
      </c>
      <c r="C1681" s="5" t="str">
        <f t="array" ref="C1681">IF(B1681="","",INDEX(helper!$D$3:$D3996,MOD(ROW()-2,COUNTA(helper!$D$3:$D3996))+1))</f>
        <v>FMC</v>
      </c>
      <c r="D1681" s="3" t="str">
        <f t="array" ref="D1681">IF(B1681="","",INDEX(helper!$E$3:$E3996,MOD(ROW()-2,COUNTA(helper!$D$3:$D3996))+1))</f>
        <v>CS-CDS-001</v>
      </c>
      <c r="E1681" s="3">
        <f t="array" ref="E1681">IF(B1681="","",INDEX(helper!$F$3:$F3996,MOD(ROW()-2,COUNTA(helper!$D$3:$D3996))+1))</f>
        <v>10</v>
      </c>
      <c r="F1681" s="3">
        <f>IF(B1681="","",SUMIFS('inventory ledger'!$H:$H,'inventory ledger'!$C:$C,C1681,'inventory ledger'!$D:$D,D1681,'inventory ledger'!$E:$E,E1681,'inventory ledger'!$A:$A,"&lt;="&amp;B1681+TIME(23,59,59))-SUMIFS('inventory ledger'!$I:$I,'inventory ledger'!$C:$C,C1681,'inventory ledger'!$D:$D,D1681,'inventory ledger'!$E:$E,E1681,'inventory ledger'!$A:$A,"&lt;="&amp;B1681+TIME(23,59,59)))</f>
        <v>0</v>
      </c>
      <c r="G1681" s="3">
        <f>IFERROR(__xludf.DUMMYFUNCTION("IF(F1681&lt;=0,0,IFERROR(ROUNDUP(F1681/INDEX(FILTER('warehouse config'!$D:$D,('warehouse config'!$B:$B=C1681)*('warehouse config'!$C:$C=D1681)*('warehouse config'!$G:$G&lt;=B1681)*(('warehouse config'!$H:$H&gt;=B1681)+ISBLANK('warehouse config'!$H:$H))),1)),0))"),0.0)</f>
        <v>0</v>
      </c>
      <c r="H1681" s="3">
        <f>IFERROR(__xludf.DUMMYFUNCTION("IFERROR(INDEX(FILTER('cost master'!$E:$E,('cost master'!$B:$B=C1681)*('cost master'!$D:$D=""Storage cost per pallet / week"")*('cost master'!$G:$G&lt;=B1681)*(('cost master'!$H:$H&gt;=B1681)+ISBLANK('cost master'!$H:$H))),1),0)"),3.9)</f>
        <v>3.9</v>
      </c>
      <c r="I1681" s="3">
        <f t="shared" si="4"/>
        <v>0</v>
      </c>
      <c r="J1681" s="27">
        <f t="shared" si="5"/>
        <v>45977</v>
      </c>
      <c r="K1681" s="27">
        <f t="shared" si="6"/>
        <v>46006</v>
      </c>
    </row>
    <row r="1682">
      <c r="A1682" s="3" t="str">
        <f t="shared" si="3"/>
        <v>SL-20251215-FMC-CS 007-11</v>
      </c>
      <c r="B1682" s="2">
        <f t="array" ref="B1682">INDEX(helper!$A$3:$A3996,ROUNDUP((ROW()-1)/COUNTA(helper!$D$3:$D3996),0))</f>
        <v>46006</v>
      </c>
      <c r="C1682" s="5" t="str">
        <f t="array" ref="C1682">IF(B1682="","",INDEX(helper!$D$3:$D3996,MOD(ROW()-2,COUNTA(helper!$D$3:$D3996))+1))</f>
        <v>FMC</v>
      </c>
      <c r="D1682" s="3" t="str">
        <f t="array" ref="D1682">IF(B1682="","",INDEX(helper!$E$3:$E3996,MOD(ROW()-2,COUNTA(helper!$D$3:$D3996))+1))</f>
        <v>CS 007</v>
      </c>
      <c r="E1682" s="3">
        <f t="array" ref="E1682">IF(B1682="","",INDEX(helper!$F$3:$F3996,MOD(ROW()-2,COUNTA(helper!$D$3:$D3996))+1))</f>
        <v>11</v>
      </c>
      <c r="F1682" s="3">
        <f>IF(B1682="","",SUMIFS('inventory ledger'!$H:$H,'inventory ledger'!$C:$C,C1682,'inventory ledger'!$D:$D,D1682,'inventory ledger'!$E:$E,E1682,'inventory ledger'!$A:$A,"&lt;="&amp;B1682+TIME(23,59,59))-SUMIFS('inventory ledger'!$I:$I,'inventory ledger'!$C:$C,C1682,'inventory ledger'!$D:$D,D1682,'inventory ledger'!$E:$E,E1682,'inventory ledger'!$A:$A,"&lt;="&amp;B1682+TIME(23,59,59)))</f>
        <v>-1</v>
      </c>
      <c r="G1682" s="3">
        <f>IFERROR(__xludf.DUMMYFUNCTION("IF(F1682&lt;=0,0,IFERROR(ROUNDUP(F1682/INDEX(FILTER('warehouse config'!$D:$D,('warehouse config'!$B:$B=C1682)*('warehouse config'!$C:$C=D1682)*('warehouse config'!$G:$G&lt;=B1682)*(('warehouse config'!$H:$H&gt;=B1682)+ISBLANK('warehouse config'!$H:$H))),1)),0))"),0.0)</f>
        <v>0</v>
      </c>
      <c r="H1682" s="3">
        <f>IFERROR(__xludf.DUMMYFUNCTION("IFERROR(INDEX(FILTER('cost master'!$E:$E,('cost master'!$B:$B=C1682)*('cost master'!$D:$D=""Storage cost per pallet / week"")*('cost master'!$G:$G&lt;=B1682)*(('cost master'!$H:$H&gt;=B1682)+ISBLANK('cost master'!$H:$H))),1),0)"),3.9)</f>
        <v>3.9</v>
      </c>
      <c r="I1682" s="3">
        <f t="shared" si="4"/>
        <v>0</v>
      </c>
      <c r="J1682" s="27">
        <f t="shared" si="5"/>
        <v>45977</v>
      </c>
      <c r="K1682" s="27">
        <f t="shared" si="6"/>
        <v>46006</v>
      </c>
    </row>
    <row r="1683" hidden="1">
      <c r="A1683" s="3" t="str">
        <f t="shared" si="3"/>
        <v>SL-20251215-FMC-CS 009-11</v>
      </c>
      <c r="B1683" s="2">
        <f t="array" ref="B1683">INDEX(helper!$A$3:$A3996,ROUNDUP((ROW()-1)/COUNTA(helper!$D$3:$D3996),0))</f>
        <v>46006</v>
      </c>
      <c r="C1683" s="5" t="str">
        <f t="array" ref="C1683">IF(B1683="","",INDEX(helper!$D$3:$D3996,MOD(ROW()-2,COUNTA(helper!$D$3:$D3996))+1))</f>
        <v>FMC</v>
      </c>
      <c r="D1683" s="3" t="str">
        <f t="array" ref="D1683">IF(B1683="","",INDEX(helper!$E$3:$E3996,MOD(ROW()-2,COUNTA(helper!$D$3:$D3996))+1))</f>
        <v>CS 009</v>
      </c>
      <c r="E1683" s="3">
        <f t="array" ref="E1683">IF(B1683="","",INDEX(helper!$F$3:$F3996,MOD(ROW()-2,COUNTA(helper!$D$3:$D3996))+1))</f>
        <v>11</v>
      </c>
      <c r="F1683" s="3">
        <f>IF(B1683="","",SUMIFS('inventory ledger'!$H:$H,'inventory ledger'!$C:$C,C1683,'inventory ledger'!$D:$D,D1683,'inventory ledger'!$E:$E,E1683,'inventory ledger'!$A:$A,"&lt;="&amp;B1683+TIME(23,59,59))-SUMIFS('inventory ledger'!$I:$I,'inventory ledger'!$C:$C,C1683,'inventory ledger'!$D:$D,D1683,'inventory ledger'!$E:$E,E1683,'inventory ledger'!$A:$A,"&lt;="&amp;B1683+TIME(23,59,59)))</f>
        <v>0</v>
      </c>
      <c r="G1683" s="3">
        <f>IFERROR(__xludf.DUMMYFUNCTION("IF(F1683&lt;=0,0,IFERROR(ROUNDUP(F1683/INDEX(FILTER('warehouse config'!$D:$D,('warehouse config'!$B:$B=C1683)*('warehouse config'!$C:$C=D1683)*('warehouse config'!$G:$G&lt;=B1683)*(('warehouse config'!$H:$H&gt;=B1683)+ISBLANK('warehouse config'!$H:$H))),1)),0))"),0.0)</f>
        <v>0</v>
      </c>
      <c r="H1683" s="3">
        <f>IFERROR(__xludf.DUMMYFUNCTION("IFERROR(INDEX(FILTER('cost master'!$E:$E,('cost master'!$B:$B=C1683)*('cost master'!$D:$D=""Storage cost per pallet / week"")*('cost master'!$G:$G&lt;=B1683)*(('cost master'!$H:$H&gt;=B1683)+ISBLANK('cost master'!$H:$H))),1),0)"),3.9)</f>
        <v>3.9</v>
      </c>
      <c r="I1683" s="3">
        <f t="shared" si="4"/>
        <v>0</v>
      </c>
      <c r="J1683" s="27">
        <f t="shared" si="5"/>
        <v>45977</v>
      </c>
      <c r="K1683" s="27">
        <f t="shared" si="6"/>
        <v>46006</v>
      </c>
    </row>
    <row r="1684" hidden="1">
      <c r="A1684" s="3" t="str">
        <f t="shared" si="3"/>
        <v>SL-20251215-FMC-CS 010-11</v>
      </c>
      <c r="B1684" s="2">
        <f t="array" ref="B1684">INDEX(helper!$A$3:$A3996,ROUNDUP((ROW()-1)/COUNTA(helper!$D$3:$D3996),0))</f>
        <v>46006</v>
      </c>
      <c r="C1684" s="5" t="str">
        <f t="array" ref="C1684">IF(B1684="","",INDEX(helper!$D$3:$D3996,MOD(ROW()-2,COUNTA(helper!$D$3:$D3996))+1))</f>
        <v>FMC</v>
      </c>
      <c r="D1684" s="3" t="str">
        <f t="array" ref="D1684">IF(B1684="","",INDEX(helper!$E$3:$E3996,MOD(ROW()-2,COUNTA(helper!$D$3:$D3996))+1))</f>
        <v>CS 010</v>
      </c>
      <c r="E1684" s="3">
        <f t="array" ref="E1684">IF(B1684="","",INDEX(helper!$F$3:$F3996,MOD(ROW()-2,COUNTA(helper!$D$3:$D3996))+1))</f>
        <v>11</v>
      </c>
      <c r="F1684" s="3">
        <f>IF(B1684="","",SUMIFS('inventory ledger'!$H:$H,'inventory ledger'!$C:$C,C1684,'inventory ledger'!$D:$D,D1684,'inventory ledger'!$E:$E,E1684,'inventory ledger'!$A:$A,"&lt;="&amp;B1684+TIME(23,59,59))-SUMIFS('inventory ledger'!$I:$I,'inventory ledger'!$C:$C,C1684,'inventory ledger'!$D:$D,D1684,'inventory ledger'!$E:$E,E1684,'inventory ledger'!$A:$A,"&lt;="&amp;B1684+TIME(23,59,59)))</f>
        <v>6</v>
      </c>
      <c r="G1684" s="3">
        <f>IFERROR(__xludf.DUMMYFUNCTION("IF(F1684&lt;=0,0,IFERROR(ROUNDUP(F1684/INDEX(FILTER('warehouse config'!$D:$D,('warehouse config'!$B:$B=C1684)*('warehouse config'!$C:$C=D1684)*('warehouse config'!$G:$G&lt;=B1684)*(('warehouse config'!$H:$H&gt;=B1684)+ISBLANK('warehouse config'!$H:$H))),1)),0))"),1.0)</f>
        <v>1</v>
      </c>
      <c r="H1684" s="3">
        <f>IFERROR(__xludf.DUMMYFUNCTION("IFERROR(INDEX(FILTER('cost master'!$E:$E,('cost master'!$B:$B=C1684)*('cost master'!$D:$D=""Storage cost per pallet / week"")*('cost master'!$G:$G&lt;=B1684)*(('cost master'!$H:$H&gt;=B1684)+ISBLANK('cost master'!$H:$H))),1),0)"),3.9)</f>
        <v>3.9</v>
      </c>
      <c r="I1684" s="3">
        <f t="shared" si="4"/>
        <v>3.9</v>
      </c>
      <c r="J1684" s="27">
        <f t="shared" si="5"/>
        <v>45977</v>
      </c>
      <c r="K1684" s="27">
        <f t="shared" si="6"/>
        <v>46006</v>
      </c>
    </row>
    <row r="1685" hidden="1">
      <c r="A1685" s="3" t="str">
        <f t="shared" si="3"/>
        <v>SL-20251215-Vglobal-CS 007-12</v>
      </c>
      <c r="B1685" s="2">
        <f t="array" ref="B1685">INDEX(helper!$A$3:$A3996,ROUNDUP((ROW()-1)/COUNTA(helper!$D$3:$D3996),0))</f>
        <v>46006</v>
      </c>
      <c r="C1685" s="5" t="str">
        <f t="array" ref="C1685">IF(B1685="","",INDEX(helper!$D$3:$D3996,MOD(ROW()-2,COUNTA(helper!$D$3:$D3996))+1))</f>
        <v>Vglobal</v>
      </c>
      <c r="D1685" s="3" t="str">
        <f t="array" ref="D1685">IF(B1685="","",INDEX(helper!$E$3:$E3996,MOD(ROW()-2,COUNTA(helper!$D$3:$D3996))+1))</f>
        <v>CS 007</v>
      </c>
      <c r="E1685" s="3">
        <f t="array" ref="E1685">IF(B1685="","",INDEX(helper!$F$3:$F3996,MOD(ROW()-2,COUNTA(helper!$D$3:$D3996))+1))</f>
        <v>12</v>
      </c>
      <c r="F1685" s="3">
        <f>IF(B1685="","",SUMIFS('inventory ledger'!$H:$H,'inventory ledger'!$C:$C,C1685,'inventory ledger'!$D:$D,D1685,'inventory ledger'!$E:$E,E1685,'inventory ledger'!$A:$A,"&lt;="&amp;B1685+TIME(23,59,59))-SUMIFS('inventory ledger'!$I:$I,'inventory ledger'!$C:$C,C1685,'inventory ledger'!$D:$D,D1685,'inventory ledger'!$E:$E,E1685,'inventory ledger'!$A:$A,"&lt;="&amp;B1685+TIME(23,59,59)))</f>
        <v>0</v>
      </c>
      <c r="G1685" s="3">
        <f>IFERROR(__xludf.DUMMYFUNCTION("IF(F1685&lt;=0,0,IFERROR(ROUNDUP(F1685/INDEX(FILTER('warehouse config'!$D:$D,('warehouse config'!$B:$B=C1685)*('warehouse config'!$C:$C=D1685)*('warehouse config'!$G:$G&lt;=B1685)*(('warehouse config'!$H:$H&gt;=B1685)+ISBLANK('warehouse config'!$H:$H))),1)),0))"),0.0)</f>
        <v>0</v>
      </c>
      <c r="H1685" s="3">
        <f>IFERROR(__xludf.DUMMYFUNCTION("IFERROR(INDEX(FILTER('cost master'!$E:$E,('cost master'!$B:$B=C1685)*('cost master'!$D:$D=""Storage cost per pallet / week"")*('cost master'!$G:$G&lt;=B1685)*(('cost master'!$H:$H&gt;=B1685)+ISBLANK('cost master'!$H:$H))),1),0)"),2.6)</f>
        <v>2.6</v>
      </c>
      <c r="I1685" s="3">
        <f t="shared" si="4"/>
        <v>0</v>
      </c>
      <c r="J1685" s="27">
        <f t="shared" si="5"/>
        <v>45977</v>
      </c>
      <c r="K1685" s="27">
        <f t="shared" si="6"/>
        <v>46006</v>
      </c>
    </row>
    <row r="1686" hidden="1">
      <c r="A1686" s="3" t="str">
        <f t="shared" si="3"/>
        <v>SL-20251215-Vglobal-CS 011-12</v>
      </c>
      <c r="B1686" s="2">
        <f t="array" ref="B1686">INDEX(helper!$A$3:$A3996,ROUNDUP((ROW()-1)/COUNTA(helper!$D$3:$D3996),0))</f>
        <v>46006</v>
      </c>
      <c r="C1686" s="5" t="str">
        <f t="array" ref="C1686">IF(B1686="","",INDEX(helper!$D$3:$D3996,MOD(ROW()-2,COUNTA(helper!$D$3:$D3996))+1))</f>
        <v>Vglobal</v>
      </c>
      <c r="D1686" s="3" t="str">
        <f t="array" ref="D1686">IF(B1686="","",INDEX(helper!$E$3:$E3996,MOD(ROW()-2,COUNTA(helper!$D$3:$D3996))+1))</f>
        <v>CS 011</v>
      </c>
      <c r="E1686" s="3">
        <f t="array" ref="E1686">IF(B1686="","",INDEX(helper!$F$3:$F3996,MOD(ROW()-2,COUNTA(helper!$D$3:$D3996))+1))</f>
        <v>12</v>
      </c>
      <c r="F1686" s="3">
        <f>IF(B1686="","",SUMIFS('inventory ledger'!$H:$H,'inventory ledger'!$C:$C,C1686,'inventory ledger'!$D:$D,D1686,'inventory ledger'!$E:$E,E1686,'inventory ledger'!$A:$A,"&lt;="&amp;B1686+TIME(23,59,59))-SUMIFS('inventory ledger'!$I:$I,'inventory ledger'!$C:$C,C1686,'inventory ledger'!$D:$D,D1686,'inventory ledger'!$E:$E,E1686,'inventory ledger'!$A:$A,"&lt;="&amp;B1686+TIME(23,59,59)))</f>
        <v>0</v>
      </c>
      <c r="G1686" s="3">
        <f>IFERROR(__xludf.DUMMYFUNCTION("IF(F1686&lt;=0,0,IFERROR(ROUNDUP(F1686/INDEX(FILTER('warehouse config'!$D:$D,('warehouse config'!$B:$B=C1686)*('warehouse config'!$C:$C=D1686)*('warehouse config'!$G:$G&lt;=B1686)*(('warehouse config'!$H:$H&gt;=B1686)+ISBLANK('warehouse config'!$H:$H))),1)),0))"),0.0)</f>
        <v>0</v>
      </c>
      <c r="H1686" s="3">
        <f>IFERROR(__xludf.DUMMYFUNCTION("IFERROR(INDEX(FILTER('cost master'!$E:$E,('cost master'!$B:$B=C1686)*('cost master'!$D:$D=""Storage cost per pallet / week"")*('cost master'!$G:$G&lt;=B1686)*(('cost master'!$H:$H&gt;=B1686)+ISBLANK('cost master'!$H:$H))),1),0)"),2.6)</f>
        <v>2.6</v>
      </c>
      <c r="I1686" s="3">
        <f t="shared" si="4"/>
        <v>0</v>
      </c>
      <c r="J1686" s="27">
        <f t="shared" si="5"/>
        <v>45977</v>
      </c>
      <c r="K1686" s="27">
        <f t="shared" si="6"/>
        <v>46006</v>
      </c>
    </row>
    <row r="1687" hidden="1">
      <c r="A1687" s="3" t="str">
        <f t="shared" si="3"/>
        <v>SL-20251215-Vglobal-CS 008-12</v>
      </c>
      <c r="B1687" s="2">
        <f t="array" ref="B1687">INDEX(helper!$A$3:$A3996,ROUNDUP((ROW()-1)/COUNTA(helper!$D$3:$D3996),0))</f>
        <v>46006</v>
      </c>
      <c r="C1687" s="5" t="str">
        <f t="array" ref="C1687">IF(B1687="","",INDEX(helper!$D$3:$D3996,MOD(ROW()-2,COUNTA(helper!$D$3:$D3996))+1))</f>
        <v>Vglobal</v>
      </c>
      <c r="D1687" s="3" t="str">
        <f t="array" ref="D1687">IF(B1687="","",INDEX(helper!$E$3:$E3996,MOD(ROW()-2,COUNTA(helper!$D$3:$D3996))+1))</f>
        <v>CS 008</v>
      </c>
      <c r="E1687" s="3">
        <f t="array" ref="E1687">IF(B1687="","",INDEX(helper!$F$3:$F3996,MOD(ROW()-2,COUNTA(helper!$D$3:$D3996))+1))</f>
        <v>12</v>
      </c>
      <c r="F1687" s="3">
        <f>IF(B1687="","",SUMIFS('inventory ledger'!$H:$H,'inventory ledger'!$C:$C,C1687,'inventory ledger'!$D:$D,D1687,'inventory ledger'!$E:$E,E1687,'inventory ledger'!$A:$A,"&lt;="&amp;B1687+TIME(23,59,59))-SUMIFS('inventory ledger'!$I:$I,'inventory ledger'!$C:$C,C1687,'inventory ledger'!$D:$D,D1687,'inventory ledger'!$E:$E,E1687,'inventory ledger'!$A:$A,"&lt;="&amp;B1687+TIME(23,59,59)))</f>
        <v>0</v>
      </c>
      <c r="G1687" s="3">
        <f>IFERROR(__xludf.DUMMYFUNCTION("IF(F1687&lt;=0,0,IFERROR(ROUNDUP(F1687/INDEX(FILTER('warehouse config'!$D:$D,('warehouse config'!$B:$B=C1687)*('warehouse config'!$C:$C=D1687)*('warehouse config'!$G:$G&lt;=B1687)*(('warehouse config'!$H:$H&gt;=B1687)+ISBLANK('warehouse config'!$H:$H))),1)),0))"),0.0)</f>
        <v>0</v>
      </c>
      <c r="H1687" s="3">
        <f>IFERROR(__xludf.DUMMYFUNCTION("IFERROR(INDEX(FILTER('cost master'!$E:$E,('cost master'!$B:$B=C1687)*('cost master'!$D:$D=""Storage cost per pallet / week"")*('cost master'!$G:$G&lt;=B1687)*(('cost master'!$H:$H&gt;=B1687)+ISBLANK('cost master'!$H:$H))),1),0)"),2.6)</f>
        <v>2.6</v>
      </c>
      <c r="I1687" s="3">
        <f t="shared" si="4"/>
        <v>0</v>
      </c>
      <c r="J1687" s="27">
        <f t="shared" si="5"/>
        <v>45977</v>
      </c>
      <c r="K1687" s="27">
        <f t="shared" si="6"/>
        <v>46006</v>
      </c>
    </row>
    <row r="1688" hidden="1">
      <c r="A1688" s="3" t="str">
        <f t="shared" si="3"/>
        <v>SL-20251215-Vglobal-CS 010-12</v>
      </c>
      <c r="B1688" s="2">
        <f t="array" ref="B1688">INDEX(helper!$A$3:$A3996,ROUNDUP((ROW()-1)/COUNTA(helper!$D$3:$D3996),0))</f>
        <v>46006</v>
      </c>
      <c r="C1688" s="5" t="str">
        <f t="array" ref="C1688">IF(B1688="","",INDEX(helper!$D$3:$D3996,MOD(ROW()-2,COUNTA(helper!$D$3:$D3996))+1))</f>
        <v>Vglobal</v>
      </c>
      <c r="D1688" s="3" t="str">
        <f t="array" ref="D1688">IF(B1688="","",INDEX(helper!$E$3:$E3996,MOD(ROW()-2,COUNTA(helper!$D$3:$D3996))+1))</f>
        <v>CS 010</v>
      </c>
      <c r="E1688" s="3">
        <f t="array" ref="E1688">IF(B1688="","",INDEX(helper!$F$3:$F3996,MOD(ROW()-2,COUNTA(helper!$D$3:$D3996))+1))</f>
        <v>12</v>
      </c>
      <c r="F1688" s="3">
        <f>IF(B1688="","",SUMIFS('inventory ledger'!$H:$H,'inventory ledger'!$C:$C,C1688,'inventory ledger'!$D:$D,D1688,'inventory ledger'!$E:$E,E1688,'inventory ledger'!$A:$A,"&lt;="&amp;B1688+TIME(23,59,59))-SUMIFS('inventory ledger'!$I:$I,'inventory ledger'!$C:$C,C1688,'inventory ledger'!$D:$D,D1688,'inventory ledger'!$E:$E,E1688,'inventory ledger'!$A:$A,"&lt;="&amp;B1688+TIME(23,59,59)))</f>
        <v>70</v>
      </c>
      <c r="G1688" s="3">
        <f>IFERROR(__xludf.DUMMYFUNCTION("IF(F1688&lt;=0,0,IFERROR(ROUNDUP(F1688/INDEX(FILTER('warehouse config'!$D:$D,('warehouse config'!$B:$B=C1688)*('warehouse config'!$C:$C=D1688)*('warehouse config'!$G:$G&lt;=B1688)*(('warehouse config'!$H:$H&gt;=B1688)+ISBLANK('warehouse config'!$H:$H))),1)),0))"),3.0)</f>
        <v>3</v>
      </c>
      <c r="H1688" s="3">
        <f>IFERROR(__xludf.DUMMYFUNCTION("IFERROR(INDEX(FILTER('cost master'!$E:$E,('cost master'!$B:$B=C1688)*('cost master'!$D:$D=""Storage cost per pallet / week"")*('cost master'!$G:$G&lt;=B1688)*(('cost master'!$H:$H&gt;=B1688)+ISBLANK('cost master'!$H:$H))),1),0)"),2.6)</f>
        <v>2.6</v>
      </c>
      <c r="I1688" s="3">
        <f t="shared" si="4"/>
        <v>7.8</v>
      </c>
      <c r="J1688" s="27">
        <f t="shared" si="5"/>
        <v>45977</v>
      </c>
      <c r="K1688" s="27">
        <f t="shared" si="6"/>
        <v>46006</v>
      </c>
    </row>
    <row r="1689" hidden="1">
      <c r="A1689" s="3" t="str">
        <f t="shared" si="3"/>
        <v>SL-20251215-Vglobal-CS 009-12</v>
      </c>
      <c r="B1689" s="2">
        <f t="array" ref="B1689">INDEX(helper!$A$3:$A3996,ROUNDUP((ROW()-1)/COUNTA(helper!$D$3:$D3996),0))</f>
        <v>46006</v>
      </c>
      <c r="C1689" s="5" t="str">
        <f t="array" ref="C1689">IF(B1689="","",INDEX(helper!$D$3:$D3996,MOD(ROW()-2,COUNTA(helper!$D$3:$D3996))+1))</f>
        <v>Vglobal</v>
      </c>
      <c r="D1689" s="3" t="str">
        <f t="array" ref="D1689">IF(B1689="","",INDEX(helper!$E$3:$E3996,MOD(ROW()-2,COUNTA(helper!$D$3:$D3996))+1))</f>
        <v>CS 009</v>
      </c>
      <c r="E1689" s="3">
        <f t="array" ref="E1689">IF(B1689="","",INDEX(helper!$F$3:$F3996,MOD(ROW()-2,COUNTA(helper!$D$3:$D3996))+1))</f>
        <v>12</v>
      </c>
      <c r="F1689" s="3">
        <f>IF(B1689="","",SUMIFS('inventory ledger'!$H:$H,'inventory ledger'!$C:$C,C1689,'inventory ledger'!$D:$D,D1689,'inventory ledger'!$E:$E,E1689,'inventory ledger'!$A:$A,"&lt;="&amp;B1689+TIME(23,59,59))-SUMIFS('inventory ledger'!$I:$I,'inventory ledger'!$C:$C,C1689,'inventory ledger'!$D:$D,D1689,'inventory ledger'!$E:$E,E1689,'inventory ledger'!$A:$A,"&lt;="&amp;B1689+TIME(23,59,59)))</f>
        <v>0</v>
      </c>
      <c r="G1689" s="3">
        <f>IFERROR(__xludf.DUMMYFUNCTION("IF(F1689&lt;=0,0,IFERROR(ROUNDUP(F1689/INDEX(FILTER('warehouse config'!$D:$D,('warehouse config'!$B:$B=C1689)*('warehouse config'!$C:$C=D1689)*('warehouse config'!$G:$G&lt;=B1689)*(('warehouse config'!$H:$H&gt;=B1689)+ISBLANK('warehouse config'!$H:$H))),1)),0))"),0.0)</f>
        <v>0</v>
      </c>
      <c r="H1689" s="3">
        <f>IFERROR(__xludf.DUMMYFUNCTION("IFERROR(INDEX(FILTER('cost master'!$E:$E,('cost master'!$B:$B=C1689)*('cost master'!$D:$D=""Storage cost per pallet / week"")*('cost master'!$G:$G&lt;=B1689)*(('cost master'!$H:$H&gt;=B1689)+ISBLANK('cost master'!$H:$H))),1),0)"),2.6)</f>
        <v>2.6</v>
      </c>
      <c r="I1689" s="3">
        <f t="shared" si="4"/>
        <v>0</v>
      </c>
      <c r="J1689" s="27">
        <f t="shared" si="5"/>
        <v>45977</v>
      </c>
      <c r="K1689" s="27">
        <f t="shared" si="6"/>
        <v>46006</v>
      </c>
    </row>
    <row r="1690" hidden="1">
      <c r="A1690" s="3" t="str">
        <f t="shared" si="3"/>
        <v>SL-20251215-Vglobal-CS 012-12</v>
      </c>
      <c r="B1690" s="2">
        <f t="array" ref="B1690">INDEX(helper!$A$3:$A3996,ROUNDUP((ROW()-1)/COUNTA(helper!$D$3:$D3996),0))</f>
        <v>46006</v>
      </c>
      <c r="C1690" s="5" t="str">
        <f t="array" ref="C1690">IF(B1690="","",INDEX(helper!$D$3:$D3996,MOD(ROW()-2,COUNTA(helper!$D$3:$D3996))+1))</f>
        <v>Vglobal</v>
      </c>
      <c r="D1690" s="3" t="str">
        <f t="array" ref="D1690">IF(B1690="","",INDEX(helper!$E$3:$E3996,MOD(ROW()-2,COUNTA(helper!$D$3:$D3996))+1))</f>
        <v>CS 012</v>
      </c>
      <c r="E1690" s="3">
        <f t="array" ref="E1690">IF(B1690="","",INDEX(helper!$F$3:$F3996,MOD(ROW()-2,COUNTA(helper!$D$3:$D3996))+1))</f>
        <v>12</v>
      </c>
      <c r="F1690" s="3">
        <f>IF(B1690="","",SUMIFS('inventory ledger'!$H:$H,'inventory ledger'!$C:$C,C1690,'inventory ledger'!$D:$D,D1690,'inventory ledger'!$E:$E,E1690,'inventory ledger'!$A:$A,"&lt;="&amp;B1690+TIME(23,59,59))-SUMIFS('inventory ledger'!$I:$I,'inventory ledger'!$C:$C,C1690,'inventory ledger'!$D:$D,D1690,'inventory ledger'!$E:$E,E1690,'inventory ledger'!$A:$A,"&lt;="&amp;B1690+TIME(23,59,59)))</f>
        <v>0</v>
      </c>
      <c r="G1690" s="3">
        <f>IFERROR(__xludf.DUMMYFUNCTION("IF(F1690&lt;=0,0,IFERROR(ROUNDUP(F1690/INDEX(FILTER('warehouse config'!$D:$D,('warehouse config'!$B:$B=C1690)*('warehouse config'!$C:$C=D1690)*('warehouse config'!$G:$G&lt;=B1690)*(('warehouse config'!$H:$H&gt;=B1690)+ISBLANK('warehouse config'!$H:$H))),1)),0))"),0.0)</f>
        <v>0</v>
      </c>
      <c r="H1690" s="3">
        <f>IFERROR(__xludf.DUMMYFUNCTION("IFERROR(INDEX(FILTER('cost master'!$E:$E,('cost master'!$B:$B=C1690)*('cost master'!$D:$D=""Storage cost per pallet / week"")*('cost master'!$G:$G&lt;=B1690)*(('cost master'!$H:$H&gt;=B1690)+ISBLANK('cost master'!$H:$H))),1),0)"),2.6)</f>
        <v>2.6</v>
      </c>
      <c r="I1690" s="3">
        <f t="shared" si="4"/>
        <v>0</v>
      </c>
      <c r="J1690" s="27">
        <f t="shared" si="5"/>
        <v>45977</v>
      </c>
      <c r="K1690" s="27">
        <f t="shared" si="6"/>
        <v>46006</v>
      </c>
    </row>
    <row r="1691" hidden="1">
      <c r="A1691" s="3" t="str">
        <f t="shared" si="3"/>
        <v>SL-20251215-Vglobal-CS-CDS-001-3</v>
      </c>
      <c r="B1691" s="2">
        <f t="array" ref="B1691">INDEX(helper!$A$3:$A3996,ROUNDUP((ROW()-1)/COUNTA(helper!$D$3:$D3996),0))</f>
        <v>46006</v>
      </c>
      <c r="C1691" s="5" t="str">
        <f t="array" ref="C1691">IF(B1691="","",INDEX(helper!$D$3:$D3996,MOD(ROW()-2,COUNTA(helper!$D$3:$D3996))+1))</f>
        <v>Vglobal</v>
      </c>
      <c r="D1691" s="3" t="str">
        <f t="array" ref="D1691">IF(B1691="","",INDEX(helper!$E$3:$E3996,MOD(ROW()-2,COUNTA(helper!$D$3:$D3996))+1))</f>
        <v>CS-CDS-001</v>
      </c>
      <c r="E1691" s="3">
        <f t="array" ref="E1691">IF(B1691="","",INDEX(helper!$F$3:$F3996,MOD(ROW()-2,COUNTA(helper!$D$3:$D3996))+1))</f>
        <v>3</v>
      </c>
      <c r="F1691" s="3">
        <f>IF(B1691="","",SUMIFS('inventory ledger'!$H:$H,'inventory ledger'!$C:$C,C1691,'inventory ledger'!$D:$D,D1691,'inventory ledger'!$E:$E,E1691,'inventory ledger'!$A:$A,"&lt;="&amp;B1691+TIME(23,59,59))-SUMIFS('inventory ledger'!$I:$I,'inventory ledger'!$C:$C,C1691,'inventory ledger'!$D:$D,D1691,'inventory ledger'!$E:$E,E1691,'inventory ledger'!$A:$A,"&lt;="&amp;B1691+TIME(23,59,59)))</f>
        <v>1</v>
      </c>
      <c r="G1691" s="3">
        <f>IFERROR(__xludf.DUMMYFUNCTION("IF(F1691&lt;=0,0,IFERROR(ROUNDUP(F1691/INDEX(FILTER('warehouse config'!$D:$D,('warehouse config'!$B:$B=C1691)*('warehouse config'!$C:$C=D1691)*('warehouse config'!$G:$G&lt;=B1691)*(('warehouse config'!$H:$H&gt;=B1691)+ISBLANK('warehouse config'!$H:$H))),1)),0))"),1.0)</f>
        <v>1</v>
      </c>
      <c r="H1691" s="3">
        <f>IFERROR(__xludf.DUMMYFUNCTION("IFERROR(INDEX(FILTER('cost master'!$E:$E,('cost master'!$B:$B=C1691)*('cost master'!$D:$D=""Storage cost per pallet / week"")*('cost master'!$G:$G&lt;=B1691)*(('cost master'!$H:$H&gt;=B1691)+ISBLANK('cost master'!$H:$H))),1),0)"),2.6)</f>
        <v>2.6</v>
      </c>
      <c r="I1691" s="3">
        <f t="shared" si="4"/>
        <v>2.6</v>
      </c>
      <c r="J1691" s="27">
        <f t="shared" si="5"/>
        <v>45977</v>
      </c>
      <c r="K1691" s="27">
        <f t="shared" si="6"/>
        <v>46006</v>
      </c>
    </row>
    <row r="1692" hidden="1">
      <c r="A1692" s="3" t="str">
        <f t="shared" si="3"/>
        <v>SL-20251215-Vglobal-CS-CDS-002-3</v>
      </c>
      <c r="B1692" s="2">
        <f t="array" ref="B1692">INDEX(helper!$A$3:$A3996,ROUNDUP((ROW()-1)/COUNTA(helper!$D$3:$D3996),0))</f>
        <v>46006</v>
      </c>
      <c r="C1692" s="5" t="str">
        <f t="array" ref="C1692">IF(B1692="","",INDEX(helper!$D$3:$D3996,MOD(ROW()-2,COUNTA(helper!$D$3:$D3996))+1))</f>
        <v>Vglobal</v>
      </c>
      <c r="D1692" s="3" t="str">
        <f t="array" ref="D1692">IF(B1692="","",INDEX(helper!$E$3:$E3996,MOD(ROW()-2,COUNTA(helper!$D$3:$D3996))+1))</f>
        <v>CS-CDS-002</v>
      </c>
      <c r="E1692" s="3">
        <f t="array" ref="E1692">IF(B1692="","",INDEX(helper!$F$3:$F3996,MOD(ROW()-2,COUNTA(helper!$D$3:$D3996))+1))</f>
        <v>3</v>
      </c>
      <c r="F1692" s="3">
        <f>IF(B1692="","",SUMIFS('inventory ledger'!$H:$H,'inventory ledger'!$C:$C,C1692,'inventory ledger'!$D:$D,D1692,'inventory ledger'!$E:$E,E1692,'inventory ledger'!$A:$A,"&lt;="&amp;B1692+TIME(23,59,59))-SUMIFS('inventory ledger'!$I:$I,'inventory ledger'!$C:$C,C1692,'inventory ledger'!$D:$D,D1692,'inventory ledger'!$E:$E,E1692,'inventory ledger'!$A:$A,"&lt;="&amp;B1692+TIME(23,59,59)))</f>
        <v>0</v>
      </c>
      <c r="G1692" s="3">
        <f>IFERROR(__xludf.DUMMYFUNCTION("IF(F1692&lt;=0,0,IFERROR(ROUNDUP(F1692/INDEX(FILTER('warehouse config'!$D:$D,('warehouse config'!$B:$B=C1692)*('warehouse config'!$C:$C=D1692)*('warehouse config'!$G:$G&lt;=B1692)*(('warehouse config'!$H:$H&gt;=B1692)+ISBLANK('warehouse config'!$H:$H))),1)),0))"),0.0)</f>
        <v>0</v>
      </c>
      <c r="H1692" s="3">
        <f>IFERROR(__xludf.DUMMYFUNCTION("IFERROR(INDEX(FILTER('cost master'!$E:$E,('cost master'!$B:$B=C1692)*('cost master'!$D:$D=""Storage cost per pallet / week"")*('cost master'!$G:$G&lt;=B1692)*(('cost master'!$H:$H&gt;=B1692)+ISBLANK('cost master'!$H:$H))),1),0)"),2.6)</f>
        <v>2.6</v>
      </c>
      <c r="I1692" s="3">
        <f t="shared" si="4"/>
        <v>0</v>
      </c>
      <c r="J1692" s="27">
        <f t="shared" si="5"/>
        <v>45977</v>
      </c>
      <c r="K1692" s="27">
        <f t="shared" si="6"/>
        <v>46006</v>
      </c>
    </row>
    <row r="1693" hidden="1">
      <c r="A1693" s="3" t="str">
        <f t="shared" si="3"/>
        <v>SL-20251215-4as-CS-CDS-001-4</v>
      </c>
      <c r="B1693" s="2">
        <f t="array" ref="B1693">INDEX(helper!$A$3:$A3996,ROUNDUP((ROW()-1)/COUNTA(helper!$D$3:$D3996),0))</f>
        <v>46006</v>
      </c>
      <c r="C1693" s="5" t="str">
        <f t="array" ref="C1693">IF(B1693="","",INDEX(helper!$D$3:$D3996,MOD(ROW()-2,COUNTA(helper!$D$3:$D3996))+1))</f>
        <v>4as</v>
      </c>
      <c r="D1693" s="3" t="str">
        <f t="array" ref="D1693">IF(B1693="","",INDEX(helper!$E$3:$E3996,MOD(ROW()-2,COUNTA(helper!$D$3:$D3996))+1))</f>
        <v>CS-CDS-001</v>
      </c>
      <c r="E1693" s="3">
        <f t="array" ref="E1693">IF(B1693="","",INDEX(helper!$F$3:$F3996,MOD(ROW()-2,COUNTA(helper!$D$3:$D3996))+1))</f>
        <v>4</v>
      </c>
      <c r="F1693" s="3">
        <f>IF(B1693="","",SUMIFS('inventory ledger'!$H:$H,'inventory ledger'!$C:$C,C1693,'inventory ledger'!$D:$D,D1693,'inventory ledger'!$E:$E,E1693,'inventory ledger'!$A:$A,"&lt;="&amp;B1693+TIME(23,59,59))-SUMIFS('inventory ledger'!$I:$I,'inventory ledger'!$C:$C,C1693,'inventory ledger'!$D:$D,D1693,'inventory ledger'!$E:$E,E1693,'inventory ledger'!$A:$A,"&lt;="&amp;B1693+TIME(23,59,59)))</f>
        <v>0</v>
      </c>
      <c r="G1693" s="3">
        <f>IFERROR(__xludf.DUMMYFUNCTION("IF(F1693&lt;=0,0,IFERROR(ROUNDUP(F1693/INDEX(FILTER('warehouse config'!$D:$D,('warehouse config'!$B:$B=C1693)*('warehouse config'!$C:$C=D1693)*('warehouse config'!$G:$G&lt;=B1693)*(('warehouse config'!$H:$H&gt;=B1693)+ISBLANK('warehouse config'!$H:$H))),1)),0))"),0.0)</f>
        <v>0</v>
      </c>
      <c r="H1693" s="3">
        <f>IFERROR(__xludf.DUMMYFUNCTION("IFERROR(INDEX(FILTER('cost master'!$E:$E,('cost master'!$B:$B=C1693)*('cost master'!$D:$D=""Storage cost per pallet / week"")*('cost master'!$G:$G&lt;=B1693)*(('cost master'!$H:$H&gt;=B1693)+ISBLANK('cost master'!$H:$H))),1),0)"),9.0)</f>
        <v>9</v>
      </c>
      <c r="I1693" s="3">
        <f t="shared" si="4"/>
        <v>0</v>
      </c>
      <c r="J1693" s="27">
        <f t="shared" si="5"/>
        <v>45977</v>
      </c>
      <c r="K1693" s="27">
        <f t="shared" si="6"/>
        <v>46006</v>
      </c>
    </row>
    <row r="1694" hidden="1">
      <c r="A1694" s="3" t="str">
        <f t="shared" si="3"/>
        <v>SL-20251215-4as-CS-CDS-002-4</v>
      </c>
      <c r="B1694" s="2">
        <f t="array" ref="B1694">INDEX(helper!$A$3:$A3996,ROUNDUP((ROW()-1)/COUNTA(helper!$D$3:$D3996),0))</f>
        <v>46006</v>
      </c>
      <c r="C1694" s="5" t="str">
        <f t="array" ref="C1694">IF(B1694="","",INDEX(helper!$D$3:$D3996,MOD(ROW()-2,COUNTA(helper!$D$3:$D3996))+1))</f>
        <v>4as</v>
      </c>
      <c r="D1694" s="3" t="str">
        <f t="array" ref="D1694">IF(B1694="","",INDEX(helper!$E$3:$E3996,MOD(ROW()-2,COUNTA(helper!$D$3:$D3996))+1))</f>
        <v>CS-CDS-002</v>
      </c>
      <c r="E1694" s="3">
        <f t="array" ref="E1694">IF(B1694="","",INDEX(helper!$F$3:$F3996,MOD(ROW()-2,COUNTA(helper!$D$3:$D3996))+1))</f>
        <v>4</v>
      </c>
      <c r="F1694" s="3">
        <f>IF(B1694="","",SUMIFS('inventory ledger'!$H:$H,'inventory ledger'!$C:$C,C1694,'inventory ledger'!$D:$D,D1694,'inventory ledger'!$E:$E,E1694,'inventory ledger'!$A:$A,"&lt;="&amp;B1694+TIME(23,59,59))-SUMIFS('inventory ledger'!$I:$I,'inventory ledger'!$C:$C,C1694,'inventory ledger'!$D:$D,D1694,'inventory ledger'!$E:$E,E1694,'inventory ledger'!$A:$A,"&lt;="&amp;B1694+TIME(23,59,59)))</f>
        <v>0</v>
      </c>
      <c r="G1694" s="3">
        <f>IFERROR(__xludf.DUMMYFUNCTION("IF(F1694&lt;=0,0,IFERROR(ROUNDUP(F1694/INDEX(FILTER('warehouse config'!$D:$D,('warehouse config'!$B:$B=C1694)*('warehouse config'!$C:$C=D1694)*('warehouse config'!$G:$G&lt;=B1694)*(('warehouse config'!$H:$H&gt;=B1694)+ISBLANK('warehouse config'!$H:$H))),1)),0))"),0.0)</f>
        <v>0</v>
      </c>
      <c r="H1694" s="3">
        <f>IFERROR(__xludf.DUMMYFUNCTION("IFERROR(INDEX(FILTER('cost master'!$E:$E,('cost master'!$B:$B=C1694)*('cost master'!$D:$D=""Storage cost per pallet / week"")*('cost master'!$G:$G&lt;=B1694)*(('cost master'!$H:$H&gt;=B1694)+ISBLANK('cost master'!$H:$H))),1),0)"),9.0)</f>
        <v>9</v>
      </c>
      <c r="I1694" s="3">
        <f t="shared" si="4"/>
        <v>0</v>
      </c>
      <c r="J1694" s="27">
        <f t="shared" si="5"/>
        <v>45977</v>
      </c>
      <c r="K1694" s="27">
        <f t="shared" si="6"/>
        <v>46006</v>
      </c>
    </row>
    <row r="1695" hidden="1">
      <c r="A1695" s="3" t="str">
        <f t="shared" si="3"/>
        <v>SL-20251215-Vglobal-CS 007-13</v>
      </c>
      <c r="B1695" s="2">
        <f t="array" ref="B1695">INDEX(helper!$A$3:$A3996,ROUNDUP((ROW()-1)/COUNTA(helper!$D$3:$D3996),0))</f>
        <v>46006</v>
      </c>
      <c r="C1695" s="5" t="str">
        <f t="array" ref="C1695">IF(B1695="","",INDEX(helper!$D$3:$D3996,MOD(ROW()-2,COUNTA(helper!$D$3:$D3996))+1))</f>
        <v>Vglobal</v>
      </c>
      <c r="D1695" s="3" t="str">
        <f t="array" ref="D1695">IF(B1695="","",INDEX(helper!$E$3:$E3996,MOD(ROW()-2,COUNTA(helper!$D$3:$D3996))+1))</f>
        <v>CS 007</v>
      </c>
      <c r="E1695" s="3">
        <f t="array" ref="E1695">IF(B1695="","",INDEX(helper!$F$3:$F3996,MOD(ROW()-2,COUNTA(helper!$D$3:$D3996))+1))</f>
        <v>13</v>
      </c>
      <c r="F1695" s="3">
        <f>IF(B1695="","",SUMIFS('inventory ledger'!$H:$H,'inventory ledger'!$C:$C,C1695,'inventory ledger'!$D:$D,D1695,'inventory ledger'!$E:$E,E1695,'inventory ledger'!$A:$A,"&lt;="&amp;B1695+TIME(23,59,59))-SUMIFS('inventory ledger'!$I:$I,'inventory ledger'!$C:$C,C1695,'inventory ledger'!$D:$D,D1695,'inventory ledger'!$E:$E,E1695,'inventory ledger'!$A:$A,"&lt;="&amp;B1695+TIME(23,59,59)))</f>
        <v>45</v>
      </c>
      <c r="G1695" s="3">
        <f>IFERROR(__xludf.DUMMYFUNCTION("IF(F1695&lt;=0,0,IFERROR(ROUNDUP(F1695/INDEX(FILTER('warehouse config'!$D:$D,('warehouse config'!$B:$B=C1695)*('warehouse config'!$C:$C=D1695)*('warehouse config'!$G:$G&lt;=B1695)*(('warehouse config'!$H:$H&gt;=B1695)+ISBLANK('warehouse config'!$H:$H))),1)),0))"),3.0)</f>
        <v>3</v>
      </c>
      <c r="H1695" s="3">
        <f>IFERROR(__xludf.DUMMYFUNCTION("IFERROR(INDEX(FILTER('cost master'!$E:$E,('cost master'!$B:$B=C1695)*('cost master'!$D:$D=""Storage cost per pallet / week"")*('cost master'!$G:$G&lt;=B1695)*(('cost master'!$H:$H&gt;=B1695)+ISBLANK('cost master'!$H:$H))),1),0)"),2.6)</f>
        <v>2.6</v>
      </c>
      <c r="I1695" s="3">
        <f t="shared" si="4"/>
        <v>7.8</v>
      </c>
      <c r="J1695" s="27">
        <f t="shared" si="5"/>
        <v>45977</v>
      </c>
      <c r="K1695" s="27">
        <f t="shared" si="6"/>
        <v>46006</v>
      </c>
    </row>
    <row r="1696" hidden="1">
      <c r="A1696" s="3" t="str">
        <f t="shared" si="3"/>
        <v>SL-20251215-Vglobal-CS 011-13</v>
      </c>
      <c r="B1696" s="2">
        <f t="array" ref="B1696">INDEX(helper!$A$3:$A3996,ROUNDUP((ROW()-1)/COUNTA(helper!$D$3:$D3996),0))</f>
        <v>46006</v>
      </c>
      <c r="C1696" s="5" t="str">
        <f t="array" ref="C1696">IF(B1696="","",INDEX(helper!$D$3:$D3996,MOD(ROW()-2,COUNTA(helper!$D$3:$D3996))+1))</f>
        <v>Vglobal</v>
      </c>
      <c r="D1696" s="3" t="str">
        <f t="array" ref="D1696">IF(B1696="","",INDEX(helper!$E$3:$E3996,MOD(ROW()-2,COUNTA(helper!$D$3:$D3996))+1))</f>
        <v>CS 011</v>
      </c>
      <c r="E1696" s="3">
        <f t="array" ref="E1696">IF(B1696="","",INDEX(helper!$F$3:$F3996,MOD(ROW()-2,COUNTA(helper!$D$3:$D3996))+1))</f>
        <v>13</v>
      </c>
      <c r="F1696" s="3">
        <f>IF(B1696="","",SUMIFS('inventory ledger'!$H:$H,'inventory ledger'!$C:$C,C1696,'inventory ledger'!$D:$D,D1696,'inventory ledger'!$E:$E,E1696,'inventory ledger'!$A:$A,"&lt;="&amp;B1696+TIME(23,59,59))-SUMIFS('inventory ledger'!$I:$I,'inventory ledger'!$C:$C,C1696,'inventory ledger'!$D:$D,D1696,'inventory ledger'!$E:$E,E1696,'inventory ledger'!$A:$A,"&lt;="&amp;B1696+TIME(23,59,59)))</f>
        <v>0</v>
      </c>
      <c r="G1696" s="3">
        <f>IFERROR(__xludf.DUMMYFUNCTION("IF(F1696&lt;=0,0,IFERROR(ROUNDUP(F1696/INDEX(FILTER('warehouse config'!$D:$D,('warehouse config'!$B:$B=C1696)*('warehouse config'!$C:$C=D1696)*('warehouse config'!$G:$G&lt;=B1696)*(('warehouse config'!$H:$H&gt;=B1696)+ISBLANK('warehouse config'!$H:$H))),1)),0))"),0.0)</f>
        <v>0</v>
      </c>
      <c r="H1696" s="3">
        <f>IFERROR(__xludf.DUMMYFUNCTION("IFERROR(INDEX(FILTER('cost master'!$E:$E,('cost master'!$B:$B=C1696)*('cost master'!$D:$D=""Storage cost per pallet / week"")*('cost master'!$G:$G&lt;=B1696)*(('cost master'!$H:$H&gt;=B1696)+ISBLANK('cost master'!$H:$H))),1),0)"),2.6)</f>
        <v>2.6</v>
      </c>
      <c r="I1696" s="3">
        <f t="shared" si="4"/>
        <v>0</v>
      </c>
      <c r="J1696" s="27">
        <f t="shared" si="5"/>
        <v>45977</v>
      </c>
      <c r="K1696" s="27">
        <f t="shared" si="6"/>
        <v>46006</v>
      </c>
    </row>
    <row r="1697" hidden="1">
      <c r="A1697" s="3" t="str">
        <f t="shared" si="3"/>
        <v>SL-20251215-Vglobal-CS 008-13</v>
      </c>
      <c r="B1697" s="2">
        <f t="array" ref="B1697">INDEX(helper!$A$3:$A3996,ROUNDUP((ROW()-1)/COUNTA(helper!$D$3:$D3996),0))</f>
        <v>46006</v>
      </c>
      <c r="C1697" s="5" t="str">
        <f t="array" ref="C1697">IF(B1697="","",INDEX(helper!$D$3:$D3996,MOD(ROW()-2,COUNTA(helper!$D$3:$D3996))+1))</f>
        <v>Vglobal</v>
      </c>
      <c r="D1697" s="3" t="str">
        <f t="array" ref="D1697">IF(B1697="","",INDEX(helper!$E$3:$E3996,MOD(ROW()-2,COUNTA(helper!$D$3:$D3996))+1))</f>
        <v>CS 008</v>
      </c>
      <c r="E1697" s="3">
        <f t="array" ref="E1697">IF(B1697="","",INDEX(helper!$F$3:$F3996,MOD(ROW()-2,COUNTA(helper!$D$3:$D3996))+1))</f>
        <v>13</v>
      </c>
      <c r="F1697" s="3">
        <f>IF(B1697="","",SUMIFS('inventory ledger'!$H:$H,'inventory ledger'!$C:$C,C1697,'inventory ledger'!$D:$D,D1697,'inventory ledger'!$E:$E,E1697,'inventory ledger'!$A:$A,"&lt;="&amp;B1697+TIME(23,59,59))-SUMIFS('inventory ledger'!$I:$I,'inventory ledger'!$C:$C,C1697,'inventory ledger'!$D:$D,D1697,'inventory ledger'!$E:$E,E1697,'inventory ledger'!$A:$A,"&lt;="&amp;B1697+TIME(23,59,59)))</f>
        <v>20</v>
      </c>
      <c r="G1697" s="3">
        <f>IFERROR(__xludf.DUMMYFUNCTION("IF(F1697&lt;=0,0,IFERROR(ROUNDUP(F1697/INDEX(FILTER('warehouse config'!$D:$D,('warehouse config'!$B:$B=C1697)*('warehouse config'!$C:$C=D1697)*('warehouse config'!$G:$G&lt;=B1697)*(('warehouse config'!$H:$H&gt;=B1697)+ISBLANK('warehouse config'!$H:$H))),1)),0))"),1.0)</f>
        <v>1</v>
      </c>
      <c r="H1697" s="3">
        <f>IFERROR(__xludf.DUMMYFUNCTION("IFERROR(INDEX(FILTER('cost master'!$E:$E,('cost master'!$B:$B=C1697)*('cost master'!$D:$D=""Storage cost per pallet / week"")*('cost master'!$G:$G&lt;=B1697)*(('cost master'!$H:$H&gt;=B1697)+ISBLANK('cost master'!$H:$H))),1),0)"),2.6)</f>
        <v>2.6</v>
      </c>
      <c r="I1697" s="3">
        <f t="shared" si="4"/>
        <v>2.6</v>
      </c>
      <c r="J1697" s="27">
        <f t="shared" si="5"/>
        <v>45977</v>
      </c>
      <c r="K1697" s="27">
        <f t="shared" si="6"/>
        <v>46006</v>
      </c>
    </row>
    <row r="1698" hidden="1">
      <c r="A1698" s="3" t="str">
        <f t="shared" si="3"/>
        <v>SL-20251215-Vglobal-CS 010-13</v>
      </c>
      <c r="B1698" s="2">
        <f t="array" ref="B1698">INDEX(helper!$A$3:$A3996,ROUNDUP((ROW()-1)/COUNTA(helper!$D$3:$D3996),0))</f>
        <v>46006</v>
      </c>
      <c r="C1698" s="5" t="str">
        <f t="array" ref="C1698">IF(B1698="","",INDEX(helper!$D$3:$D3996,MOD(ROW()-2,COUNTA(helper!$D$3:$D3996))+1))</f>
        <v>Vglobal</v>
      </c>
      <c r="D1698" s="3" t="str">
        <f t="array" ref="D1698">IF(B1698="","",INDEX(helper!$E$3:$E3996,MOD(ROW()-2,COUNTA(helper!$D$3:$D3996))+1))</f>
        <v>CS 010</v>
      </c>
      <c r="E1698" s="3">
        <f t="array" ref="E1698">IF(B1698="","",INDEX(helper!$F$3:$F3996,MOD(ROW()-2,COUNTA(helper!$D$3:$D3996))+1))</f>
        <v>13</v>
      </c>
      <c r="F1698" s="3">
        <f>IF(B1698="","",SUMIFS('inventory ledger'!$H:$H,'inventory ledger'!$C:$C,C1698,'inventory ledger'!$D:$D,D1698,'inventory ledger'!$E:$E,E1698,'inventory ledger'!$A:$A,"&lt;="&amp;B1698+TIME(23,59,59))-SUMIFS('inventory ledger'!$I:$I,'inventory ledger'!$C:$C,C1698,'inventory ledger'!$D:$D,D1698,'inventory ledger'!$E:$E,E1698,'inventory ledger'!$A:$A,"&lt;="&amp;B1698+TIME(23,59,59)))</f>
        <v>80</v>
      </c>
      <c r="G1698" s="3">
        <f>IFERROR(__xludf.DUMMYFUNCTION("IF(F1698&lt;=0,0,IFERROR(ROUNDUP(F1698/INDEX(FILTER('warehouse config'!$D:$D,('warehouse config'!$B:$B=C1698)*('warehouse config'!$C:$C=D1698)*('warehouse config'!$G:$G&lt;=B1698)*(('warehouse config'!$H:$H&gt;=B1698)+ISBLANK('warehouse config'!$H:$H))),1)),0))"),4.0)</f>
        <v>4</v>
      </c>
      <c r="H1698" s="3">
        <f>IFERROR(__xludf.DUMMYFUNCTION("IFERROR(INDEX(FILTER('cost master'!$E:$E,('cost master'!$B:$B=C1698)*('cost master'!$D:$D=""Storage cost per pallet / week"")*('cost master'!$G:$G&lt;=B1698)*(('cost master'!$H:$H&gt;=B1698)+ISBLANK('cost master'!$H:$H))),1),0)"),2.6)</f>
        <v>2.6</v>
      </c>
      <c r="I1698" s="3">
        <f t="shared" si="4"/>
        <v>10.4</v>
      </c>
      <c r="J1698" s="27">
        <f t="shared" si="5"/>
        <v>45977</v>
      </c>
      <c r="K1698" s="27">
        <f t="shared" si="6"/>
        <v>46006</v>
      </c>
    </row>
    <row r="1699" hidden="1">
      <c r="A1699" s="3" t="str">
        <f t="shared" si="3"/>
        <v>SL-20251215-Vglobal-CS 009-13</v>
      </c>
      <c r="B1699" s="2">
        <f t="array" ref="B1699">INDEX(helper!$A$3:$A3996,ROUNDUP((ROW()-1)/COUNTA(helper!$D$3:$D3996),0))</f>
        <v>46006</v>
      </c>
      <c r="C1699" s="5" t="str">
        <f t="array" ref="C1699">IF(B1699="","",INDEX(helper!$D$3:$D3996,MOD(ROW()-2,COUNTA(helper!$D$3:$D3996))+1))</f>
        <v>Vglobal</v>
      </c>
      <c r="D1699" s="3" t="str">
        <f t="array" ref="D1699">IF(B1699="","",INDEX(helper!$E$3:$E3996,MOD(ROW()-2,COUNTA(helper!$D$3:$D3996))+1))</f>
        <v>CS 009</v>
      </c>
      <c r="E1699" s="3">
        <f t="array" ref="E1699">IF(B1699="","",INDEX(helper!$F$3:$F3996,MOD(ROW()-2,COUNTA(helper!$D$3:$D3996))+1))</f>
        <v>13</v>
      </c>
      <c r="F1699" s="3">
        <f>IF(B1699="","",SUMIFS('inventory ledger'!$H:$H,'inventory ledger'!$C:$C,C1699,'inventory ledger'!$D:$D,D1699,'inventory ledger'!$E:$E,E1699,'inventory ledger'!$A:$A,"&lt;="&amp;B1699+TIME(23,59,59))-SUMIFS('inventory ledger'!$I:$I,'inventory ledger'!$C:$C,C1699,'inventory ledger'!$D:$D,D1699,'inventory ledger'!$E:$E,E1699,'inventory ledger'!$A:$A,"&lt;="&amp;B1699+TIME(23,59,59)))</f>
        <v>0</v>
      </c>
      <c r="G1699" s="3">
        <f>IFERROR(__xludf.DUMMYFUNCTION("IF(F1699&lt;=0,0,IFERROR(ROUNDUP(F1699/INDEX(FILTER('warehouse config'!$D:$D,('warehouse config'!$B:$B=C1699)*('warehouse config'!$C:$C=D1699)*('warehouse config'!$G:$G&lt;=B1699)*(('warehouse config'!$H:$H&gt;=B1699)+ISBLANK('warehouse config'!$H:$H))),1)),0))"),0.0)</f>
        <v>0</v>
      </c>
      <c r="H1699" s="3">
        <f>IFERROR(__xludf.DUMMYFUNCTION("IFERROR(INDEX(FILTER('cost master'!$E:$E,('cost master'!$B:$B=C1699)*('cost master'!$D:$D=""Storage cost per pallet / week"")*('cost master'!$G:$G&lt;=B1699)*(('cost master'!$H:$H&gt;=B1699)+ISBLANK('cost master'!$H:$H))),1),0)"),2.6)</f>
        <v>2.6</v>
      </c>
      <c r="I1699" s="3">
        <f t="shared" si="4"/>
        <v>0</v>
      </c>
      <c r="J1699" s="27">
        <f t="shared" si="5"/>
        <v>45977</v>
      </c>
      <c r="K1699" s="27">
        <f t="shared" si="6"/>
        <v>46006</v>
      </c>
    </row>
    <row r="1700" hidden="1">
      <c r="A1700" s="3" t="str">
        <f t="shared" si="3"/>
        <v>SL-20251215-Vglobal-CS 012-13</v>
      </c>
      <c r="B1700" s="2">
        <f t="array" ref="B1700">INDEX(helper!$A$3:$A3996,ROUNDUP((ROW()-1)/COUNTA(helper!$D$3:$D3996),0))</f>
        <v>46006</v>
      </c>
      <c r="C1700" s="5" t="str">
        <f t="array" ref="C1700">IF(B1700="","",INDEX(helper!$D$3:$D3996,MOD(ROW()-2,COUNTA(helper!$D$3:$D3996))+1))</f>
        <v>Vglobal</v>
      </c>
      <c r="D1700" s="3" t="str">
        <f t="array" ref="D1700">IF(B1700="","",INDEX(helper!$E$3:$E3996,MOD(ROW()-2,COUNTA(helper!$D$3:$D3996))+1))</f>
        <v>CS 012</v>
      </c>
      <c r="E1700" s="3">
        <f t="array" ref="E1700">IF(B1700="","",INDEX(helper!$F$3:$F3996,MOD(ROW()-2,COUNTA(helper!$D$3:$D3996))+1))</f>
        <v>13</v>
      </c>
      <c r="F1700" s="3">
        <f>IF(B1700="","",SUMIFS('inventory ledger'!$H:$H,'inventory ledger'!$C:$C,C1700,'inventory ledger'!$D:$D,D1700,'inventory ledger'!$E:$E,E1700,'inventory ledger'!$A:$A,"&lt;="&amp;B1700+TIME(23,59,59))-SUMIFS('inventory ledger'!$I:$I,'inventory ledger'!$C:$C,C1700,'inventory ledger'!$D:$D,D1700,'inventory ledger'!$E:$E,E1700,'inventory ledger'!$A:$A,"&lt;="&amp;B1700+TIME(23,59,59)))</f>
        <v>0</v>
      </c>
      <c r="G1700" s="3">
        <f>IFERROR(__xludf.DUMMYFUNCTION("IF(F1700&lt;=0,0,IFERROR(ROUNDUP(F1700/INDEX(FILTER('warehouse config'!$D:$D,('warehouse config'!$B:$B=C1700)*('warehouse config'!$C:$C=D1700)*('warehouse config'!$G:$G&lt;=B1700)*(('warehouse config'!$H:$H&gt;=B1700)+ISBLANK('warehouse config'!$H:$H))),1)),0))"),0.0)</f>
        <v>0</v>
      </c>
      <c r="H1700" s="3">
        <f>IFERROR(__xludf.DUMMYFUNCTION("IFERROR(INDEX(FILTER('cost master'!$E:$E,('cost master'!$B:$B=C1700)*('cost master'!$D:$D=""Storage cost per pallet / week"")*('cost master'!$G:$G&lt;=B1700)*(('cost master'!$H:$H&gt;=B1700)+ISBLANK('cost master'!$H:$H))),1),0)"),2.6)</f>
        <v>2.6</v>
      </c>
      <c r="I1700" s="3">
        <f t="shared" si="4"/>
        <v>0</v>
      </c>
      <c r="J1700" s="27">
        <f t="shared" si="5"/>
        <v>45977</v>
      </c>
      <c r="K1700" s="27">
        <f t="shared" si="6"/>
        <v>46006</v>
      </c>
    </row>
    <row r="1701">
      <c r="A1701" s="3" t="str">
        <f t="shared" si="3"/>
        <v>SL-20251215-FMC-CS 008-11</v>
      </c>
      <c r="B1701" s="2">
        <f t="array" ref="B1701">INDEX(helper!$A$3:$A3996,ROUNDUP((ROW()-1)/COUNTA(helper!$D$3:$D3996),0))</f>
        <v>46006</v>
      </c>
      <c r="C1701" s="5" t="str">
        <f t="array" ref="C1701">IF(B1701="","",INDEX(helper!$D$3:$D3996,MOD(ROW()-2,COUNTA(helper!$D$3:$D3996))+1))</f>
        <v>FMC</v>
      </c>
      <c r="D1701" s="3" t="str">
        <f t="array" ref="D1701">IF(B1701="","",INDEX(helper!$E$3:$E3996,MOD(ROW()-2,COUNTA(helper!$D$3:$D3996))+1))</f>
        <v>CS 008</v>
      </c>
      <c r="E1701" s="3">
        <f t="array" ref="E1701">IF(B1701="","",INDEX(helper!$F$3:$F3996,MOD(ROW()-2,COUNTA(helper!$D$3:$D3996))+1))</f>
        <v>11</v>
      </c>
      <c r="F1701" s="3">
        <f>IF(B1701="","",SUMIFS('inventory ledger'!$H:$H,'inventory ledger'!$C:$C,C1701,'inventory ledger'!$D:$D,D1701,'inventory ledger'!$E:$E,E1701,'inventory ledger'!$A:$A,"&lt;="&amp;B1701+TIME(23,59,59))-SUMIFS('inventory ledger'!$I:$I,'inventory ledger'!$C:$C,C1701,'inventory ledger'!$D:$D,D1701,'inventory ledger'!$E:$E,E1701,'inventory ledger'!$A:$A,"&lt;="&amp;B1701+TIME(23,59,59)))</f>
        <v>-2</v>
      </c>
      <c r="G1701" s="3">
        <f>IFERROR(__xludf.DUMMYFUNCTION("IF(F1701&lt;=0,0,IFERROR(ROUNDUP(F1701/INDEX(FILTER('warehouse config'!$D:$D,('warehouse config'!$B:$B=C1701)*('warehouse config'!$C:$C=D1701)*('warehouse config'!$G:$G&lt;=B1701)*(('warehouse config'!$H:$H&gt;=B1701)+ISBLANK('warehouse config'!$H:$H))),1)),0))"),0.0)</f>
        <v>0</v>
      </c>
      <c r="H1701" s="3">
        <f>IFERROR(__xludf.DUMMYFUNCTION("IFERROR(INDEX(FILTER('cost master'!$E:$E,('cost master'!$B:$B=C1701)*('cost master'!$D:$D=""Storage cost per pallet / week"")*('cost master'!$G:$G&lt;=B1701)*(('cost master'!$H:$H&gt;=B1701)+ISBLANK('cost master'!$H:$H))),1),0)"),3.9)</f>
        <v>3.9</v>
      </c>
      <c r="I1701" s="3">
        <f t="shared" si="4"/>
        <v>0</v>
      </c>
      <c r="J1701" s="27">
        <f t="shared" si="5"/>
        <v>45977</v>
      </c>
      <c r="K1701" s="27">
        <f t="shared" si="6"/>
        <v>46006</v>
      </c>
    </row>
    <row r="1702" hidden="1">
      <c r="A1702" s="3" t="str">
        <f t="shared" si="3"/>
        <v>SL-20251222-FMC-CS 007-8</v>
      </c>
      <c r="B1702" s="2">
        <f t="array" ref="B1702">INDEX(helper!$A$3:$A3996,ROUNDUP((ROW()-1)/COUNTA(helper!$D$3:$D3996),0))</f>
        <v>46013</v>
      </c>
      <c r="C1702" s="5" t="str">
        <f t="array" ref="C1702">IF(B1702="","",INDEX(helper!$D$3:$D3996,MOD(ROW()-2,COUNTA(helper!$D$3:$D3996))+1))</f>
        <v>FMC</v>
      </c>
      <c r="D1702" s="3" t="str">
        <f t="array" ref="D1702">IF(B1702="","",INDEX(helper!$E$3:$E3996,MOD(ROW()-2,COUNTA(helper!$D$3:$D3996))+1))</f>
        <v>CS 007</v>
      </c>
      <c r="E1702" s="3">
        <f t="array" ref="E1702">IF(B1702="","",INDEX(helper!$F$3:$F3996,MOD(ROW()-2,COUNTA(helper!$D$3:$D3996))+1))</f>
        <v>8</v>
      </c>
      <c r="F1702" s="3">
        <f>IF(B1702="","",SUMIFS('inventory ledger'!$H:$H,'inventory ledger'!$C:$C,C1702,'inventory ledger'!$D:$D,D1702,'inventory ledger'!$E:$E,E1702,'inventory ledger'!$A:$A,"&lt;="&amp;B1702+TIME(23,59,59))-SUMIFS('inventory ledger'!$I:$I,'inventory ledger'!$C:$C,C1702,'inventory ledger'!$D:$D,D1702,'inventory ledger'!$E:$E,E1702,'inventory ledger'!$A:$A,"&lt;="&amp;B1702+TIME(23,59,59)))</f>
        <v>0</v>
      </c>
      <c r="G1702" s="3">
        <f>IFERROR(__xludf.DUMMYFUNCTION("IF(F1702&lt;=0,0,IFERROR(ROUNDUP(F1702/INDEX(FILTER('warehouse config'!$D:$D,('warehouse config'!$B:$B=C1702)*('warehouse config'!$C:$C=D1702)*('warehouse config'!$G:$G&lt;=B1702)*(('warehouse config'!$H:$H&gt;=B1702)+ISBLANK('warehouse config'!$H:$H))),1)),0))"),0.0)</f>
        <v>0</v>
      </c>
      <c r="H1702" s="3">
        <f>IFERROR(__xludf.DUMMYFUNCTION("IFERROR(INDEX(FILTER('cost master'!$E:$E,('cost master'!$B:$B=C1702)*('cost master'!$D:$D=""Storage cost per pallet / week"")*('cost master'!$G:$G&lt;=B1702)*(('cost master'!$H:$H&gt;=B1702)+ISBLANK('cost master'!$H:$H))),1),0)"),3.9)</f>
        <v>3.9</v>
      </c>
      <c r="I1702" s="3">
        <f t="shared" si="4"/>
        <v>0</v>
      </c>
      <c r="J1702" s="27">
        <f t="shared" si="5"/>
        <v>46007</v>
      </c>
      <c r="K1702" s="27">
        <f t="shared" si="6"/>
        <v>46037</v>
      </c>
    </row>
    <row r="1703" hidden="1">
      <c r="A1703" s="3" t="str">
        <f t="shared" si="3"/>
        <v>SL-20251222-FMC-CS 008-8</v>
      </c>
      <c r="B1703" s="2">
        <f t="array" ref="B1703">INDEX(helper!$A$3:$A3996,ROUNDUP((ROW()-1)/COUNTA(helper!$D$3:$D3996),0))</f>
        <v>46013</v>
      </c>
      <c r="C1703" s="5" t="str">
        <f t="array" ref="C1703">IF(B1703="","",INDEX(helper!$D$3:$D3996,MOD(ROW()-2,COUNTA(helper!$D$3:$D3996))+1))</f>
        <v>FMC</v>
      </c>
      <c r="D1703" s="3" t="str">
        <f t="array" ref="D1703">IF(B1703="","",INDEX(helper!$E$3:$E3996,MOD(ROW()-2,COUNTA(helper!$D$3:$D3996))+1))</f>
        <v>CS 008</v>
      </c>
      <c r="E1703" s="3">
        <f t="array" ref="E1703">IF(B1703="","",INDEX(helper!$F$3:$F3996,MOD(ROW()-2,COUNTA(helper!$D$3:$D3996))+1))</f>
        <v>8</v>
      </c>
      <c r="F1703" s="3">
        <f>IF(B1703="","",SUMIFS('inventory ledger'!$H:$H,'inventory ledger'!$C:$C,C1703,'inventory ledger'!$D:$D,D1703,'inventory ledger'!$E:$E,E1703,'inventory ledger'!$A:$A,"&lt;="&amp;B1703+TIME(23,59,59))-SUMIFS('inventory ledger'!$I:$I,'inventory ledger'!$C:$C,C1703,'inventory ledger'!$D:$D,D1703,'inventory ledger'!$E:$E,E1703,'inventory ledger'!$A:$A,"&lt;="&amp;B1703+TIME(23,59,59)))</f>
        <v>0</v>
      </c>
      <c r="G1703" s="3">
        <f>IFERROR(__xludf.DUMMYFUNCTION("IF(F1703&lt;=0,0,IFERROR(ROUNDUP(F1703/INDEX(FILTER('warehouse config'!$D:$D,('warehouse config'!$B:$B=C1703)*('warehouse config'!$C:$C=D1703)*('warehouse config'!$G:$G&lt;=B1703)*(('warehouse config'!$H:$H&gt;=B1703)+ISBLANK('warehouse config'!$H:$H))),1)),0))"),0.0)</f>
        <v>0</v>
      </c>
      <c r="H1703" s="3">
        <f>IFERROR(__xludf.DUMMYFUNCTION("IFERROR(INDEX(FILTER('cost master'!$E:$E,('cost master'!$B:$B=C1703)*('cost master'!$D:$D=""Storage cost per pallet / week"")*('cost master'!$G:$G&lt;=B1703)*(('cost master'!$H:$H&gt;=B1703)+ISBLANK('cost master'!$H:$H))),1),0)"),3.9)</f>
        <v>3.9</v>
      </c>
      <c r="I1703" s="3">
        <f t="shared" si="4"/>
        <v>0</v>
      </c>
      <c r="J1703" s="27">
        <f t="shared" si="5"/>
        <v>46007</v>
      </c>
      <c r="K1703" s="27">
        <f t="shared" si="6"/>
        <v>46037</v>
      </c>
    </row>
    <row r="1704" hidden="1">
      <c r="A1704" s="3" t="str">
        <f t="shared" si="3"/>
        <v>SL-20251222-FMC-CS 009-8</v>
      </c>
      <c r="B1704" s="2">
        <f t="array" ref="B1704">INDEX(helper!$A$3:$A3996,ROUNDUP((ROW()-1)/COUNTA(helper!$D$3:$D3996),0))</f>
        <v>46013</v>
      </c>
      <c r="C1704" s="5" t="str">
        <f t="array" ref="C1704">IF(B1704="","",INDEX(helper!$D$3:$D3996,MOD(ROW()-2,COUNTA(helper!$D$3:$D3996))+1))</f>
        <v>FMC</v>
      </c>
      <c r="D1704" s="3" t="str">
        <f t="array" ref="D1704">IF(B1704="","",INDEX(helper!$E$3:$E3996,MOD(ROW()-2,COUNTA(helper!$D$3:$D3996))+1))</f>
        <v>CS 009</v>
      </c>
      <c r="E1704" s="3">
        <f t="array" ref="E1704">IF(B1704="","",INDEX(helper!$F$3:$F3996,MOD(ROW()-2,COUNTA(helper!$D$3:$D3996))+1))</f>
        <v>8</v>
      </c>
      <c r="F1704" s="3">
        <f>IF(B1704="","",SUMIFS('inventory ledger'!$H:$H,'inventory ledger'!$C:$C,C1704,'inventory ledger'!$D:$D,D1704,'inventory ledger'!$E:$E,E1704,'inventory ledger'!$A:$A,"&lt;="&amp;B1704+TIME(23,59,59))-SUMIFS('inventory ledger'!$I:$I,'inventory ledger'!$C:$C,C1704,'inventory ledger'!$D:$D,D1704,'inventory ledger'!$E:$E,E1704,'inventory ledger'!$A:$A,"&lt;="&amp;B1704+TIME(23,59,59)))</f>
        <v>0</v>
      </c>
      <c r="G1704" s="3">
        <f>IFERROR(__xludf.DUMMYFUNCTION("IF(F1704&lt;=0,0,IFERROR(ROUNDUP(F1704/INDEX(FILTER('warehouse config'!$D:$D,('warehouse config'!$B:$B=C1704)*('warehouse config'!$C:$C=D1704)*('warehouse config'!$G:$G&lt;=B1704)*(('warehouse config'!$H:$H&gt;=B1704)+ISBLANK('warehouse config'!$H:$H))),1)),0))"),0.0)</f>
        <v>0</v>
      </c>
      <c r="H1704" s="3">
        <f>IFERROR(__xludf.DUMMYFUNCTION("IFERROR(INDEX(FILTER('cost master'!$E:$E,('cost master'!$B:$B=C1704)*('cost master'!$D:$D=""Storage cost per pallet / week"")*('cost master'!$G:$G&lt;=B1704)*(('cost master'!$H:$H&gt;=B1704)+ISBLANK('cost master'!$H:$H))),1),0)"),3.9)</f>
        <v>3.9</v>
      </c>
      <c r="I1704" s="3">
        <f t="shared" si="4"/>
        <v>0</v>
      </c>
      <c r="J1704" s="27">
        <f t="shared" si="5"/>
        <v>46007</v>
      </c>
      <c r="K1704" s="27">
        <f t="shared" si="6"/>
        <v>46037</v>
      </c>
    </row>
    <row r="1705" hidden="1">
      <c r="A1705" s="3" t="str">
        <f t="shared" si="3"/>
        <v>SL-20251222-FMC-CS 010-8</v>
      </c>
      <c r="B1705" s="2">
        <f t="array" ref="B1705">INDEX(helper!$A$3:$A3996,ROUNDUP((ROW()-1)/COUNTA(helper!$D$3:$D3996),0))</f>
        <v>46013</v>
      </c>
      <c r="C1705" s="5" t="str">
        <f t="array" ref="C1705">IF(B1705="","",INDEX(helper!$D$3:$D3996,MOD(ROW()-2,COUNTA(helper!$D$3:$D3996))+1))</f>
        <v>FMC</v>
      </c>
      <c r="D1705" s="3" t="str">
        <f t="array" ref="D1705">IF(B1705="","",INDEX(helper!$E$3:$E3996,MOD(ROW()-2,COUNTA(helper!$D$3:$D3996))+1))</f>
        <v>CS 010</v>
      </c>
      <c r="E1705" s="3">
        <f t="array" ref="E1705">IF(B1705="","",INDEX(helper!$F$3:$F3996,MOD(ROW()-2,COUNTA(helper!$D$3:$D3996))+1))</f>
        <v>8</v>
      </c>
      <c r="F1705" s="3">
        <f>IF(B1705="","",SUMIFS('inventory ledger'!$H:$H,'inventory ledger'!$C:$C,C1705,'inventory ledger'!$D:$D,D1705,'inventory ledger'!$E:$E,E1705,'inventory ledger'!$A:$A,"&lt;="&amp;B1705+TIME(23,59,59))-SUMIFS('inventory ledger'!$I:$I,'inventory ledger'!$C:$C,C1705,'inventory ledger'!$D:$D,D1705,'inventory ledger'!$E:$E,E1705,'inventory ledger'!$A:$A,"&lt;="&amp;B1705+TIME(23,59,59)))</f>
        <v>0</v>
      </c>
      <c r="G1705" s="3">
        <f>IFERROR(__xludf.DUMMYFUNCTION("IF(F1705&lt;=0,0,IFERROR(ROUNDUP(F1705/INDEX(FILTER('warehouse config'!$D:$D,('warehouse config'!$B:$B=C1705)*('warehouse config'!$C:$C=D1705)*('warehouse config'!$G:$G&lt;=B1705)*(('warehouse config'!$H:$H&gt;=B1705)+ISBLANK('warehouse config'!$H:$H))),1)),0))"),0.0)</f>
        <v>0</v>
      </c>
      <c r="H1705" s="3">
        <f>IFERROR(__xludf.DUMMYFUNCTION("IFERROR(INDEX(FILTER('cost master'!$E:$E,('cost master'!$B:$B=C1705)*('cost master'!$D:$D=""Storage cost per pallet / week"")*('cost master'!$G:$G&lt;=B1705)*(('cost master'!$H:$H&gt;=B1705)+ISBLANK('cost master'!$H:$H))),1),0)"),3.9)</f>
        <v>3.9</v>
      </c>
      <c r="I1705" s="3">
        <f t="shared" si="4"/>
        <v>0</v>
      </c>
      <c r="J1705" s="27">
        <f t="shared" si="5"/>
        <v>46007</v>
      </c>
      <c r="K1705" s="27">
        <f t="shared" si="6"/>
        <v>46037</v>
      </c>
    </row>
    <row r="1706" hidden="1">
      <c r="A1706" s="3" t="str">
        <f t="shared" si="3"/>
        <v>SL-20251222-FMC-CS 007-9</v>
      </c>
      <c r="B1706" s="2">
        <f t="array" ref="B1706">INDEX(helper!$A$3:$A3996,ROUNDUP((ROW()-1)/COUNTA(helper!$D$3:$D3996),0))</f>
        <v>46013</v>
      </c>
      <c r="C1706" s="5" t="str">
        <f t="array" ref="C1706">IF(B1706="","",INDEX(helper!$D$3:$D3996,MOD(ROW()-2,COUNTA(helper!$D$3:$D3996))+1))</f>
        <v>FMC</v>
      </c>
      <c r="D1706" s="3" t="str">
        <f t="array" ref="D1706">IF(B1706="","",INDEX(helper!$E$3:$E3996,MOD(ROW()-2,COUNTA(helper!$D$3:$D3996))+1))</f>
        <v>CS 007</v>
      </c>
      <c r="E1706" s="3">
        <f t="array" ref="E1706">IF(B1706="","",INDEX(helper!$F$3:$F3996,MOD(ROW()-2,COUNTA(helper!$D$3:$D3996))+1))</f>
        <v>9</v>
      </c>
      <c r="F1706" s="3">
        <f>IF(B1706="","",SUMIFS('inventory ledger'!$H:$H,'inventory ledger'!$C:$C,C1706,'inventory ledger'!$D:$D,D1706,'inventory ledger'!$E:$E,E1706,'inventory ledger'!$A:$A,"&lt;="&amp;B1706+TIME(23,59,59))-SUMIFS('inventory ledger'!$I:$I,'inventory ledger'!$C:$C,C1706,'inventory ledger'!$D:$D,D1706,'inventory ledger'!$E:$E,E1706,'inventory ledger'!$A:$A,"&lt;="&amp;B1706+TIME(23,59,59)))</f>
        <v>0</v>
      </c>
      <c r="G1706" s="3">
        <f>IFERROR(__xludf.DUMMYFUNCTION("IF(F1706&lt;=0,0,IFERROR(ROUNDUP(F1706/INDEX(FILTER('warehouse config'!$D:$D,('warehouse config'!$B:$B=C1706)*('warehouse config'!$C:$C=D1706)*('warehouse config'!$G:$G&lt;=B1706)*(('warehouse config'!$H:$H&gt;=B1706)+ISBLANK('warehouse config'!$H:$H))),1)),0))"),0.0)</f>
        <v>0</v>
      </c>
      <c r="H1706" s="3">
        <f>IFERROR(__xludf.DUMMYFUNCTION("IFERROR(INDEX(FILTER('cost master'!$E:$E,('cost master'!$B:$B=C1706)*('cost master'!$D:$D=""Storage cost per pallet / week"")*('cost master'!$G:$G&lt;=B1706)*(('cost master'!$H:$H&gt;=B1706)+ISBLANK('cost master'!$H:$H))),1),0)"),3.9)</f>
        <v>3.9</v>
      </c>
      <c r="I1706" s="3">
        <f t="shared" si="4"/>
        <v>0</v>
      </c>
      <c r="J1706" s="27">
        <f t="shared" si="5"/>
        <v>46007</v>
      </c>
      <c r="K1706" s="27">
        <f t="shared" si="6"/>
        <v>46037</v>
      </c>
    </row>
    <row r="1707" hidden="1">
      <c r="A1707" s="3" t="str">
        <f t="shared" si="3"/>
        <v>SL-20251222-FMC-CS 008-9</v>
      </c>
      <c r="B1707" s="2">
        <f t="array" ref="B1707">INDEX(helper!$A$3:$A3996,ROUNDUP((ROW()-1)/COUNTA(helper!$D$3:$D3996),0))</f>
        <v>46013</v>
      </c>
      <c r="C1707" s="5" t="str">
        <f t="array" ref="C1707">IF(B1707="","",INDEX(helper!$D$3:$D3996,MOD(ROW()-2,COUNTA(helper!$D$3:$D3996))+1))</f>
        <v>FMC</v>
      </c>
      <c r="D1707" s="3" t="str">
        <f t="array" ref="D1707">IF(B1707="","",INDEX(helper!$E$3:$E3996,MOD(ROW()-2,COUNTA(helper!$D$3:$D3996))+1))</f>
        <v>CS 008</v>
      </c>
      <c r="E1707" s="3">
        <f t="array" ref="E1707">IF(B1707="","",INDEX(helper!$F$3:$F3996,MOD(ROW()-2,COUNTA(helper!$D$3:$D3996))+1))</f>
        <v>9</v>
      </c>
      <c r="F1707" s="3">
        <f>IF(B1707="","",SUMIFS('inventory ledger'!$H:$H,'inventory ledger'!$C:$C,C1707,'inventory ledger'!$D:$D,D1707,'inventory ledger'!$E:$E,E1707,'inventory ledger'!$A:$A,"&lt;="&amp;B1707+TIME(23,59,59))-SUMIFS('inventory ledger'!$I:$I,'inventory ledger'!$C:$C,C1707,'inventory ledger'!$D:$D,D1707,'inventory ledger'!$E:$E,E1707,'inventory ledger'!$A:$A,"&lt;="&amp;B1707+TIME(23,59,59)))</f>
        <v>2</v>
      </c>
      <c r="G1707" s="3">
        <f>IFERROR(__xludf.DUMMYFUNCTION("IF(F1707&lt;=0,0,IFERROR(ROUNDUP(F1707/INDEX(FILTER('warehouse config'!$D:$D,('warehouse config'!$B:$B=C1707)*('warehouse config'!$C:$C=D1707)*('warehouse config'!$G:$G&lt;=B1707)*(('warehouse config'!$H:$H&gt;=B1707)+ISBLANK('warehouse config'!$H:$H))),1)),0))"),1.0)</f>
        <v>1</v>
      </c>
      <c r="H1707" s="3">
        <f>IFERROR(__xludf.DUMMYFUNCTION("IFERROR(INDEX(FILTER('cost master'!$E:$E,('cost master'!$B:$B=C1707)*('cost master'!$D:$D=""Storage cost per pallet / week"")*('cost master'!$G:$G&lt;=B1707)*(('cost master'!$H:$H&gt;=B1707)+ISBLANK('cost master'!$H:$H))),1),0)"),3.9)</f>
        <v>3.9</v>
      </c>
      <c r="I1707" s="3">
        <f t="shared" si="4"/>
        <v>3.9</v>
      </c>
      <c r="J1707" s="27">
        <f t="shared" si="5"/>
        <v>46007</v>
      </c>
      <c r="K1707" s="27">
        <f t="shared" si="6"/>
        <v>46037</v>
      </c>
    </row>
    <row r="1708" hidden="1">
      <c r="A1708" s="3" t="str">
        <f t="shared" si="3"/>
        <v>SL-20251222-FMC-CS 009-9</v>
      </c>
      <c r="B1708" s="2">
        <f t="array" ref="B1708">INDEX(helper!$A$3:$A3996,ROUNDUP((ROW()-1)/COUNTA(helper!$D$3:$D3996),0))</f>
        <v>46013</v>
      </c>
      <c r="C1708" s="5" t="str">
        <f t="array" ref="C1708">IF(B1708="","",INDEX(helper!$D$3:$D3996,MOD(ROW()-2,COUNTA(helper!$D$3:$D3996))+1))</f>
        <v>FMC</v>
      </c>
      <c r="D1708" s="3" t="str">
        <f t="array" ref="D1708">IF(B1708="","",INDEX(helper!$E$3:$E3996,MOD(ROW()-2,COUNTA(helper!$D$3:$D3996))+1))</f>
        <v>CS 009</v>
      </c>
      <c r="E1708" s="3">
        <f t="array" ref="E1708">IF(B1708="","",INDEX(helper!$F$3:$F3996,MOD(ROW()-2,COUNTA(helper!$D$3:$D3996))+1))</f>
        <v>9</v>
      </c>
      <c r="F1708" s="3">
        <f>IF(B1708="","",SUMIFS('inventory ledger'!$H:$H,'inventory ledger'!$C:$C,C1708,'inventory ledger'!$D:$D,D1708,'inventory ledger'!$E:$E,E1708,'inventory ledger'!$A:$A,"&lt;="&amp;B1708+TIME(23,59,59))-SUMIFS('inventory ledger'!$I:$I,'inventory ledger'!$C:$C,C1708,'inventory ledger'!$D:$D,D1708,'inventory ledger'!$E:$E,E1708,'inventory ledger'!$A:$A,"&lt;="&amp;B1708+TIME(23,59,59)))</f>
        <v>0</v>
      </c>
      <c r="G1708" s="3">
        <f>IFERROR(__xludf.DUMMYFUNCTION("IF(F1708&lt;=0,0,IFERROR(ROUNDUP(F1708/INDEX(FILTER('warehouse config'!$D:$D,('warehouse config'!$B:$B=C1708)*('warehouse config'!$C:$C=D1708)*('warehouse config'!$G:$G&lt;=B1708)*(('warehouse config'!$H:$H&gt;=B1708)+ISBLANK('warehouse config'!$H:$H))),1)),0))"),0.0)</f>
        <v>0</v>
      </c>
      <c r="H1708" s="3">
        <f>IFERROR(__xludf.DUMMYFUNCTION("IFERROR(INDEX(FILTER('cost master'!$E:$E,('cost master'!$B:$B=C1708)*('cost master'!$D:$D=""Storage cost per pallet / week"")*('cost master'!$G:$G&lt;=B1708)*(('cost master'!$H:$H&gt;=B1708)+ISBLANK('cost master'!$H:$H))),1),0)"),3.9)</f>
        <v>3.9</v>
      </c>
      <c r="I1708" s="3">
        <f t="shared" si="4"/>
        <v>0</v>
      </c>
      <c r="J1708" s="27">
        <f t="shared" si="5"/>
        <v>46007</v>
      </c>
      <c r="K1708" s="27">
        <f t="shared" si="6"/>
        <v>46037</v>
      </c>
    </row>
    <row r="1709" hidden="1">
      <c r="A1709" s="3" t="str">
        <f t="shared" si="3"/>
        <v>SL-20251222-FMC-CS 010-9</v>
      </c>
      <c r="B1709" s="2">
        <f t="array" ref="B1709">INDEX(helper!$A$3:$A3996,ROUNDUP((ROW()-1)/COUNTA(helper!$D$3:$D3996),0))</f>
        <v>46013</v>
      </c>
      <c r="C1709" s="5" t="str">
        <f t="array" ref="C1709">IF(B1709="","",INDEX(helper!$D$3:$D3996,MOD(ROW()-2,COUNTA(helper!$D$3:$D3996))+1))</f>
        <v>FMC</v>
      </c>
      <c r="D1709" s="3" t="str">
        <f t="array" ref="D1709">IF(B1709="","",INDEX(helper!$E$3:$E3996,MOD(ROW()-2,COUNTA(helper!$D$3:$D3996))+1))</f>
        <v>CS 010</v>
      </c>
      <c r="E1709" s="3">
        <f t="array" ref="E1709">IF(B1709="","",INDEX(helper!$F$3:$F3996,MOD(ROW()-2,COUNTA(helper!$D$3:$D3996))+1))</f>
        <v>9</v>
      </c>
      <c r="F1709" s="3">
        <f>IF(B1709="","",SUMIFS('inventory ledger'!$H:$H,'inventory ledger'!$C:$C,C1709,'inventory ledger'!$D:$D,D1709,'inventory ledger'!$E:$E,E1709,'inventory ledger'!$A:$A,"&lt;="&amp;B1709+TIME(23,59,59))-SUMIFS('inventory ledger'!$I:$I,'inventory ledger'!$C:$C,C1709,'inventory ledger'!$D:$D,D1709,'inventory ledger'!$E:$E,E1709,'inventory ledger'!$A:$A,"&lt;="&amp;B1709+TIME(23,59,59)))</f>
        <v>0</v>
      </c>
      <c r="G1709" s="3">
        <f>IFERROR(__xludf.DUMMYFUNCTION("IF(F1709&lt;=0,0,IFERROR(ROUNDUP(F1709/INDEX(FILTER('warehouse config'!$D:$D,('warehouse config'!$B:$B=C1709)*('warehouse config'!$C:$C=D1709)*('warehouse config'!$G:$G&lt;=B1709)*(('warehouse config'!$H:$H&gt;=B1709)+ISBLANK('warehouse config'!$H:$H))),1)),0))"),0.0)</f>
        <v>0</v>
      </c>
      <c r="H1709" s="3">
        <f>IFERROR(__xludf.DUMMYFUNCTION("IFERROR(INDEX(FILTER('cost master'!$E:$E,('cost master'!$B:$B=C1709)*('cost master'!$D:$D=""Storage cost per pallet / week"")*('cost master'!$G:$G&lt;=B1709)*(('cost master'!$H:$H&gt;=B1709)+ISBLANK('cost master'!$H:$H))),1),0)"),3.9)</f>
        <v>3.9</v>
      </c>
      <c r="I1709" s="3">
        <f t="shared" si="4"/>
        <v>0</v>
      </c>
      <c r="J1709" s="27">
        <f t="shared" si="5"/>
        <v>46007</v>
      </c>
      <c r="K1709" s="27">
        <f t="shared" si="6"/>
        <v>46037</v>
      </c>
    </row>
    <row r="1710" hidden="1">
      <c r="A1710" s="3" t="str">
        <f t="shared" si="3"/>
        <v>SL-20251222-FMC-CS-CDS-001-9</v>
      </c>
      <c r="B1710" s="2">
        <f t="array" ref="B1710">INDEX(helper!$A$3:$A3996,ROUNDUP((ROW()-1)/COUNTA(helper!$D$3:$D3996),0))</f>
        <v>46013</v>
      </c>
      <c r="C1710" s="5" t="str">
        <f t="array" ref="C1710">IF(B1710="","",INDEX(helper!$D$3:$D3996,MOD(ROW()-2,COUNTA(helper!$D$3:$D3996))+1))</f>
        <v>FMC</v>
      </c>
      <c r="D1710" s="3" t="str">
        <f t="array" ref="D1710">IF(B1710="","",INDEX(helper!$E$3:$E3996,MOD(ROW()-2,COUNTA(helper!$D$3:$D3996))+1))</f>
        <v>CS-CDS-001</v>
      </c>
      <c r="E1710" s="3">
        <f t="array" ref="E1710">IF(B1710="","",INDEX(helper!$F$3:$F3996,MOD(ROW()-2,COUNTA(helper!$D$3:$D3996))+1))</f>
        <v>9</v>
      </c>
      <c r="F1710" s="3">
        <f>IF(B1710="","",SUMIFS('inventory ledger'!$H:$H,'inventory ledger'!$C:$C,C1710,'inventory ledger'!$D:$D,D1710,'inventory ledger'!$E:$E,E1710,'inventory ledger'!$A:$A,"&lt;="&amp;B1710+TIME(23,59,59))-SUMIFS('inventory ledger'!$I:$I,'inventory ledger'!$C:$C,C1710,'inventory ledger'!$D:$D,D1710,'inventory ledger'!$E:$E,E1710,'inventory ledger'!$A:$A,"&lt;="&amp;B1710+TIME(23,59,59)))</f>
        <v>0</v>
      </c>
      <c r="G1710" s="3">
        <f>IFERROR(__xludf.DUMMYFUNCTION("IF(F1710&lt;=0,0,IFERROR(ROUNDUP(F1710/INDEX(FILTER('warehouse config'!$D:$D,('warehouse config'!$B:$B=C1710)*('warehouse config'!$C:$C=D1710)*('warehouse config'!$G:$G&lt;=B1710)*(('warehouse config'!$H:$H&gt;=B1710)+ISBLANK('warehouse config'!$H:$H))),1)),0))"),0.0)</f>
        <v>0</v>
      </c>
      <c r="H1710" s="3">
        <f>IFERROR(__xludf.DUMMYFUNCTION("IFERROR(INDEX(FILTER('cost master'!$E:$E,('cost master'!$B:$B=C1710)*('cost master'!$D:$D=""Storage cost per pallet / week"")*('cost master'!$G:$G&lt;=B1710)*(('cost master'!$H:$H&gt;=B1710)+ISBLANK('cost master'!$H:$H))),1),0)"),3.9)</f>
        <v>3.9</v>
      </c>
      <c r="I1710" s="3">
        <f t="shared" si="4"/>
        <v>0</v>
      </c>
      <c r="J1710" s="27">
        <f t="shared" si="5"/>
        <v>46007</v>
      </c>
      <c r="K1710" s="27">
        <f t="shared" si="6"/>
        <v>46037</v>
      </c>
    </row>
    <row r="1711" hidden="1">
      <c r="A1711" s="3" t="str">
        <f t="shared" si="3"/>
        <v>SL-20251222-FMC-CS-CDS-002-9</v>
      </c>
      <c r="B1711" s="2">
        <f t="array" ref="B1711">INDEX(helper!$A$3:$A3996,ROUNDUP((ROW()-1)/COUNTA(helper!$D$3:$D3996),0))</f>
        <v>46013</v>
      </c>
      <c r="C1711" s="5" t="str">
        <f t="array" ref="C1711">IF(B1711="","",INDEX(helper!$D$3:$D3996,MOD(ROW()-2,COUNTA(helper!$D$3:$D3996))+1))</f>
        <v>FMC</v>
      </c>
      <c r="D1711" s="3" t="str">
        <f t="array" ref="D1711">IF(B1711="","",INDEX(helper!$E$3:$E3996,MOD(ROW()-2,COUNTA(helper!$D$3:$D3996))+1))</f>
        <v>CS-CDS-002</v>
      </c>
      <c r="E1711" s="3">
        <f t="array" ref="E1711">IF(B1711="","",INDEX(helper!$F$3:$F3996,MOD(ROW()-2,COUNTA(helper!$D$3:$D3996))+1))</f>
        <v>9</v>
      </c>
      <c r="F1711" s="3">
        <f>IF(B1711="","",SUMIFS('inventory ledger'!$H:$H,'inventory ledger'!$C:$C,C1711,'inventory ledger'!$D:$D,D1711,'inventory ledger'!$E:$E,E1711,'inventory ledger'!$A:$A,"&lt;="&amp;B1711+TIME(23,59,59))-SUMIFS('inventory ledger'!$I:$I,'inventory ledger'!$C:$C,C1711,'inventory ledger'!$D:$D,D1711,'inventory ledger'!$E:$E,E1711,'inventory ledger'!$A:$A,"&lt;="&amp;B1711+TIME(23,59,59)))</f>
        <v>0</v>
      </c>
      <c r="G1711" s="3">
        <f>IFERROR(__xludf.DUMMYFUNCTION("IF(F1711&lt;=0,0,IFERROR(ROUNDUP(F1711/INDEX(FILTER('warehouse config'!$D:$D,('warehouse config'!$B:$B=C1711)*('warehouse config'!$C:$C=D1711)*('warehouse config'!$G:$G&lt;=B1711)*(('warehouse config'!$H:$H&gt;=B1711)+ISBLANK('warehouse config'!$H:$H))),1)),0))"),0.0)</f>
        <v>0</v>
      </c>
      <c r="H1711" s="3">
        <f>IFERROR(__xludf.DUMMYFUNCTION("IFERROR(INDEX(FILTER('cost master'!$E:$E,('cost master'!$B:$B=C1711)*('cost master'!$D:$D=""Storage cost per pallet / week"")*('cost master'!$G:$G&lt;=B1711)*(('cost master'!$H:$H&gt;=B1711)+ISBLANK('cost master'!$H:$H))),1),0)"),3.9)</f>
        <v>3.9</v>
      </c>
      <c r="I1711" s="3">
        <f t="shared" si="4"/>
        <v>0</v>
      </c>
      <c r="J1711" s="27">
        <f t="shared" si="5"/>
        <v>46007</v>
      </c>
      <c r="K1711" s="27">
        <f t="shared" si="6"/>
        <v>46037</v>
      </c>
    </row>
    <row r="1712" hidden="1">
      <c r="A1712" s="3" t="str">
        <f t="shared" si="3"/>
        <v>SL-20251222-FMC-CS 007-10</v>
      </c>
      <c r="B1712" s="2">
        <f t="array" ref="B1712">INDEX(helper!$A$3:$A3996,ROUNDUP((ROW()-1)/COUNTA(helper!$D$3:$D3996),0))</f>
        <v>46013</v>
      </c>
      <c r="C1712" s="5" t="str">
        <f t="array" ref="C1712">IF(B1712="","",INDEX(helper!$D$3:$D3996,MOD(ROW()-2,COUNTA(helper!$D$3:$D3996))+1))</f>
        <v>FMC</v>
      </c>
      <c r="D1712" s="3" t="str">
        <f t="array" ref="D1712">IF(B1712="","",INDEX(helper!$E$3:$E3996,MOD(ROW()-2,COUNTA(helper!$D$3:$D3996))+1))</f>
        <v>CS 007</v>
      </c>
      <c r="E1712" s="3">
        <f t="array" ref="E1712">IF(B1712="","",INDEX(helper!$F$3:$F3996,MOD(ROW()-2,COUNTA(helper!$D$3:$D3996))+1))</f>
        <v>10</v>
      </c>
      <c r="F1712" s="3">
        <f>IF(B1712="","",SUMIFS('inventory ledger'!$H:$H,'inventory ledger'!$C:$C,C1712,'inventory ledger'!$D:$D,D1712,'inventory ledger'!$E:$E,E1712,'inventory ledger'!$A:$A,"&lt;="&amp;B1712+TIME(23,59,59))-SUMIFS('inventory ledger'!$I:$I,'inventory ledger'!$C:$C,C1712,'inventory ledger'!$D:$D,D1712,'inventory ledger'!$E:$E,E1712,'inventory ledger'!$A:$A,"&lt;="&amp;B1712+TIME(23,59,59)))</f>
        <v>0</v>
      </c>
      <c r="G1712" s="3">
        <f>IFERROR(__xludf.DUMMYFUNCTION("IF(F1712&lt;=0,0,IFERROR(ROUNDUP(F1712/INDEX(FILTER('warehouse config'!$D:$D,('warehouse config'!$B:$B=C1712)*('warehouse config'!$C:$C=D1712)*('warehouse config'!$G:$G&lt;=B1712)*(('warehouse config'!$H:$H&gt;=B1712)+ISBLANK('warehouse config'!$H:$H))),1)),0))"),0.0)</f>
        <v>0</v>
      </c>
      <c r="H1712" s="3">
        <f>IFERROR(__xludf.DUMMYFUNCTION("IFERROR(INDEX(FILTER('cost master'!$E:$E,('cost master'!$B:$B=C1712)*('cost master'!$D:$D=""Storage cost per pallet / week"")*('cost master'!$G:$G&lt;=B1712)*(('cost master'!$H:$H&gt;=B1712)+ISBLANK('cost master'!$H:$H))),1),0)"),3.9)</f>
        <v>3.9</v>
      </c>
      <c r="I1712" s="3">
        <f t="shared" si="4"/>
        <v>0</v>
      </c>
      <c r="J1712" s="27">
        <f t="shared" si="5"/>
        <v>46007</v>
      </c>
      <c r="K1712" s="27">
        <f t="shared" si="6"/>
        <v>46037</v>
      </c>
    </row>
    <row r="1713" hidden="1">
      <c r="A1713" s="3" t="str">
        <f t="shared" si="3"/>
        <v>SL-20251222-FMC-CS 009-10</v>
      </c>
      <c r="B1713" s="2">
        <f t="array" ref="B1713">INDEX(helper!$A$3:$A3996,ROUNDUP((ROW()-1)/COUNTA(helper!$D$3:$D3996),0))</f>
        <v>46013</v>
      </c>
      <c r="C1713" s="5" t="str">
        <f t="array" ref="C1713">IF(B1713="","",INDEX(helper!$D$3:$D3996,MOD(ROW()-2,COUNTA(helper!$D$3:$D3996))+1))</f>
        <v>FMC</v>
      </c>
      <c r="D1713" s="3" t="str">
        <f t="array" ref="D1713">IF(B1713="","",INDEX(helper!$E$3:$E3996,MOD(ROW()-2,COUNTA(helper!$D$3:$D3996))+1))</f>
        <v>CS 009</v>
      </c>
      <c r="E1713" s="3">
        <f t="array" ref="E1713">IF(B1713="","",INDEX(helper!$F$3:$F3996,MOD(ROW()-2,COUNTA(helper!$D$3:$D3996))+1))</f>
        <v>10</v>
      </c>
      <c r="F1713" s="3">
        <f>IF(B1713="","",SUMIFS('inventory ledger'!$H:$H,'inventory ledger'!$C:$C,C1713,'inventory ledger'!$D:$D,D1713,'inventory ledger'!$E:$E,E1713,'inventory ledger'!$A:$A,"&lt;="&amp;B1713+TIME(23,59,59))-SUMIFS('inventory ledger'!$I:$I,'inventory ledger'!$C:$C,C1713,'inventory ledger'!$D:$D,D1713,'inventory ledger'!$E:$E,E1713,'inventory ledger'!$A:$A,"&lt;="&amp;B1713+TIME(23,59,59)))</f>
        <v>0</v>
      </c>
      <c r="G1713" s="3">
        <f>IFERROR(__xludf.DUMMYFUNCTION("IF(F1713&lt;=0,0,IFERROR(ROUNDUP(F1713/INDEX(FILTER('warehouse config'!$D:$D,('warehouse config'!$B:$B=C1713)*('warehouse config'!$C:$C=D1713)*('warehouse config'!$G:$G&lt;=B1713)*(('warehouse config'!$H:$H&gt;=B1713)+ISBLANK('warehouse config'!$H:$H))),1)),0))"),0.0)</f>
        <v>0</v>
      </c>
      <c r="H1713" s="3">
        <f>IFERROR(__xludf.DUMMYFUNCTION("IFERROR(INDEX(FILTER('cost master'!$E:$E,('cost master'!$B:$B=C1713)*('cost master'!$D:$D=""Storage cost per pallet / week"")*('cost master'!$G:$G&lt;=B1713)*(('cost master'!$H:$H&gt;=B1713)+ISBLANK('cost master'!$H:$H))),1),0)"),3.9)</f>
        <v>3.9</v>
      </c>
      <c r="I1713" s="3">
        <f t="shared" si="4"/>
        <v>0</v>
      </c>
      <c r="J1713" s="27">
        <f t="shared" si="5"/>
        <v>46007</v>
      </c>
      <c r="K1713" s="27">
        <f t="shared" si="6"/>
        <v>46037</v>
      </c>
    </row>
    <row r="1714" hidden="1">
      <c r="A1714" s="3" t="str">
        <f t="shared" si="3"/>
        <v>SL-20251222-FMC-CS 010-10</v>
      </c>
      <c r="B1714" s="2">
        <f t="array" ref="B1714">INDEX(helper!$A$3:$A3996,ROUNDUP((ROW()-1)/COUNTA(helper!$D$3:$D3996),0))</f>
        <v>46013</v>
      </c>
      <c r="C1714" s="5" t="str">
        <f t="array" ref="C1714">IF(B1714="","",INDEX(helper!$D$3:$D3996,MOD(ROW()-2,COUNTA(helper!$D$3:$D3996))+1))</f>
        <v>FMC</v>
      </c>
      <c r="D1714" s="3" t="str">
        <f t="array" ref="D1714">IF(B1714="","",INDEX(helper!$E$3:$E3996,MOD(ROW()-2,COUNTA(helper!$D$3:$D3996))+1))</f>
        <v>CS 010</v>
      </c>
      <c r="E1714" s="3">
        <f t="array" ref="E1714">IF(B1714="","",INDEX(helper!$F$3:$F3996,MOD(ROW()-2,COUNTA(helper!$D$3:$D3996))+1))</f>
        <v>10</v>
      </c>
      <c r="F1714" s="3">
        <f>IF(B1714="","",SUMIFS('inventory ledger'!$H:$H,'inventory ledger'!$C:$C,C1714,'inventory ledger'!$D:$D,D1714,'inventory ledger'!$E:$E,E1714,'inventory ledger'!$A:$A,"&lt;="&amp;B1714+TIME(23,59,59))-SUMIFS('inventory ledger'!$I:$I,'inventory ledger'!$C:$C,C1714,'inventory ledger'!$D:$D,D1714,'inventory ledger'!$E:$E,E1714,'inventory ledger'!$A:$A,"&lt;="&amp;B1714+TIME(23,59,59)))</f>
        <v>13</v>
      </c>
      <c r="G1714" s="3">
        <f>IFERROR(__xludf.DUMMYFUNCTION("IF(F1714&lt;=0,0,IFERROR(ROUNDUP(F1714/INDEX(FILTER('warehouse config'!$D:$D,('warehouse config'!$B:$B=C1714)*('warehouse config'!$C:$C=D1714)*('warehouse config'!$G:$G&lt;=B1714)*(('warehouse config'!$H:$H&gt;=B1714)+ISBLANK('warehouse config'!$H:$H))),1)),0))"),1.0)</f>
        <v>1</v>
      </c>
      <c r="H1714" s="3">
        <f>IFERROR(__xludf.DUMMYFUNCTION("IFERROR(INDEX(FILTER('cost master'!$E:$E,('cost master'!$B:$B=C1714)*('cost master'!$D:$D=""Storage cost per pallet / week"")*('cost master'!$G:$G&lt;=B1714)*(('cost master'!$H:$H&gt;=B1714)+ISBLANK('cost master'!$H:$H))),1),0)"),3.9)</f>
        <v>3.9</v>
      </c>
      <c r="I1714" s="3">
        <f t="shared" si="4"/>
        <v>3.9</v>
      </c>
      <c r="J1714" s="27">
        <f t="shared" si="5"/>
        <v>46007</v>
      </c>
      <c r="K1714" s="27">
        <f t="shared" si="6"/>
        <v>46037</v>
      </c>
    </row>
    <row r="1715" hidden="1">
      <c r="A1715" s="3" t="str">
        <f t="shared" si="3"/>
        <v>SL-20251222-FMC-CS-CDS-001-10</v>
      </c>
      <c r="B1715" s="2">
        <f t="array" ref="B1715">INDEX(helper!$A$3:$A3996,ROUNDUP((ROW()-1)/COUNTA(helper!$D$3:$D3996),0))</f>
        <v>46013</v>
      </c>
      <c r="C1715" s="5" t="str">
        <f t="array" ref="C1715">IF(B1715="","",INDEX(helper!$D$3:$D3996,MOD(ROW()-2,COUNTA(helper!$D$3:$D3996))+1))</f>
        <v>FMC</v>
      </c>
      <c r="D1715" s="3" t="str">
        <f t="array" ref="D1715">IF(B1715="","",INDEX(helper!$E$3:$E3996,MOD(ROW()-2,COUNTA(helper!$D$3:$D3996))+1))</f>
        <v>CS-CDS-001</v>
      </c>
      <c r="E1715" s="3">
        <f t="array" ref="E1715">IF(B1715="","",INDEX(helper!$F$3:$F3996,MOD(ROW()-2,COUNTA(helper!$D$3:$D3996))+1))</f>
        <v>10</v>
      </c>
      <c r="F1715" s="3">
        <f>IF(B1715="","",SUMIFS('inventory ledger'!$H:$H,'inventory ledger'!$C:$C,C1715,'inventory ledger'!$D:$D,D1715,'inventory ledger'!$E:$E,E1715,'inventory ledger'!$A:$A,"&lt;="&amp;B1715+TIME(23,59,59))-SUMIFS('inventory ledger'!$I:$I,'inventory ledger'!$C:$C,C1715,'inventory ledger'!$D:$D,D1715,'inventory ledger'!$E:$E,E1715,'inventory ledger'!$A:$A,"&lt;="&amp;B1715+TIME(23,59,59)))</f>
        <v>0</v>
      </c>
      <c r="G1715" s="3">
        <f>IFERROR(__xludf.DUMMYFUNCTION("IF(F1715&lt;=0,0,IFERROR(ROUNDUP(F1715/INDEX(FILTER('warehouse config'!$D:$D,('warehouse config'!$B:$B=C1715)*('warehouse config'!$C:$C=D1715)*('warehouse config'!$G:$G&lt;=B1715)*(('warehouse config'!$H:$H&gt;=B1715)+ISBLANK('warehouse config'!$H:$H))),1)),0))"),0.0)</f>
        <v>0</v>
      </c>
      <c r="H1715" s="3">
        <f>IFERROR(__xludf.DUMMYFUNCTION("IFERROR(INDEX(FILTER('cost master'!$E:$E,('cost master'!$B:$B=C1715)*('cost master'!$D:$D=""Storage cost per pallet / week"")*('cost master'!$G:$G&lt;=B1715)*(('cost master'!$H:$H&gt;=B1715)+ISBLANK('cost master'!$H:$H))),1),0)"),3.9)</f>
        <v>3.9</v>
      </c>
      <c r="I1715" s="3">
        <f t="shared" si="4"/>
        <v>0</v>
      </c>
      <c r="J1715" s="27">
        <f t="shared" si="5"/>
        <v>46007</v>
      </c>
      <c r="K1715" s="27">
        <f t="shared" si="6"/>
        <v>46037</v>
      </c>
    </row>
    <row r="1716">
      <c r="A1716" s="3" t="str">
        <f t="shared" si="3"/>
        <v>SL-20251222-FMC-CS 007-11</v>
      </c>
      <c r="B1716" s="2">
        <f t="array" ref="B1716">INDEX(helper!$A$3:$A3996,ROUNDUP((ROW()-1)/COUNTA(helper!$D$3:$D3996),0))</f>
        <v>46013</v>
      </c>
      <c r="C1716" s="5" t="str">
        <f t="array" ref="C1716">IF(B1716="","",INDEX(helper!$D$3:$D3996,MOD(ROW()-2,COUNTA(helper!$D$3:$D3996))+1))</f>
        <v>FMC</v>
      </c>
      <c r="D1716" s="3" t="str">
        <f t="array" ref="D1716">IF(B1716="","",INDEX(helper!$E$3:$E3996,MOD(ROW()-2,COUNTA(helper!$D$3:$D3996))+1))</f>
        <v>CS 007</v>
      </c>
      <c r="E1716" s="3">
        <f t="array" ref="E1716">IF(B1716="","",INDEX(helper!$F$3:$F3996,MOD(ROW()-2,COUNTA(helper!$D$3:$D3996))+1))</f>
        <v>11</v>
      </c>
      <c r="F1716" s="3">
        <f>IF(B1716="","",SUMIFS('inventory ledger'!$H:$H,'inventory ledger'!$C:$C,C1716,'inventory ledger'!$D:$D,D1716,'inventory ledger'!$E:$E,E1716,'inventory ledger'!$A:$A,"&lt;="&amp;B1716+TIME(23,59,59))-SUMIFS('inventory ledger'!$I:$I,'inventory ledger'!$C:$C,C1716,'inventory ledger'!$D:$D,D1716,'inventory ledger'!$E:$E,E1716,'inventory ledger'!$A:$A,"&lt;="&amp;B1716+TIME(23,59,59)))</f>
        <v>-1</v>
      </c>
      <c r="G1716" s="3">
        <f>IFERROR(__xludf.DUMMYFUNCTION("IF(F1716&lt;=0,0,IFERROR(ROUNDUP(F1716/INDEX(FILTER('warehouse config'!$D:$D,('warehouse config'!$B:$B=C1716)*('warehouse config'!$C:$C=D1716)*('warehouse config'!$G:$G&lt;=B1716)*(('warehouse config'!$H:$H&gt;=B1716)+ISBLANK('warehouse config'!$H:$H))),1)),0))"),0.0)</f>
        <v>0</v>
      </c>
      <c r="H1716" s="3">
        <f>IFERROR(__xludf.DUMMYFUNCTION("IFERROR(INDEX(FILTER('cost master'!$E:$E,('cost master'!$B:$B=C1716)*('cost master'!$D:$D=""Storage cost per pallet / week"")*('cost master'!$G:$G&lt;=B1716)*(('cost master'!$H:$H&gt;=B1716)+ISBLANK('cost master'!$H:$H))),1),0)"),3.9)</f>
        <v>3.9</v>
      </c>
      <c r="I1716" s="3">
        <f t="shared" si="4"/>
        <v>0</v>
      </c>
      <c r="J1716" s="27">
        <f t="shared" si="5"/>
        <v>46007</v>
      </c>
      <c r="K1716" s="27">
        <f t="shared" si="6"/>
        <v>46037</v>
      </c>
    </row>
    <row r="1717" hidden="1">
      <c r="A1717" s="3" t="str">
        <f t="shared" si="3"/>
        <v>SL-20251222-FMC-CS 009-11</v>
      </c>
      <c r="B1717" s="2">
        <f t="array" ref="B1717">INDEX(helper!$A$3:$A3996,ROUNDUP((ROW()-1)/COUNTA(helper!$D$3:$D3996),0))</f>
        <v>46013</v>
      </c>
      <c r="C1717" s="5" t="str">
        <f t="array" ref="C1717">IF(B1717="","",INDEX(helper!$D$3:$D3996,MOD(ROW()-2,COUNTA(helper!$D$3:$D3996))+1))</f>
        <v>FMC</v>
      </c>
      <c r="D1717" s="3" t="str">
        <f t="array" ref="D1717">IF(B1717="","",INDEX(helper!$E$3:$E3996,MOD(ROW()-2,COUNTA(helper!$D$3:$D3996))+1))</f>
        <v>CS 009</v>
      </c>
      <c r="E1717" s="3">
        <f t="array" ref="E1717">IF(B1717="","",INDEX(helper!$F$3:$F3996,MOD(ROW()-2,COUNTA(helper!$D$3:$D3996))+1))</f>
        <v>11</v>
      </c>
      <c r="F1717" s="3">
        <f>IF(B1717="","",SUMIFS('inventory ledger'!$H:$H,'inventory ledger'!$C:$C,C1717,'inventory ledger'!$D:$D,D1717,'inventory ledger'!$E:$E,E1717,'inventory ledger'!$A:$A,"&lt;="&amp;B1717+TIME(23,59,59))-SUMIFS('inventory ledger'!$I:$I,'inventory ledger'!$C:$C,C1717,'inventory ledger'!$D:$D,D1717,'inventory ledger'!$E:$E,E1717,'inventory ledger'!$A:$A,"&lt;="&amp;B1717+TIME(23,59,59)))</f>
        <v>0</v>
      </c>
      <c r="G1717" s="3">
        <f>IFERROR(__xludf.DUMMYFUNCTION("IF(F1717&lt;=0,0,IFERROR(ROUNDUP(F1717/INDEX(FILTER('warehouse config'!$D:$D,('warehouse config'!$B:$B=C1717)*('warehouse config'!$C:$C=D1717)*('warehouse config'!$G:$G&lt;=B1717)*(('warehouse config'!$H:$H&gt;=B1717)+ISBLANK('warehouse config'!$H:$H))),1)),0))"),0.0)</f>
        <v>0</v>
      </c>
      <c r="H1717" s="3">
        <f>IFERROR(__xludf.DUMMYFUNCTION("IFERROR(INDEX(FILTER('cost master'!$E:$E,('cost master'!$B:$B=C1717)*('cost master'!$D:$D=""Storage cost per pallet / week"")*('cost master'!$G:$G&lt;=B1717)*(('cost master'!$H:$H&gt;=B1717)+ISBLANK('cost master'!$H:$H))),1),0)"),3.9)</f>
        <v>3.9</v>
      </c>
      <c r="I1717" s="3">
        <f t="shared" si="4"/>
        <v>0</v>
      </c>
      <c r="J1717" s="27">
        <f t="shared" si="5"/>
        <v>46007</v>
      </c>
      <c r="K1717" s="27">
        <f t="shared" si="6"/>
        <v>46037</v>
      </c>
    </row>
    <row r="1718" hidden="1">
      <c r="A1718" s="3" t="str">
        <f t="shared" si="3"/>
        <v>SL-20251222-FMC-CS 010-11</v>
      </c>
      <c r="B1718" s="2">
        <f t="array" ref="B1718">INDEX(helper!$A$3:$A3996,ROUNDUP((ROW()-1)/COUNTA(helper!$D$3:$D3996),0))</f>
        <v>46013</v>
      </c>
      <c r="C1718" s="5" t="str">
        <f t="array" ref="C1718">IF(B1718="","",INDEX(helper!$D$3:$D3996,MOD(ROW()-2,COUNTA(helper!$D$3:$D3996))+1))</f>
        <v>FMC</v>
      </c>
      <c r="D1718" s="3" t="str">
        <f t="array" ref="D1718">IF(B1718="","",INDEX(helper!$E$3:$E3996,MOD(ROW()-2,COUNTA(helper!$D$3:$D3996))+1))</f>
        <v>CS 010</v>
      </c>
      <c r="E1718" s="3">
        <f t="array" ref="E1718">IF(B1718="","",INDEX(helper!$F$3:$F3996,MOD(ROW()-2,COUNTA(helper!$D$3:$D3996))+1))</f>
        <v>11</v>
      </c>
      <c r="F1718" s="3">
        <f>IF(B1718="","",SUMIFS('inventory ledger'!$H:$H,'inventory ledger'!$C:$C,C1718,'inventory ledger'!$D:$D,D1718,'inventory ledger'!$E:$E,E1718,'inventory ledger'!$A:$A,"&lt;="&amp;B1718+TIME(23,59,59))-SUMIFS('inventory ledger'!$I:$I,'inventory ledger'!$C:$C,C1718,'inventory ledger'!$D:$D,D1718,'inventory ledger'!$E:$E,E1718,'inventory ledger'!$A:$A,"&lt;="&amp;B1718+TIME(23,59,59)))</f>
        <v>6</v>
      </c>
      <c r="G1718" s="3">
        <f>IFERROR(__xludf.DUMMYFUNCTION("IF(F1718&lt;=0,0,IFERROR(ROUNDUP(F1718/INDEX(FILTER('warehouse config'!$D:$D,('warehouse config'!$B:$B=C1718)*('warehouse config'!$C:$C=D1718)*('warehouse config'!$G:$G&lt;=B1718)*(('warehouse config'!$H:$H&gt;=B1718)+ISBLANK('warehouse config'!$H:$H))),1)),0))"),1.0)</f>
        <v>1</v>
      </c>
      <c r="H1718" s="3">
        <f>IFERROR(__xludf.DUMMYFUNCTION("IFERROR(INDEX(FILTER('cost master'!$E:$E,('cost master'!$B:$B=C1718)*('cost master'!$D:$D=""Storage cost per pallet / week"")*('cost master'!$G:$G&lt;=B1718)*(('cost master'!$H:$H&gt;=B1718)+ISBLANK('cost master'!$H:$H))),1),0)"),3.9)</f>
        <v>3.9</v>
      </c>
      <c r="I1718" s="3">
        <f t="shared" si="4"/>
        <v>3.9</v>
      </c>
      <c r="J1718" s="27">
        <f t="shared" si="5"/>
        <v>46007</v>
      </c>
      <c r="K1718" s="27">
        <f t="shared" si="6"/>
        <v>46037</v>
      </c>
    </row>
    <row r="1719" hidden="1">
      <c r="A1719" s="3" t="str">
        <f t="shared" si="3"/>
        <v>SL-20251222-Vglobal-CS 007-12</v>
      </c>
      <c r="B1719" s="2">
        <f t="array" ref="B1719">INDEX(helper!$A$3:$A3996,ROUNDUP((ROW()-1)/COUNTA(helper!$D$3:$D3996),0))</f>
        <v>46013</v>
      </c>
      <c r="C1719" s="5" t="str">
        <f t="array" ref="C1719">IF(B1719="","",INDEX(helper!$D$3:$D3996,MOD(ROW()-2,COUNTA(helper!$D$3:$D3996))+1))</f>
        <v>Vglobal</v>
      </c>
      <c r="D1719" s="3" t="str">
        <f t="array" ref="D1719">IF(B1719="","",INDEX(helper!$E$3:$E3996,MOD(ROW()-2,COUNTA(helper!$D$3:$D3996))+1))</f>
        <v>CS 007</v>
      </c>
      <c r="E1719" s="3">
        <f t="array" ref="E1719">IF(B1719="","",INDEX(helper!$F$3:$F3996,MOD(ROW()-2,COUNTA(helper!$D$3:$D3996))+1))</f>
        <v>12</v>
      </c>
      <c r="F1719" s="3">
        <f>IF(B1719="","",SUMIFS('inventory ledger'!$H:$H,'inventory ledger'!$C:$C,C1719,'inventory ledger'!$D:$D,D1719,'inventory ledger'!$E:$E,E1719,'inventory ledger'!$A:$A,"&lt;="&amp;B1719+TIME(23,59,59))-SUMIFS('inventory ledger'!$I:$I,'inventory ledger'!$C:$C,C1719,'inventory ledger'!$D:$D,D1719,'inventory ledger'!$E:$E,E1719,'inventory ledger'!$A:$A,"&lt;="&amp;B1719+TIME(23,59,59)))</f>
        <v>0</v>
      </c>
      <c r="G1719" s="3">
        <f>IFERROR(__xludf.DUMMYFUNCTION("IF(F1719&lt;=0,0,IFERROR(ROUNDUP(F1719/INDEX(FILTER('warehouse config'!$D:$D,('warehouse config'!$B:$B=C1719)*('warehouse config'!$C:$C=D1719)*('warehouse config'!$G:$G&lt;=B1719)*(('warehouse config'!$H:$H&gt;=B1719)+ISBLANK('warehouse config'!$H:$H))),1)),0))"),0.0)</f>
        <v>0</v>
      </c>
      <c r="H1719" s="3">
        <f>IFERROR(__xludf.DUMMYFUNCTION("IFERROR(INDEX(FILTER('cost master'!$E:$E,('cost master'!$B:$B=C1719)*('cost master'!$D:$D=""Storage cost per pallet / week"")*('cost master'!$G:$G&lt;=B1719)*(('cost master'!$H:$H&gt;=B1719)+ISBLANK('cost master'!$H:$H))),1),0)"),2.6)</f>
        <v>2.6</v>
      </c>
      <c r="I1719" s="3">
        <f t="shared" si="4"/>
        <v>0</v>
      </c>
      <c r="J1719" s="27">
        <f t="shared" si="5"/>
        <v>46007</v>
      </c>
      <c r="K1719" s="27">
        <f t="shared" si="6"/>
        <v>46037</v>
      </c>
    </row>
    <row r="1720" hidden="1">
      <c r="A1720" s="3" t="str">
        <f t="shared" si="3"/>
        <v>SL-20251222-Vglobal-CS 011-12</v>
      </c>
      <c r="B1720" s="2">
        <f t="array" ref="B1720">INDEX(helper!$A$3:$A3996,ROUNDUP((ROW()-1)/COUNTA(helper!$D$3:$D3996),0))</f>
        <v>46013</v>
      </c>
      <c r="C1720" s="5" t="str">
        <f t="array" ref="C1720">IF(B1720="","",INDEX(helper!$D$3:$D3996,MOD(ROW()-2,COUNTA(helper!$D$3:$D3996))+1))</f>
        <v>Vglobal</v>
      </c>
      <c r="D1720" s="3" t="str">
        <f t="array" ref="D1720">IF(B1720="","",INDEX(helper!$E$3:$E3996,MOD(ROW()-2,COUNTA(helper!$D$3:$D3996))+1))</f>
        <v>CS 011</v>
      </c>
      <c r="E1720" s="3">
        <f t="array" ref="E1720">IF(B1720="","",INDEX(helper!$F$3:$F3996,MOD(ROW()-2,COUNTA(helper!$D$3:$D3996))+1))</f>
        <v>12</v>
      </c>
      <c r="F1720" s="3">
        <f>IF(B1720="","",SUMIFS('inventory ledger'!$H:$H,'inventory ledger'!$C:$C,C1720,'inventory ledger'!$D:$D,D1720,'inventory ledger'!$E:$E,E1720,'inventory ledger'!$A:$A,"&lt;="&amp;B1720+TIME(23,59,59))-SUMIFS('inventory ledger'!$I:$I,'inventory ledger'!$C:$C,C1720,'inventory ledger'!$D:$D,D1720,'inventory ledger'!$E:$E,E1720,'inventory ledger'!$A:$A,"&lt;="&amp;B1720+TIME(23,59,59)))</f>
        <v>0</v>
      </c>
      <c r="G1720" s="3">
        <f>IFERROR(__xludf.DUMMYFUNCTION("IF(F1720&lt;=0,0,IFERROR(ROUNDUP(F1720/INDEX(FILTER('warehouse config'!$D:$D,('warehouse config'!$B:$B=C1720)*('warehouse config'!$C:$C=D1720)*('warehouse config'!$G:$G&lt;=B1720)*(('warehouse config'!$H:$H&gt;=B1720)+ISBLANK('warehouse config'!$H:$H))),1)),0))"),0.0)</f>
        <v>0</v>
      </c>
      <c r="H1720" s="3">
        <f>IFERROR(__xludf.DUMMYFUNCTION("IFERROR(INDEX(FILTER('cost master'!$E:$E,('cost master'!$B:$B=C1720)*('cost master'!$D:$D=""Storage cost per pallet / week"")*('cost master'!$G:$G&lt;=B1720)*(('cost master'!$H:$H&gt;=B1720)+ISBLANK('cost master'!$H:$H))),1),0)"),2.6)</f>
        <v>2.6</v>
      </c>
      <c r="I1720" s="3">
        <f t="shared" si="4"/>
        <v>0</v>
      </c>
      <c r="J1720" s="27">
        <f t="shared" si="5"/>
        <v>46007</v>
      </c>
      <c r="K1720" s="27">
        <f t="shared" si="6"/>
        <v>46037</v>
      </c>
    </row>
    <row r="1721" hidden="1">
      <c r="A1721" s="3" t="str">
        <f t="shared" si="3"/>
        <v>SL-20251222-Vglobal-CS 008-12</v>
      </c>
      <c r="B1721" s="2">
        <f t="array" ref="B1721">INDEX(helper!$A$3:$A3996,ROUNDUP((ROW()-1)/COUNTA(helper!$D$3:$D3996),0))</f>
        <v>46013</v>
      </c>
      <c r="C1721" s="5" t="str">
        <f t="array" ref="C1721">IF(B1721="","",INDEX(helper!$D$3:$D3996,MOD(ROW()-2,COUNTA(helper!$D$3:$D3996))+1))</f>
        <v>Vglobal</v>
      </c>
      <c r="D1721" s="3" t="str">
        <f t="array" ref="D1721">IF(B1721="","",INDEX(helper!$E$3:$E3996,MOD(ROW()-2,COUNTA(helper!$D$3:$D3996))+1))</f>
        <v>CS 008</v>
      </c>
      <c r="E1721" s="3">
        <f t="array" ref="E1721">IF(B1721="","",INDEX(helper!$F$3:$F3996,MOD(ROW()-2,COUNTA(helper!$D$3:$D3996))+1))</f>
        <v>12</v>
      </c>
      <c r="F1721" s="3">
        <f>IF(B1721="","",SUMIFS('inventory ledger'!$H:$H,'inventory ledger'!$C:$C,C1721,'inventory ledger'!$D:$D,D1721,'inventory ledger'!$E:$E,E1721,'inventory ledger'!$A:$A,"&lt;="&amp;B1721+TIME(23,59,59))-SUMIFS('inventory ledger'!$I:$I,'inventory ledger'!$C:$C,C1721,'inventory ledger'!$D:$D,D1721,'inventory ledger'!$E:$E,E1721,'inventory ledger'!$A:$A,"&lt;="&amp;B1721+TIME(23,59,59)))</f>
        <v>0</v>
      </c>
      <c r="G1721" s="3">
        <f>IFERROR(__xludf.DUMMYFUNCTION("IF(F1721&lt;=0,0,IFERROR(ROUNDUP(F1721/INDEX(FILTER('warehouse config'!$D:$D,('warehouse config'!$B:$B=C1721)*('warehouse config'!$C:$C=D1721)*('warehouse config'!$G:$G&lt;=B1721)*(('warehouse config'!$H:$H&gt;=B1721)+ISBLANK('warehouse config'!$H:$H))),1)),0))"),0.0)</f>
        <v>0</v>
      </c>
      <c r="H1721" s="3">
        <f>IFERROR(__xludf.DUMMYFUNCTION("IFERROR(INDEX(FILTER('cost master'!$E:$E,('cost master'!$B:$B=C1721)*('cost master'!$D:$D=""Storage cost per pallet / week"")*('cost master'!$G:$G&lt;=B1721)*(('cost master'!$H:$H&gt;=B1721)+ISBLANK('cost master'!$H:$H))),1),0)"),2.6)</f>
        <v>2.6</v>
      </c>
      <c r="I1721" s="3">
        <f t="shared" si="4"/>
        <v>0</v>
      </c>
      <c r="J1721" s="27">
        <f t="shared" si="5"/>
        <v>46007</v>
      </c>
      <c r="K1721" s="27">
        <f t="shared" si="6"/>
        <v>46037</v>
      </c>
    </row>
    <row r="1722" hidden="1">
      <c r="A1722" s="3" t="str">
        <f t="shared" si="3"/>
        <v>SL-20251222-Vglobal-CS 010-12</v>
      </c>
      <c r="B1722" s="2">
        <f t="array" ref="B1722">INDEX(helper!$A$3:$A3996,ROUNDUP((ROW()-1)/COUNTA(helper!$D$3:$D3996),0))</f>
        <v>46013</v>
      </c>
      <c r="C1722" s="5" t="str">
        <f t="array" ref="C1722">IF(B1722="","",INDEX(helper!$D$3:$D3996,MOD(ROW()-2,COUNTA(helper!$D$3:$D3996))+1))</f>
        <v>Vglobal</v>
      </c>
      <c r="D1722" s="3" t="str">
        <f t="array" ref="D1722">IF(B1722="","",INDEX(helper!$E$3:$E3996,MOD(ROW()-2,COUNTA(helper!$D$3:$D3996))+1))</f>
        <v>CS 010</v>
      </c>
      <c r="E1722" s="3">
        <f t="array" ref="E1722">IF(B1722="","",INDEX(helper!$F$3:$F3996,MOD(ROW()-2,COUNTA(helper!$D$3:$D3996))+1))</f>
        <v>12</v>
      </c>
      <c r="F1722" s="3">
        <f>IF(B1722="","",SUMIFS('inventory ledger'!$H:$H,'inventory ledger'!$C:$C,C1722,'inventory ledger'!$D:$D,D1722,'inventory ledger'!$E:$E,E1722,'inventory ledger'!$A:$A,"&lt;="&amp;B1722+TIME(23,59,59))-SUMIFS('inventory ledger'!$I:$I,'inventory ledger'!$C:$C,C1722,'inventory ledger'!$D:$D,D1722,'inventory ledger'!$E:$E,E1722,'inventory ledger'!$A:$A,"&lt;="&amp;B1722+TIME(23,59,59)))</f>
        <v>70</v>
      </c>
      <c r="G1722" s="3">
        <f>IFERROR(__xludf.DUMMYFUNCTION("IF(F1722&lt;=0,0,IFERROR(ROUNDUP(F1722/INDEX(FILTER('warehouse config'!$D:$D,('warehouse config'!$B:$B=C1722)*('warehouse config'!$C:$C=D1722)*('warehouse config'!$G:$G&lt;=B1722)*(('warehouse config'!$H:$H&gt;=B1722)+ISBLANK('warehouse config'!$H:$H))),1)),0))"),3.0)</f>
        <v>3</v>
      </c>
      <c r="H1722" s="3">
        <f>IFERROR(__xludf.DUMMYFUNCTION("IFERROR(INDEX(FILTER('cost master'!$E:$E,('cost master'!$B:$B=C1722)*('cost master'!$D:$D=""Storage cost per pallet / week"")*('cost master'!$G:$G&lt;=B1722)*(('cost master'!$H:$H&gt;=B1722)+ISBLANK('cost master'!$H:$H))),1),0)"),2.6)</f>
        <v>2.6</v>
      </c>
      <c r="I1722" s="3">
        <f t="shared" si="4"/>
        <v>7.8</v>
      </c>
      <c r="J1722" s="27">
        <f t="shared" si="5"/>
        <v>46007</v>
      </c>
      <c r="K1722" s="27">
        <f t="shared" si="6"/>
        <v>46037</v>
      </c>
    </row>
    <row r="1723" hidden="1">
      <c r="A1723" s="3" t="str">
        <f t="shared" si="3"/>
        <v>SL-20251222-Vglobal-CS 009-12</v>
      </c>
      <c r="B1723" s="2">
        <f t="array" ref="B1723">INDEX(helper!$A$3:$A3996,ROUNDUP((ROW()-1)/COUNTA(helper!$D$3:$D3996),0))</f>
        <v>46013</v>
      </c>
      <c r="C1723" s="5" t="str">
        <f t="array" ref="C1723">IF(B1723="","",INDEX(helper!$D$3:$D3996,MOD(ROW()-2,COUNTA(helper!$D$3:$D3996))+1))</f>
        <v>Vglobal</v>
      </c>
      <c r="D1723" s="3" t="str">
        <f t="array" ref="D1723">IF(B1723="","",INDEX(helper!$E$3:$E3996,MOD(ROW()-2,COUNTA(helper!$D$3:$D3996))+1))</f>
        <v>CS 009</v>
      </c>
      <c r="E1723" s="3">
        <f t="array" ref="E1723">IF(B1723="","",INDEX(helper!$F$3:$F3996,MOD(ROW()-2,COUNTA(helper!$D$3:$D3996))+1))</f>
        <v>12</v>
      </c>
      <c r="F1723" s="3">
        <f>IF(B1723="","",SUMIFS('inventory ledger'!$H:$H,'inventory ledger'!$C:$C,C1723,'inventory ledger'!$D:$D,D1723,'inventory ledger'!$E:$E,E1723,'inventory ledger'!$A:$A,"&lt;="&amp;B1723+TIME(23,59,59))-SUMIFS('inventory ledger'!$I:$I,'inventory ledger'!$C:$C,C1723,'inventory ledger'!$D:$D,D1723,'inventory ledger'!$E:$E,E1723,'inventory ledger'!$A:$A,"&lt;="&amp;B1723+TIME(23,59,59)))</f>
        <v>0</v>
      </c>
      <c r="G1723" s="3">
        <f>IFERROR(__xludf.DUMMYFUNCTION("IF(F1723&lt;=0,0,IFERROR(ROUNDUP(F1723/INDEX(FILTER('warehouse config'!$D:$D,('warehouse config'!$B:$B=C1723)*('warehouse config'!$C:$C=D1723)*('warehouse config'!$G:$G&lt;=B1723)*(('warehouse config'!$H:$H&gt;=B1723)+ISBLANK('warehouse config'!$H:$H))),1)),0))"),0.0)</f>
        <v>0</v>
      </c>
      <c r="H1723" s="3">
        <f>IFERROR(__xludf.DUMMYFUNCTION("IFERROR(INDEX(FILTER('cost master'!$E:$E,('cost master'!$B:$B=C1723)*('cost master'!$D:$D=""Storage cost per pallet / week"")*('cost master'!$G:$G&lt;=B1723)*(('cost master'!$H:$H&gt;=B1723)+ISBLANK('cost master'!$H:$H))),1),0)"),2.6)</f>
        <v>2.6</v>
      </c>
      <c r="I1723" s="3">
        <f t="shared" si="4"/>
        <v>0</v>
      </c>
      <c r="J1723" s="27">
        <f t="shared" si="5"/>
        <v>46007</v>
      </c>
      <c r="K1723" s="27">
        <f t="shared" si="6"/>
        <v>46037</v>
      </c>
    </row>
    <row r="1724" hidden="1">
      <c r="A1724" s="3" t="str">
        <f t="shared" si="3"/>
        <v>SL-20251222-Vglobal-CS 012-12</v>
      </c>
      <c r="B1724" s="2">
        <f t="array" ref="B1724">INDEX(helper!$A$3:$A3996,ROUNDUP((ROW()-1)/COUNTA(helper!$D$3:$D3996),0))</f>
        <v>46013</v>
      </c>
      <c r="C1724" s="5" t="str">
        <f t="array" ref="C1724">IF(B1724="","",INDEX(helper!$D$3:$D3996,MOD(ROW()-2,COUNTA(helper!$D$3:$D3996))+1))</f>
        <v>Vglobal</v>
      </c>
      <c r="D1724" s="3" t="str">
        <f t="array" ref="D1724">IF(B1724="","",INDEX(helper!$E$3:$E3996,MOD(ROW()-2,COUNTA(helper!$D$3:$D3996))+1))</f>
        <v>CS 012</v>
      </c>
      <c r="E1724" s="3">
        <f t="array" ref="E1724">IF(B1724="","",INDEX(helper!$F$3:$F3996,MOD(ROW()-2,COUNTA(helper!$D$3:$D3996))+1))</f>
        <v>12</v>
      </c>
      <c r="F1724" s="3">
        <f>IF(B1724="","",SUMIFS('inventory ledger'!$H:$H,'inventory ledger'!$C:$C,C1724,'inventory ledger'!$D:$D,D1724,'inventory ledger'!$E:$E,E1724,'inventory ledger'!$A:$A,"&lt;="&amp;B1724+TIME(23,59,59))-SUMIFS('inventory ledger'!$I:$I,'inventory ledger'!$C:$C,C1724,'inventory ledger'!$D:$D,D1724,'inventory ledger'!$E:$E,E1724,'inventory ledger'!$A:$A,"&lt;="&amp;B1724+TIME(23,59,59)))</f>
        <v>0</v>
      </c>
      <c r="G1724" s="3">
        <f>IFERROR(__xludf.DUMMYFUNCTION("IF(F1724&lt;=0,0,IFERROR(ROUNDUP(F1724/INDEX(FILTER('warehouse config'!$D:$D,('warehouse config'!$B:$B=C1724)*('warehouse config'!$C:$C=D1724)*('warehouse config'!$G:$G&lt;=B1724)*(('warehouse config'!$H:$H&gt;=B1724)+ISBLANK('warehouse config'!$H:$H))),1)),0))"),0.0)</f>
        <v>0</v>
      </c>
      <c r="H1724" s="3">
        <f>IFERROR(__xludf.DUMMYFUNCTION("IFERROR(INDEX(FILTER('cost master'!$E:$E,('cost master'!$B:$B=C1724)*('cost master'!$D:$D=""Storage cost per pallet / week"")*('cost master'!$G:$G&lt;=B1724)*(('cost master'!$H:$H&gt;=B1724)+ISBLANK('cost master'!$H:$H))),1),0)"),2.6)</f>
        <v>2.6</v>
      </c>
      <c r="I1724" s="3">
        <f t="shared" si="4"/>
        <v>0</v>
      </c>
      <c r="J1724" s="27">
        <f t="shared" si="5"/>
        <v>46007</v>
      </c>
      <c r="K1724" s="27">
        <f t="shared" si="6"/>
        <v>46037</v>
      </c>
    </row>
    <row r="1725" hidden="1">
      <c r="A1725" s="3" t="str">
        <f t="shared" si="3"/>
        <v>SL-20251222-Vglobal-CS-CDS-001-3</v>
      </c>
      <c r="B1725" s="2">
        <f t="array" ref="B1725">INDEX(helper!$A$3:$A3996,ROUNDUP((ROW()-1)/COUNTA(helper!$D$3:$D3996),0))</f>
        <v>46013</v>
      </c>
      <c r="C1725" s="5" t="str">
        <f t="array" ref="C1725">IF(B1725="","",INDEX(helper!$D$3:$D3996,MOD(ROW()-2,COUNTA(helper!$D$3:$D3996))+1))</f>
        <v>Vglobal</v>
      </c>
      <c r="D1725" s="3" t="str">
        <f t="array" ref="D1725">IF(B1725="","",INDEX(helper!$E$3:$E3996,MOD(ROW()-2,COUNTA(helper!$D$3:$D3996))+1))</f>
        <v>CS-CDS-001</v>
      </c>
      <c r="E1725" s="3">
        <f t="array" ref="E1725">IF(B1725="","",INDEX(helper!$F$3:$F3996,MOD(ROW()-2,COUNTA(helper!$D$3:$D3996))+1))</f>
        <v>3</v>
      </c>
      <c r="F1725" s="3">
        <f>IF(B1725="","",SUMIFS('inventory ledger'!$H:$H,'inventory ledger'!$C:$C,C1725,'inventory ledger'!$D:$D,D1725,'inventory ledger'!$E:$E,E1725,'inventory ledger'!$A:$A,"&lt;="&amp;B1725+TIME(23,59,59))-SUMIFS('inventory ledger'!$I:$I,'inventory ledger'!$C:$C,C1725,'inventory ledger'!$D:$D,D1725,'inventory ledger'!$E:$E,E1725,'inventory ledger'!$A:$A,"&lt;="&amp;B1725+TIME(23,59,59)))</f>
        <v>1</v>
      </c>
      <c r="G1725" s="3">
        <f>IFERROR(__xludf.DUMMYFUNCTION("IF(F1725&lt;=0,0,IFERROR(ROUNDUP(F1725/INDEX(FILTER('warehouse config'!$D:$D,('warehouse config'!$B:$B=C1725)*('warehouse config'!$C:$C=D1725)*('warehouse config'!$G:$G&lt;=B1725)*(('warehouse config'!$H:$H&gt;=B1725)+ISBLANK('warehouse config'!$H:$H))),1)),0))"),1.0)</f>
        <v>1</v>
      </c>
      <c r="H1725" s="3">
        <f>IFERROR(__xludf.DUMMYFUNCTION("IFERROR(INDEX(FILTER('cost master'!$E:$E,('cost master'!$B:$B=C1725)*('cost master'!$D:$D=""Storage cost per pallet / week"")*('cost master'!$G:$G&lt;=B1725)*(('cost master'!$H:$H&gt;=B1725)+ISBLANK('cost master'!$H:$H))),1),0)"),2.6)</f>
        <v>2.6</v>
      </c>
      <c r="I1725" s="3">
        <f t="shared" si="4"/>
        <v>2.6</v>
      </c>
      <c r="J1725" s="27">
        <f t="shared" si="5"/>
        <v>46007</v>
      </c>
      <c r="K1725" s="27">
        <f t="shared" si="6"/>
        <v>46037</v>
      </c>
    </row>
    <row r="1726" hidden="1">
      <c r="A1726" s="3" t="str">
        <f t="shared" si="3"/>
        <v>SL-20251222-Vglobal-CS-CDS-002-3</v>
      </c>
      <c r="B1726" s="2">
        <f t="array" ref="B1726">INDEX(helper!$A$3:$A3996,ROUNDUP((ROW()-1)/COUNTA(helper!$D$3:$D3996),0))</f>
        <v>46013</v>
      </c>
      <c r="C1726" s="5" t="str">
        <f t="array" ref="C1726">IF(B1726="","",INDEX(helper!$D$3:$D3996,MOD(ROW()-2,COUNTA(helper!$D$3:$D3996))+1))</f>
        <v>Vglobal</v>
      </c>
      <c r="D1726" s="3" t="str">
        <f t="array" ref="D1726">IF(B1726="","",INDEX(helper!$E$3:$E3996,MOD(ROW()-2,COUNTA(helper!$D$3:$D3996))+1))</f>
        <v>CS-CDS-002</v>
      </c>
      <c r="E1726" s="3">
        <f t="array" ref="E1726">IF(B1726="","",INDEX(helper!$F$3:$F3996,MOD(ROW()-2,COUNTA(helper!$D$3:$D3996))+1))</f>
        <v>3</v>
      </c>
      <c r="F1726" s="3">
        <f>IF(B1726="","",SUMIFS('inventory ledger'!$H:$H,'inventory ledger'!$C:$C,C1726,'inventory ledger'!$D:$D,D1726,'inventory ledger'!$E:$E,E1726,'inventory ledger'!$A:$A,"&lt;="&amp;B1726+TIME(23,59,59))-SUMIFS('inventory ledger'!$I:$I,'inventory ledger'!$C:$C,C1726,'inventory ledger'!$D:$D,D1726,'inventory ledger'!$E:$E,E1726,'inventory ledger'!$A:$A,"&lt;="&amp;B1726+TIME(23,59,59)))</f>
        <v>0</v>
      </c>
      <c r="G1726" s="3">
        <f>IFERROR(__xludf.DUMMYFUNCTION("IF(F1726&lt;=0,0,IFERROR(ROUNDUP(F1726/INDEX(FILTER('warehouse config'!$D:$D,('warehouse config'!$B:$B=C1726)*('warehouse config'!$C:$C=D1726)*('warehouse config'!$G:$G&lt;=B1726)*(('warehouse config'!$H:$H&gt;=B1726)+ISBLANK('warehouse config'!$H:$H))),1)),0))"),0.0)</f>
        <v>0</v>
      </c>
      <c r="H1726" s="3">
        <f>IFERROR(__xludf.DUMMYFUNCTION("IFERROR(INDEX(FILTER('cost master'!$E:$E,('cost master'!$B:$B=C1726)*('cost master'!$D:$D=""Storage cost per pallet / week"")*('cost master'!$G:$G&lt;=B1726)*(('cost master'!$H:$H&gt;=B1726)+ISBLANK('cost master'!$H:$H))),1),0)"),2.6)</f>
        <v>2.6</v>
      </c>
      <c r="I1726" s="3">
        <f t="shared" si="4"/>
        <v>0</v>
      </c>
      <c r="J1726" s="27">
        <f t="shared" si="5"/>
        <v>46007</v>
      </c>
      <c r="K1726" s="27">
        <f t="shared" si="6"/>
        <v>46037</v>
      </c>
    </row>
    <row r="1727" hidden="1">
      <c r="A1727" s="3" t="str">
        <f t="shared" si="3"/>
        <v>SL-20251222-4as-CS-CDS-001-4</v>
      </c>
      <c r="B1727" s="2">
        <f t="array" ref="B1727">INDEX(helper!$A$3:$A3996,ROUNDUP((ROW()-1)/COUNTA(helper!$D$3:$D3996),0))</f>
        <v>46013</v>
      </c>
      <c r="C1727" s="5" t="str">
        <f t="array" ref="C1727">IF(B1727="","",INDEX(helper!$D$3:$D3996,MOD(ROW()-2,COUNTA(helper!$D$3:$D3996))+1))</f>
        <v>4as</v>
      </c>
      <c r="D1727" s="3" t="str">
        <f t="array" ref="D1727">IF(B1727="","",INDEX(helper!$E$3:$E3996,MOD(ROW()-2,COUNTA(helper!$D$3:$D3996))+1))</f>
        <v>CS-CDS-001</v>
      </c>
      <c r="E1727" s="3">
        <f t="array" ref="E1727">IF(B1727="","",INDEX(helper!$F$3:$F3996,MOD(ROW()-2,COUNTA(helper!$D$3:$D3996))+1))</f>
        <v>4</v>
      </c>
      <c r="F1727" s="3">
        <f>IF(B1727="","",SUMIFS('inventory ledger'!$H:$H,'inventory ledger'!$C:$C,C1727,'inventory ledger'!$D:$D,D1727,'inventory ledger'!$E:$E,E1727,'inventory ledger'!$A:$A,"&lt;="&amp;B1727+TIME(23,59,59))-SUMIFS('inventory ledger'!$I:$I,'inventory ledger'!$C:$C,C1727,'inventory ledger'!$D:$D,D1727,'inventory ledger'!$E:$E,E1727,'inventory ledger'!$A:$A,"&lt;="&amp;B1727+TIME(23,59,59)))</f>
        <v>0</v>
      </c>
      <c r="G1727" s="3">
        <f>IFERROR(__xludf.DUMMYFUNCTION("IF(F1727&lt;=0,0,IFERROR(ROUNDUP(F1727/INDEX(FILTER('warehouse config'!$D:$D,('warehouse config'!$B:$B=C1727)*('warehouse config'!$C:$C=D1727)*('warehouse config'!$G:$G&lt;=B1727)*(('warehouse config'!$H:$H&gt;=B1727)+ISBLANK('warehouse config'!$H:$H))),1)),0))"),0.0)</f>
        <v>0</v>
      </c>
      <c r="H1727" s="3">
        <f>IFERROR(__xludf.DUMMYFUNCTION("IFERROR(INDEX(FILTER('cost master'!$E:$E,('cost master'!$B:$B=C1727)*('cost master'!$D:$D=""Storage cost per pallet / week"")*('cost master'!$G:$G&lt;=B1727)*(('cost master'!$H:$H&gt;=B1727)+ISBLANK('cost master'!$H:$H))),1),0)"),9.0)</f>
        <v>9</v>
      </c>
      <c r="I1727" s="3">
        <f t="shared" si="4"/>
        <v>0</v>
      </c>
      <c r="J1727" s="27">
        <f t="shared" si="5"/>
        <v>46007</v>
      </c>
      <c r="K1727" s="27">
        <f t="shared" si="6"/>
        <v>46037</v>
      </c>
    </row>
    <row r="1728" hidden="1">
      <c r="A1728" s="3" t="str">
        <f t="shared" si="3"/>
        <v>SL-20251222-4as-CS-CDS-002-4</v>
      </c>
      <c r="B1728" s="2">
        <f t="array" ref="B1728">INDEX(helper!$A$3:$A3996,ROUNDUP((ROW()-1)/COUNTA(helper!$D$3:$D3996),0))</f>
        <v>46013</v>
      </c>
      <c r="C1728" s="5" t="str">
        <f t="array" ref="C1728">IF(B1728="","",INDEX(helper!$D$3:$D3996,MOD(ROW()-2,COUNTA(helper!$D$3:$D3996))+1))</f>
        <v>4as</v>
      </c>
      <c r="D1728" s="3" t="str">
        <f t="array" ref="D1728">IF(B1728="","",INDEX(helper!$E$3:$E3996,MOD(ROW()-2,COUNTA(helper!$D$3:$D3996))+1))</f>
        <v>CS-CDS-002</v>
      </c>
      <c r="E1728" s="3">
        <f t="array" ref="E1728">IF(B1728="","",INDEX(helper!$F$3:$F3996,MOD(ROW()-2,COUNTA(helper!$D$3:$D3996))+1))</f>
        <v>4</v>
      </c>
      <c r="F1728" s="3">
        <f>IF(B1728="","",SUMIFS('inventory ledger'!$H:$H,'inventory ledger'!$C:$C,C1728,'inventory ledger'!$D:$D,D1728,'inventory ledger'!$E:$E,E1728,'inventory ledger'!$A:$A,"&lt;="&amp;B1728+TIME(23,59,59))-SUMIFS('inventory ledger'!$I:$I,'inventory ledger'!$C:$C,C1728,'inventory ledger'!$D:$D,D1728,'inventory ledger'!$E:$E,E1728,'inventory ledger'!$A:$A,"&lt;="&amp;B1728+TIME(23,59,59)))</f>
        <v>0</v>
      </c>
      <c r="G1728" s="3">
        <f>IFERROR(__xludf.DUMMYFUNCTION("IF(F1728&lt;=0,0,IFERROR(ROUNDUP(F1728/INDEX(FILTER('warehouse config'!$D:$D,('warehouse config'!$B:$B=C1728)*('warehouse config'!$C:$C=D1728)*('warehouse config'!$G:$G&lt;=B1728)*(('warehouse config'!$H:$H&gt;=B1728)+ISBLANK('warehouse config'!$H:$H))),1)),0))"),0.0)</f>
        <v>0</v>
      </c>
      <c r="H1728" s="3">
        <f>IFERROR(__xludf.DUMMYFUNCTION("IFERROR(INDEX(FILTER('cost master'!$E:$E,('cost master'!$B:$B=C1728)*('cost master'!$D:$D=""Storage cost per pallet / week"")*('cost master'!$G:$G&lt;=B1728)*(('cost master'!$H:$H&gt;=B1728)+ISBLANK('cost master'!$H:$H))),1),0)"),9.0)</f>
        <v>9</v>
      </c>
      <c r="I1728" s="3">
        <f t="shared" si="4"/>
        <v>0</v>
      </c>
      <c r="J1728" s="27">
        <f t="shared" si="5"/>
        <v>46007</v>
      </c>
      <c r="K1728" s="27">
        <f t="shared" si="6"/>
        <v>46037</v>
      </c>
    </row>
    <row r="1729" hidden="1">
      <c r="A1729" s="3" t="str">
        <f t="shared" si="3"/>
        <v>SL-20251222-Vglobal-CS 007-13</v>
      </c>
      <c r="B1729" s="2">
        <f t="array" ref="B1729">INDEX(helper!$A$3:$A3996,ROUNDUP((ROW()-1)/COUNTA(helper!$D$3:$D3996),0))</f>
        <v>46013</v>
      </c>
      <c r="C1729" s="5" t="str">
        <f t="array" ref="C1729">IF(B1729="","",INDEX(helper!$D$3:$D3996,MOD(ROW()-2,COUNTA(helper!$D$3:$D3996))+1))</f>
        <v>Vglobal</v>
      </c>
      <c r="D1729" s="3" t="str">
        <f t="array" ref="D1729">IF(B1729="","",INDEX(helper!$E$3:$E3996,MOD(ROW()-2,COUNTA(helper!$D$3:$D3996))+1))</f>
        <v>CS 007</v>
      </c>
      <c r="E1729" s="3">
        <f t="array" ref="E1729">IF(B1729="","",INDEX(helper!$F$3:$F3996,MOD(ROW()-2,COUNTA(helper!$D$3:$D3996))+1))</f>
        <v>13</v>
      </c>
      <c r="F1729" s="3">
        <f>IF(B1729="","",SUMIFS('inventory ledger'!$H:$H,'inventory ledger'!$C:$C,C1729,'inventory ledger'!$D:$D,D1729,'inventory ledger'!$E:$E,E1729,'inventory ledger'!$A:$A,"&lt;="&amp;B1729+TIME(23,59,59))-SUMIFS('inventory ledger'!$I:$I,'inventory ledger'!$C:$C,C1729,'inventory ledger'!$D:$D,D1729,'inventory ledger'!$E:$E,E1729,'inventory ledger'!$A:$A,"&lt;="&amp;B1729+TIME(23,59,59)))</f>
        <v>45</v>
      </c>
      <c r="G1729" s="3">
        <f>IFERROR(__xludf.DUMMYFUNCTION("IF(F1729&lt;=0,0,IFERROR(ROUNDUP(F1729/INDEX(FILTER('warehouse config'!$D:$D,('warehouse config'!$B:$B=C1729)*('warehouse config'!$C:$C=D1729)*('warehouse config'!$G:$G&lt;=B1729)*(('warehouse config'!$H:$H&gt;=B1729)+ISBLANK('warehouse config'!$H:$H))),1)),0))"),3.0)</f>
        <v>3</v>
      </c>
      <c r="H1729" s="3">
        <f>IFERROR(__xludf.DUMMYFUNCTION("IFERROR(INDEX(FILTER('cost master'!$E:$E,('cost master'!$B:$B=C1729)*('cost master'!$D:$D=""Storage cost per pallet / week"")*('cost master'!$G:$G&lt;=B1729)*(('cost master'!$H:$H&gt;=B1729)+ISBLANK('cost master'!$H:$H))),1),0)"),2.6)</f>
        <v>2.6</v>
      </c>
      <c r="I1729" s="3">
        <f t="shared" si="4"/>
        <v>7.8</v>
      </c>
      <c r="J1729" s="27">
        <f t="shared" si="5"/>
        <v>46007</v>
      </c>
      <c r="K1729" s="27">
        <f t="shared" si="6"/>
        <v>46037</v>
      </c>
    </row>
    <row r="1730" hidden="1">
      <c r="A1730" s="3" t="str">
        <f t="shared" si="3"/>
        <v>SL-20251222-Vglobal-CS 011-13</v>
      </c>
      <c r="B1730" s="2">
        <f t="array" ref="B1730">INDEX(helper!$A$3:$A3996,ROUNDUP((ROW()-1)/COUNTA(helper!$D$3:$D3996),0))</f>
        <v>46013</v>
      </c>
      <c r="C1730" s="5" t="str">
        <f t="array" ref="C1730">IF(B1730="","",INDEX(helper!$D$3:$D3996,MOD(ROW()-2,COUNTA(helper!$D$3:$D3996))+1))</f>
        <v>Vglobal</v>
      </c>
      <c r="D1730" s="3" t="str">
        <f t="array" ref="D1730">IF(B1730="","",INDEX(helper!$E$3:$E3996,MOD(ROW()-2,COUNTA(helper!$D$3:$D3996))+1))</f>
        <v>CS 011</v>
      </c>
      <c r="E1730" s="3">
        <f t="array" ref="E1730">IF(B1730="","",INDEX(helper!$F$3:$F3996,MOD(ROW()-2,COUNTA(helper!$D$3:$D3996))+1))</f>
        <v>13</v>
      </c>
      <c r="F1730" s="3">
        <f>IF(B1730="","",SUMIFS('inventory ledger'!$H:$H,'inventory ledger'!$C:$C,C1730,'inventory ledger'!$D:$D,D1730,'inventory ledger'!$E:$E,E1730,'inventory ledger'!$A:$A,"&lt;="&amp;B1730+TIME(23,59,59))-SUMIFS('inventory ledger'!$I:$I,'inventory ledger'!$C:$C,C1730,'inventory ledger'!$D:$D,D1730,'inventory ledger'!$E:$E,E1730,'inventory ledger'!$A:$A,"&lt;="&amp;B1730+TIME(23,59,59)))</f>
        <v>0</v>
      </c>
      <c r="G1730" s="3">
        <f>IFERROR(__xludf.DUMMYFUNCTION("IF(F1730&lt;=0,0,IFERROR(ROUNDUP(F1730/INDEX(FILTER('warehouse config'!$D:$D,('warehouse config'!$B:$B=C1730)*('warehouse config'!$C:$C=D1730)*('warehouse config'!$G:$G&lt;=B1730)*(('warehouse config'!$H:$H&gt;=B1730)+ISBLANK('warehouse config'!$H:$H))),1)),0))"),0.0)</f>
        <v>0</v>
      </c>
      <c r="H1730" s="3">
        <f>IFERROR(__xludf.DUMMYFUNCTION("IFERROR(INDEX(FILTER('cost master'!$E:$E,('cost master'!$B:$B=C1730)*('cost master'!$D:$D=""Storage cost per pallet / week"")*('cost master'!$G:$G&lt;=B1730)*(('cost master'!$H:$H&gt;=B1730)+ISBLANK('cost master'!$H:$H))),1),0)"),2.6)</f>
        <v>2.6</v>
      </c>
      <c r="I1730" s="3">
        <f t="shared" si="4"/>
        <v>0</v>
      </c>
      <c r="J1730" s="27">
        <f t="shared" si="5"/>
        <v>46007</v>
      </c>
      <c r="K1730" s="27">
        <f t="shared" si="6"/>
        <v>46037</v>
      </c>
    </row>
    <row r="1731" hidden="1">
      <c r="A1731" s="3" t="str">
        <f t="shared" si="3"/>
        <v>SL-20251222-Vglobal-CS 008-13</v>
      </c>
      <c r="B1731" s="2">
        <f t="array" ref="B1731">INDEX(helper!$A$3:$A3996,ROUNDUP((ROW()-1)/COUNTA(helper!$D$3:$D3996),0))</f>
        <v>46013</v>
      </c>
      <c r="C1731" s="5" t="str">
        <f t="array" ref="C1731">IF(B1731="","",INDEX(helper!$D$3:$D3996,MOD(ROW()-2,COUNTA(helper!$D$3:$D3996))+1))</f>
        <v>Vglobal</v>
      </c>
      <c r="D1731" s="3" t="str">
        <f t="array" ref="D1731">IF(B1731="","",INDEX(helper!$E$3:$E3996,MOD(ROW()-2,COUNTA(helper!$D$3:$D3996))+1))</f>
        <v>CS 008</v>
      </c>
      <c r="E1731" s="3">
        <f t="array" ref="E1731">IF(B1731="","",INDEX(helper!$F$3:$F3996,MOD(ROW()-2,COUNTA(helper!$D$3:$D3996))+1))</f>
        <v>13</v>
      </c>
      <c r="F1731" s="3">
        <f>IF(B1731="","",SUMIFS('inventory ledger'!$H:$H,'inventory ledger'!$C:$C,C1731,'inventory ledger'!$D:$D,D1731,'inventory ledger'!$E:$E,E1731,'inventory ledger'!$A:$A,"&lt;="&amp;B1731+TIME(23,59,59))-SUMIFS('inventory ledger'!$I:$I,'inventory ledger'!$C:$C,C1731,'inventory ledger'!$D:$D,D1731,'inventory ledger'!$E:$E,E1731,'inventory ledger'!$A:$A,"&lt;="&amp;B1731+TIME(23,59,59)))</f>
        <v>20</v>
      </c>
      <c r="G1731" s="3">
        <f>IFERROR(__xludf.DUMMYFUNCTION("IF(F1731&lt;=0,0,IFERROR(ROUNDUP(F1731/INDEX(FILTER('warehouse config'!$D:$D,('warehouse config'!$B:$B=C1731)*('warehouse config'!$C:$C=D1731)*('warehouse config'!$G:$G&lt;=B1731)*(('warehouse config'!$H:$H&gt;=B1731)+ISBLANK('warehouse config'!$H:$H))),1)),0))"),1.0)</f>
        <v>1</v>
      </c>
      <c r="H1731" s="3">
        <f>IFERROR(__xludf.DUMMYFUNCTION("IFERROR(INDEX(FILTER('cost master'!$E:$E,('cost master'!$B:$B=C1731)*('cost master'!$D:$D=""Storage cost per pallet / week"")*('cost master'!$G:$G&lt;=B1731)*(('cost master'!$H:$H&gt;=B1731)+ISBLANK('cost master'!$H:$H))),1),0)"),2.6)</f>
        <v>2.6</v>
      </c>
      <c r="I1731" s="3">
        <f t="shared" si="4"/>
        <v>2.6</v>
      </c>
      <c r="J1731" s="27">
        <f t="shared" si="5"/>
        <v>46007</v>
      </c>
      <c r="K1731" s="27">
        <f t="shared" si="6"/>
        <v>46037</v>
      </c>
    </row>
    <row r="1732" hidden="1">
      <c r="A1732" s="3" t="str">
        <f t="shared" si="3"/>
        <v>SL-20251222-Vglobal-CS 010-13</v>
      </c>
      <c r="B1732" s="2">
        <f t="array" ref="B1732">INDEX(helper!$A$3:$A3996,ROUNDUP((ROW()-1)/COUNTA(helper!$D$3:$D3996),0))</f>
        <v>46013</v>
      </c>
      <c r="C1732" s="5" t="str">
        <f t="array" ref="C1732">IF(B1732="","",INDEX(helper!$D$3:$D3996,MOD(ROW()-2,COUNTA(helper!$D$3:$D3996))+1))</f>
        <v>Vglobal</v>
      </c>
      <c r="D1732" s="3" t="str">
        <f t="array" ref="D1732">IF(B1732="","",INDEX(helper!$E$3:$E3996,MOD(ROW()-2,COUNTA(helper!$D$3:$D3996))+1))</f>
        <v>CS 010</v>
      </c>
      <c r="E1732" s="3">
        <f t="array" ref="E1732">IF(B1732="","",INDEX(helper!$F$3:$F3996,MOD(ROW()-2,COUNTA(helper!$D$3:$D3996))+1))</f>
        <v>13</v>
      </c>
      <c r="F1732" s="3">
        <f>IF(B1732="","",SUMIFS('inventory ledger'!$H:$H,'inventory ledger'!$C:$C,C1732,'inventory ledger'!$D:$D,D1732,'inventory ledger'!$E:$E,E1732,'inventory ledger'!$A:$A,"&lt;="&amp;B1732+TIME(23,59,59))-SUMIFS('inventory ledger'!$I:$I,'inventory ledger'!$C:$C,C1732,'inventory ledger'!$D:$D,D1732,'inventory ledger'!$E:$E,E1732,'inventory ledger'!$A:$A,"&lt;="&amp;B1732+TIME(23,59,59)))</f>
        <v>80</v>
      </c>
      <c r="G1732" s="3">
        <f>IFERROR(__xludf.DUMMYFUNCTION("IF(F1732&lt;=0,0,IFERROR(ROUNDUP(F1732/INDEX(FILTER('warehouse config'!$D:$D,('warehouse config'!$B:$B=C1732)*('warehouse config'!$C:$C=D1732)*('warehouse config'!$G:$G&lt;=B1732)*(('warehouse config'!$H:$H&gt;=B1732)+ISBLANK('warehouse config'!$H:$H))),1)),0))"),4.0)</f>
        <v>4</v>
      </c>
      <c r="H1732" s="3">
        <f>IFERROR(__xludf.DUMMYFUNCTION("IFERROR(INDEX(FILTER('cost master'!$E:$E,('cost master'!$B:$B=C1732)*('cost master'!$D:$D=""Storage cost per pallet / week"")*('cost master'!$G:$G&lt;=B1732)*(('cost master'!$H:$H&gt;=B1732)+ISBLANK('cost master'!$H:$H))),1),0)"),2.6)</f>
        <v>2.6</v>
      </c>
      <c r="I1732" s="3">
        <f t="shared" si="4"/>
        <v>10.4</v>
      </c>
      <c r="J1732" s="27">
        <f t="shared" si="5"/>
        <v>46007</v>
      </c>
      <c r="K1732" s="27">
        <f t="shared" si="6"/>
        <v>46037</v>
      </c>
    </row>
    <row r="1733" hidden="1">
      <c r="A1733" s="3" t="str">
        <f t="shared" si="3"/>
        <v>SL-20251222-Vglobal-CS 009-13</v>
      </c>
      <c r="B1733" s="2">
        <f t="array" ref="B1733">INDEX(helper!$A$3:$A3996,ROUNDUP((ROW()-1)/COUNTA(helper!$D$3:$D3996),0))</f>
        <v>46013</v>
      </c>
      <c r="C1733" s="5" t="str">
        <f t="array" ref="C1733">IF(B1733="","",INDEX(helper!$D$3:$D3996,MOD(ROW()-2,COUNTA(helper!$D$3:$D3996))+1))</f>
        <v>Vglobal</v>
      </c>
      <c r="D1733" s="3" t="str">
        <f t="array" ref="D1733">IF(B1733="","",INDEX(helper!$E$3:$E3996,MOD(ROW()-2,COUNTA(helper!$D$3:$D3996))+1))</f>
        <v>CS 009</v>
      </c>
      <c r="E1733" s="3">
        <f t="array" ref="E1733">IF(B1733="","",INDEX(helper!$F$3:$F3996,MOD(ROW()-2,COUNTA(helper!$D$3:$D3996))+1))</f>
        <v>13</v>
      </c>
      <c r="F1733" s="3">
        <f>IF(B1733="","",SUMIFS('inventory ledger'!$H:$H,'inventory ledger'!$C:$C,C1733,'inventory ledger'!$D:$D,D1733,'inventory ledger'!$E:$E,E1733,'inventory ledger'!$A:$A,"&lt;="&amp;B1733+TIME(23,59,59))-SUMIFS('inventory ledger'!$I:$I,'inventory ledger'!$C:$C,C1733,'inventory ledger'!$D:$D,D1733,'inventory ledger'!$E:$E,E1733,'inventory ledger'!$A:$A,"&lt;="&amp;B1733+TIME(23,59,59)))</f>
        <v>0</v>
      </c>
      <c r="G1733" s="3">
        <f>IFERROR(__xludf.DUMMYFUNCTION("IF(F1733&lt;=0,0,IFERROR(ROUNDUP(F1733/INDEX(FILTER('warehouse config'!$D:$D,('warehouse config'!$B:$B=C1733)*('warehouse config'!$C:$C=D1733)*('warehouse config'!$G:$G&lt;=B1733)*(('warehouse config'!$H:$H&gt;=B1733)+ISBLANK('warehouse config'!$H:$H))),1)),0))"),0.0)</f>
        <v>0</v>
      </c>
      <c r="H1733" s="3">
        <f>IFERROR(__xludf.DUMMYFUNCTION("IFERROR(INDEX(FILTER('cost master'!$E:$E,('cost master'!$B:$B=C1733)*('cost master'!$D:$D=""Storage cost per pallet / week"")*('cost master'!$G:$G&lt;=B1733)*(('cost master'!$H:$H&gt;=B1733)+ISBLANK('cost master'!$H:$H))),1),0)"),2.6)</f>
        <v>2.6</v>
      </c>
      <c r="I1733" s="3">
        <f t="shared" si="4"/>
        <v>0</v>
      </c>
      <c r="J1733" s="27">
        <f t="shared" si="5"/>
        <v>46007</v>
      </c>
      <c r="K1733" s="27">
        <f t="shared" si="6"/>
        <v>46037</v>
      </c>
    </row>
    <row r="1734" hidden="1">
      <c r="A1734" s="3" t="str">
        <f t="shared" si="3"/>
        <v>SL-20251222-Vglobal-CS 012-13</v>
      </c>
      <c r="B1734" s="2">
        <f t="array" ref="B1734">INDEX(helper!$A$3:$A3996,ROUNDUP((ROW()-1)/COUNTA(helper!$D$3:$D3996),0))</f>
        <v>46013</v>
      </c>
      <c r="C1734" s="5" t="str">
        <f t="array" ref="C1734">IF(B1734="","",INDEX(helper!$D$3:$D3996,MOD(ROW()-2,COUNTA(helper!$D$3:$D3996))+1))</f>
        <v>Vglobal</v>
      </c>
      <c r="D1734" s="3" t="str">
        <f t="array" ref="D1734">IF(B1734="","",INDEX(helper!$E$3:$E3996,MOD(ROW()-2,COUNTA(helper!$D$3:$D3996))+1))</f>
        <v>CS 012</v>
      </c>
      <c r="E1734" s="3">
        <f t="array" ref="E1734">IF(B1734="","",INDEX(helper!$F$3:$F3996,MOD(ROW()-2,COUNTA(helper!$D$3:$D3996))+1))</f>
        <v>13</v>
      </c>
      <c r="F1734" s="3">
        <f>IF(B1734="","",SUMIFS('inventory ledger'!$H:$H,'inventory ledger'!$C:$C,C1734,'inventory ledger'!$D:$D,D1734,'inventory ledger'!$E:$E,E1734,'inventory ledger'!$A:$A,"&lt;="&amp;B1734+TIME(23,59,59))-SUMIFS('inventory ledger'!$I:$I,'inventory ledger'!$C:$C,C1734,'inventory ledger'!$D:$D,D1734,'inventory ledger'!$E:$E,E1734,'inventory ledger'!$A:$A,"&lt;="&amp;B1734+TIME(23,59,59)))</f>
        <v>0</v>
      </c>
      <c r="G1734" s="3">
        <f>IFERROR(__xludf.DUMMYFUNCTION("IF(F1734&lt;=0,0,IFERROR(ROUNDUP(F1734/INDEX(FILTER('warehouse config'!$D:$D,('warehouse config'!$B:$B=C1734)*('warehouse config'!$C:$C=D1734)*('warehouse config'!$G:$G&lt;=B1734)*(('warehouse config'!$H:$H&gt;=B1734)+ISBLANK('warehouse config'!$H:$H))),1)),0))"),0.0)</f>
        <v>0</v>
      </c>
      <c r="H1734" s="3">
        <f>IFERROR(__xludf.DUMMYFUNCTION("IFERROR(INDEX(FILTER('cost master'!$E:$E,('cost master'!$B:$B=C1734)*('cost master'!$D:$D=""Storage cost per pallet / week"")*('cost master'!$G:$G&lt;=B1734)*(('cost master'!$H:$H&gt;=B1734)+ISBLANK('cost master'!$H:$H))),1),0)"),2.6)</f>
        <v>2.6</v>
      </c>
      <c r="I1734" s="3">
        <f t="shared" si="4"/>
        <v>0</v>
      </c>
      <c r="J1734" s="27">
        <f t="shared" si="5"/>
        <v>46007</v>
      </c>
      <c r="K1734" s="27">
        <f t="shared" si="6"/>
        <v>46037</v>
      </c>
    </row>
    <row r="1735">
      <c r="A1735" s="3" t="str">
        <f t="shared" si="3"/>
        <v>SL-20251222-FMC-CS 008-11</v>
      </c>
      <c r="B1735" s="2">
        <f t="array" ref="B1735">INDEX(helper!$A$3:$A3996,ROUNDUP((ROW()-1)/COUNTA(helper!$D$3:$D3996),0))</f>
        <v>46013</v>
      </c>
      <c r="C1735" s="5" t="str">
        <f t="array" ref="C1735">IF(B1735="","",INDEX(helper!$D$3:$D3996,MOD(ROW()-2,COUNTA(helper!$D$3:$D3996))+1))</f>
        <v>FMC</v>
      </c>
      <c r="D1735" s="3" t="str">
        <f t="array" ref="D1735">IF(B1735="","",INDEX(helper!$E$3:$E3996,MOD(ROW()-2,COUNTA(helper!$D$3:$D3996))+1))</f>
        <v>CS 008</v>
      </c>
      <c r="E1735" s="3">
        <f t="array" ref="E1735">IF(B1735="","",INDEX(helper!$F$3:$F3996,MOD(ROW()-2,COUNTA(helper!$D$3:$D3996))+1))</f>
        <v>11</v>
      </c>
      <c r="F1735" s="3">
        <f>IF(B1735="","",SUMIFS('inventory ledger'!$H:$H,'inventory ledger'!$C:$C,C1735,'inventory ledger'!$D:$D,D1735,'inventory ledger'!$E:$E,E1735,'inventory ledger'!$A:$A,"&lt;="&amp;B1735+TIME(23,59,59))-SUMIFS('inventory ledger'!$I:$I,'inventory ledger'!$C:$C,C1735,'inventory ledger'!$D:$D,D1735,'inventory ledger'!$E:$E,E1735,'inventory ledger'!$A:$A,"&lt;="&amp;B1735+TIME(23,59,59)))</f>
        <v>-2</v>
      </c>
      <c r="G1735" s="3">
        <f>IFERROR(__xludf.DUMMYFUNCTION("IF(F1735&lt;=0,0,IFERROR(ROUNDUP(F1735/INDEX(FILTER('warehouse config'!$D:$D,('warehouse config'!$B:$B=C1735)*('warehouse config'!$C:$C=D1735)*('warehouse config'!$G:$G&lt;=B1735)*(('warehouse config'!$H:$H&gt;=B1735)+ISBLANK('warehouse config'!$H:$H))),1)),0))"),0.0)</f>
        <v>0</v>
      </c>
      <c r="H1735" s="3">
        <f>IFERROR(__xludf.DUMMYFUNCTION("IFERROR(INDEX(FILTER('cost master'!$E:$E,('cost master'!$B:$B=C1735)*('cost master'!$D:$D=""Storage cost per pallet / week"")*('cost master'!$G:$G&lt;=B1735)*(('cost master'!$H:$H&gt;=B1735)+ISBLANK('cost master'!$H:$H))),1),0)"),3.9)</f>
        <v>3.9</v>
      </c>
      <c r="I1735" s="3">
        <f t="shared" si="4"/>
        <v>0</v>
      </c>
      <c r="J1735" s="27">
        <f t="shared" si="5"/>
        <v>46007</v>
      </c>
      <c r="K1735" s="27">
        <f t="shared" si="6"/>
        <v>46037</v>
      </c>
    </row>
    <row r="1736" hidden="1">
      <c r="A1736" s="3" t="str">
        <f t="shared" si="3"/>
        <v>SL-20251229-FMC-CS 007-8</v>
      </c>
      <c r="B1736" s="2">
        <f t="array" ref="B1736">INDEX(helper!$A$3:$A3996,ROUNDUP((ROW()-1)/COUNTA(helper!$D$3:$D3996),0))</f>
        <v>46020</v>
      </c>
      <c r="C1736" s="5" t="str">
        <f t="array" ref="C1736">IF(B1736="","",INDEX(helper!$D$3:$D3996,MOD(ROW()-2,COUNTA(helper!$D$3:$D3996))+1))</f>
        <v>FMC</v>
      </c>
      <c r="D1736" s="3" t="str">
        <f t="array" ref="D1736">IF(B1736="","",INDEX(helper!$E$3:$E3996,MOD(ROW()-2,COUNTA(helper!$D$3:$D3996))+1))</f>
        <v>CS 007</v>
      </c>
      <c r="E1736" s="3">
        <f t="array" ref="E1736">IF(B1736="","",INDEX(helper!$F$3:$F3996,MOD(ROW()-2,COUNTA(helper!$D$3:$D3996))+1))</f>
        <v>8</v>
      </c>
      <c r="F1736" s="3">
        <f>IF(B1736="","",SUMIFS('inventory ledger'!$H:$H,'inventory ledger'!$C:$C,C1736,'inventory ledger'!$D:$D,D1736,'inventory ledger'!$E:$E,E1736,'inventory ledger'!$A:$A,"&lt;="&amp;B1736+TIME(23,59,59))-SUMIFS('inventory ledger'!$I:$I,'inventory ledger'!$C:$C,C1736,'inventory ledger'!$D:$D,D1736,'inventory ledger'!$E:$E,E1736,'inventory ledger'!$A:$A,"&lt;="&amp;B1736+TIME(23,59,59)))</f>
        <v>0</v>
      </c>
      <c r="G1736" s="3">
        <f>IFERROR(__xludf.DUMMYFUNCTION("IF(F1736&lt;=0,0,IFERROR(ROUNDUP(F1736/INDEX(FILTER('warehouse config'!$D:$D,('warehouse config'!$B:$B=C1736)*('warehouse config'!$C:$C=D1736)*('warehouse config'!$G:$G&lt;=B1736)*(('warehouse config'!$H:$H&gt;=B1736)+ISBLANK('warehouse config'!$H:$H))),1)),0))"),0.0)</f>
        <v>0</v>
      </c>
      <c r="H1736" s="3">
        <f>IFERROR(__xludf.DUMMYFUNCTION("IFERROR(INDEX(FILTER('cost master'!$E:$E,('cost master'!$B:$B=C1736)*('cost master'!$D:$D=""Storage cost per pallet / week"")*('cost master'!$G:$G&lt;=B1736)*(('cost master'!$H:$H&gt;=B1736)+ISBLANK('cost master'!$H:$H))),1),0)"),3.9)</f>
        <v>3.9</v>
      </c>
      <c r="I1736" s="3">
        <f t="shared" si="4"/>
        <v>0</v>
      </c>
      <c r="J1736" s="27">
        <f t="shared" si="5"/>
        <v>46007</v>
      </c>
      <c r="K1736" s="27">
        <f t="shared" si="6"/>
        <v>46037</v>
      </c>
    </row>
    <row r="1737" hidden="1">
      <c r="A1737" s="3" t="str">
        <f t="shared" si="3"/>
        <v>SL-20251229-FMC-CS 008-8</v>
      </c>
      <c r="B1737" s="2">
        <f t="array" ref="B1737">INDEX(helper!$A$3:$A3996,ROUNDUP((ROW()-1)/COUNTA(helper!$D$3:$D3996),0))</f>
        <v>46020</v>
      </c>
      <c r="C1737" s="5" t="str">
        <f t="array" ref="C1737">IF(B1737="","",INDEX(helper!$D$3:$D3996,MOD(ROW()-2,COUNTA(helper!$D$3:$D3996))+1))</f>
        <v>FMC</v>
      </c>
      <c r="D1737" s="3" t="str">
        <f t="array" ref="D1737">IF(B1737="","",INDEX(helper!$E$3:$E3996,MOD(ROW()-2,COUNTA(helper!$D$3:$D3996))+1))</f>
        <v>CS 008</v>
      </c>
      <c r="E1737" s="3">
        <f t="array" ref="E1737">IF(B1737="","",INDEX(helper!$F$3:$F3996,MOD(ROW()-2,COUNTA(helper!$D$3:$D3996))+1))</f>
        <v>8</v>
      </c>
      <c r="F1737" s="3">
        <f>IF(B1737="","",SUMIFS('inventory ledger'!$H:$H,'inventory ledger'!$C:$C,C1737,'inventory ledger'!$D:$D,D1737,'inventory ledger'!$E:$E,E1737,'inventory ledger'!$A:$A,"&lt;="&amp;B1737+TIME(23,59,59))-SUMIFS('inventory ledger'!$I:$I,'inventory ledger'!$C:$C,C1737,'inventory ledger'!$D:$D,D1737,'inventory ledger'!$E:$E,E1737,'inventory ledger'!$A:$A,"&lt;="&amp;B1737+TIME(23,59,59)))</f>
        <v>0</v>
      </c>
      <c r="G1737" s="3">
        <f>IFERROR(__xludf.DUMMYFUNCTION("IF(F1737&lt;=0,0,IFERROR(ROUNDUP(F1737/INDEX(FILTER('warehouse config'!$D:$D,('warehouse config'!$B:$B=C1737)*('warehouse config'!$C:$C=D1737)*('warehouse config'!$G:$G&lt;=B1737)*(('warehouse config'!$H:$H&gt;=B1737)+ISBLANK('warehouse config'!$H:$H))),1)),0))"),0.0)</f>
        <v>0</v>
      </c>
      <c r="H1737" s="3">
        <f>IFERROR(__xludf.DUMMYFUNCTION("IFERROR(INDEX(FILTER('cost master'!$E:$E,('cost master'!$B:$B=C1737)*('cost master'!$D:$D=""Storage cost per pallet / week"")*('cost master'!$G:$G&lt;=B1737)*(('cost master'!$H:$H&gt;=B1737)+ISBLANK('cost master'!$H:$H))),1),0)"),3.9)</f>
        <v>3.9</v>
      </c>
      <c r="I1737" s="3">
        <f t="shared" si="4"/>
        <v>0</v>
      </c>
      <c r="J1737" s="27">
        <f t="shared" si="5"/>
        <v>46007</v>
      </c>
      <c r="K1737" s="27">
        <f t="shared" si="6"/>
        <v>46037</v>
      </c>
    </row>
    <row r="1738" hidden="1">
      <c r="A1738" s="3" t="str">
        <f t="shared" si="3"/>
        <v>SL-20251229-FMC-CS 009-8</v>
      </c>
      <c r="B1738" s="2">
        <f t="array" ref="B1738">INDEX(helper!$A$3:$A3996,ROUNDUP((ROW()-1)/COUNTA(helper!$D$3:$D3996),0))</f>
        <v>46020</v>
      </c>
      <c r="C1738" s="5" t="str">
        <f t="array" ref="C1738">IF(B1738="","",INDEX(helper!$D$3:$D3996,MOD(ROW()-2,COUNTA(helper!$D$3:$D3996))+1))</f>
        <v>FMC</v>
      </c>
      <c r="D1738" s="3" t="str">
        <f t="array" ref="D1738">IF(B1738="","",INDEX(helper!$E$3:$E3996,MOD(ROW()-2,COUNTA(helper!$D$3:$D3996))+1))</f>
        <v>CS 009</v>
      </c>
      <c r="E1738" s="3">
        <f t="array" ref="E1738">IF(B1738="","",INDEX(helper!$F$3:$F3996,MOD(ROW()-2,COUNTA(helper!$D$3:$D3996))+1))</f>
        <v>8</v>
      </c>
      <c r="F1738" s="3">
        <f>IF(B1738="","",SUMIFS('inventory ledger'!$H:$H,'inventory ledger'!$C:$C,C1738,'inventory ledger'!$D:$D,D1738,'inventory ledger'!$E:$E,E1738,'inventory ledger'!$A:$A,"&lt;="&amp;B1738+TIME(23,59,59))-SUMIFS('inventory ledger'!$I:$I,'inventory ledger'!$C:$C,C1738,'inventory ledger'!$D:$D,D1738,'inventory ledger'!$E:$E,E1738,'inventory ledger'!$A:$A,"&lt;="&amp;B1738+TIME(23,59,59)))</f>
        <v>0</v>
      </c>
      <c r="G1738" s="3">
        <f>IFERROR(__xludf.DUMMYFUNCTION("IF(F1738&lt;=0,0,IFERROR(ROUNDUP(F1738/INDEX(FILTER('warehouse config'!$D:$D,('warehouse config'!$B:$B=C1738)*('warehouse config'!$C:$C=D1738)*('warehouse config'!$G:$G&lt;=B1738)*(('warehouse config'!$H:$H&gt;=B1738)+ISBLANK('warehouse config'!$H:$H))),1)),0))"),0.0)</f>
        <v>0</v>
      </c>
      <c r="H1738" s="3">
        <f>IFERROR(__xludf.DUMMYFUNCTION("IFERROR(INDEX(FILTER('cost master'!$E:$E,('cost master'!$B:$B=C1738)*('cost master'!$D:$D=""Storage cost per pallet / week"")*('cost master'!$G:$G&lt;=B1738)*(('cost master'!$H:$H&gt;=B1738)+ISBLANK('cost master'!$H:$H))),1),0)"),3.9)</f>
        <v>3.9</v>
      </c>
      <c r="I1738" s="3">
        <f t="shared" si="4"/>
        <v>0</v>
      </c>
      <c r="J1738" s="27">
        <f t="shared" si="5"/>
        <v>46007</v>
      </c>
      <c r="K1738" s="27">
        <f t="shared" si="6"/>
        <v>46037</v>
      </c>
    </row>
    <row r="1739" hidden="1">
      <c r="A1739" s="3" t="str">
        <f t="shared" si="3"/>
        <v>SL-20251229-FMC-CS 010-8</v>
      </c>
      <c r="B1739" s="2">
        <f t="array" ref="B1739">INDEX(helper!$A$3:$A3996,ROUNDUP((ROW()-1)/COUNTA(helper!$D$3:$D3996),0))</f>
        <v>46020</v>
      </c>
      <c r="C1739" s="5" t="str">
        <f t="array" ref="C1739">IF(B1739="","",INDEX(helper!$D$3:$D3996,MOD(ROW()-2,COUNTA(helper!$D$3:$D3996))+1))</f>
        <v>FMC</v>
      </c>
      <c r="D1739" s="3" t="str">
        <f t="array" ref="D1739">IF(B1739="","",INDEX(helper!$E$3:$E3996,MOD(ROW()-2,COUNTA(helper!$D$3:$D3996))+1))</f>
        <v>CS 010</v>
      </c>
      <c r="E1739" s="3">
        <f t="array" ref="E1739">IF(B1739="","",INDEX(helper!$F$3:$F3996,MOD(ROW()-2,COUNTA(helper!$D$3:$D3996))+1))</f>
        <v>8</v>
      </c>
      <c r="F1739" s="3">
        <f>IF(B1739="","",SUMIFS('inventory ledger'!$H:$H,'inventory ledger'!$C:$C,C1739,'inventory ledger'!$D:$D,D1739,'inventory ledger'!$E:$E,E1739,'inventory ledger'!$A:$A,"&lt;="&amp;B1739+TIME(23,59,59))-SUMIFS('inventory ledger'!$I:$I,'inventory ledger'!$C:$C,C1739,'inventory ledger'!$D:$D,D1739,'inventory ledger'!$E:$E,E1739,'inventory ledger'!$A:$A,"&lt;="&amp;B1739+TIME(23,59,59)))</f>
        <v>0</v>
      </c>
      <c r="G1739" s="3">
        <f>IFERROR(__xludf.DUMMYFUNCTION("IF(F1739&lt;=0,0,IFERROR(ROUNDUP(F1739/INDEX(FILTER('warehouse config'!$D:$D,('warehouse config'!$B:$B=C1739)*('warehouse config'!$C:$C=D1739)*('warehouse config'!$G:$G&lt;=B1739)*(('warehouse config'!$H:$H&gt;=B1739)+ISBLANK('warehouse config'!$H:$H))),1)),0))"),0.0)</f>
        <v>0</v>
      </c>
      <c r="H1739" s="3">
        <f>IFERROR(__xludf.DUMMYFUNCTION("IFERROR(INDEX(FILTER('cost master'!$E:$E,('cost master'!$B:$B=C1739)*('cost master'!$D:$D=""Storage cost per pallet / week"")*('cost master'!$G:$G&lt;=B1739)*(('cost master'!$H:$H&gt;=B1739)+ISBLANK('cost master'!$H:$H))),1),0)"),3.9)</f>
        <v>3.9</v>
      </c>
      <c r="I1739" s="3">
        <f t="shared" si="4"/>
        <v>0</v>
      </c>
      <c r="J1739" s="27">
        <f t="shared" si="5"/>
        <v>46007</v>
      </c>
      <c r="K1739" s="27">
        <f t="shared" si="6"/>
        <v>46037</v>
      </c>
    </row>
    <row r="1740" hidden="1">
      <c r="A1740" s="3" t="str">
        <f t="shared" si="3"/>
        <v>SL-20251229-FMC-CS 007-9</v>
      </c>
      <c r="B1740" s="2">
        <f t="array" ref="B1740">INDEX(helper!$A$3:$A3996,ROUNDUP((ROW()-1)/COUNTA(helper!$D$3:$D3996),0))</f>
        <v>46020</v>
      </c>
      <c r="C1740" s="5" t="str">
        <f t="array" ref="C1740">IF(B1740="","",INDEX(helper!$D$3:$D3996,MOD(ROW()-2,COUNTA(helper!$D$3:$D3996))+1))</f>
        <v>FMC</v>
      </c>
      <c r="D1740" s="3" t="str">
        <f t="array" ref="D1740">IF(B1740="","",INDEX(helper!$E$3:$E3996,MOD(ROW()-2,COUNTA(helper!$D$3:$D3996))+1))</f>
        <v>CS 007</v>
      </c>
      <c r="E1740" s="3">
        <f t="array" ref="E1740">IF(B1740="","",INDEX(helper!$F$3:$F3996,MOD(ROW()-2,COUNTA(helper!$D$3:$D3996))+1))</f>
        <v>9</v>
      </c>
      <c r="F1740" s="3">
        <f>IF(B1740="","",SUMIFS('inventory ledger'!$H:$H,'inventory ledger'!$C:$C,C1740,'inventory ledger'!$D:$D,D1740,'inventory ledger'!$E:$E,E1740,'inventory ledger'!$A:$A,"&lt;="&amp;B1740+TIME(23,59,59))-SUMIFS('inventory ledger'!$I:$I,'inventory ledger'!$C:$C,C1740,'inventory ledger'!$D:$D,D1740,'inventory ledger'!$E:$E,E1740,'inventory ledger'!$A:$A,"&lt;="&amp;B1740+TIME(23,59,59)))</f>
        <v>0</v>
      </c>
      <c r="G1740" s="3">
        <f>IFERROR(__xludf.DUMMYFUNCTION("IF(F1740&lt;=0,0,IFERROR(ROUNDUP(F1740/INDEX(FILTER('warehouse config'!$D:$D,('warehouse config'!$B:$B=C1740)*('warehouse config'!$C:$C=D1740)*('warehouse config'!$G:$G&lt;=B1740)*(('warehouse config'!$H:$H&gt;=B1740)+ISBLANK('warehouse config'!$H:$H))),1)),0))"),0.0)</f>
        <v>0</v>
      </c>
      <c r="H1740" s="3">
        <f>IFERROR(__xludf.DUMMYFUNCTION("IFERROR(INDEX(FILTER('cost master'!$E:$E,('cost master'!$B:$B=C1740)*('cost master'!$D:$D=""Storage cost per pallet / week"")*('cost master'!$G:$G&lt;=B1740)*(('cost master'!$H:$H&gt;=B1740)+ISBLANK('cost master'!$H:$H))),1),0)"),3.9)</f>
        <v>3.9</v>
      </c>
      <c r="I1740" s="3">
        <f t="shared" si="4"/>
        <v>0</v>
      </c>
      <c r="J1740" s="27">
        <f t="shared" si="5"/>
        <v>46007</v>
      </c>
      <c r="K1740" s="27">
        <f t="shared" si="6"/>
        <v>46037</v>
      </c>
    </row>
    <row r="1741" hidden="1">
      <c r="A1741" s="3" t="str">
        <f t="shared" si="3"/>
        <v>SL-20251229-FMC-CS 008-9</v>
      </c>
      <c r="B1741" s="2">
        <f t="array" ref="B1741">INDEX(helper!$A$3:$A3996,ROUNDUP((ROW()-1)/COUNTA(helper!$D$3:$D3996),0))</f>
        <v>46020</v>
      </c>
      <c r="C1741" s="5" t="str">
        <f t="array" ref="C1741">IF(B1741="","",INDEX(helper!$D$3:$D3996,MOD(ROW()-2,COUNTA(helper!$D$3:$D3996))+1))</f>
        <v>FMC</v>
      </c>
      <c r="D1741" s="3" t="str">
        <f t="array" ref="D1741">IF(B1741="","",INDEX(helper!$E$3:$E3996,MOD(ROW()-2,COUNTA(helper!$D$3:$D3996))+1))</f>
        <v>CS 008</v>
      </c>
      <c r="E1741" s="3">
        <f t="array" ref="E1741">IF(B1741="","",INDEX(helper!$F$3:$F3996,MOD(ROW()-2,COUNTA(helper!$D$3:$D3996))+1))</f>
        <v>9</v>
      </c>
      <c r="F1741" s="3">
        <f>IF(B1741="","",SUMIFS('inventory ledger'!$H:$H,'inventory ledger'!$C:$C,C1741,'inventory ledger'!$D:$D,D1741,'inventory ledger'!$E:$E,E1741,'inventory ledger'!$A:$A,"&lt;="&amp;B1741+TIME(23,59,59))-SUMIFS('inventory ledger'!$I:$I,'inventory ledger'!$C:$C,C1741,'inventory ledger'!$D:$D,D1741,'inventory ledger'!$E:$E,E1741,'inventory ledger'!$A:$A,"&lt;="&amp;B1741+TIME(23,59,59)))</f>
        <v>2</v>
      </c>
      <c r="G1741" s="3">
        <f>IFERROR(__xludf.DUMMYFUNCTION("IF(F1741&lt;=0,0,IFERROR(ROUNDUP(F1741/INDEX(FILTER('warehouse config'!$D:$D,('warehouse config'!$B:$B=C1741)*('warehouse config'!$C:$C=D1741)*('warehouse config'!$G:$G&lt;=B1741)*(('warehouse config'!$H:$H&gt;=B1741)+ISBLANK('warehouse config'!$H:$H))),1)),0))"),1.0)</f>
        <v>1</v>
      </c>
      <c r="H1741" s="3">
        <f>IFERROR(__xludf.DUMMYFUNCTION("IFERROR(INDEX(FILTER('cost master'!$E:$E,('cost master'!$B:$B=C1741)*('cost master'!$D:$D=""Storage cost per pallet / week"")*('cost master'!$G:$G&lt;=B1741)*(('cost master'!$H:$H&gt;=B1741)+ISBLANK('cost master'!$H:$H))),1),0)"),3.9)</f>
        <v>3.9</v>
      </c>
      <c r="I1741" s="3">
        <f t="shared" si="4"/>
        <v>3.9</v>
      </c>
      <c r="J1741" s="27">
        <f t="shared" si="5"/>
        <v>46007</v>
      </c>
      <c r="K1741" s="27">
        <f t="shared" si="6"/>
        <v>46037</v>
      </c>
    </row>
    <row r="1742" hidden="1">
      <c r="A1742" s="3" t="str">
        <f t="shared" si="3"/>
        <v>SL-20251229-FMC-CS 009-9</v>
      </c>
      <c r="B1742" s="2">
        <f t="array" ref="B1742">INDEX(helper!$A$3:$A3996,ROUNDUP((ROW()-1)/COUNTA(helper!$D$3:$D3996),0))</f>
        <v>46020</v>
      </c>
      <c r="C1742" s="5" t="str">
        <f t="array" ref="C1742">IF(B1742="","",INDEX(helper!$D$3:$D3996,MOD(ROW()-2,COUNTA(helper!$D$3:$D3996))+1))</f>
        <v>FMC</v>
      </c>
      <c r="D1742" s="3" t="str">
        <f t="array" ref="D1742">IF(B1742="","",INDEX(helper!$E$3:$E3996,MOD(ROW()-2,COUNTA(helper!$D$3:$D3996))+1))</f>
        <v>CS 009</v>
      </c>
      <c r="E1742" s="3">
        <f t="array" ref="E1742">IF(B1742="","",INDEX(helper!$F$3:$F3996,MOD(ROW()-2,COUNTA(helper!$D$3:$D3996))+1))</f>
        <v>9</v>
      </c>
      <c r="F1742" s="3">
        <f>IF(B1742="","",SUMIFS('inventory ledger'!$H:$H,'inventory ledger'!$C:$C,C1742,'inventory ledger'!$D:$D,D1742,'inventory ledger'!$E:$E,E1742,'inventory ledger'!$A:$A,"&lt;="&amp;B1742+TIME(23,59,59))-SUMIFS('inventory ledger'!$I:$I,'inventory ledger'!$C:$C,C1742,'inventory ledger'!$D:$D,D1742,'inventory ledger'!$E:$E,E1742,'inventory ledger'!$A:$A,"&lt;="&amp;B1742+TIME(23,59,59)))</f>
        <v>0</v>
      </c>
      <c r="G1742" s="3">
        <f>IFERROR(__xludf.DUMMYFUNCTION("IF(F1742&lt;=0,0,IFERROR(ROUNDUP(F1742/INDEX(FILTER('warehouse config'!$D:$D,('warehouse config'!$B:$B=C1742)*('warehouse config'!$C:$C=D1742)*('warehouse config'!$G:$G&lt;=B1742)*(('warehouse config'!$H:$H&gt;=B1742)+ISBLANK('warehouse config'!$H:$H))),1)),0))"),0.0)</f>
        <v>0</v>
      </c>
      <c r="H1742" s="3">
        <f>IFERROR(__xludf.DUMMYFUNCTION("IFERROR(INDEX(FILTER('cost master'!$E:$E,('cost master'!$B:$B=C1742)*('cost master'!$D:$D=""Storage cost per pallet / week"")*('cost master'!$G:$G&lt;=B1742)*(('cost master'!$H:$H&gt;=B1742)+ISBLANK('cost master'!$H:$H))),1),0)"),3.9)</f>
        <v>3.9</v>
      </c>
      <c r="I1742" s="3">
        <f t="shared" si="4"/>
        <v>0</v>
      </c>
      <c r="J1742" s="27">
        <f t="shared" si="5"/>
        <v>46007</v>
      </c>
      <c r="K1742" s="27">
        <f t="shared" si="6"/>
        <v>46037</v>
      </c>
    </row>
    <row r="1743" hidden="1">
      <c r="A1743" s="3" t="str">
        <f t="shared" si="3"/>
        <v>SL-20251229-FMC-CS 010-9</v>
      </c>
      <c r="B1743" s="2">
        <f t="array" ref="B1743">INDEX(helper!$A$3:$A3996,ROUNDUP((ROW()-1)/COUNTA(helper!$D$3:$D3996),0))</f>
        <v>46020</v>
      </c>
      <c r="C1743" s="5" t="str">
        <f t="array" ref="C1743">IF(B1743="","",INDEX(helper!$D$3:$D3996,MOD(ROW()-2,COUNTA(helper!$D$3:$D3996))+1))</f>
        <v>FMC</v>
      </c>
      <c r="D1743" s="3" t="str">
        <f t="array" ref="D1743">IF(B1743="","",INDEX(helper!$E$3:$E3996,MOD(ROW()-2,COUNTA(helper!$D$3:$D3996))+1))</f>
        <v>CS 010</v>
      </c>
      <c r="E1743" s="3">
        <f t="array" ref="E1743">IF(B1743="","",INDEX(helper!$F$3:$F3996,MOD(ROW()-2,COUNTA(helper!$D$3:$D3996))+1))</f>
        <v>9</v>
      </c>
      <c r="F1743" s="3">
        <f>IF(B1743="","",SUMIFS('inventory ledger'!$H:$H,'inventory ledger'!$C:$C,C1743,'inventory ledger'!$D:$D,D1743,'inventory ledger'!$E:$E,E1743,'inventory ledger'!$A:$A,"&lt;="&amp;B1743+TIME(23,59,59))-SUMIFS('inventory ledger'!$I:$I,'inventory ledger'!$C:$C,C1743,'inventory ledger'!$D:$D,D1743,'inventory ledger'!$E:$E,E1743,'inventory ledger'!$A:$A,"&lt;="&amp;B1743+TIME(23,59,59)))</f>
        <v>0</v>
      </c>
      <c r="G1743" s="3">
        <f>IFERROR(__xludf.DUMMYFUNCTION("IF(F1743&lt;=0,0,IFERROR(ROUNDUP(F1743/INDEX(FILTER('warehouse config'!$D:$D,('warehouse config'!$B:$B=C1743)*('warehouse config'!$C:$C=D1743)*('warehouse config'!$G:$G&lt;=B1743)*(('warehouse config'!$H:$H&gt;=B1743)+ISBLANK('warehouse config'!$H:$H))),1)),0))"),0.0)</f>
        <v>0</v>
      </c>
      <c r="H1743" s="3">
        <f>IFERROR(__xludf.DUMMYFUNCTION("IFERROR(INDEX(FILTER('cost master'!$E:$E,('cost master'!$B:$B=C1743)*('cost master'!$D:$D=""Storage cost per pallet / week"")*('cost master'!$G:$G&lt;=B1743)*(('cost master'!$H:$H&gt;=B1743)+ISBLANK('cost master'!$H:$H))),1),0)"),3.9)</f>
        <v>3.9</v>
      </c>
      <c r="I1743" s="3">
        <f t="shared" si="4"/>
        <v>0</v>
      </c>
      <c r="J1743" s="27">
        <f t="shared" si="5"/>
        <v>46007</v>
      </c>
      <c r="K1743" s="27">
        <f t="shared" si="6"/>
        <v>46037</v>
      </c>
    </row>
    <row r="1744" hidden="1">
      <c r="A1744" s="3" t="str">
        <f t="shared" si="3"/>
        <v>SL-20251229-FMC-CS-CDS-001-9</v>
      </c>
      <c r="B1744" s="2">
        <f t="array" ref="B1744">INDEX(helper!$A$3:$A3996,ROUNDUP((ROW()-1)/COUNTA(helper!$D$3:$D3996),0))</f>
        <v>46020</v>
      </c>
      <c r="C1744" s="5" t="str">
        <f t="array" ref="C1744">IF(B1744="","",INDEX(helper!$D$3:$D3996,MOD(ROW()-2,COUNTA(helper!$D$3:$D3996))+1))</f>
        <v>FMC</v>
      </c>
      <c r="D1744" s="3" t="str">
        <f t="array" ref="D1744">IF(B1744="","",INDEX(helper!$E$3:$E3996,MOD(ROW()-2,COUNTA(helper!$D$3:$D3996))+1))</f>
        <v>CS-CDS-001</v>
      </c>
      <c r="E1744" s="3">
        <f t="array" ref="E1744">IF(B1744="","",INDEX(helper!$F$3:$F3996,MOD(ROW()-2,COUNTA(helper!$D$3:$D3996))+1))</f>
        <v>9</v>
      </c>
      <c r="F1744" s="3">
        <f>IF(B1744="","",SUMIFS('inventory ledger'!$H:$H,'inventory ledger'!$C:$C,C1744,'inventory ledger'!$D:$D,D1744,'inventory ledger'!$E:$E,E1744,'inventory ledger'!$A:$A,"&lt;="&amp;B1744+TIME(23,59,59))-SUMIFS('inventory ledger'!$I:$I,'inventory ledger'!$C:$C,C1744,'inventory ledger'!$D:$D,D1744,'inventory ledger'!$E:$E,E1744,'inventory ledger'!$A:$A,"&lt;="&amp;B1744+TIME(23,59,59)))</f>
        <v>0</v>
      </c>
      <c r="G1744" s="3">
        <f>IFERROR(__xludf.DUMMYFUNCTION("IF(F1744&lt;=0,0,IFERROR(ROUNDUP(F1744/INDEX(FILTER('warehouse config'!$D:$D,('warehouse config'!$B:$B=C1744)*('warehouse config'!$C:$C=D1744)*('warehouse config'!$G:$G&lt;=B1744)*(('warehouse config'!$H:$H&gt;=B1744)+ISBLANK('warehouse config'!$H:$H))),1)),0))"),0.0)</f>
        <v>0</v>
      </c>
      <c r="H1744" s="3">
        <f>IFERROR(__xludf.DUMMYFUNCTION("IFERROR(INDEX(FILTER('cost master'!$E:$E,('cost master'!$B:$B=C1744)*('cost master'!$D:$D=""Storage cost per pallet / week"")*('cost master'!$G:$G&lt;=B1744)*(('cost master'!$H:$H&gt;=B1744)+ISBLANK('cost master'!$H:$H))),1),0)"),3.9)</f>
        <v>3.9</v>
      </c>
      <c r="I1744" s="3">
        <f t="shared" si="4"/>
        <v>0</v>
      </c>
      <c r="J1744" s="27">
        <f t="shared" si="5"/>
        <v>46007</v>
      </c>
      <c r="K1744" s="27">
        <f t="shared" si="6"/>
        <v>46037</v>
      </c>
    </row>
    <row r="1745" hidden="1">
      <c r="A1745" s="3" t="str">
        <f t="shared" si="3"/>
        <v>SL-20251229-FMC-CS-CDS-002-9</v>
      </c>
      <c r="B1745" s="2">
        <f t="array" ref="B1745">INDEX(helper!$A$3:$A3996,ROUNDUP((ROW()-1)/COUNTA(helper!$D$3:$D3996),0))</f>
        <v>46020</v>
      </c>
      <c r="C1745" s="5" t="str">
        <f t="array" ref="C1745">IF(B1745="","",INDEX(helper!$D$3:$D3996,MOD(ROW()-2,COUNTA(helper!$D$3:$D3996))+1))</f>
        <v>FMC</v>
      </c>
      <c r="D1745" s="3" t="str">
        <f t="array" ref="D1745">IF(B1745="","",INDEX(helper!$E$3:$E3996,MOD(ROW()-2,COUNTA(helper!$D$3:$D3996))+1))</f>
        <v>CS-CDS-002</v>
      </c>
      <c r="E1745" s="3">
        <f t="array" ref="E1745">IF(B1745="","",INDEX(helper!$F$3:$F3996,MOD(ROW()-2,COUNTA(helper!$D$3:$D3996))+1))</f>
        <v>9</v>
      </c>
      <c r="F1745" s="3">
        <f>IF(B1745="","",SUMIFS('inventory ledger'!$H:$H,'inventory ledger'!$C:$C,C1745,'inventory ledger'!$D:$D,D1745,'inventory ledger'!$E:$E,E1745,'inventory ledger'!$A:$A,"&lt;="&amp;B1745+TIME(23,59,59))-SUMIFS('inventory ledger'!$I:$I,'inventory ledger'!$C:$C,C1745,'inventory ledger'!$D:$D,D1745,'inventory ledger'!$E:$E,E1745,'inventory ledger'!$A:$A,"&lt;="&amp;B1745+TIME(23,59,59)))</f>
        <v>0</v>
      </c>
      <c r="G1745" s="3">
        <f>IFERROR(__xludf.DUMMYFUNCTION("IF(F1745&lt;=0,0,IFERROR(ROUNDUP(F1745/INDEX(FILTER('warehouse config'!$D:$D,('warehouse config'!$B:$B=C1745)*('warehouse config'!$C:$C=D1745)*('warehouse config'!$G:$G&lt;=B1745)*(('warehouse config'!$H:$H&gt;=B1745)+ISBLANK('warehouse config'!$H:$H))),1)),0))"),0.0)</f>
        <v>0</v>
      </c>
      <c r="H1745" s="3">
        <f>IFERROR(__xludf.DUMMYFUNCTION("IFERROR(INDEX(FILTER('cost master'!$E:$E,('cost master'!$B:$B=C1745)*('cost master'!$D:$D=""Storage cost per pallet / week"")*('cost master'!$G:$G&lt;=B1745)*(('cost master'!$H:$H&gt;=B1745)+ISBLANK('cost master'!$H:$H))),1),0)"),3.9)</f>
        <v>3.9</v>
      </c>
      <c r="I1745" s="3">
        <f t="shared" si="4"/>
        <v>0</v>
      </c>
      <c r="J1745" s="27">
        <f t="shared" si="5"/>
        <v>46007</v>
      </c>
      <c r="K1745" s="27">
        <f t="shared" si="6"/>
        <v>46037</v>
      </c>
    </row>
    <row r="1746" hidden="1">
      <c r="A1746" s="3" t="str">
        <f t="shared" si="3"/>
        <v>SL-20251229-FMC-CS 007-10</v>
      </c>
      <c r="B1746" s="2">
        <f t="array" ref="B1746">INDEX(helper!$A$3:$A3996,ROUNDUP((ROW()-1)/COUNTA(helper!$D$3:$D3996),0))</f>
        <v>46020</v>
      </c>
      <c r="C1746" s="5" t="str">
        <f t="array" ref="C1746">IF(B1746="","",INDEX(helper!$D$3:$D3996,MOD(ROW()-2,COUNTA(helper!$D$3:$D3996))+1))</f>
        <v>FMC</v>
      </c>
      <c r="D1746" s="3" t="str">
        <f t="array" ref="D1746">IF(B1746="","",INDEX(helper!$E$3:$E3996,MOD(ROW()-2,COUNTA(helper!$D$3:$D3996))+1))</f>
        <v>CS 007</v>
      </c>
      <c r="E1746" s="3">
        <f t="array" ref="E1746">IF(B1746="","",INDEX(helper!$F$3:$F3996,MOD(ROW()-2,COUNTA(helper!$D$3:$D3996))+1))</f>
        <v>10</v>
      </c>
      <c r="F1746" s="3">
        <f>IF(B1746="","",SUMIFS('inventory ledger'!$H:$H,'inventory ledger'!$C:$C,C1746,'inventory ledger'!$D:$D,D1746,'inventory ledger'!$E:$E,E1746,'inventory ledger'!$A:$A,"&lt;="&amp;B1746+TIME(23,59,59))-SUMIFS('inventory ledger'!$I:$I,'inventory ledger'!$C:$C,C1746,'inventory ledger'!$D:$D,D1746,'inventory ledger'!$E:$E,E1746,'inventory ledger'!$A:$A,"&lt;="&amp;B1746+TIME(23,59,59)))</f>
        <v>0</v>
      </c>
      <c r="G1746" s="3">
        <f>IFERROR(__xludf.DUMMYFUNCTION("IF(F1746&lt;=0,0,IFERROR(ROUNDUP(F1746/INDEX(FILTER('warehouse config'!$D:$D,('warehouse config'!$B:$B=C1746)*('warehouse config'!$C:$C=D1746)*('warehouse config'!$G:$G&lt;=B1746)*(('warehouse config'!$H:$H&gt;=B1746)+ISBLANK('warehouse config'!$H:$H))),1)),0))"),0.0)</f>
        <v>0</v>
      </c>
      <c r="H1746" s="3">
        <f>IFERROR(__xludf.DUMMYFUNCTION("IFERROR(INDEX(FILTER('cost master'!$E:$E,('cost master'!$B:$B=C1746)*('cost master'!$D:$D=""Storage cost per pallet / week"")*('cost master'!$G:$G&lt;=B1746)*(('cost master'!$H:$H&gt;=B1746)+ISBLANK('cost master'!$H:$H))),1),0)"),3.9)</f>
        <v>3.9</v>
      </c>
      <c r="I1746" s="3">
        <f t="shared" si="4"/>
        <v>0</v>
      </c>
      <c r="J1746" s="27">
        <f t="shared" si="5"/>
        <v>46007</v>
      </c>
      <c r="K1746" s="27">
        <f t="shared" si="6"/>
        <v>46037</v>
      </c>
    </row>
    <row r="1747" hidden="1">
      <c r="A1747" s="3" t="str">
        <f t="shared" si="3"/>
        <v>SL-20251229-FMC-CS 009-10</v>
      </c>
      <c r="B1747" s="2">
        <f t="array" ref="B1747">INDEX(helper!$A$3:$A3996,ROUNDUP((ROW()-1)/COUNTA(helper!$D$3:$D3996),0))</f>
        <v>46020</v>
      </c>
      <c r="C1747" s="5" t="str">
        <f t="array" ref="C1747">IF(B1747="","",INDEX(helper!$D$3:$D3996,MOD(ROW()-2,COUNTA(helper!$D$3:$D3996))+1))</f>
        <v>FMC</v>
      </c>
      <c r="D1747" s="3" t="str">
        <f t="array" ref="D1747">IF(B1747="","",INDEX(helper!$E$3:$E3996,MOD(ROW()-2,COUNTA(helper!$D$3:$D3996))+1))</f>
        <v>CS 009</v>
      </c>
      <c r="E1747" s="3">
        <f t="array" ref="E1747">IF(B1747="","",INDEX(helper!$F$3:$F3996,MOD(ROW()-2,COUNTA(helper!$D$3:$D3996))+1))</f>
        <v>10</v>
      </c>
      <c r="F1747" s="3">
        <f>IF(B1747="","",SUMIFS('inventory ledger'!$H:$H,'inventory ledger'!$C:$C,C1747,'inventory ledger'!$D:$D,D1747,'inventory ledger'!$E:$E,E1747,'inventory ledger'!$A:$A,"&lt;="&amp;B1747+TIME(23,59,59))-SUMIFS('inventory ledger'!$I:$I,'inventory ledger'!$C:$C,C1747,'inventory ledger'!$D:$D,D1747,'inventory ledger'!$E:$E,E1747,'inventory ledger'!$A:$A,"&lt;="&amp;B1747+TIME(23,59,59)))</f>
        <v>0</v>
      </c>
      <c r="G1747" s="3">
        <f>IFERROR(__xludf.DUMMYFUNCTION("IF(F1747&lt;=0,0,IFERROR(ROUNDUP(F1747/INDEX(FILTER('warehouse config'!$D:$D,('warehouse config'!$B:$B=C1747)*('warehouse config'!$C:$C=D1747)*('warehouse config'!$G:$G&lt;=B1747)*(('warehouse config'!$H:$H&gt;=B1747)+ISBLANK('warehouse config'!$H:$H))),1)),0))"),0.0)</f>
        <v>0</v>
      </c>
      <c r="H1747" s="3">
        <f>IFERROR(__xludf.DUMMYFUNCTION("IFERROR(INDEX(FILTER('cost master'!$E:$E,('cost master'!$B:$B=C1747)*('cost master'!$D:$D=""Storage cost per pallet / week"")*('cost master'!$G:$G&lt;=B1747)*(('cost master'!$H:$H&gt;=B1747)+ISBLANK('cost master'!$H:$H))),1),0)"),3.9)</f>
        <v>3.9</v>
      </c>
      <c r="I1747" s="3">
        <f t="shared" si="4"/>
        <v>0</v>
      </c>
      <c r="J1747" s="27">
        <f t="shared" si="5"/>
        <v>46007</v>
      </c>
      <c r="K1747" s="27">
        <f t="shared" si="6"/>
        <v>46037</v>
      </c>
    </row>
    <row r="1748" hidden="1">
      <c r="A1748" s="3" t="str">
        <f t="shared" si="3"/>
        <v>SL-20251229-FMC-CS 010-10</v>
      </c>
      <c r="B1748" s="2">
        <f t="array" ref="B1748">INDEX(helper!$A$3:$A3996,ROUNDUP((ROW()-1)/COUNTA(helper!$D$3:$D3996),0))</f>
        <v>46020</v>
      </c>
      <c r="C1748" s="5" t="str">
        <f t="array" ref="C1748">IF(B1748="","",INDEX(helper!$D$3:$D3996,MOD(ROW()-2,COUNTA(helper!$D$3:$D3996))+1))</f>
        <v>FMC</v>
      </c>
      <c r="D1748" s="3" t="str">
        <f t="array" ref="D1748">IF(B1748="","",INDEX(helper!$E$3:$E3996,MOD(ROW()-2,COUNTA(helper!$D$3:$D3996))+1))</f>
        <v>CS 010</v>
      </c>
      <c r="E1748" s="3">
        <f t="array" ref="E1748">IF(B1748="","",INDEX(helper!$F$3:$F3996,MOD(ROW()-2,COUNTA(helper!$D$3:$D3996))+1))</f>
        <v>10</v>
      </c>
      <c r="F1748" s="3">
        <f>IF(B1748="","",SUMIFS('inventory ledger'!$H:$H,'inventory ledger'!$C:$C,C1748,'inventory ledger'!$D:$D,D1748,'inventory ledger'!$E:$E,E1748,'inventory ledger'!$A:$A,"&lt;="&amp;B1748+TIME(23,59,59))-SUMIFS('inventory ledger'!$I:$I,'inventory ledger'!$C:$C,C1748,'inventory ledger'!$D:$D,D1748,'inventory ledger'!$E:$E,E1748,'inventory ledger'!$A:$A,"&lt;="&amp;B1748+TIME(23,59,59)))</f>
        <v>13</v>
      </c>
      <c r="G1748" s="3">
        <f>IFERROR(__xludf.DUMMYFUNCTION("IF(F1748&lt;=0,0,IFERROR(ROUNDUP(F1748/INDEX(FILTER('warehouse config'!$D:$D,('warehouse config'!$B:$B=C1748)*('warehouse config'!$C:$C=D1748)*('warehouse config'!$G:$G&lt;=B1748)*(('warehouse config'!$H:$H&gt;=B1748)+ISBLANK('warehouse config'!$H:$H))),1)),0))"),1.0)</f>
        <v>1</v>
      </c>
      <c r="H1748" s="3">
        <f>IFERROR(__xludf.DUMMYFUNCTION("IFERROR(INDEX(FILTER('cost master'!$E:$E,('cost master'!$B:$B=C1748)*('cost master'!$D:$D=""Storage cost per pallet / week"")*('cost master'!$G:$G&lt;=B1748)*(('cost master'!$H:$H&gt;=B1748)+ISBLANK('cost master'!$H:$H))),1),0)"),3.9)</f>
        <v>3.9</v>
      </c>
      <c r="I1748" s="3">
        <f t="shared" si="4"/>
        <v>3.9</v>
      </c>
      <c r="J1748" s="27">
        <f t="shared" si="5"/>
        <v>46007</v>
      </c>
      <c r="K1748" s="27">
        <f t="shared" si="6"/>
        <v>46037</v>
      </c>
    </row>
    <row r="1749" hidden="1">
      <c r="A1749" s="3" t="str">
        <f t="shared" si="3"/>
        <v>SL-20251229-FMC-CS-CDS-001-10</v>
      </c>
      <c r="B1749" s="2">
        <f t="array" ref="B1749">INDEX(helper!$A$3:$A3996,ROUNDUP((ROW()-1)/COUNTA(helper!$D$3:$D3996),0))</f>
        <v>46020</v>
      </c>
      <c r="C1749" s="5" t="str">
        <f t="array" ref="C1749">IF(B1749="","",INDEX(helper!$D$3:$D3996,MOD(ROW()-2,COUNTA(helper!$D$3:$D3996))+1))</f>
        <v>FMC</v>
      </c>
      <c r="D1749" s="3" t="str">
        <f t="array" ref="D1749">IF(B1749="","",INDEX(helper!$E$3:$E3996,MOD(ROW()-2,COUNTA(helper!$D$3:$D3996))+1))</f>
        <v>CS-CDS-001</v>
      </c>
      <c r="E1749" s="3">
        <f t="array" ref="E1749">IF(B1749="","",INDEX(helper!$F$3:$F3996,MOD(ROW()-2,COUNTA(helper!$D$3:$D3996))+1))</f>
        <v>10</v>
      </c>
      <c r="F1749" s="3">
        <f>IF(B1749="","",SUMIFS('inventory ledger'!$H:$H,'inventory ledger'!$C:$C,C1749,'inventory ledger'!$D:$D,D1749,'inventory ledger'!$E:$E,E1749,'inventory ledger'!$A:$A,"&lt;="&amp;B1749+TIME(23,59,59))-SUMIFS('inventory ledger'!$I:$I,'inventory ledger'!$C:$C,C1749,'inventory ledger'!$D:$D,D1749,'inventory ledger'!$E:$E,E1749,'inventory ledger'!$A:$A,"&lt;="&amp;B1749+TIME(23,59,59)))</f>
        <v>0</v>
      </c>
      <c r="G1749" s="3">
        <f>IFERROR(__xludf.DUMMYFUNCTION("IF(F1749&lt;=0,0,IFERROR(ROUNDUP(F1749/INDEX(FILTER('warehouse config'!$D:$D,('warehouse config'!$B:$B=C1749)*('warehouse config'!$C:$C=D1749)*('warehouse config'!$G:$G&lt;=B1749)*(('warehouse config'!$H:$H&gt;=B1749)+ISBLANK('warehouse config'!$H:$H))),1)),0))"),0.0)</f>
        <v>0</v>
      </c>
      <c r="H1749" s="3">
        <f>IFERROR(__xludf.DUMMYFUNCTION("IFERROR(INDEX(FILTER('cost master'!$E:$E,('cost master'!$B:$B=C1749)*('cost master'!$D:$D=""Storage cost per pallet / week"")*('cost master'!$G:$G&lt;=B1749)*(('cost master'!$H:$H&gt;=B1749)+ISBLANK('cost master'!$H:$H))),1),0)"),3.9)</f>
        <v>3.9</v>
      </c>
      <c r="I1749" s="3">
        <f t="shared" si="4"/>
        <v>0</v>
      </c>
      <c r="J1749" s="27">
        <f t="shared" si="5"/>
        <v>46007</v>
      </c>
      <c r="K1749" s="27">
        <f t="shared" si="6"/>
        <v>46037</v>
      </c>
    </row>
    <row r="1750">
      <c r="A1750" s="3" t="str">
        <f t="shared" si="3"/>
        <v>SL-20251229-FMC-CS 007-11</v>
      </c>
      <c r="B1750" s="2">
        <f t="array" ref="B1750">INDEX(helper!$A$3:$A3996,ROUNDUP((ROW()-1)/COUNTA(helper!$D$3:$D3996),0))</f>
        <v>46020</v>
      </c>
      <c r="C1750" s="5" t="str">
        <f t="array" ref="C1750">IF(B1750="","",INDEX(helper!$D$3:$D3996,MOD(ROW()-2,COUNTA(helper!$D$3:$D3996))+1))</f>
        <v>FMC</v>
      </c>
      <c r="D1750" s="3" t="str">
        <f t="array" ref="D1750">IF(B1750="","",INDEX(helper!$E$3:$E3996,MOD(ROW()-2,COUNTA(helper!$D$3:$D3996))+1))</f>
        <v>CS 007</v>
      </c>
      <c r="E1750" s="3">
        <f t="array" ref="E1750">IF(B1750="","",INDEX(helper!$F$3:$F3996,MOD(ROW()-2,COUNTA(helper!$D$3:$D3996))+1))</f>
        <v>11</v>
      </c>
      <c r="F1750" s="3">
        <f>IF(B1750="","",SUMIFS('inventory ledger'!$H:$H,'inventory ledger'!$C:$C,C1750,'inventory ledger'!$D:$D,D1750,'inventory ledger'!$E:$E,E1750,'inventory ledger'!$A:$A,"&lt;="&amp;B1750+TIME(23,59,59))-SUMIFS('inventory ledger'!$I:$I,'inventory ledger'!$C:$C,C1750,'inventory ledger'!$D:$D,D1750,'inventory ledger'!$E:$E,E1750,'inventory ledger'!$A:$A,"&lt;="&amp;B1750+TIME(23,59,59)))</f>
        <v>-1</v>
      </c>
      <c r="G1750" s="3">
        <f>IFERROR(__xludf.DUMMYFUNCTION("IF(F1750&lt;=0,0,IFERROR(ROUNDUP(F1750/INDEX(FILTER('warehouse config'!$D:$D,('warehouse config'!$B:$B=C1750)*('warehouse config'!$C:$C=D1750)*('warehouse config'!$G:$G&lt;=B1750)*(('warehouse config'!$H:$H&gt;=B1750)+ISBLANK('warehouse config'!$H:$H))),1)),0))"),0.0)</f>
        <v>0</v>
      </c>
      <c r="H1750" s="3">
        <f>IFERROR(__xludf.DUMMYFUNCTION("IFERROR(INDEX(FILTER('cost master'!$E:$E,('cost master'!$B:$B=C1750)*('cost master'!$D:$D=""Storage cost per pallet / week"")*('cost master'!$G:$G&lt;=B1750)*(('cost master'!$H:$H&gt;=B1750)+ISBLANK('cost master'!$H:$H))),1),0)"),3.9)</f>
        <v>3.9</v>
      </c>
      <c r="I1750" s="3">
        <f t="shared" si="4"/>
        <v>0</v>
      </c>
      <c r="J1750" s="27">
        <f t="shared" si="5"/>
        <v>46007</v>
      </c>
      <c r="K1750" s="27">
        <f t="shared" si="6"/>
        <v>46037</v>
      </c>
    </row>
    <row r="1751" hidden="1">
      <c r="A1751" s="3" t="str">
        <f t="shared" si="3"/>
        <v>SL-20251229-FMC-CS 009-11</v>
      </c>
      <c r="B1751" s="2">
        <f t="array" ref="B1751">INDEX(helper!$A$3:$A3996,ROUNDUP((ROW()-1)/COUNTA(helper!$D$3:$D3996),0))</f>
        <v>46020</v>
      </c>
      <c r="C1751" s="5" t="str">
        <f t="array" ref="C1751">IF(B1751="","",INDEX(helper!$D$3:$D3996,MOD(ROW()-2,COUNTA(helper!$D$3:$D3996))+1))</f>
        <v>FMC</v>
      </c>
      <c r="D1751" s="3" t="str">
        <f t="array" ref="D1751">IF(B1751="","",INDEX(helper!$E$3:$E3996,MOD(ROW()-2,COUNTA(helper!$D$3:$D3996))+1))</f>
        <v>CS 009</v>
      </c>
      <c r="E1751" s="3">
        <f t="array" ref="E1751">IF(B1751="","",INDEX(helper!$F$3:$F3996,MOD(ROW()-2,COUNTA(helper!$D$3:$D3996))+1))</f>
        <v>11</v>
      </c>
      <c r="F1751" s="3">
        <f>IF(B1751="","",SUMIFS('inventory ledger'!$H:$H,'inventory ledger'!$C:$C,C1751,'inventory ledger'!$D:$D,D1751,'inventory ledger'!$E:$E,E1751,'inventory ledger'!$A:$A,"&lt;="&amp;B1751+TIME(23,59,59))-SUMIFS('inventory ledger'!$I:$I,'inventory ledger'!$C:$C,C1751,'inventory ledger'!$D:$D,D1751,'inventory ledger'!$E:$E,E1751,'inventory ledger'!$A:$A,"&lt;="&amp;B1751+TIME(23,59,59)))</f>
        <v>0</v>
      </c>
      <c r="G1751" s="3">
        <f>IFERROR(__xludf.DUMMYFUNCTION("IF(F1751&lt;=0,0,IFERROR(ROUNDUP(F1751/INDEX(FILTER('warehouse config'!$D:$D,('warehouse config'!$B:$B=C1751)*('warehouse config'!$C:$C=D1751)*('warehouse config'!$G:$G&lt;=B1751)*(('warehouse config'!$H:$H&gt;=B1751)+ISBLANK('warehouse config'!$H:$H))),1)),0))"),0.0)</f>
        <v>0</v>
      </c>
      <c r="H1751" s="3">
        <f>IFERROR(__xludf.DUMMYFUNCTION("IFERROR(INDEX(FILTER('cost master'!$E:$E,('cost master'!$B:$B=C1751)*('cost master'!$D:$D=""Storage cost per pallet / week"")*('cost master'!$G:$G&lt;=B1751)*(('cost master'!$H:$H&gt;=B1751)+ISBLANK('cost master'!$H:$H))),1),0)"),3.9)</f>
        <v>3.9</v>
      </c>
      <c r="I1751" s="3">
        <f t="shared" si="4"/>
        <v>0</v>
      </c>
      <c r="J1751" s="27">
        <f t="shared" si="5"/>
        <v>46007</v>
      </c>
      <c r="K1751" s="27">
        <f t="shared" si="6"/>
        <v>46037</v>
      </c>
    </row>
    <row r="1752" hidden="1">
      <c r="A1752" s="3" t="str">
        <f t="shared" si="3"/>
        <v>SL-20251229-FMC-CS 010-11</v>
      </c>
      <c r="B1752" s="2">
        <f t="array" ref="B1752">INDEX(helper!$A$3:$A3996,ROUNDUP((ROW()-1)/COUNTA(helper!$D$3:$D3996),0))</f>
        <v>46020</v>
      </c>
      <c r="C1752" s="5" t="str">
        <f t="array" ref="C1752">IF(B1752="","",INDEX(helper!$D$3:$D3996,MOD(ROW()-2,COUNTA(helper!$D$3:$D3996))+1))</f>
        <v>FMC</v>
      </c>
      <c r="D1752" s="3" t="str">
        <f t="array" ref="D1752">IF(B1752="","",INDEX(helper!$E$3:$E3996,MOD(ROW()-2,COUNTA(helper!$D$3:$D3996))+1))</f>
        <v>CS 010</v>
      </c>
      <c r="E1752" s="3">
        <f t="array" ref="E1752">IF(B1752="","",INDEX(helper!$F$3:$F3996,MOD(ROW()-2,COUNTA(helper!$D$3:$D3996))+1))</f>
        <v>11</v>
      </c>
      <c r="F1752" s="3">
        <f>IF(B1752="","",SUMIFS('inventory ledger'!$H:$H,'inventory ledger'!$C:$C,C1752,'inventory ledger'!$D:$D,D1752,'inventory ledger'!$E:$E,E1752,'inventory ledger'!$A:$A,"&lt;="&amp;B1752+TIME(23,59,59))-SUMIFS('inventory ledger'!$I:$I,'inventory ledger'!$C:$C,C1752,'inventory ledger'!$D:$D,D1752,'inventory ledger'!$E:$E,E1752,'inventory ledger'!$A:$A,"&lt;="&amp;B1752+TIME(23,59,59)))</f>
        <v>6</v>
      </c>
      <c r="G1752" s="3">
        <f>IFERROR(__xludf.DUMMYFUNCTION("IF(F1752&lt;=0,0,IFERROR(ROUNDUP(F1752/INDEX(FILTER('warehouse config'!$D:$D,('warehouse config'!$B:$B=C1752)*('warehouse config'!$C:$C=D1752)*('warehouse config'!$G:$G&lt;=B1752)*(('warehouse config'!$H:$H&gt;=B1752)+ISBLANK('warehouse config'!$H:$H))),1)),0))"),1.0)</f>
        <v>1</v>
      </c>
      <c r="H1752" s="3">
        <f>IFERROR(__xludf.DUMMYFUNCTION("IFERROR(INDEX(FILTER('cost master'!$E:$E,('cost master'!$B:$B=C1752)*('cost master'!$D:$D=""Storage cost per pallet / week"")*('cost master'!$G:$G&lt;=B1752)*(('cost master'!$H:$H&gt;=B1752)+ISBLANK('cost master'!$H:$H))),1),0)"),3.9)</f>
        <v>3.9</v>
      </c>
      <c r="I1752" s="3">
        <f t="shared" si="4"/>
        <v>3.9</v>
      </c>
      <c r="J1752" s="27">
        <f t="shared" si="5"/>
        <v>46007</v>
      </c>
      <c r="K1752" s="27">
        <f t="shared" si="6"/>
        <v>46037</v>
      </c>
    </row>
    <row r="1753" hidden="1">
      <c r="A1753" s="3" t="str">
        <f t="shared" si="3"/>
        <v>SL-20251229-Vglobal-CS 007-12</v>
      </c>
      <c r="B1753" s="2">
        <f t="array" ref="B1753">INDEX(helper!$A$3:$A3996,ROUNDUP((ROW()-1)/COUNTA(helper!$D$3:$D3996),0))</f>
        <v>46020</v>
      </c>
      <c r="C1753" s="5" t="str">
        <f t="array" ref="C1753">IF(B1753="","",INDEX(helper!$D$3:$D3996,MOD(ROW()-2,COUNTA(helper!$D$3:$D3996))+1))</f>
        <v>Vglobal</v>
      </c>
      <c r="D1753" s="3" t="str">
        <f t="array" ref="D1753">IF(B1753="","",INDEX(helper!$E$3:$E3996,MOD(ROW()-2,COUNTA(helper!$D$3:$D3996))+1))</f>
        <v>CS 007</v>
      </c>
      <c r="E1753" s="3">
        <f t="array" ref="E1753">IF(B1753="","",INDEX(helper!$F$3:$F3996,MOD(ROW()-2,COUNTA(helper!$D$3:$D3996))+1))</f>
        <v>12</v>
      </c>
      <c r="F1753" s="3">
        <f>IF(B1753="","",SUMIFS('inventory ledger'!$H:$H,'inventory ledger'!$C:$C,C1753,'inventory ledger'!$D:$D,D1753,'inventory ledger'!$E:$E,E1753,'inventory ledger'!$A:$A,"&lt;="&amp;B1753+TIME(23,59,59))-SUMIFS('inventory ledger'!$I:$I,'inventory ledger'!$C:$C,C1753,'inventory ledger'!$D:$D,D1753,'inventory ledger'!$E:$E,E1753,'inventory ledger'!$A:$A,"&lt;="&amp;B1753+TIME(23,59,59)))</f>
        <v>0</v>
      </c>
      <c r="G1753" s="3">
        <f>IFERROR(__xludf.DUMMYFUNCTION("IF(F1753&lt;=0,0,IFERROR(ROUNDUP(F1753/INDEX(FILTER('warehouse config'!$D:$D,('warehouse config'!$B:$B=C1753)*('warehouse config'!$C:$C=D1753)*('warehouse config'!$G:$G&lt;=B1753)*(('warehouse config'!$H:$H&gt;=B1753)+ISBLANK('warehouse config'!$H:$H))),1)),0))"),0.0)</f>
        <v>0</v>
      </c>
      <c r="H1753" s="3">
        <f>IFERROR(__xludf.DUMMYFUNCTION("IFERROR(INDEX(FILTER('cost master'!$E:$E,('cost master'!$B:$B=C1753)*('cost master'!$D:$D=""Storage cost per pallet / week"")*('cost master'!$G:$G&lt;=B1753)*(('cost master'!$H:$H&gt;=B1753)+ISBLANK('cost master'!$H:$H))),1),0)"),2.6)</f>
        <v>2.6</v>
      </c>
      <c r="I1753" s="3">
        <f t="shared" si="4"/>
        <v>0</v>
      </c>
      <c r="J1753" s="27">
        <f t="shared" si="5"/>
        <v>46007</v>
      </c>
      <c r="K1753" s="27">
        <f t="shared" si="6"/>
        <v>46037</v>
      </c>
    </row>
    <row r="1754" hidden="1">
      <c r="A1754" s="3" t="str">
        <f t="shared" si="3"/>
        <v>SL-20251229-Vglobal-CS 011-12</v>
      </c>
      <c r="B1754" s="2">
        <f t="array" ref="B1754">INDEX(helper!$A$3:$A3996,ROUNDUP((ROW()-1)/COUNTA(helper!$D$3:$D3996),0))</f>
        <v>46020</v>
      </c>
      <c r="C1754" s="5" t="str">
        <f t="array" ref="C1754">IF(B1754="","",INDEX(helper!$D$3:$D3996,MOD(ROW()-2,COUNTA(helper!$D$3:$D3996))+1))</f>
        <v>Vglobal</v>
      </c>
      <c r="D1754" s="3" t="str">
        <f t="array" ref="D1754">IF(B1754="","",INDEX(helper!$E$3:$E3996,MOD(ROW()-2,COUNTA(helper!$D$3:$D3996))+1))</f>
        <v>CS 011</v>
      </c>
      <c r="E1754" s="3">
        <f t="array" ref="E1754">IF(B1754="","",INDEX(helper!$F$3:$F3996,MOD(ROW()-2,COUNTA(helper!$D$3:$D3996))+1))</f>
        <v>12</v>
      </c>
      <c r="F1754" s="3">
        <f>IF(B1754="","",SUMIFS('inventory ledger'!$H:$H,'inventory ledger'!$C:$C,C1754,'inventory ledger'!$D:$D,D1754,'inventory ledger'!$E:$E,E1754,'inventory ledger'!$A:$A,"&lt;="&amp;B1754+TIME(23,59,59))-SUMIFS('inventory ledger'!$I:$I,'inventory ledger'!$C:$C,C1754,'inventory ledger'!$D:$D,D1754,'inventory ledger'!$E:$E,E1754,'inventory ledger'!$A:$A,"&lt;="&amp;B1754+TIME(23,59,59)))</f>
        <v>0</v>
      </c>
      <c r="G1754" s="3">
        <f>IFERROR(__xludf.DUMMYFUNCTION("IF(F1754&lt;=0,0,IFERROR(ROUNDUP(F1754/INDEX(FILTER('warehouse config'!$D:$D,('warehouse config'!$B:$B=C1754)*('warehouse config'!$C:$C=D1754)*('warehouse config'!$G:$G&lt;=B1754)*(('warehouse config'!$H:$H&gt;=B1754)+ISBLANK('warehouse config'!$H:$H))),1)),0))"),0.0)</f>
        <v>0</v>
      </c>
      <c r="H1754" s="3">
        <f>IFERROR(__xludf.DUMMYFUNCTION("IFERROR(INDEX(FILTER('cost master'!$E:$E,('cost master'!$B:$B=C1754)*('cost master'!$D:$D=""Storage cost per pallet / week"")*('cost master'!$G:$G&lt;=B1754)*(('cost master'!$H:$H&gt;=B1754)+ISBLANK('cost master'!$H:$H))),1),0)"),2.6)</f>
        <v>2.6</v>
      </c>
      <c r="I1754" s="3">
        <f t="shared" si="4"/>
        <v>0</v>
      </c>
      <c r="J1754" s="27">
        <f t="shared" si="5"/>
        <v>46007</v>
      </c>
      <c r="K1754" s="27">
        <f t="shared" si="6"/>
        <v>46037</v>
      </c>
    </row>
    <row r="1755" hidden="1">
      <c r="A1755" s="3" t="str">
        <f t="shared" si="3"/>
        <v>SL-20251229-Vglobal-CS 008-12</v>
      </c>
      <c r="B1755" s="2">
        <f t="array" ref="B1755">INDEX(helper!$A$3:$A3996,ROUNDUP((ROW()-1)/COUNTA(helper!$D$3:$D3996),0))</f>
        <v>46020</v>
      </c>
      <c r="C1755" s="5" t="str">
        <f t="array" ref="C1755">IF(B1755="","",INDEX(helper!$D$3:$D3996,MOD(ROW()-2,COUNTA(helper!$D$3:$D3996))+1))</f>
        <v>Vglobal</v>
      </c>
      <c r="D1755" s="3" t="str">
        <f t="array" ref="D1755">IF(B1755="","",INDEX(helper!$E$3:$E3996,MOD(ROW()-2,COUNTA(helper!$D$3:$D3996))+1))</f>
        <v>CS 008</v>
      </c>
      <c r="E1755" s="3">
        <f t="array" ref="E1755">IF(B1755="","",INDEX(helper!$F$3:$F3996,MOD(ROW()-2,COUNTA(helper!$D$3:$D3996))+1))</f>
        <v>12</v>
      </c>
      <c r="F1755" s="3">
        <f>IF(B1755="","",SUMIFS('inventory ledger'!$H:$H,'inventory ledger'!$C:$C,C1755,'inventory ledger'!$D:$D,D1755,'inventory ledger'!$E:$E,E1755,'inventory ledger'!$A:$A,"&lt;="&amp;B1755+TIME(23,59,59))-SUMIFS('inventory ledger'!$I:$I,'inventory ledger'!$C:$C,C1755,'inventory ledger'!$D:$D,D1755,'inventory ledger'!$E:$E,E1755,'inventory ledger'!$A:$A,"&lt;="&amp;B1755+TIME(23,59,59)))</f>
        <v>0</v>
      </c>
      <c r="G1755" s="3">
        <f>IFERROR(__xludf.DUMMYFUNCTION("IF(F1755&lt;=0,0,IFERROR(ROUNDUP(F1755/INDEX(FILTER('warehouse config'!$D:$D,('warehouse config'!$B:$B=C1755)*('warehouse config'!$C:$C=D1755)*('warehouse config'!$G:$G&lt;=B1755)*(('warehouse config'!$H:$H&gt;=B1755)+ISBLANK('warehouse config'!$H:$H))),1)),0))"),0.0)</f>
        <v>0</v>
      </c>
      <c r="H1755" s="3">
        <f>IFERROR(__xludf.DUMMYFUNCTION("IFERROR(INDEX(FILTER('cost master'!$E:$E,('cost master'!$B:$B=C1755)*('cost master'!$D:$D=""Storage cost per pallet / week"")*('cost master'!$G:$G&lt;=B1755)*(('cost master'!$H:$H&gt;=B1755)+ISBLANK('cost master'!$H:$H))),1),0)"),2.6)</f>
        <v>2.6</v>
      </c>
      <c r="I1755" s="3">
        <f t="shared" si="4"/>
        <v>0</v>
      </c>
      <c r="J1755" s="27">
        <f t="shared" si="5"/>
        <v>46007</v>
      </c>
      <c r="K1755" s="27">
        <f t="shared" si="6"/>
        <v>46037</v>
      </c>
    </row>
    <row r="1756" hidden="1">
      <c r="A1756" s="3" t="str">
        <f t="shared" si="3"/>
        <v>SL-20251229-Vglobal-CS 010-12</v>
      </c>
      <c r="B1756" s="2">
        <f t="array" ref="B1756">INDEX(helper!$A$3:$A3996,ROUNDUP((ROW()-1)/COUNTA(helper!$D$3:$D3996),0))</f>
        <v>46020</v>
      </c>
      <c r="C1756" s="5" t="str">
        <f t="array" ref="C1756">IF(B1756="","",INDEX(helper!$D$3:$D3996,MOD(ROW()-2,COUNTA(helper!$D$3:$D3996))+1))</f>
        <v>Vglobal</v>
      </c>
      <c r="D1756" s="3" t="str">
        <f t="array" ref="D1756">IF(B1756="","",INDEX(helper!$E$3:$E3996,MOD(ROW()-2,COUNTA(helper!$D$3:$D3996))+1))</f>
        <v>CS 010</v>
      </c>
      <c r="E1756" s="3">
        <f t="array" ref="E1756">IF(B1756="","",INDEX(helper!$F$3:$F3996,MOD(ROW()-2,COUNTA(helper!$D$3:$D3996))+1))</f>
        <v>12</v>
      </c>
      <c r="F1756" s="3">
        <f>IF(B1756="","",SUMIFS('inventory ledger'!$H:$H,'inventory ledger'!$C:$C,C1756,'inventory ledger'!$D:$D,D1756,'inventory ledger'!$E:$E,E1756,'inventory ledger'!$A:$A,"&lt;="&amp;B1756+TIME(23,59,59))-SUMIFS('inventory ledger'!$I:$I,'inventory ledger'!$C:$C,C1756,'inventory ledger'!$D:$D,D1756,'inventory ledger'!$E:$E,E1756,'inventory ledger'!$A:$A,"&lt;="&amp;B1756+TIME(23,59,59)))</f>
        <v>70</v>
      </c>
      <c r="G1756" s="3">
        <f>IFERROR(__xludf.DUMMYFUNCTION("IF(F1756&lt;=0,0,IFERROR(ROUNDUP(F1756/INDEX(FILTER('warehouse config'!$D:$D,('warehouse config'!$B:$B=C1756)*('warehouse config'!$C:$C=D1756)*('warehouse config'!$G:$G&lt;=B1756)*(('warehouse config'!$H:$H&gt;=B1756)+ISBLANK('warehouse config'!$H:$H))),1)),0))"),3.0)</f>
        <v>3</v>
      </c>
      <c r="H1756" s="3">
        <f>IFERROR(__xludf.DUMMYFUNCTION("IFERROR(INDEX(FILTER('cost master'!$E:$E,('cost master'!$B:$B=C1756)*('cost master'!$D:$D=""Storage cost per pallet / week"")*('cost master'!$G:$G&lt;=B1756)*(('cost master'!$H:$H&gt;=B1756)+ISBLANK('cost master'!$H:$H))),1),0)"),2.6)</f>
        <v>2.6</v>
      </c>
      <c r="I1756" s="3">
        <f t="shared" si="4"/>
        <v>7.8</v>
      </c>
      <c r="J1756" s="27">
        <f t="shared" si="5"/>
        <v>46007</v>
      </c>
      <c r="K1756" s="27">
        <f t="shared" si="6"/>
        <v>46037</v>
      </c>
    </row>
    <row r="1757" hidden="1">
      <c r="A1757" s="3" t="str">
        <f t="shared" si="3"/>
        <v>SL-20251229-Vglobal-CS 009-12</v>
      </c>
      <c r="B1757" s="2">
        <f t="array" ref="B1757">INDEX(helper!$A$3:$A3996,ROUNDUP((ROW()-1)/COUNTA(helper!$D$3:$D3996),0))</f>
        <v>46020</v>
      </c>
      <c r="C1757" s="5" t="str">
        <f t="array" ref="C1757">IF(B1757="","",INDEX(helper!$D$3:$D3996,MOD(ROW()-2,COUNTA(helper!$D$3:$D3996))+1))</f>
        <v>Vglobal</v>
      </c>
      <c r="D1757" s="3" t="str">
        <f t="array" ref="D1757">IF(B1757="","",INDEX(helper!$E$3:$E3996,MOD(ROW()-2,COUNTA(helper!$D$3:$D3996))+1))</f>
        <v>CS 009</v>
      </c>
      <c r="E1757" s="3">
        <f t="array" ref="E1757">IF(B1757="","",INDEX(helper!$F$3:$F3996,MOD(ROW()-2,COUNTA(helper!$D$3:$D3996))+1))</f>
        <v>12</v>
      </c>
      <c r="F1757" s="3">
        <f>IF(B1757="","",SUMIFS('inventory ledger'!$H:$H,'inventory ledger'!$C:$C,C1757,'inventory ledger'!$D:$D,D1757,'inventory ledger'!$E:$E,E1757,'inventory ledger'!$A:$A,"&lt;="&amp;B1757+TIME(23,59,59))-SUMIFS('inventory ledger'!$I:$I,'inventory ledger'!$C:$C,C1757,'inventory ledger'!$D:$D,D1757,'inventory ledger'!$E:$E,E1757,'inventory ledger'!$A:$A,"&lt;="&amp;B1757+TIME(23,59,59)))</f>
        <v>0</v>
      </c>
      <c r="G1757" s="3">
        <f>IFERROR(__xludf.DUMMYFUNCTION("IF(F1757&lt;=0,0,IFERROR(ROUNDUP(F1757/INDEX(FILTER('warehouse config'!$D:$D,('warehouse config'!$B:$B=C1757)*('warehouse config'!$C:$C=D1757)*('warehouse config'!$G:$G&lt;=B1757)*(('warehouse config'!$H:$H&gt;=B1757)+ISBLANK('warehouse config'!$H:$H))),1)),0))"),0.0)</f>
        <v>0</v>
      </c>
      <c r="H1757" s="3">
        <f>IFERROR(__xludf.DUMMYFUNCTION("IFERROR(INDEX(FILTER('cost master'!$E:$E,('cost master'!$B:$B=C1757)*('cost master'!$D:$D=""Storage cost per pallet / week"")*('cost master'!$G:$G&lt;=B1757)*(('cost master'!$H:$H&gt;=B1757)+ISBLANK('cost master'!$H:$H))),1),0)"),2.6)</f>
        <v>2.6</v>
      </c>
      <c r="I1757" s="3">
        <f t="shared" si="4"/>
        <v>0</v>
      </c>
      <c r="J1757" s="27">
        <f t="shared" si="5"/>
        <v>46007</v>
      </c>
      <c r="K1757" s="27">
        <f t="shared" si="6"/>
        <v>46037</v>
      </c>
    </row>
    <row r="1758" hidden="1">
      <c r="A1758" s="3" t="str">
        <f t="shared" si="3"/>
        <v>SL-20251229-Vglobal-CS 012-12</v>
      </c>
      <c r="B1758" s="2">
        <f t="array" ref="B1758">INDEX(helper!$A$3:$A3996,ROUNDUP((ROW()-1)/COUNTA(helper!$D$3:$D3996),0))</f>
        <v>46020</v>
      </c>
      <c r="C1758" s="5" t="str">
        <f t="array" ref="C1758">IF(B1758="","",INDEX(helper!$D$3:$D3996,MOD(ROW()-2,COUNTA(helper!$D$3:$D3996))+1))</f>
        <v>Vglobal</v>
      </c>
      <c r="D1758" s="3" t="str">
        <f t="array" ref="D1758">IF(B1758="","",INDEX(helper!$E$3:$E3996,MOD(ROW()-2,COUNTA(helper!$D$3:$D3996))+1))</f>
        <v>CS 012</v>
      </c>
      <c r="E1758" s="3">
        <f t="array" ref="E1758">IF(B1758="","",INDEX(helper!$F$3:$F3996,MOD(ROW()-2,COUNTA(helper!$D$3:$D3996))+1))</f>
        <v>12</v>
      </c>
      <c r="F1758" s="3">
        <f>IF(B1758="","",SUMIFS('inventory ledger'!$H:$H,'inventory ledger'!$C:$C,C1758,'inventory ledger'!$D:$D,D1758,'inventory ledger'!$E:$E,E1758,'inventory ledger'!$A:$A,"&lt;="&amp;B1758+TIME(23,59,59))-SUMIFS('inventory ledger'!$I:$I,'inventory ledger'!$C:$C,C1758,'inventory ledger'!$D:$D,D1758,'inventory ledger'!$E:$E,E1758,'inventory ledger'!$A:$A,"&lt;="&amp;B1758+TIME(23,59,59)))</f>
        <v>0</v>
      </c>
      <c r="G1758" s="3">
        <f>IFERROR(__xludf.DUMMYFUNCTION("IF(F1758&lt;=0,0,IFERROR(ROUNDUP(F1758/INDEX(FILTER('warehouse config'!$D:$D,('warehouse config'!$B:$B=C1758)*('warehouse config'!$C:$C=D1758)*('warehouse config'!$G:$G&lt;=B1758)*(('warehouse config'!$H:$H&gt;=B1758)+ISBLANK('warehouse config'!$H:$H))),1)),0))"),0.0)</f>
        <v>0</v>
      </c>
      <c r="H1758" s="3">
        <f>IFERROR(__xludf.DUMMYFUNCTION("IFERROR(INDEX(FILTER('cost master'!$E:$E,('cost master'!$B:$B=C1758)*('cost master'!$D:$D=""Storage cost per pallet / week"")*('cost master'!$G:$G&lt;=B1758)*(('cost master'!$H:$H&gt;=B1758)+ISBLANK('cost master'!$H:$H))),1),0)"),2.6)</f>
        <v>2.6</v>
      </c>
      <c r="I1758" s="3">
        <f t="shared" si="4"/>
        <v>0</v>
      </c>
      <c r="J1758" s="27">
        <f t="shared" si="5"/>
        <v>46007</v>
      </c>
      <c r="K1758" s="27">
        <f t="shared" si="6"/>
        <v>46037</v>
      </c>
    </row>
    <row r="1759" hidden="1">
      <c r="A1759" s="3" t="str">
        <f t="shared" si="3"/>
        <v>SL-20251229-Vglobal-CS-CDS-001-3</v>
      </c>
      <c r="B1759" s="2">
        <f t="array" ref="B1759">INDEX(helper!$A$3:$A3996,ROUNDUP((ROW()-1)/COUNTA(helper!$D$3:$D3996),0))</f>
        <v>46020</v>
      </c>
      <c r="C1759" s="5" t="str">
        <f t="array" ref="C1759">IF(B1759="","",INDEX(helper!$D$3:$D3996,MOD(ROW()-2,COUNTA(helper!$D$3:$D3996))+1))</f>
        <v>Vglobal</v>
      </c>
      <c r="D1759" s="3" t="str">
        <f t="array" ref="D1759">IF(B1759="","",INDEX(helper!$E$3:$E3996,MOD(ROW()-2,COUNTA(helper!$D$3:$D3996))+1))</f>
        <v>CS-CDS-001</v>
      </c>
      <c r="E1759" s="3">
        <f t="array" ref="E1759">IF(B1759="","",INDEX(helper!$F$3:$F3996,MOD(ROW()-2,COUNTA(helper!$D$3:$D3996))+1))</f>
        <v>3</v>
      </c>
      <c r="F1759" s="3">
        <f>IF(B1759="","",SUMIFS('inventory ledger'!$H:$H,'inventory ledger'!$C:$C,C1759,'inventory ledger'!$D:$D,D1759,'inventory ledger'!$E:$E,E1759,'inventory ledger'!$A:$A,"&lt;="&amp;B1759+TIME(23,59,59))-SUMIFS('inventory ledger'!$I:$I,'inventory ledger'!$C:$C,C1759,'inventory ledger'!$D:$D,D1759,'inventory ledger'!$E:$E,E1759,'inventory ledger'!$A:$A,"&lt;="&amp;B1759+TIME(23,59,59)))</f>
        <v>1</v>
      </c>
      <c r="G1759" s="3">
        <f>IFERROR(__xludf.DUMMYFUNCTION("IF(F1759&lt;=0,0,IFERROR(ROUNDUP(F1759/INDEX(FILTER('warehouse config'!$D:$D,('warehouse config'!$B:$B=C1759)*('warehouse config'!$C:$C=D1759)*('warehouse config'!$G:$G&lt;=B1759)*(('warehouse config'!$H:$H&gt;=B1759)+ISBLANK('warehouse config'!$H:$H))),1)),0))"),1.0)</f>
        <v>1</v>
      </c>
      <c r="H1759" s="3">
        <f>IFERROR(__xludf.DUMMYFUNCTION("IFERROR(INDEX(FILTER('cost master'!$E:$E,('cost master'!$B:$B=C1759)*('cost master'!$D:$D=""Storage cost per pallet / week"")*('cost master'!$G:$G&lt;=B1759)*(('cost master'!$H:$H&gt;=B1759)+ISBLANK('cost master'!$H:$H))),1),0)"),2.6)</f>
        <v>2.6</v>
      </c>
      <c r="I1759" s="3">
        <f t="shared" si="4"/>
        <v>2.6</v>
      </c>
      <c r="J1759" s="27">
        <f t="shared" si="5"/>
        <v>46007</v>
      </c>
      <c r="K1759" s="27">
        <f t="shared" si="6"/>
        <v>46037</v>
      </c>
    </row>
    <row r="1760" hidden="1">
      <c r="A1760" s="3" t="str">
        <f t="shared" si="3"/>
        <v>SL-20251229-Vglobal-CS-CDS-002-3</v>
      </c>
      <c r="B1760" s="2">
        <f t="array" ref="B1760">INDEX(helper!$A$3:$A3996,ROUNDUP((ROW()-1)/COUNTA(helper!$D$3:$D3996),0))</f>
        <v>46020</v>
      </c>
      <c r="C1760" s="5" t="str">
        <f t="array" ref="C1760">IF(B1760="","",INDEX(helper!$D$3:$D3996,MOD(ROW()-2,COUNTA(helper!$D$3:$D3996))+1))</f>
        <v>Vglobal</v>
      </c>
      <c r="D1760" s="3" t="str">
        <f t="array" ref="D1760">IF(B1760="","",INDEX(helper!$E$3:$E3996,MOD(ROW()-2,COUNTA(helper!$D$3:$D3996))+1))</f>
        <v>CS-CDS-002</v>
      </c>
      <c r="E1760" s="3">
        <f t="array" ref="E1760">IF(B1760="","",INDEX(helper!$F$3:$F3996,MOD(ROW()-2,COUNTA(helper!$D$3:$D3996))+1))</f>
        <v>3</v>
      </c>
      <c r="F1760" s="3">
        <f>IF(B1760="","",SUMIFS('inventory ledger'!$H:$H,'inventory ledger'!$C:$C,C1760,'inventory ledger'!$D:$D,D1760,'inventory ledger'!$E:$E,E1760,'inventory ledger'!$A:$A,"&lt;="&amp;B1760+TIME(23,59,59))-SUMIFS('inventory ledger'!$I:$I,'inventory ledger'!$C:$C,C1760,'inventory ledger'!$D:$D,D1760,'inventory ledger'!$E:$E,E1760,'inventory ledger'!$A:$A,"&lt;="&amp;B1760+TIME(23,59,59)))</f>
        <v>0</v>
      </c>
      <c r="G1760" s="3">
        <f>IFERROR(__xludf.DUMMYFUNCTION("IF(F1760&lt;=0,0,IFERROR(ROUNDUP(F1760/INDEX(FILTER('warehouse config'!$D:$D,('warehouse config'!$B:$B=C1760)*('warehouse config'!$C:$C=D1760)*('warehouse config'!$G:$G&lt;=B1760)*(('warehouse config'!$H:$H&gt;=B1760)+ISBLANK('warehouse config'!$H:$H))),1)),0))"),0.0)</f>
        <v>0</v>
      </c>
      <c r="H1760" s="3">
        <f>IFERROR(__xludf.DUMMYFUNCTION("IFERROR(INDEX(FILTER('cost master'!$E:$E,('cost master'!$B:$B=C1760)*('cost master'!$D:$D=""Storage cost per pallet / week"")*('cost master'!$G:$G&lt;=B1760)*(('cost master'!$H:$H&gt;=B1760)+ISBLANK('cost master'!$H:$H))),1),0)"),2.6)</f>
        <v>2.6</v>
      </c>
      <c r="I1760" s="3">
        <f t="shared" si="4"/>
        <v>0</v>
      </c>
      <c r="J1760" s="27">
        <f t="shared" si="5"/>
        <v>46007</v>
      </c>
      <c r="K1760" s="27">
        <f t="shared" si="6"/>
        <v>46037</v>
      </c>
    </row>
    <row r="1761" hidden="1">
      <c r="A1761" s="3" t="str">
        <f t="shared" si="3"/>
        <v>SL-20251229-4as-CS-CDS-001-4</v>
      </c>
      <c r="B1761" s="2">
        <f t="array" ref="B1761">INDEX(helper!$A$3:$A3996,ROUNDUP((ROW()-1)/COUNTA(helper!$D$3:$D3996),0))</f>
        <v>46020</v>
      </c>
      <c r="C1761" s="5" t="str">
        <f t="array" ref="C1761">IF(B1761="","",INDEX(helper!$D$3:$D3996,MOD(ROW()-2,COUNTA(helper!$D$3:$D3996))+1))</f>
        <v>4as</v>
      </c>
      <c r="D1761" s="3" t="str">
        <f t="array" ref="D1761">IF(B1761="","",INDEX(helper!$E$3:$E3996,MOD(ROW()-2,COUNTA(helper!$D$3:$D3996))+1))</f>
        <v>CS-CDS-001</v>
      </c>
      <c r="E1761" s="3">
        <f t="array" ref="E1761">IF(B1761="","",INDEX(helper!$F$3:$F3996,MOD(ROW()-2,COUNTA(helper!$D$3:$D3996))+1))</f>
        <v>4</v>
      </c>
      <c r="F1761" s="3">
        <f>IF(B1761="","",SUMIFS('inventory ledger'!$H:$H,'inventory ledger'!$C:$C,C1761,'inventory ledger'!$D:$D,D1761,'inventory ledger'!$E:$E,E1761,'inventory ledger'!$A:$A,"&lt;="&amp;B1761+TIME(23,59,59))-SUMIFS('inventory ledger'!$I:$I,'inventory ledger'!$C:$C,C1761,'inventory ledger'!$D:$D,D1761,'inventory ledger'!$E:$E,E1761,'inventory ledger'!$A:$A,"&lt;="&amp;B1761+TIME(23,59,59)))</f>
        <v>0</v>
      </c>
      <c r="G1761" s="3">
        <f>IFERROR(__xludf.DUMMYFUNCTION("IF(F1761&lt;=0,0,IFERROR(ROUNDUP(F1761/INDEX(FILTER('warehouse config'!$D:$D,('warehouse config'!$B:$B=C1761)*('warehouse config'!$C:$C=D1761)*('warehouse config'!$G:$G&lt;=B1761)*(('warehouse config'!$H:$H&gt;=B1761)+ISBLANK('warehouse config'!$H:$H))),1)),0))"),0.0)</f>
        <v>0</v>
      </c>
      <c r="H1761" s="3">
        <f>IFERROR(__xludf.DUMMYFUNCTION("IFERROR(INDEX(FILTER('cost master'!$E:$E,('cost master'!$B:$B=C1761)*('cost master'!$D:$D=""Storage cost per pallet / week"")*('cost master'!$G:$G&lt;=B1761)*(('cost master'!$H:$H&gt;=B1761)+ISBLANK('cost master'!$H:$H))),1),0)"),9.0)</f>
        <v>9</v>
      </c>
      <c r="I1761" s="3">
        <f t="shared" si="4"/>
        <v>0</v>
      </c>
      <c r="J1761" s="27">
        <f t="shared" si="5"/>
        <v>46007</v>
      </c>
      <c r="K1761" s="27">
        <f t="shared" si="6"/>
        <v>46037</v>
      </c>
    </row>
    <row r="1762" hidden="1">
      <c r="A1762" s="3" t="str">
        <f t="shared" si="3"/>
        <v>SL-20251229-4as-CS-CDS-002-4</v>
      </c>
      <c r="B1762" s="2">
        <f t="array" ref="B1762">INDEX(helper!$A$3:$A3996,ROUNDUP((ROW()-1)/COUNTA(helper!$D$3:$D3996),0))</f>
        <v>46020</v>
      </c>
      <c r="C1762" s="5" t="str">
        <f t="array" ref="C1762">IF(B1762="","",INDEX(helper!$D$3:$D3996,MOD(ROW()-2,COUNTA(helper!$D$3:$D3996))+1))</f>
        <v>4as</v>
      </c>
      <c r="D1762" s="3" t="str">
        <f t="array" ref="D1762">IF(B1762="","",INDEX(helper!$E$3:$E3996,MOD(ROW()-2,COUNTA(helper!$D$3:$D3996))+1))</f>
        <v>CS-CDS-002</v>
      </c>
      <c r="E1762" s="3">
        <f t="array" ref="E1762">IF(B1762="","",INDEX(helper!$F$3:$F3996,MOD(ROW()-2,COUNTA(helper!$D$3:$D3996))+1))</f>
        <v>4</v>
      </c>
      <c r="F1762" s="3">
        <f>IF(B1762="","",SUMIFS('inventory ledger'!$H:$H,'inventory ledger'!$C:$C,C1762,'inventory ledger'!$D:$D,D1762,'inventory ledger'!$E:$E,E1762,'inventory ledger'!$A:$A,"&lt;="&amp;B1762+TIME(23,59,59))-SUMIFS('inventory ledger'!$I:$I,'inventory ledger'!$C:$C,C1762,'inventory ledger'!$D:$D,D1762,'inventory ledger'!$E:$E,E1762,'inventory ledger'!$A:$A,"&lt;="&amp;B1762+TIME(23,59,59)))</f>
        <v>0</v>
      </c>
      <c r="G1762" s="3">
        <f>IFERROR(__xludf.DUMMYFUNCTION("IF(F1762&lt;=0,0,IFERROR(ROUNDUP(F1762/INDEX(FILTER('warehouse config'!$D:$D,('warehouse config'!$B:$B=C1762)*('warehouse config'!$C:$C=D1762)*('warehouse config'!$G:$G&lt;=B1762)*(('warehouse config'!$H:$H&gt;=B1762)+ISBLANK('warehouse config'!$H:$H))),1)),0))"),0.0)</f>
        <v>0</v>
      </c>
      <c r="H1762" s="3">
        <f>IFERROR(__xludf.DUMMYFUNCTION("IFERROR(INDEX(FILTER('cost master'!$E:$E,('cost master'!$B:$B=C1762)*('cost master'!$D:$D=""Storage cost per pallet / week"")*('cost master'!$G:$G&lt;=B1762)*(('cost master'!$H:$H&gt;=B1762)+ISBLANK('cost master'!$H:$H))),1),0)"),9.0)</f>
        <v>9</v>
      </c>
      <c r="I1762" s="3">
        <f t="shared" si="4"/>
        <v>0</v>
      </c>
      <c r="J1762" s="27">
        <f t="shared" si="5"/>
        <v>46007</v>
      </c>
      <c r="K1762" s="27">
        <f t="shared" si="6"/>
        <v>46037</v>
      </c>
    </row>
    <row r="1763" hidden="1">
      <c r="A1763" s="3" t="str">
        <f t="shared" si="3"/>
        <v>SL-20251229-Vglobal-CS 007-13</v>
      </c>
      <c r="B1763" s="2">
        <f t="array" ref="B1763">INDEX(helper!$A$3:$A3996,ROUNDUP((ROW()-1)/COUNTA(helper!$D$3:$D3996),0))</f>
        <v>46020</v>
      </c>
      <c r="C1763" s="5" t="str">
        <f t="array" ref="C1763">IF(B1763="","",INDEX(helper!$D$3:$D3996,MOD(ROW()-2,COUNTA(helper!$D$3:$D3996))+1))</f>
        <v>Vglobal</v>
      </c>
      <c r="D1763" s="3" t="str">
        <f t="array" ref="D1763">IF(B1763="","",INDEX(helper!$E$3:$E3996,MOD(ROW()-2,COUNTA(helper!$D$3:$D3996))+1))</f>
        <v>CS 007</v>
      </c>
      <c r="E1763" s="3">
        <f t="array" ref="E1763">IF(B1763="","",INDEX(helper!$F$3:$F3996,MOD(ROW()-2,COUNTA(helper!$D$3:$D3996))+1))</f>
        <v>13</v>
      </c>
      <c r="F1763" s="3">
        <f>IF(B1763="","",SUMIFS('inventory ledger'!$H:$H,'inventory ledger'!$C:$C,C1763,'inventory ledger'!$D:$D,D1763,'inventory ledger'!$E:$E,E1763,'inventory ledger'!$A:$A,"&lt;="&amp;B1763+TIME(23,59,59))-SUMIFS('inventory ledger'!$I:$I,'inventory ledger'!$C:$C,C1763,'inventory ledger'!$D:$D,D1763,'inventory ledger'!$E:$E,E1763,'inventory ledger'!$A:$A,"&lt;="&amp;B1763+TIME(23,59,59)))</f>
        <v>45</v>
      </c>
      <c r="G1763" s="3">
        <f>IFERROR(__xludf.DUMMYFUNCTION("IF(F1763&lt;=0,0,IFERROR(ROUNDUP(F1763/INDEX(FILTER('warehouse config'!$D:$D,('warehouse config'!$B:$B=C1763)*('warehouse config'!$C:$C=D1763)*('warehouse config'!$G:$G&lt;=B1763)*(('warehouse config'!$H:$H&gt;=B1763)+ISBLANK('warehouse config'!$H:$H))),1)),0))"),3.0)</f>
        <v>3</v>
      </c>
      <c r="H1763" s="3">
        <f>IFERROR(__xludf.DUMMYFUNCTION("IFERROR(INDEX(FILTER('cost master'!$E:$E,('cost master'!$B:$B=C1763)*('cost master'!$D:$D=""Storage cost per pallet / week"")*('cost master'!$G:$G&lt;=B1763)*(('cost master'!$H:$H&gt;=B1763)+ISBLANK('cost master'!$H:$H))),1),0)"),2.6)</f>
        <v>2.6</v>
      </c>
      <c r="I1763" s="3">
        <f t="shared" si="4"/>
        <v>7.8</v>
      </c>
      <c r="J1763" s="27">
        <f t="shared" si="5"/>
        <v>46007</v>
      </c>
      <c r="K1763" s="27">
        <f t="shared" si="6"/>
        <v>46037</v>
      </c>
    </row>
    <row r="1764" hidden="1">
      <c r="A1764" s="3" t="str">
        <f t="shared" si="3"/>
        <v>SL-20251229-Vglobal-CS 011-13</v>
      </c>
      <c r="B1764" s="2">
        <f t="array" ref="B1764">INDEX(helper!$A$3:$A3996,ROUNDUP((ROW()-1)/COUNTA(helper!$D$3:$D3996),0))</f>
        <v>46020</v>
      </c>
      <c r="C1764" s="5" t="str">
        <f t="array" ref="C1764">IF(B1764="","",INDEX(helper!$D$3:$D3996,MOD(ROW()-2,COUNTA(helper!$D$3:$D3996))+1))</f>
        <v>Vglobal</v>
      </c>
      <c r="D1764" s="3" t="str">
        <f t="array" ref="D1764">IF(B1764="","",INDEX(helper!$E$3:$E3996,MOD(ROW()-2,COUNTA(helper!$D$3:$D3996))+1))</f>
        <v>CS 011</v>
      </c>
      <c r="E1764" s="3">
        <f t="array" ref="E1764">IF(B1764="","",INDEX(helper!$F$3:$F3996,MOD(ROW()-2,COUNTA(helper!$D$3:$D3996))+1))</f>
        <v>13</v>
      </c>
      <c r="F1764" s="3">
        <f>IF(B1764="","",SUMIFS('inventory ledger'!$H:$H,'inventory ledger'!$C:$C,C1764,'inventory ledger'!$D:$D,D1764,'inventory ledger'!$E:$E,E1764,'inventory ledger'!$A:$A,"&lt;="&amp;B1764+TIME(23,59,59))-SUMIFS('inventory ledger'!$I:$I,'inventory ledger'!$C:$C,C1764,'inventory ledger'!$D:$D,D1764,'inventory ledger'!$E:$E,E1764,'inventory ledger'!$A:$A,"&lt;="&amp;B1764+TIME(23,59,59)))</f>
        <v>0</v>
      </c>
      <c r="G1764" s="3">
        <f>IFERROR(__xludf.DUMMYFUNCTION("IF(F1764&lt;=0,0,IFERROR(ROUNDUP(F1764/INDEX(FILTER('warehouse config'!$D:$D,('warehouse config'!$B:$B=C1764)*('warehouse config'!$C:$C=D1764)*('warehouse config'!$G:$G&lt;=B1764)*(('warehouse config'!$H:$H&gt;=B1764)+ISBLANK('warehouse config'!$H:$H))),1)),0))"),0.0)</f>
        <v>0</v>
      </c>
      <c r="H1764" s="3">
        <f>IFERROR(__xludf.DUMMYFUNCTION("IFERROR(INDEX(FILTER('cost master'!$E:$E,('cost master'!$B:$B=C1764)*('cost master'!$D:$D=""Storage cost per pallet / week"")*('cost master'!$G:$G&lt;=B1764)*(('cost master'!$H:$H&gt;=B1764)+ISBLANK('cost master'!$H:$H))),1),0)"),2.6)</f>
        <v>2.6</v>
      </c>
      <c r="I1764" s="3">
        <f t="shared" si="4"/>
        <v>0</v>
      </c>
      <c r="J1764" s="27">
        <f t="shared" si="5"/>
        <v>46007</v>
      </c>
      <c r="K1764" s="27">
        <f t="shared" si="6"/>
        <v>46037</v>
      </c>
    </row>
    <row r="1765" hidden="1">
      <c r="A1765" s="3" t="str">
        <f t="shared" si="3"/>
        <v>SL-20251229-Vglobal-CS 008-13</v>
      </c>
      <c r="B1765" s="2">
        <f t="array" ref="B1765">INDEX(helper!$A$3:$A3996,ROUNDUP((ROW()-1)/COUNTA(helper!$D$3:$D3996),0))</f>
        <v>46020</v>
      </c>
      <c r="C1765" s="5" t="str">
        <f t="array" ref="C1765">IF(B1765="","",INDEX(helper!$D$3:$D3996,MOD(ROW()-2,COUNTA(helper!$D$3:$D3996))+1))</f>
        <v>Vglobal</v>
      </c>
      <c r="D1765" s="3" t="str">
        <f t="array" ref="D1765">IF(B1765="","",INDEX(helper!$E$3:$E3996,MOD(ROW()-2,COUNTA(helper!$D$3:$D3996))+1))</f>
        <v>CS 008</v>
      </c>
      <c r="E1765" s="3">
        <f t="array" ref="E1765">IF(B1765="","",INDEX(helper!$F$3:$F3996,MOD(ROW()-2,COUNTA(helper!$D$3:$D3996))+1))</f>
        <v>13</v>
      </c>
      <c r="F1765" s="3">
        <f>IF(B1765="","",SUMIFS('inventory ledger'!$H:$H,'inventory ledger'!$C:$C,C1765,'inventory ledger'!$D:$D,D1765,'inventory ledger'!$E:$E,E1765,'inventory ledger'!$A:$A,"&lt;="&amp;B1765+TIME(23,59,59))-SUMIFS('inventory ledger'!$I:$I,'inventory ledger'!$C:$C,C1765,'inventory ledger'!$D:$D,D1765,'inventory ledger'!$E:$E,E1765,'inventory ledger'!$A:$A,"&lt;="&amp;B1765+TIME(23,59,59)))</f>
        <v>20</v>
      </c>
      <c r="G1765" s="3">
        <f>IFERROR(__xludf.DUMMYFUNCTION("IF(F1765&lt;=0,0,IFERROR(ROUNDUP(F1765/INDEX(FILTER('warehouse config'!$D:$D,('warehouse config'!$B:$B=C1765)*('warehouse config'!$C:$C=D1765)*('warehouse config'!$G:$G&lt;=B1765)*(('warehouse config'!$H:$H&gt;=B1765)+ISBLANK('warehouse config'!$H:$H))),1)),0))"),1.0)</f>
        <v>1</v>
      </c>
      <c r="H1765" s="3">
        <f>IFERROR(__xludf.DUMMYFUNCTION("IFERROR(INDEX(FILTER('cost master'!$E:$E,('cost master'!$B:$B=C1765)*('cost master'!$D:$D=""Storage cost per pallet / week"")*('cost master'!$G:$G&lt;=B1765)*(('cost master'!$H:$H&gt;=B1765)+ISBLANK('cost master'!$H:$H))),1),0)"),2.6)</f>
        <v>2.6</v>
      </c>
      <c r="I1765" s="3">
        <f t="shared" si="4"/>
        <v>2.6</v>
      </c>
      <c r="J1765" s="27">
        <f t="shared" si="5"/>
        <v>46007</v>
      </c>
      <c r="K1765" s="27">
        <f t="shared" si="6"/>
        <v>46037</v>
      </c>
    </row>
    <row r="1766" hidden="1">
      <c r="A1766" s="3" t="str">
        <f t="shared" si="3"/>
        <v>SL-20251229-Vglobal-CS 010-13</v>
      </c>
      <c r="B1766" s="2">
        <f t="array" ref="B1766">INDEX(helper!$A$3:$A3996,ROUNDUP((ROW()-1)/COUNTA(helper!$D$3:$D3996),0))</f>
        <v>46020</v>
      </c>
      <c r="C1766" s="5" t="str">
        <f t="array" ref="C1766">IF(B1766="","",INDEX(helper!$D$3:$D3996,MOD(ROW()-2,COUNTA(helper!$D$3:$D3996))+1))</f>
        <v>Vglobal</v>
      </c>
      <c r="D1766" s="3" t="str">
        <f t="array" ref="D1766">IF(B1766="","",INDEX(helper!$E$3:$E3996,MOD(ROW()-2,COUNTA(helper!$D$3:$D3996))+1))</f>
        <v>CS 010</v>
      </c>
      <c r="E1766" s="3">
        <f t="array" ref="E1766">IF(B1766="","",INDEX(helper!$F$3:$F3996,MOD(ROW()-2,COUNTA(helper!$D$3:$D3996))+1))</f>
        <v>13</v>
      </c>
      <c r="F1766" s="3">
        <f>IF(B1766="","",SUMIFS('inventory ledger'!$H:$H,'inventory ledger'!$C:$C,C1766,'inventory ledger'!$D:$D,D1766,'inventory ledger'!$E:$E,E1766,'inventory ledger'!$A:$A,"&lt;="&amp;B1766+TIME(23,59,59))-SUMIFS('inventory ledger'!$I:$I,'inventory ledger'!$C:$C,C1766,'inventory ledger'!$D:$D,D1766,'inventory ledger'!$E:$E,E1766,'inventory ledger'!$A:$A,"&lt;="&amp;B1766+TIME(23,59,59)))</f>
        <v>80</v>
      </c>
      <c r="G1766" s="3">
        <f>IFERROR(__xludf.DUMMYFUNCTION("IF(F1766&lt;=0,0,IFERROR(ROUNDUP(F1766/INDEX(FILTER('warehouse config'!$D:$D,('warehouse config'!$B:$B=C1766)*('warehouse config'!$C:$C=D1766)*('warehouse config'!$G:$G&lt;=B1766)*(('warehouse config'!$H:$H&gt;=B1766)+ISBLANK('warehouse config'!$H:$H))),1)),0))"),4.0)</f>
        <v>4</v>
      </c>
      <c r="H1766" s="3">
        <f>IFERROR(__xludf.DUMMYFUNCTION("IFERROR(INDEX(FILTER('cost master'!$E:$E,('cost master'!$B:$B=C1766)*('cost master'!$D:$D=""Storage cost per pallet / week"")*('cost master'!$G:$G&lt;=B1766)*(('cost master'!$H:$H&gt;=B1766)+ISBLANK('cost master'!$H:$H))),1),0)"),2.6)</f>
        <v>2.6</v>
      </c>
      <c r="I1766" s="3">
        <f t="shared" si="4"/>
        <v>10.4</v>
      </c>
      <c r="J1766" s="27">
        <f t="shared" si="5"/>
        <v>46007</v>
      </c>
      <c r="K1766" s="27">
        <f t="shared" si="6"/>
        <v>46037</v>
      </c>
    </row>
    <row r="1767" hidden="1">
      <c r="A1767" s="3" t="str">
        <f t="shared" si="3"/>
        <v>SL-20251229-Vglobal-CS 009-13</v>
      </c>
      <c r="B1767" s="2">
        <f t="array" ref="B1767">INDEX(helper!$A$3:$A3996,ROUNDUP((ROW()-1)/COUNTA(helper!$D$3:$D3996),0))</f>
        <v>46020</v>
      </c>
      <c r="C1767" s="5" t="str">
        <f t="array" ref="C1767">IF(B1767="","",INDEX(helper!$D$3:$D3996,MOD(ROW()-2,COUNTA(helper!$D$3:$D3996))+1))</f>
        <v>Vglobal</v>
      </c>
      <c r="D1767" s="3" t="str">
        <f t="array" ref="D1767">IF(B1767="","",INDEX(helper!$E$3:$E3996,MOD(ROW()-2,COUNTA(helper!$D$3:$D3996))+1))</f>
        <v>CS 009</v>
      </c>
      <c r="E1767" s="3">
        <f t="array" ref="E1767">IF(B1767="","",INDEX(helper!$F$3:$F3996,MOD(ROW()-2,COUNTA(helper!$D$3:$D3996))+1))</f>
        <v>13</v>
      </c>
      <c r="F1767" s="3">
        <f>IF(B1767="","",SUMIFS('inventory ledger'!$H:$H,'inventory ledger'!$C:$C,C1767,'inventory ledger'!$D:$D,D1767,'inventory ledger'!$E:$E,E1767,'inventory ledger'!$A:$A,"&lt;="&amp;B1767+TIME(23,59,59))-SUMIFS('inventory ledger'!$I:$I,'inventory ledger'!$C:$C,C1767,'inventory ledger'!$D:$D,D1767,'inventory ledger'!$E:$E,E1767,'inventory ledger'!$A:$A,"&lt;="&amp;B1767+TIME(23,59,59)))</f>
        <v>0</v>
      </c>
      <c r="G1767" s="3">
        <f>IFERROR(__xludf.DUMMYFUNCTION("IF(F1767&lt;=0,0,IFERROR(ROUNDUP(F1767/INDEX(FILTER('warehouse config'!$D:$D,('warehouse config'!$B:$B=C1767)*('warehouse config'!$C:$C=D1767)*('warehouse config'!$G:$G&lt;=B1767)*(('warehouse config'!$H:$H&gt;=B1767)+ISBLANK('warehouse config'!$H:$H))),1)),0))"),0.0)</f>
        <v>0</v>
      </c>
      <c r="H1767" s="3">
        <f>IFERROR(__xludf.DUMMYFUNCTION("IFERROR(INDEX(FILTER('cost master'!$E:$E,('cost master'!$B:$B=C1767)*('cost master'!$D:$D=""Storage cost per pallet / week"")*('cost master'!$G:$G&lt;=B1767)*(('cost master'!$H:$H&gt;=B1767)+ISBLANK('cost master'!$H:$H))),1),0)"),2.6)</f>
        <v>2.6</v>
      </c>
      <c r="I1767" s="3">
        <f t="shared" si="4"/>
        <v>0</v>
      </c>
      <c r="J1767" s="27">
        <f t="shared" si="5"/>
        <v>46007</v>
      </c>
      <c r="K1767" s="27">
        <f t="shared" si="6"/>
        <v>46037</v>
      </c>
    </row>
    <row r="1768" hidden="1">
      <c r="A1768" s="3" t="str">
        <f t="shared" si="3"/>
        <v>SL-20251229-Vglobal-CS 012-13</v>
      </c>
      <c r="B1768" s="2">
        <f t="array" ref="B1768">INDEX(helper!$A$3:$A3996,ROUNDUP((ROW()-1)/COUNTA(helper!$D$3:$D3996),0))</f>
        <v>46020</v>
      </c>
      <c r="C1768" s="5" t="str">
        <f t="array" ref="C1768">IF(B1768="","",INDEX(helper!$D$3:$D3996,MOD(ROW()-2,COUNTA(helper!$D$3:$D3996))+1))</f>
        <v>Vglobal</v>
      </c>
      <c r="D1768" s="3" t="str">
        <f t="array" ref="D1768">IF(B1768="","",INDEX(helper!$E$3:$E3996,MOD(ROW()-2,COUNTA(helper!$D$3:$D3996))+1))</f>
        <v>CS 012</v>
      </c>
      <c r="E1768" s="3">
        <f t="array" ref="E1768">IF(B1768="","",INDEX(helper!$F$3:$F3996,MOD(ROW()-2,COUNTA(helper!$D$3:$D3996))+1))</f>
        <v>13</v>
      </c>
      <c r="F1768" s="3">
        <f>IF(B1768="","",SUMIFS('inventory ledger'!$H:$H,'inventory ledger'!$C:$C,C1768,'inventory ledger'!$D:$D,D1768,'inventory ledger'!$E:$E,E1768,'inventory ledger'!$A:$A,"&lt;="&amp;B1768+TIME(23,59,59))-SUMIFS('inventory ledger'!$I:$I,'inventory ledger'!$C:$C,C1768,'inventory ledger'!$D:$D,D1768,'inventory ledger'!$E:$E,E1768,'inventory ledger'!$A:$A,"&lt;="&amp;B1768+TIME(23,59,59)))</f>
        <v>0</v>
      </c>
      <c r="G1768" s="3">
        <f>IFERROR(__xludf.DUMMYFUNCTION("IF(F1768&lt;=0,0,IFERROR(ROUNDUP(F1768/INDEX(FILTER('warehouse config'!$D:$D,('warehouse config'!$B:$B=C1768)*('warehouse config'!$C:$C=D1768)*('warehouse config'!$G:$G&lt;=B1768)*(('warehouse config'!$H:$H&gt;=B1768)+ISBLANK('warehouse config'!$H:$H))),1)),0))"),0.0)</f>
        <v>0</v>
      </c>
      <c r="H1768" s="3">
        <f>IFERROR(__xludf.DUMMYFUNCTION("IFERROR(INDEX(FILTER('cost master'!$E:$E,('cost master'!$B:$B=C1768)*('cost master'!$D:$D=""Storage cost per pallet / week"")*('cost master'!$G:$G&lt;=B1768)*(('cost master'!$H:$H&gt;=B1768)+ISBLANK('cost master'!$H:$H))),1),0)"),2.6)</f>
        <v>2.6</v>
      </c>
      <c r="I1768" s="3">
        <f t="shared" si="4"/>
        <v>0</v>
      </c>
      <c r="J1768" s="27">
        <f t="shared" si="5"/>
        <v>46007</v>
      </c>
      <c r="K1768" s="27">
        <f t="shared" si="6"/>
        <v>46037</v>
      </c>
    </row>
    <row r="1769">
      <c r="A1769" s="3" t="str">
        <f t="shared" si="3"/>
        <v>SL-20251229-FMC-CS 008-11</v>
      </c>
      <c r="B1769" s="2">
        <f t="array" ref="B1769">INDEX(helper!$A$3:$A3996,ROUNDUP((ROW()-1)/COUNTA(helper!$D$3:$D3996),0))</f>
        <v>46020</v>
      </c>
      <c r="C1769" s="5" t="str">
        <f t="array" ref="C1769">IF(B1769="","",INDEX(helper!$D$3:$D3996,MOD(ROW()-2,COUNTA(helper!$D$3:$D3996))+1))</f>
        <v>FMC</v>
      </c>
      <c r="D1769" s="3" t="str">
        <f t="array" ref="D1769">IF(B1769="","",INDEX(helper!$E$3:$E3996,MOD(ROW()-2,COUNTA(helper!$D$3:$D3996))+1))</f>
        <v>CS 008</v>
      </c>
      <c r="E1769" s="3">
        <f t="array" ref="E1769">IF(B1769="","",INDEX(helper!$F$3:$F3996,MOD(ROW()-2,COUNTA(helper!$D$3:$D3996))+1))</f>
        <v>11</v>
      </c>
      <c r="F1769" s="3">
        <f>IF(B1769="","",SUMIFS('inventory ledger'!$H:$H,'inventory ledger'!$C:$C,C1769,'inventory ledger'!$D:$D,D1769,'inventory ledger'!$E:$E,E1769,'inventory ledger'!$A:$A,"&lt;="&amp;B1769+TIME(23,59,59))-SUMIFS('inventory ledger'!$I:$I,'inventory ledger'!$C:$C,C1769,'inventory ledger'!$D:$D,D1769,'inventory ledger'!$E:$E,E1769,'inventory ledger'!$A:$A,"&lt;="&amp;B1769+TIME(23,59,59)))</f>
        <v>-2</v>
      </c>
      <c r="G1769" s="3">
        <f>IFERROR(__xludf.DUMMYFUNCTION("IF(F1769&lt;=0,0,IFERROR(ROUNDUP(F1769/INDEX(FILTER('warehouse config'!$D:$D,('warehouse config'!$B:$B=C1769)*('warehouse config'!$C:$C=D1769)*('warehouse config'!$G:$G&lt;=B1769)*(('warehouse config'!$H:$H&gt;=B1769)+ISBLANK('warehouse config'!$H:$H))),1)),0))"),0.0)</f>
        <v>0</v>
      </c>
      <c r="H1769" s="3">
        <f>IFERROR(__xludf.DUMMYFUNCTION("IFERROR(INDEX(FILTER('cost master'!$E:$E,('cost master'!$B:$B=C1769)*('cost master'!$D:$D=""Storage cost per pallet / week"")*('cost master'!$G:$G&lt;=B1769)*(('cost master'!$H:$H&gt;=B1769)+ISBLANK('cost master'!$H:$H))),1),0)"),3.9)</f>
        <v>3.9</v>
      </c>
      <c r="I1769" s="3">
        <f t="shared" si="4"/>
        <v>0</v>
      </c>
      <c r="J1769" s="27">
        <f t="shared" si="5"/>
        <v>46007</v>
      </c>
      <c r="K1769" s="27">
        <f t="shared" si="6"/>
        <v>46037</v>
      </c>
    </row>
    <row r="1770" hidden="1">
      <c r="A1770" s="3" t="str">
        <f t="shared" si="3"/>
        <v/>
      </c>
      <c r="B1770" s="2" t="str">
        <f t="array" ref="B1770">INDEX(helper!$A$3:$A3996,ROUNDUP((ROW()-1)/COUNTA(helper!$D$3:$D3996),0))</f>
        <v/>
      </c>
      <c r="C1770" s="5" t="str">
        <f t="array" ref="C1770">IF(B1770="","",INDEX(helper!$D$3:$D3996,MOD(ROW()-2,COUNTA(helper!$D$3:$D3996))+1))</f>
        <v/>
      </c>
      <c r="D1770" s="3" t="str">
        <f t="array" ref="D1770">IF(B1770="","",INDEX(helper!$E$3:$E3996,MOD(ROW()-2,COUNTA(helper!$D$3:$D3996))+1))</f>
        <v/>
      </c>
      <c r="E1770" s="3" t="str">
        <f t="array" ref="E1770">IF(B1770="","",INDEX(helper!$F$3:$F3996,MOD(ROW()-2,COUNTA(helper!$D$3:$D3996))+1))</f>
        <v/>
      </c>
      <c r="F1770" s="3" t="str">
        <f>IF(B1770="","",SUMIFS('inventory ledger'!$H:$H,'inventory ledger'!$C:$C,C1770,'inventory ledger'!$D:$D,D1770,'inventory ledger'!$E:$E,E1770,'inventory ledger'!$A:$A,"&lt;="&amp;B1770+TIME(23,59,59))-SUMIFS('inventory ledger'!$I:$I,'inventory ledger'!$C:$C,C1770,'inventory ledger'!$D:$D,D1770,'inventory ledger'!$E:$E,E1770,'inventory ledger'!$A:$A,"&lt;="&amp;B1770+TIME(23,59,59)))</f>
        <v/>
      </c>
      <c r="G1770" s="3">
        <f>IFERROR(__xludf.DUMMYFUNCTION("IF(F1770&lt;=0,0,IFERROR(ROUNDUP(F1770/INDEX(FILTER('warehouse config'!$D:$D,('warehouse config'!$B:$B=C1770)*('warehouse config'!$C:$C=D1770)*('warehouse config'!$G:$G&lt;=B1770)*(('warehouse config'!$H:$H&gt;=B1770)+ISBLANK('warehouse config'!$H:$H))),1)),0))"),0.0)</f>
        <v>0</v>
      </c>
      <c r="H1770" s="3">
        <f>IFERROR(__xludf.DUMMYFUNCTION("IFERROR(INDEX(FILTER('cost master'!$E:$E,('cost master'!$B:$B=C1770)*('cost master'!$D:$D=""Storage cost per pallet / week"")*('cost master'!$G:$G&lt;=B1770)*(('cost master'!$H:$H&gt;=B1770)+ISBLANK('cost master'!$H:$H))),1),0)"),0.0)</f>
        <v>0</v>
      </c>
      <c r="I1770" s="3">
        <f t="shared" si="4"/>
        <v>0</v>
      </c>
      <c r="J1770" s="27">
        <f t="shared" si="5"/>
        <v>693947</v>
      </c>
      <c r="K1770" s="27">
        <f t="shared" si="6"/>
        <v>693977</v>
      </c>
    </row>
    <row r="1771" hidden="1">
      <c r="A1771" s="3" t="str">
        <f t="shared" si="3"/>
        <v/>
      </c>
      <c r="B1771" s="2" t="str">
        <f t="array" ref="B1771">INDEX(helper!$A$3:$A3996,ROUNDUP((ROW()-1)/COUNTA(helper!$D$3:$D3996),0))</f>
        <v/>
      </c>
      <c r="C1771" s="5" t="str">
        <f t="array" ref="C1771">IF(B1771="","",INDEX(helper!$D$3:$D3996,MOD(ROW()-2,COUNTA(helper!$D$3:$D3996))+1))</f>
        <v/>
      </c>
      <c r="D1771" s="3" t="str">
        <f t="array" ref="D1771">IF(B1771="","",INDEX(helper!$E$3:$E3996,MOD(ROW()-2,COUNTA(helper!$D$3:$D3996))+1))</f>
        <v/>
      </c>
      <c r="E1771" s="3" t="str">
        <f t="array" ref="E1771">IF(B1771="","",INDEX(helper!$F$3:$F3996,MOD(ROW()-2,COUNTA(helper!$D$3:$D3996))+1))</f>
        <v/>
      </c>
      <c r="F1771" s="3" t="str">
        <f>IF(B1771="","",SUMIFS('inventory ledger'!$H:$H,'inventory ledger'!$C:$C,C1771,'inventory ledger'!$D:$D,D1771,'inventory ledger'!$E:$E,E1771,'inventory ledger'!$A:$A,"&lt;="&amp;B1771+TIME(23,59,59))-SUMIFS('inventory ledger'!$I:$I,'inventory ledger'!$C:$C,C1771,'inventory ledger'!$D:$D,D1771,'inventory ledger'!$E:$E,E1771,'inventory ledger'!$A:$A,"&lt;="&amp;B1771+TIME(23,59,59)))</f>
        <v/>
      </c>
      <c r="G1771" s="3">
        <f>IFERROR(__xludf.DUMMYFUNCTION("IF(F1771&lt;=0,0,IFERROR(ROUNDUP(F1771/INDEX(FILTER('warehouse config'!$D:$D,('warehouse config'!$B:$B=C1771)*('warehouse config'!$C:$C=D1771)*('warehouse config'!$G:$G&lt;=B1771)*(('warehouse config'!$H:$H&gt;=B1771)+ISBLANK('warehouse config'!$H:$H))),1)),0))"),0.0)</f>
        <v>0</v>
      </c>
      <c r="H1771" s="3">
        <f>IFERROR(__xludf.DUMMYFUNCTION("IFERROR(INDEX(FILTER('cost master'!$E:$E,('cost master'!$B:$B=C1771)*('cost master'!$D:$D=""Storage cost per pallet / week"")*('cost master'!$G:$G&lt;=B1771)*(('cost master'!$H:$H&gt;=B1771)+ISBLANK('cost master'!$H:$H))),1),0)"),0.0)</f>
        <v>0</v>
      </c>
      <c r="I1771" s="3">
        <f t="shared" si="4"/>
        <v>0</v>
      </c>
      <c r="J1771" s="27">
        <f t="shared" si="5"/>
        <v>693947</v>
      </c>
      <c r="K1771" s="27">
        <f t="shared" si="6"/>
        <v>693977</v>
      </c>
    </row>
    <row r="1772" hidden="1">
      <c r="A1772" s="3" t="str">
        <f t="shared" si="3"/>
        <v/>
      </c>
      <c r="B1772" s="2" t="str">
        <f t="array" ref="B1772">INDEX(helper!$A$3:$A3996,ROUNDUP((ROW()-1)/COUNTA(helper!$D$3:$D3996),0))</f>
        <v/>
      </c>
      <c r="C1772" s="5" t="str">
        <f t="array" ref="C1772">IF(B1772="","",INDEX(helper!$D$3:$D3996,MOD(ROW()-2,COUNTA(helper!$D$3:$D3996))+1))</f>
        <v/>
      </c>
      <c r="D1772" s="3" t="str">
        <f t="array" ref="D1772">IF(B1772="","",INDEX(helper!$E$3:$E3996,MOD(ROW()-2,COUNTA(helper!$D$3:$D3996))+1))</f>
        <v/>
      </c>
      <c r="E1772" s="3" t="str">
        <f t="array" ref="E1772">IF(B1772="","",INDEX(helper!$F$3:$F3996,MOD(ROW()-2,COUNTA(helper!$D$3:$D3996))+1))</f>
        <v/>
      </c>
      <c r="F1772" s="3" t="str">
        <f>IF(B1772="","",SUMIFS('inventory ledger'!$H:$H,'inventory ledger'!$C:$C,C1772,'inventory ledger'!$D:$D,D1772,'inventory ledger'!$E:$E,E1772,'inventory ledger'!$A:$A,"&lt;="&amp;B1772+TIME(23,59,59))-SUMIFS('inventory ledger'!$I:$I,'inventory ledger'!$C:$C,C1772,'inventory ledger'!$D:$D,D1772,'inventory ledger'!$E:$E,E1772,'inventory ledger'!$A:$A,"&lt;="&amp;B1772+TIME(23,59,59)))</f>
        <v/>
      </c>
      <c r="G1772" s="3">
        <f>IFERROR(__xludf.DUMMYFUNCTION("IF(F1772&lt;=0,0,IFERROR(ROUNDUP(F1772/INDEX(FILTER('warehouse config'!$D:$D,('warehouse config'!$B:$B=C1772)*('warehouse config'!$C:$C=D1772)*('warehouse config'!$G:$G&lt;=B1772)*(('warehouse config'!$H:$H&gt;=B1772)+ISBLANK('warehouse config'!$H:$H))),1)),0))"),0.0)</f>
        <v>0</v>
      </c>
      <c r="H1772" s="3">
        <f>IFERROR(__xludf.DUMMYFUNCTION("IFERROR(INDEX(FILTER('cost master'!$E:$E,('cost master'!$B:$B=C1772)*('cost master'!$D:$D=""Storage cost per pallet / week"")*('cost master'!$G:$G&lt;=B1772)*(('cost master'!$H:$H&gt;=B1772)+ISBLANK('cost master'!$H:$H))),1),0)"),0.0)</f>
        <v>0</v>
      </c>
      <c r="I1772" s="3">
        <f t="shared" si="4"/>
        <v>0</v>
      </c>
      <c r="J1772" s="27">
        <f t="shared" si="5"/>
        <v>693947</v>
      </c>
      <c r="K1772" s="27">
        <f t="shared" si="6"/>
        <v>693977</v>
      </c>
    </row>
    <row r="1773" hidden="1">
      <c r="A1773" s="3" t="str">
        <f t="shared" si="3"/>
        <v/>
      </c>
      <c r="B1773" s="2" t="str">
        <f t="array" ref="B1773">INDEX(helper!$A$3:$A3996,ROUNDUP((ROW()-1)/COUNTA(helper!$D$3:$D3996),0))</f>
        <v/>
      </c>
      <c r="C1773" s="5" t="str">
        <f t="array" ref="C1773">IF(B1773="","",INDEX(helper!$D$3:$D3996,MOD(ROW()-2,COUNTA(helper!$D$3:$D3996))+1))</f>
        <v/>
      </c>
      <c r="D1773" s="3" t="str">
        <f t="array" ref="D1773">IF(B1773="","",INDEX(helper!$E$3:$E3996,MOD(ROW()-2,COUNTA(helper!$D$3:$D3996))+1))</f>
        <v/>
      </c>
      <c r="E1773" s="3" t="str">
        <f t="array" ref="E1773">IF(B1773="","",INDEX(helper!$F$3:$F3996,MOD(ROW()-2,COUNTA(helper!$D$3:$D3996))+1))</f>
        <v/>
      </c>
      <c r="F1773" s="3" t="str">
        <f>IF(B1773="","",SUMIFS('inventory ledger'!$H:$H,'inventory ledger'!$C:$C,C1773,'inventory ledger'!$D:$D,D1773,'inventory ledger'!$E:$E,E1773,'inventory ledger'!$A:$A,"&lt;="&amp;B1773+TIME(23,59,59))-SUMIFS('inventory ledger'!$I:$I,'inventory ledger'!$C:$C,C1773,'inventory ledger'!$D:$D,D1773,'inventory ledger'!$E:$E,E1773,'inventory ledger'!$A:$A,"&lt;="&amp;B1773+TIME(23,59,59)))</f>
        <v/>
      </c>
      <c r="G1773" s="3">
        <f>IFERROR(__xludf.DUMMYFUNCTION("IF(F1773&lt;=0,0,IFERROR(ROUNDUP(F1773/INDEX(FILTER('warehouse config'!$D:$D,('warehouse config'!$B:$B=C1773)*('warehouse config'!$C:$C=D1773)*('warehouse config'!$G:$G&lt;=B1773)*(('warehouse config'!$H:$H&gt;=B1773)+ISBLANK('warehouse config'!$H:$H))),1)),0))"),0.0)</f>
        <v>0</v>
      </c>
      <c r="H1773" s="3">
        <f>IFERROR(__xludf.DUMMYFUNCTION("IFERROR(INDEX(FILTER('cost master'!$E:$E,('cost master'!$B:$B=C1773)*('cost master'!$D:$D=""Storage cost per pallet / week"")*('cost master'!$G:$G&lt;=B1773)*(('cost master'!$H:$H&gt;=B1773)+ISBLANK('cost master'!$H:$H))),1),0)"),0.0)</f>
        <v>0</v>
      </c>
      <c r="I1773" s="3">
        <f t="shared" si="4"/>
        <v>0</v>
      </c>
      <c r="J1773" s="27">
        <f t="shared" si="5"/>
        <v>693947</v>
      </c>
      <c r="K1773" s="27">
        <f t="shared" si="6"/>
        <v>693977</v>
      </c>
    </row>
    <row r="1774" hidden="1">
      <c r="A1774" s="3" t="str">
        <f t="shared" si="3"/>
        <v/>
      </c>
      <c r="B1774" s="2" t="str">
        <f t="array" ref="B1774">INDEX(helper!$A$3:$A3996,ROUNDUP((ROW()-1)/COUNTA(helper!$D$3:$D3996),0))</f>
        <v/>
      </c>
      <c r="C1774" s="5" t="str">
        <f t="array" ref="C1774">IF(B1774="","",INDEX(helper!$D$3:$D3996,MOD(ROW()-2,COUNTA(helper!$D$3:$D3996))+1))</f>
        <v/>
      </c>
      <c r="D1774" s="3" t="str">
        <f t="array" ref="D1774">IF(B1774="","",INDEX(helper!$E$3:$E3996,MOD(ROW()-2,COUNTA(helper!$D$3:$D3996))+1))</f>
        <v/>
      </c>
      <c r="E1774" s="3" t="str">
        <f t="array" ref="E1774">IF(B1774="","",INDEX(helper!$F$3:$F3996,MOD(ROW()-2,COUNTA(helper!$D$3:$D3996))+1))</f>
        <v/>
      </c>
      <c r="F1774" s="3" t="str">
        <f>IF(B1774="","",SUMIFS('inventory ledger'!$H:$H,'inventory ledger'!$C:$C,C1774,'inventory ledger'!$D:$D,D1774,'inventory ledger'!$E:$E,E1774,'inventory ledger'!$A:$A,"&lt;="&amp;B1774+TIME(23,59,59))-SUMIFS('inventory ledger'!$I:$I,'inventory ledger'!$C:$C,C1774,'inventory ledger'!$D:$D,D1774,'inventory ledger'!$E:$E,E1774,'inventory ledger'!$A:$A,"&lt;="&amp;B1774+TIME(23,59,59)))</f>
        <v/>
      </c>
      <c r="G1774" s="3">
        <f>IFERROR(__xludf.DUMMYFUNCTION("IF(F1774&lt;=0,0,IFERROR(ROUNDUP(F1774/INDEX(FILTER('warehouse config'!$D:$D,('warehouse config'!$B:$B=C1774)*('warehouse config'!$C:$C=D1774)*('warehouse config'!$G:$G&lt;=B1774)*(('warehouse config'!$H:$H&gt;=B1774)+ISBLANK('warehouse config'!$H:$H))),1)),0))"),0.0)</f>
        <v>0</v>
      </c>
      <c r="H1774" s="3">
        <f>IFERROR(__xludf.DUMMYFUNCTION("IFERROR(INDEX(FILTER('cost master'!$E:$E,('cost master'!$B:$B=C1774)*('cost master'!$D:$D=""Storage cost per pallet / week"")*('cost master'!$G:$G&lt;=B1774)*(('cost master'!$H:$H&gt;=B1774)+ISBLANK('cost master'!$H:$H))),1),0)"),0.0)</f>
        <v>0</v>
      </c>
      <c r="I1774" s="3">
        <f t="shared" si="4"/>
        <v>0</v>
      </c>
      <c r="J1774" s="27">
        <f t="shared" si="5"/>
        <v>693947</v>
      </c>
      <c r="K1774" s="27">
        <f t="shared" si="6"/>
        <v>693977</v>
      </c>
    </row>
    <row r="1775" hidden="1">
      <c r="A1775" s="3" t="str">
        <f t="shared" si="3"/>
        <v/>
      </c>
      <c r="B1775" s="2" t="str">
        <f t="array" ref="B1775">INDEX(helper!$A$3:$A3996,ROUNDUP((ROW()-1)/COUNTA(helper!$D$3:$D3996),0))</f>
        <v/>
      </c>
      <c r="C1775" s="5" t="str">
        <f t="array" ref="C1775">IF(B1775="","",INDEX(helper!$D$3:$D3996,MOD(ROW()-2,COUNTA(helper!$D$3:$D3996))+1))</f>
        <v/>
      </c>
      <c r="D1775" s="3" t="str">
        <f t="array" ref="D1775">IF(B1775="","",INDEX(helper!$E$3:$E3996,MOD(ROW()-2,COUNTA(helper!$D$3:$D3996))+1))</f>
        <v/>
      </c>
      <c r="E1775" s="3" t="str">
        <f t="array" ref="E1775">IF(B1775="","",INDEX(helper!$F$3:$F3996,MOD(ROW()-2,COUNTA(helper!$D$3:$D3996))+1))</f>
        <v/>
      </c>
      <c r="F1775" s="3" t="str">
        <f>IF(B1775="","",SUMIFS('inventory ledger'!$H:$H,'inventory ledger'!$C:$C,C1775,'inventory ledger'!$D:$D,D1775,'inventory ledger'!$E:$E,E1775,'inventory ledger'!$A:$A,"&lt;="&amp;B1775+TIME(23,59,59))-SUMIFS('inventory ledger'!$I:$I,'inventory ledger'!$C:$C,C1775,'inventory ledger'!$D:$D,D1775,'inventory ledger'!$E:$E,E1775,'inventory ledger'!$A:$A,"&lt;="&amp;B1775+TIME(23,59,59)))</f>
        <v/>
      </c>
      <c r="G1775" s="3">
        <f>IFERROR(__xludf.DUMMYFUNCTION("IF(F1775&lt;=0,0,IFERROR(ROUNDUP(F1775/INDEX(FILTER('warehouse config'!$D:$D,('warehouse config'!$B:$B=C1775)*('warehouse config'!$C:$C=D1775)*('warehouse config'!$G:$G&lt;=B1775)*(('warehouse config'!$H:$H&gt;=B1775)+ISBLANK('warehouse config'!$H:$H))),1)),0))"),0.0)</f>
        <v>0</v>
      </c>
      <c r="H1775" s="3">
        <f>IFERROR(__xludf.DUMMYFUNCTION("IFERROR(INDEX(FILTER('cost master'!$E:$E,('cost master'!$B:$B=C1775)*('cost master'!$D:$D=""Storage cost per pallet / week"")*('cost master'!$G:$G&lt;=B1775)*(('cost master'!$H:$H&gt;=B1775)+ISBLANK('cost master'!$H:$H))),1),0)"),0.0)</f>
        <v>0</v>
      </c>
      <c r="I1775" s="3">
        <f t="shared" si="4"/>
        <v>0</v>
      </c>
      <c r="J1775" s="27">
        <f t="shared" si="5"/>
        <v>693947</v>
      </c>
      <c r="K1775" s="27">
        <f t="shared" si="6"/>
        <v>693977</v>
      </c>
    </row>
    <row r="1776" hidden="1">
      <c r="A1776" s="3" t="str">
        <f t="shared" si="3"/>
        <v/>
      </c>
      <c r="B1776" s="2" t="str">
        <f t="array" ref="B1776">INDEX(helper!$A$3:$A3996,ROUNDUP((ROW()-1)/COUNTA(helper!$D$3:$D3996),0))</f>
        <v/>
      </c>
      <c r="C1776" s="5" t="str">
        <f t="array" ref="C1776">IF(B1776="","",INDEX(helper!$D$3:$D3996,MOD(ROW()-2,COUNTA(helper!$D$3:$D3996))+1))</f>
        <v/>
      </c>
      <c r="D1776" s="3" t="str">
        <f t="array" ref="D1776">IF(B1776="","",INDEX(helper!$E$3:$E3996,MOD(ROW()-2,COUNTA(helper!$D$3:$D3996))+1))</f>
        <v/>
      </c>
      <c r="E1776" s="3" t="str">
        <f t="array" ref="E1776">IF(B1776="","",INDEX(helper!$F$3:$F3996,MOD(ROW()-2,COUNTA(helper!$D$3:$D3996))+1))</f>
        <v/>
      </c>
      <c r="F1776" s="3" t="str">
        <f>IF(B1776="","",SUMIFS('inventory ledger'!$H:$H,'inventory ledger'!$C:$C,C1776,'inventory ledger'!$D:$D,D1776,'inventory ledger'!$E:$E,E1776,'inventory ledger'!$A:$A,"&lt;="&amp;B1776+TIME(23,59,59))-SUMIFS('inventory ledger'!$I:$I,'inventory ledger'!$C:$C,C1776,'inventory ledger'!$D:$D,D1776,'inventory ledger'!$E:$E,E1776,'inventory ledger'!$A:$A,"&lt;="&amp;B1776+TIME(23,59,59)))</f>
        <v/>
      </c>
      <c r="G1776" s="3">
        <f>IFERROR(__xludf.DUMMYFUNCTION("IF(F1776&lt;=0,0,IFERROR(ROUNDUP(F1776/INDEX(FILTER('warehouse config'!$D:$D,('warehouse config'!$B:$B=C1776)*('warehouse config'!$C:$C=D1776)*('warehouse config'!$G:$G&lt;=B1776)*(('warehouse config'!$H:$H&gt;=B1776)+ISBLANK('warehouse config'!$H:$H))),1)),0))"),0.0)</f>
        <v>0</v>
      </c>
      <c r="H1776" s="3">
        <f>IFERROR(__xludf.DUMMYFUNCTION("IFERROR(INDEX(FILTER('cost master'!$E:$E,('cost master'!$B:$B=C1776)*('cost master'!$D:$D=""Storage cost per pallet / week"")*('cost master'!$G:$G&lt;=B1776)*(('cost master'!$H:$H&gt;=B1776)+ISBLANK('cost master'!$H:$H))),1),0)"),0.0)</f>
        <v>0</v>
      </c>
      <c r="I1776" s="3">
        <f t="shared" si="4"/>
        <v>0</v>
      </c>
      <c r="J1776" s="27">
        <f t="shared" si="5"/>
        <v>693947</v>
      </c>
      <c r="K1776" s="27">
        <f t="shared" si="6"/>
        <v>693977</v>
      </c>
    </row>
    <row r="1777" hidden="1">
      <c r="A1777" s="3" t="str">
        <f t="shared" si="3"/>
        <v/>
      </c>
      <c r="B1777" s="2" t="str">
        <f t="array" ref="B1777">INDEX(helper!$A$3:$A3996,ROUNDUP((ROW()-1)/COUNTA(helper!$D$3:$D3996),0))</f>
        <v/>
      </c>
      <c r="C1777" s="5" t="str">
        <f t="array" ref="C1777">IF(B1777="","",INDEX(helper!$D$3:$D3996,MOD(ROW()-2,COUNTA(helper!$D$3:$D3996))+1))</f>
        <v/>
      </c>
      <c r="D1777" s="3" t="str">
        <f t="array" ref="D1777">IF(B1777="","",INDEX(helper!$E$3:$E3996,MOD(ROW()-2,COUNTA(helper!$D$3:$D3996))+1))</f>
        <v/>
      </c>
      <c r="E1777" s="3" t="str">
        <f t="array" ref="E1777">IF(B1777="","",INDEX(helper!$F$3:$F3996,MOD(ROW()-2,COUNTA(helper!$D$3:$D3996))+1))</f>
        <v/>
      </c>
      <c r="F1777" s="3" t="str">
        <f>IF(B1777="","",SUMIFS('inventory ledger'!$H:$H,'inventory ledger'!$C:$C,C1777,'inventory ledger'!$D:$D,D1777,'inventory ledger'!$E:$E,E1777,'inventory ledger'!$A:$A,"&lt;="&amp;B1777+TIME(23,59,59))-SUMIFS('inventory ledger'!$I:$I,'inventory ledger'!$C:$C,C1777,'inventory ledger'!$D:$D,D1777,'inventory ledger'!$E:$E,E1777,'inventory ledger'!$A:$A,"&lt;="&amp;B1777+TIME(23,59,59)))</f>
        <v/>
      </c>
      <c r="G1777" s="3">
        <f>IFERROR(__xludf.DUMMYFUNCTION("IF(F1777&lt;=0,0,IFERROR(ROUNDUP(F1777/INDEX(FILTER('warehouse config'!$D:$D,('warehouse config'!$B:$B=C1777)*('warehouse config'!$C:$C=D1777)*('warehouse config'!$G:$G&lt;=B1777)*(('warehouse config'!$H:$H&gt;=B1777)+ISBLANK('warehouse config'!$H:$H))),1)),0))"),0.0)</f>
        <v>0</v>
      </c>
      <c r="H1777" s="3">
        <f>IFERROR(__xludf.DUMMYFUNCTION("IFERROR(INDEX(FILTER('cost master'!$E:$E,('cost master'!$B:$B=C1777)*('cost master'!$D:$D=""Storage cost per pallet / week"")*('cost master'!$G:$G&lt;=B1777)*(('cost master'!$H:$H&gt;=B1777)+ISBLANK('cost master'!$H:$H))),1),0)"),0.0)</f>
        <v>0</v>
      </c>
      <c r="I1777" s="3">
        <f t="shared" si="4"/>
        <v>0</v>
      </c>
      <c r="J1777" s="27">
        <f t="shared" si="5"/>
        <v>693947</v>
      </c>
      <c r="K1777" s="27">
        <f t="shared" si="6"/>
        <v>693977</v>
      </c>
    </row>
    <row r="1778" hidden="1">
      <c r="A1778" s="3" t="str">
        <f t="shared" si="3"/>
        <v/>
      </c>
      <c r="B1778" s="2" t="str">
        <f t="array" ref="B1778">INDEX(helper!$A$3:$A3996,ROUNDUP((ROW()-1)/COUNTA(helper!$D$3:$D3996),0))</f>
        <v/>
      </c>
      <c r="C1778" s="5" t="str">
        <f t="array" ref="C1778">IF(B1778="","",INDEX(helper!$D$3:$D3996,MOD(ROW()-2,COUNTA(helper!$D$3:$D3996))+1))</f>
        <v/>
      </c>
      <c r="D1778" s="3" t="str">
        <f t="array" ref="D1778">IF(B1778="","",INDEX(helper!$E$3:$E3996,MOD(ROW()-2,COUNTA(helper!$D$3:$D3996))+1))</f>
        <v/>
      </c>
      <c r="E1778" s="3" t="str">
        <f t="array" ref="E1778">IF(B1778="","",INDEX(helper!$F$3:$F3996,MOD(ROW()-2,COUNTA(helper!$D$3:$D3996))+1))</f>
        <v/>
      </c>
      <c r="F1778" s="3" t="str">
        <f>IF(B1778="","",SUMIFS('inventory ledger'!$H:$H,'inventory ledger'!$C:$C,C1778,'inventory ledger'!$D:$D,D1778,'inventory ledger'!$E:$E,E1778,'inventory ledger'!$A:$A,"&lt;="&amp;B1778+TIME(23,59,59))-SUMIFS('inventory ledger'!$I:$I,'inventory ledger'!$C:$C,C1778,'inventory ledger'!$D:$D,D1778,'inventory ledger'!$E:$E,E1778,'inventory ledger'!$A:$A,"&lt;="&amp;B1778+TIME(23,59,59)))</f>
        <v/>
      </c>
      <c r="G1778" s="3">
        <f>IFERROR(__xludf.DUMMYFUNCTION("IF(F1778&lt;=0,0,IFERROR(ROUNDUP(F1778/INDEX(FILTER('warehouse config'!$D:$D,('warehouse config'!$B:$B=C1778)*('warehouse config'!$C:$C=D1778)*('warehouse config'!$G:$G&lt;=B1778)*(('warehouse config'!$H:$H&gt;=B1778)+ISBLANK('warehouse config'!$H:$H))),1)),0))"),0.0)</f>
        <v>0</v>
      </c>
      <c r="H1778" s="3">
        <f>IFERROR(__xludf.DUMMYFUNCTION("IFERROR(INDEX(FILTER('cost master'!$E:$E,('cost master'!$B:$B=C1778)*('cost master'!$D:$D=""Storage cost per pallet / week"")*('cost master'!$G:$G&lt;=B1778)*(('cost master'!$H:$H&gt;=B1778)+ISBLANK('cost master'!$H:$H))),1),0)"),0.0)</f>
        <v>0</v>
      </c>
      <c r="I1778" s="3">
        <f t="shared" si="4"/>
        <v>0</v>
      </c>
      <c r="J1778" s="27">
        <f t="shared" si="5"/>
        <v>693947</v>
      </c>
      <c r="K1778" s="27">
        <f t="shared" si="6"/>
        <v>693977</v>
      </c>
    </row>
    <row r="1779" hidden="1">
      <c r="A1779" s="3" t="str">
        <f t="shared" si="3"/>
        <v/>
      </c>
      <c r="B1779" s="2" t="str">
        <f t="array" ref="B1779">INDEX(helper!$A$3:$A3996,ROUNDUP((ROW()-1)/COUNTA(helper!$D$3:$D3996),0))</f>
        <v/>
      </c>
      <c r="C1779" s="5" t="str">
        <f t="array" ref="C1779">IF(B1779="","",INDEX(helper!$D$3:$D3996,MOD(ROW()-2,COUNTA(helper!$D$3:$D3996))+1))</f>
        <v/>
      </c>
      <c r="D1779" s="3" t="str">
        <f t="array" ref="D1779">IF(B1779="","",INDEX(helper!$E$3:$E3996,MOD(ROW()-2,COUNTA(helper!$D$3:$D3996))+1))</f>
        <v/>
      </c>
      <c r="E1779" s="3" t="str">
        <f t="array" ref="E1779">IF(B1779="","",INDEX(helper!$F$3:$F3996,MOD(ROW()-2,COUNTA(helper!$D$3:$D3996))+1))</f>
        <v/>
      </c>
      <c r="F1779" s="3" t="str">
        <f>IF(B1779="","",SUMIFS('inventory ledger'!$H:$H,'inventory ledger'!$C:$C,C1779,'inventory ledger'!$D:$D,D1779,'inventory ledger'!$E:$E,E1779,'inventory ledger'!$A:$A,"&lt;="&amp;B1779+TIME(23,59,59))-SUMIFS('inventory ledger'!$I:$I,'inventory ledger'!$C:$C,C1779,'inventory ledger'!$D:$D,D1779,'inventory ledger'!$E:$E,E1779,'inventory ledger'!$A:$A,"&lt;="&amp;B1779+TIME(23,59,59)))</f>
        <v/>
      </c>
      <c r="G1779" s="3">
        <f>IFERROR(__xludf.DUMMYFUNCTION("IF(F1779&lt;=0,0,IFERROR(ROUNDUP(F1779/INDEX(FILTER('warehouse config'!$D:$D,('warehouse config'!$B:$B=C1779)*('warehouse config'!$C:$C=D1779)*('warehouse config'!$G:$G&lt;=B1779)*(('warehouse config'!$H:$H&gt;=B1779)+ISBLANK('warehouse config'!$H:$H))),1)),0))"),0.0)</f>
        <v>0</v>
      </c>
      <c r="H1779" s="3">
        <f>IFERROR(__xludf.DUMMYFUNCTION("IFERROR(INDEX(FILTER('cost master'!$E:$E,('cost master'!$B:$B=C1779)*('cost master'!$D:$D=""Storage cost per pallet / week"")*('cost master'!$G:$G&lt;=B1779)*(('cost master'!$H:$H&gt;=B1779)+ISBLANK('cost master'!$H:$H))),1),0)"),0.0)</f>
        <v>0</v>
      </c>
      <c r="I1779" s="3">
        <f t="shared" si="4"/>
        <v>0</v>
      </c>
      <c r="J1779" s="27">
        <f t="shared" si="5"/>
        <v>693947</v>
      </c>
      <c r="K1779" s="27">
        <f t="shared" si="6"/>
        <v>693977</v>
      </c>
    </row>
    <row r="1780" hidden="1">
      <c r="A1780" s="3" t="str">
        <f t="shared" si="3"/>
        <v/>
      </c>
      <c r="B1780" s="2" t="str">
        <f t="array" ref="B1780">INDEX(helper!$A$3:$A3996,ROUNDUP((ROW()-1)/COUNTA(helper!$D$3:$D3996),0))</f>
        <v/>
      </c>
      <c r="C1780" s="5" t="str">
        <f t="array" ref="C1780">IF(B1780="","",INDEX(helper!$D$3:$D3996,MOD(ROW()-2,COUNTA(helper!$D$3:$D3996))+1))</f>
        <v/>
      </c>
      <c r="D1780" s="3" t="str">
        <f t="array" ref="D1780">IF(B1780="","",INDEX(helper!$E$3:$E3996,MOD(ROW()-2,COUNTA(helper!$D$3:$D3996))+1))</f>
        <v/>
      </c>
      <c r="E1780" s="3" t="str">
        <f t="array" ref="E1780">IF(B1780="","",INDEX(helper!$F$3:$F3996,MOD(ROW()-2,COUNTA(helper!$D$3:$D3996))+1))</f>
        <v/>
      </c>
      <c r="F1780" s="3" t="str">
        <f>IF(B1780="","",SUMIFS('inventory ledger'!$H:$H,'inventory ledger'!$C:$C,C1780,'inventory ledger'!$D:$D,D1780,'inventory ledger'!$E:$E,E1780,'inventory ledger'!$A:$A,"&lt;="&amp;B1780+TIME(23,59,59))-SUMIFS('inventory ledger'!$I:$I,'inventory ledger'!$C:$C,C1780,'inventory ledger'!$D:$D,D1780,'inventory ledger'!$E:$E,E1780,'inventory ledger'!$A:$A,"&lt;="&amp;B1780+TIME(23,59,59)))</f>
        <v/>
      </c>
      <c r="G1780" s="3">
        <f>IFERROR(__xludf.DUMMYFUNCTION("IF(F1780&lt;=0,0,IFERROR(ROUNDUP(F1780/INDEX(FILTER('warehouse config'!$D:$D,('warehouse config'!$B:$B=C1780)*('warehouse config'!$C:$C=D1780)*('warehouse config'!$G:$G&lt;=B1780)*(('warehouse config'!$H:$H&gt;=B1780)+ISBLANK('warehouse config'!$H:$H))),1)),0))"),0.0)</f>
        <v>0</v>
      </c>
      <c r="H1780" s="3">
        <f>IFERROR(__xludf.DUMMYFUNCTION("IFERROR(INDEX(FILTER('cost master'!$E:$E,('cost master'!$B:$B=C1780)*('cost master'!$D:$D=""Storage cost per pallet / week"")*('cost master'!$G:$G&lt;=B1780)*(('cost master'!$H:$H&gt;=B1780)+ISBLANK('cost master'!$H:$H))),1),0)"),0.0)</f>
        <v>0</v>
      </c>
      <c r="I1780" s="3">
        <f t="shared" si="4"/>
        <v>0</v>
      </c>
      <c r="J1780" s="27">
        <f t="shared" si="5"/>
        <v>693947</v>
      </c>
      <c r="K1780" s="27">
        <f t="shared" si="6"/>
        <v>693977</v>
      </c>
    </row>
    <row r="1781" hidden="1">
      <c r="A1781" s="3" t="str">
        <f t="shared" si="3"/>
        <v/>
      </c>
      <c r="B1781" s="2" t="str">
        <f t="array" ref="B1781">INDEX(helper!$A$3:$A3996,ROUNDUP((ROW()-1)/COUNTA(helper!$D$3:$D3996),0))</f>
        <v/>
      </c>
      <c r="C1781" s="5" t="str">
        <f t="array" ref="C1781">IF(B1781="","",INDEX(helper!$D$3:$D3996,MOD(ROW()-2,COUNTA(helper!$D$3:$D3996))+1))</f>
        <v/>
      </c>
      <c r="D1781" s="3" t="str">
        <f t="array" ref="D1781">IF(B1781="","",INDEX(helper!$E$3:$E3996,MOD(ROW()-2,COUNTA(helper!$D$3:$D3996))+1))</f>
        <v/>
      </c>
      <c r="E1781" s="3" t="str">
        <f t="array" ref="E1781">IF(B1781="","",INDEX(helper!$F$3:$F3996,MOD(ROW()-2,COUNTA(helper!$D$3:$D3996))+1))</f>
        <v/>
      </c>
      <c r="F1781" s="3" t="str">
        <f>IF(B1781="","",SUMIFS('inventory ledger'!$H:$H,'inventory ledger'!$C:$C,C1781,'inventory ledger'!$D:$D,D1781,'inventory ledger'!$E:$E,E1781,'inventory ledger'!$A:$A,"&lt;="&amp;B1781+TIME(23,59,59))-SUMIFS('inventory ledger'!$I:$I,'inventory ledger'!$C:$C,C1781,'inventory ledger'!$D:$D,D1781,'inventory ledger'!$E:$E,E1781,'inventory ledger'!$A:$A,"&lt;="&amp;B1781+TIME(23,59,59)))</f>
        <v/>
      </c>
      <c r="G1781" s="3">
        <f>IFERROR(__xludf.DUMMYFUNCTION("IF(F1781&lt;=0,0,IFERROR(ROUNDUP(F1781/INDEX(FILTER('warehouse config'!$D:$D,('warehouse config'!$B:$B=C1781)*('warehouse config'!$C:$C=D1781)*('warehouse config'!$G:$G&lt;=B1781)*(('warehouse config'!$H:$H&gt;=B1781)+ISBLANK('warehouse config'!$H:$H))),1)),0))"),0.0)</f>
        <v>0</v>
      </c>
      <c r="H1781" s="3">
        <f>IFERROR(__xludf.DUMMYFUNCTION("IFERROR(INDEX(FILTER('cost master'!$E:$E,('cost master'!$B:$B=C1781)*('cost master'!$D:$D=""Storage cost per pallet / week"")*('cost master'!$G:$G&lt;=B1781)*(('cost master'!$H:$H&gt;=B1781)+ISBLANK('cost master'!$H:$H))),1),0)"),0.0)</f>
        <v>0</v>
      </c>
      <c r="I1781" s="3">
        <f t="shared" si="4"/>
        <v>0</v>
      </c>
      <c r="J1781" s="27">
        <f t="shared" si="5"/>
        <v>693947</v>
      </c>
      <c r="K1781" s="27">
        <f t="shared" si="6"/>
        <v>693977</v>
      </c>
    </row>
    <row r="1782" hidden="1">
      <c r="A1782" s="3" t="str">
        <f t="shared" si="3"/>
        <v/>
      </c>
      <c r="B1782" s="2" t="str">
        <f t="array" ref="B1782">INDEX(helper!$A$3:$A3996,ROUNDUP((ROW()-1)/COUNTA(helper!$D$3:$D3996),0))</f>
        <v/>
      </c>
      <c r="C1782" s="5" t="str">
        <f t="array" ref="C1782">IF(B1782="","",INDEX(helper!$D$3:$D3996,MOD(ROW()-2,COUNTA(helper!$D$3:$D3996))+1))</f>
        <v/>
      </c>
      <c r="D1782" s="3" t="str">
        <f t="array" ref="D1782">IF(B1782="","",INDEX(helper!$E$3:$E3996,MOD(ROW()-2,COUNTA(helper!$D$3:$D3996))+1))</f>
        <v/>
      </c>
      <c r="E1782" s="3" t="str">
        <f t="array" ref="E1782">IF(B1782="","",INDEX(helper!$F$3:$F3996,MOD(ROW()-2,COUNTA(helper!$D$3:$D3996))+1))</f>
        <v/>
      </c>
      <c r="F1782" s="3" t="str">
        <f>IF(B1782="","",SUMIFS('inventory ledger'!$H:$H,'inventory ledger'!$C:$C,C1782,'inventory ledger'!$D:$D,D1782,'inventory ledger'!$E:$E,E1782,'inventory ledger'!$A:$A,"&lt;="&amp;B1782+TIME(23,59,59))-SUMIFS('inventory ledger'!$I:$I,'inventory ledger'!$C:$C,C1782,'inventory ledger'!$D:$D,D1782,'inventory ledger'!$E:$E,E1782,'inventory ledger'!$A:$A,"&lt;="&amp;B1782+TIME(23,59,59)))</f>
        <v/>
      </c>
      <c r="G1782" s="3">
        <f>IFERROR(__xludf.DUMMYFUNCTION("IF(F1782&lt;=0,0,IFERROR(ROUNDUP(F1782/INDEX(FILTER('warehouse config'!$D:$D,('warehouse config'!$B:$B=C1782)*('warehouse config'!$C:$C=D1782)*('warehouse config'!$G:$G&lt;=B1782)*(('warehouse config'!$H:$H&gt;=B1782)+ISBLANK('warehouse config'!$H:$H))),1)),0))"),0.0)</f>
        <v>0</v>
      </c>
      <c r="H1782" s="3">
        <f>IFERROR(__xludf.DUMMYFUNCTION("IFERROR(INDEX(FILTER('cost master'!$E:$E,('cost master'!$B:$B=C1782)*('cost master'!$D:$D=""Storage cost per pallet / week"")*('cost master'!$G:$G&lt;=B1782)*(('cost master'!$H:$H&gt;=B1782)+ISBLANK('cost master'!$H:$H))),1),0)"),0.0)</f>
        <v>0</v>
      </c>
      <c r="I1782" s="3">
        <f t="shared" si="4"/>
        <v>0</v>
      </c>
      <c r="J1782" s="27">
        <f t="shared" si="5"/>
        <v>693947</v>
      </c>
      <c r="K1782" s="27">
        <f t="shared" si="6"/>
        <v>693977</v>
      </c>
    </row>
    <row r="1783" hidden="1">
      <c r="A1783" s="3" t="str">
        <f t="shared" si="3"/>
        <v/>
      </c>
      <c r="B1783" s="2" t="str">
        <f t="array" ref="B1783">INDEX(helper!$A$3:$A3996,ROUNDUP((ROW()-1)/COUNTA(helper!$D$3:$D3996),0))</f>
        <v/>
      </c>
      <c r="C1783" s="5" t="str">
        <f t="array" ref="C1783">IF(B1783="","",INDEX(helper!$D$3:$D3996,MOD(ROW()-2,COUNTA(helper!$D$3:$D3996))+1))</f>
        <v/>
      </c>
      <c r="D1783" s="3" t="str">
        <f t="array" ref="D1783">IF(B1783="","",INDEX(helper!$E$3:$E3996,MOD(ROW()-2,COUNTA(helper!$D$3:$D3996))+1))</f>
        <v/>
      </c>
      <c r="E1783" s="3" t="str">
        <f t="array" ref="E1783">IF(B1783="","",INDEX(helper!$F$3:$F3996,MOD(ROW()-2,COUNTA(helper!$D$3:$D3996))+1))</f>
        <v/>
      </c>
      <c r="F1783" s="3" t="str">
        <f>IF(B1783="","",SUMIFS('inventory ledger'!$H:$H,'inventory ledger'!$C:$C,C1783,'inventory ledger'!$D:$D,D1783,'inventory ledger'!$E:$E,E1783,'inventory ledger'!$A:$A,"&lt;="&amp;B1783+TIME(23,59,59))-SUMIFS('inventory ledger'!$I:$I,'inventory ledger'!$C:$C,C1783,'inventory ledger'!$D:$D,D1783,'inventory ledger'!$E:$E,E1783,'inventory ledger'!$A:$A,"&lt;="&amp;B1783+TIME(23,59,59)))</f>
        <v/>
      </c>
      <c r="G1783" s="3">
        <f>IFERROR(__xludf.DUMMYFUNCTION("IF(F1783&lt;=0,0,IFERROR(ROUNDUP(F1783/INDEX(FILTER('warehouse config'!$D:$D,('warehouse config'!$B:$B=C1783)*('warehouse config'!$C:$C=D1783)*('warehouse config'!$G:$G&lt;=B1783)*(('warehouse config'!$H:$H&gt;=B1783)+ISBLANK('warehouse config'!$H:$H))),1)),0))"),0.0)</f>
        <v>0</v>
      </c>
      <c r="H1783" s="3">
        <f>IFERROR(__xludf.DUMMYFUNCTION("IFERROR(INDEX(FILTER('cost master'!$E:$E,('cost master'!$B:$B=C1783)*('cost master'!$D:$D=""Storage cost per pallet / week"")*('cost master'!$G:$G&lt;=B1783)*(('cost master'!$H:$H&gt;=B1783)+ISBLANK('cost master'!$H:$H))),1),0)"),0.0)</f>
        <v>0</v>
      </c>
      <c r="I1783" s="3">
        <f t="shared" si="4"/>
        <v>0</v>
      </c>
      <c r="J1783" s="27">
        <f t="shared" si="5"/>
        <v>693947</v>
      </c>
      <c r="K1783" s="27">
        <f t="shared" si="6"/>
        <v>693977</v>
      </c>
    </row>
    <row r="1784" hidden="1">
      <c r="A1784" s="3" t="str">
        <f t="shared" si="3"/>
        <v/>
      </c>
      <c r="B1784" s="2" t="str">
        <f t="array" ref="B1784">INDEX(helper!$A$3:$A3996,ROUNDUP((ROW()-1)/COUNTA(helper!$D$3:$D3996),0))</f>
        <v/>
      </c>
      <c r="C1784" s="5" t="str">
        <f t="array" ref="C1784">IF(B1784="","",INDEX(helper!$D$3:$D3996,MOD(ROW()-2,COUNTA(helper!$D$3:$D3996))+1))</f>
        <v/>
      </c>
      <c r="D1784" s="3" t="str">
        <f t="array" ref="D1784">IF(B1784="","",INDEX(helper!$E$3:$E3996,MOD(ROW()-2,COUNTA(helper!$D$3:$D3996))+1))</f>
        <v/>
      </c>
      <c r="E1784" s="3" t="str">
        <f t="array" ref="E1784">IF(B1784="","",INDEX(helper!$F$3:$F3996,MOD(ROW()-2,COUNTA(helper!$D$3:$D3996))+1))</f>
        <v/>
      </c>
      <c r="F1784" s="3" t="str">
        <f>IF(B1784="","",SUMIFS('inventory ledger'!$H:$H,'inventory ledger'!$C:$C,C1784,'inventory ledger'!$D:$D,D1784,'inventory ledger'!$E:$E,E1784,'inventory ledger'!$A:$A,"&lt;="&amp;B1784+TIME(23,59,59))-SUMIFS('inventory ledger'!$I:$I,'inventory ledger'!$C:$C,C1784,'inventory ledger'!$D:$D,D1784,'inventory ledger'!$E:$E,E1784,'inventory ledger'!$A:$A,"&lt;="&amp;B1784+TIME(23,59,59)))</f>
        <v/>
      </c>
      <c r="G1784" s="3">
        <f>IFERROR(__xludf.DUMMYFUNCTION("IF(F1784&lt;=0,0,IFERROR(ROUNDUP(F1784/INDEX(FILTER('warehouse config'!$D:$D,('warehouse config'!$B:$B=C1784)*('warehouse config'!$C:$C=D1784)*('warehouse config'!$G:$G&lt;=B1784)*(('warehouse config'!$H:$H&gt;=B1784)+ISBLANK('warehouse config'!$H:$H))),1)),0))"),0.0)</f>
        <v>0</v>
      </c>
      <c r="H1784" s="3">
        <f>IFERROR(__xludf.DUMMYFUNCTION("IFERROR(INDEX(FILTER('cost master'!$E:$E,('cost master'!$B:$B=C1784)*('cost master'!$D:$D=""Storage cost per pallet / week"")*('cost master'!$G:$G&lt;=B1784)*(('cost master'!$H:$H&gt;=B1784)+ISBLANK('cost master'!$H:$H))),1),0)"),0.0)</f>
        <v>0</v>
      </c>
      <c r="I1784" s="3">
        <f t="shared" si="4"/>
        <v>0</v>
      </c>
      <c r="J1784" s="27">
        <f t="shared" si="5"/>
        <v>693947</v>
      </c>
      <c r="K1784" s="27">
        <f t="shared" si="6"/>
        <v>693977</v>
      </c>
    </row>
    <row r="1785" hidden="1">
      <c r="A1785" s="3" t="str">
        <f t="shared" si="3"/>
        <v/>
      </c>
      <c r="B1785" s="2" t="str">
        <f t="array" ref="B1785">INDEX(helper!$A$3:$A3996,ROUNDUP((ROW()-1)/COUNTA(helper!$D$3:$D3996),0))</f>
        <v/>
      </c>
      <c r="C1785" s="5" t="str">
        <f t="array" ref="C1785">IF(B1785="","",INDEX(helper!$D$3:$D3996,MOD(ROW()-2,COUNTA(helper!$D$3:$D3996))+1))</f>
        <v/>
      </c>
      <c r="D1785" s="3" t="str">
        <f t="array" ref="D1785">IF(B1785="","",INDEX(helper!$E$3:$E3996,MOD(ROW()-2,COUNTA(helper!$D$3:$D3996))+1))</f>
        <v/>
      </c>
      <c r="E1785" s="3" t="str">
        <f t="array" ref="E1785">IF(B1785="","",INDEX(helper!$F$3:$F3996,MOD(ROW()-2,COUNTA(helper!$D$3:$D3996))+1))</f>
        <v/>
      </c>
      <c r="F1785" s="3" t="str">
        <f>IF(B1785="","",SUMIFS('inventory ledger'!$H:$H,'inventory ledger'!$C:$C,C1785,'inventory ledger'!$D:$D,D1785,'inventory ledger'!$E:$E,E1785,'inventory ledger'!$A:$A,"&lt;="&amp;B1785+TIME(23,59,59))-SUMIFS('inventory ledger'!$I:$I,'inventory ledger'!$C:$C,C1785,'inventory ledger'!$D:$D,D1785,'inventory ledger'!$E:$E,E1785,'inventory ledger'!$A:$A,"&lt;="&amp;B1785+TIME(23,59,59)))</f>
        <v/>
      </c>
      <c r="G1785" s="3">
        <f>IFERROR(__xludf.DUMMYFUNCTION("IF(F1785&lt;=0,0,IFERROR(ROUNDUP(F1785/INDEX(FILTER('warehouse config'!$D:$D,('warehouse config'!$B:$B=C1785)*('warehouse config'!$C:$C=D1785)*('warehouse config'!$G:$G&lt;=B1785)*(('warehouse config'!$H:$H&gt;=B1785)+ISBLANK('warehouse config'!$H:$H))),1)),0))"),0.0)</f>
        <v>0</v>
      </c>
      <c r="H1785" s="3">
        <f>IFERROR(__xludf.DUMMYFUNCTION("IFERROR(INDEX(FILTER('cost master'!$E:$E,('cost master'!$B:$B=C1785)*('cost master'!$D:$D=""Storage cost per pallet / week"")*('cost master'!$G:$G&lt;=B1785)*(('cost master'!$H:$H&gt;=B1785)+ISBLANK('cost master'!$H:$H))),1),0)"),0.0)</f>
        <v>0</v>
      </c>
      <c r="I1785" s="3">
        <f t="shared" si="4"/>
        <v>0</v>
      </c>
      <c r="J1785" s="27">
        <f t="shared" si="5"/>
        <v>693947</v>
      </c>
      <c r="K1785" s="27">
        <f t="shared" si="6"/>
        <v>693977</v>
      </c>
    </row>
    <row r="1786" hidden="1">
      <c r="A1786" s="3" t="str">
        <f t="shared" si="3"/>
        <v/>
      </c>
      <c r="B1786" s="2" t="str">
        <f t="array" ref="B1786">INDEX(helper!$A$3:$A3996,ROUNDUP((ROW()-1)/COUNTA(helper!$D$3:$D3996),0))</f>
        <v/>
      </c>
      <c r="C1786" s="5" t="str">
        <f t="array" ref="C1786">IF(B1786="","",INDEX(helper!$D$3:$D3996,MOD(ROW()-2,COUNTA(helper!$D$3:$D3996))+1))</f>
        <v/>
      </c>
      <c r="D1786" s="3" t="str">
        <f t="array" ref="D1786">IF(B1786="","",INDEX(helper!$E$3:$E3996,MOD(ROW()-2,COUNTA(helper!$D$3:$D3996))+1))</f>
        <v/>
      </c>
      <c r="E1786" s="3" t="str">
        <f t="array" ref="E1786">IF(B1786="","",INDEX(helper!$F$3:$F3996,MOD(ROW()-2,COUNTA(helper!$D$3:$D3996))+1))</f>
        <v/>
      </c>
      <c r="F1786" s="3" t="str">
        <f>IF(B1786="","",SUMIFS('inventory ledger'!$H:$H,'inventory ledger'!$C:$C,C1786,'inventory ledger'!$D:$D,D1786,'inventory ledger'!$E:$E,E1786,'inventory ledger'!$A:$A,"&lt;="&amp;B1786+TIME(23,59,59))-SUMIFS('inventory ledger'!$I:$I,'inventory ledger'!$C:$C,C1786,'inventory ledger'!$D:$D,D1786,'inventory ledger'!$E:$E,E1786,'inventory ledger'!$A:$A,"&lt;="&amp;B1786+TIME(23,59,59)))</f>
        <v/>
      </c>
      <c r="G1786" s="3">
        <f>IFERROR(__xludf.DUMMYFUNCTION("IF(F1786&lt;=0,0,IFERROR(ROUNDUP(F1786/INDEX(FILTER('warehouse config'!$D:$D,('warehouse config'!$B:$B=C1786)*('warehouse config'!$C:$C=D1786)*('warehouse config'!$G:$G&lt;=B1786)*(('warehouse config'!$H:$H&gt;=B1786)+ISBLANK('warehouse config'!$H:$H))),1)),0))"),0.0)</f>
        <v>0</v>
      </c>
      <c r="H1786" s="3">
        <f>IFERROR(__xludf.DUMMYFUNCTION("IFERROR(INDEX(FILTER('cost master'!$E:$E,('cost master'!$B:$B=C1786)*('cost master'!$D:$D=""Storage cost per pallet / week"")*('cost master'!$G:$G&lt;=B1786)*(('cost master'!$H:$H&gt;=B1786)+ISBLANK('cost master'!$H:$H))),1),0)"),0.0)</f>
        <v>0</v>
      </c>
      <c r="I1786" s="3">
        <f t="shared" si="4"/>
        <v>0</v>
      </c>
      <c r="J1786" s="27">
        <f t="shared" si="5"/>
        <v>693947</v>
      </c>
      <c r="K1786" s="27">
        <f t="shared" si="6"/>
        <v>693977</v>
      </c>
    </row>
    <row r="1787" hidden="1">
      <c r="A1787" s="3" t="str">
        <f t="shared" si="3"/>
        <v/>
      </c>
      <c r="B1787" s="2" t="str">
        <f t="array" ref="B1787">INDEX(helper!$A$3:$A3996,ROUNDUP((ROW()-1)/COUNTA(helper!$D$3:$D3996),0))</f>
        <v/>
      </c>
      <c r="C1787" s="5" t="str">
        <f t="array" ref="C1787">IF(B1787="","",INDEX(helper!$D$3:$D3996,MOD(ROW()-2,COUNTA(helper!$D$3:$D3996))+1))</f>
        <v/>
      </c>
      <c r="D1787" s="3" t="str">
        <f t="array" ref="D1787">IF(B1787="","",INDEX(helper!$E$3:$E3996,MOD(ROW()-2,COUNTA(helper!$D$3:$D3996))+1))</f>
        <v/>
      </c>
      <c r="E1787" s="3" t="str">
        <f t="array" ref="E1787">IF(B1787="","",INDEX(helper!$F$3:$F3996,MOD(ROW()-2,COUNTA(helper!$D$3:$D3996))+1))</f>
        <v/>
      </c>
      <c r="F1787" s="3" t="str">
        <f>IF(B1787="","",SUMIFS('inventory ledger'!$H:$H,'inventory ledger'!$C:$C,C1787,'inventory ledger'!$D:$D,D1787,'inventory ledger'!$E:$E,E1787,'inventory ledger'!$A:$A,"&lt;="&amp;B1787+TIME(23,59,59))-SUMIFS('inventory ledger'!$I:$I,'inventory ledger'!$C:$C,C1787,'inventory ledger'!$D:$D,D1787,'inventory ledger'!$E:$E,E1787,'inventory ledger'!$A:$A,"&lt;="&amp;B1787+TIME(23,59,59)))</f>
        <v/>
      </c>
      <c r="G1787" s="3">
        <f>IFERROR(__xludf.DUMMYFUNCTION("IF(F1787&lt;=0,0,IFERROR(ROUNDUP(F1787/INDEX(FILTER('warehouse config'!$D:$D,('warehouse config'!$B:$B=C1787)*('warehouse config'!$C:$C=D1787)*('warehouse config'!$G:$G&lt;=B1787)*(('warehouse config'!$H:$H&gt;=B1787)+ISBLANK('warehouse config'!$H:$H))),1)),0))"),0.0)</f>
        <v>0</v>
      </c>
      <c r="H1787" s="3">
        <f>IFERROR(__xludf.DUMMYFUNCTION("IFERROR(INDEX(FILTER('cost master'!$E:$E,('cost master'!$B:$B=C1787)*('cost master'!$D:$D=""Storage cost per pallet / week"")*('cost master'!$G:$G&lt;=B1787)*(('cost master'!$H:$H&gt;=B1787)+ISBLANK('cost master'!$H:$H))),1),0)"),0.0)</f>
        <v>0</v>
      </c>
      <c r="I1787" s="3">
        <f t="shared" si="4"/>
        <v>0</v>
      </c>
      <c r="J1787" s="27">
        <f t="shared" si="5"/>
        <v>693947</v>
      </c>
      <c r="K1787" s="27">
        <f t="shared" si="6"/>
        <v>693977</v>
      </c>
    </row>
    <row r="1788" hidden="1">
      <c r="A1788" s="3" t="str">
        <f t="shared" si="3"/>
        <v/>
      </c>
      <c r="B1788" s="2" t="str">
        <f t="array" ref="B1788">INDEX(helper!$A$3:$A3996,ROUNDUP((ROW()-1)/COUNTA(helper!$D$3:$D3996),0))</f>
        <v/>
      </c>
      <c r="C1788" s="5" t="str">
        <f t="array" ref="C1788">IF(B1788="","",INDEX(helper!$D$3:$D3996,MOD(ROW()-2,COUNTA(helper!$D$3:$D3996))+1))</f>
        <v/>
      </c>
      <c r="D1788" s="3" t="str">
        <f t="array" ref="D1788">IF(B1788="","",INDEX(helper!$E$3:$E3996,MOD(ROW()-2,COUNTA(helper!$D$3:$D3996))+1))</f>
        <v/>
      </c>
      <c r="E1788" s="3" t="str">
        <f t="array" ref="E1788">IF(B1788="","",INDEX(helper!$F$3:$F3996,MOD(ROW()-2,COUNTA(helper!$D$3:$D3996))+1))</f>
        <v/>
      </c>
      <c r="F1788" s="3" t="str">
        <f>IF(B1788="","",SUMIFS('inventory ledger'!$H:$H,'inventory ledger'!$C:$C,C1788,'inventory ledger'!$D:$D,D1788,'inventory ledger'!$E:$E,E1788,'inventory ledger'!$A:$A,"&lt;="&amp;B1788+TIME(23,59,59))-SUMIFS('inventory ledger'!$I:$I,'inventory ledger'!$C:$C,C1788,'inventory ledger'!$D:$D,D1788,'inventory ledger'!$E:$E,E1788,'inventory ledger'!$A:$A,"&lt;="&amp;B1788+TIME(23,59,59)))</f>
        <v/>
      </c>
      <c r="G1788" s="3">
        <f>IFERROR(__xludf.DUMMYFUNCTION("IF(F1788&lt;=0,0,IFERROR(ROUNDUP(F1788/INDEX(FILTER('warehouse config'!$D:$D,('warehouse config'!$B:$B=C1788)*('warehouse config'!$C:$C=D1788)*('warehouse config'!$G:$G&lt;=B1788)*(('warehouse config'!$H:$H&gt;=B1788)+ISBLANK('warehouse config'!$H:$H))),1)),0))"),0.0)</f>
        <v>0</v>
      </c>
      <c r="H1788" s="3">
        <f>IFERROR(__xludf.DUMMYFUNCTION("IFERROR(INDEX(FILTER('cost master'!$E:$E,('cost master'!$B:$B=C1788)*('cost master'!$D:$D=""Storage cost per pallet / week"")*('cost master'!$G:$G&lt;=B1788)*(('cost master'!$H:$H&gt;=B1788)+ISBLANK('cost master'!$H:$H))),1),0)"),0.0)</f>
        <v>0</v>
      </c>
      <c r="I1788" s="3">
        <f t="shared" si="4"/>
        <v>0</v>
      </c>
      <c r="J1788" s="27">
        <f t="shared" si="5"/>
        <v>693947</v>
      </c>
      <c r="K1788" s="27">
        <f t="shared" si="6"/>
        <v>693977</v>
      </c>
    </row>
    <row r="1789" hidden="1">
      <c r="A1789" s="3" t="str">
        <f t="shared" si="3"/>
        <v/>
      </c>
      <c r="B1789" s="2" t="str">
        <f t="array" ref="B1789">INDEX(helper!$A$3:$A3996,ROUNDUP((ROW()-1)/COUNTA(helper!$D$3:$D3996),0))</f>
        <v/>
      </c>
      <c r="C1789" s="5" t="str">
        <f t="array" ref="C1789">IF(B1789="","",INDEX(helper!$D$3:$D3996,MOD(ROW()-2,COUNTA(helper!$D$3:$D3996))+1))</f>
        <v/>
      </c>
      <c r="D1789" s="3" t="str">
        <f t="array" ref="D1789">IF(B1789="","",INDEX(helper!$E$3:$E3996,MOD(ROW()-2,COUNTA(helper!$D$3:$D3996))+1))</f>
        <v/>
      </c>
      <c r="E1789" s="3" t="str">
        <f t="array" ref="E1789">IF(B1789="","",INDEX(helper!$F$3:$F3996,MOD(ROW()-2,COUNTA(helper!$D$3:$D3996))+1))</f>
        <v/>
      </c>
      <c r="F1789" s="3" t="str">
        <f>IF(B1789="","",SUMIFS('inventory ledger'!$H:$H,'inventory ledger'!$C:$C,C1789,'inventory ledger'!$D:$D,D1789,'inventory ledger'!$E:$E,E1789,'inventory ledger'!$A:$A,"&lt;="&amp;B1789+TIME(23,59,59))-SUMIFS('inventory ledger'!$I:$I,'inventory ledger'!$C:$C,C1789,'inventory ledger'!$D:$D,D1789,'inventory ledger'!$E:$E,E1789,'inventory ledger'!$A:$A,"&lt;="&amp;B1789+TIME(23,59,59)))</f>
        <v/>
      </c>
      <c r="G1789" s="3">
        <f>IFERROR(__xludf.DUMMYFUNCTION("IF(F1789&lt;=0,0,IFERROR(ROUNDUP(F1789/INDEX(FILTER('warehouse config'!$D:$D,('warehouse config'!$B:$B=C1789)*('warehouse config'!$C:$C=D1789)*('warehouse config'!$G:$G&lt;=B1789)*(('warehouse config'!$H:$H&gt;=B1789)+ISBLANK('warehouse config'!$H:$H))),1)),0))"),0.0)</f>
        <v>0</v>
      </c>
      <c r="H1789" s="3">
        <f>IFERROR(__xludf.DUMMYFUNCTION("IFERROR(INDEX(FILTER('cost master'!$E:$E,('cost master'!$B:$B=C1789)*('cost master'!$D:$D=""Storage cost per pallet / week"")*('cost master'!$G:$G&lt;=B1789)*(('cost master'!$H:$H&gt;=B1789)+ISBLANK('cost master'!$H:$H))),1),0)"),0.0)</f>
        <v>0</v>
      </c>
      <c r="I1789" s="3">
        <f t="shared" si="4"/>
        <v>0</v>
      </c>
      <c r="J1789" s="27">
        <f t="shared" si="5"/>
        <v>693947</v>
      </c>
      <c r="K1789" s="27">
        <f t="shared" si="6"/>
        <v>693977</v>
      </c>
    </row>
    <row r="1790" hidden="1">
      <c r="A1790" s="3" t="str">
        <f t="shared" si="3"/>
        <v/>
      </c>
      <c r="B1790" s="2" t="str">
        <f t="array" ref="B1790">INDEX(helper!$A$3:$A3996,ROUNDUP((ROW()-1)/COUNTA(helper!$D$3:$D3996),0))</f>
        <v/>
      </c>
      <c r="C1790" s="5" t="str">
        <f t="array" ref="C1790">IF(B1790="","",INDEX(helper!$D$3:$D3996,MOD(ROW()-2,COUNTA(helper!$D$3:$D3996))+1))</f>
        <v/>
      </c>
      <c r="D1790" s="3" t="str">
        <f t="array" ref="D1790">IF(B1790="","",INDEX(helper!$E$3:$E3996,MOD(ROW()-2,COUNTA(helper!$D$3:$D3996))+1))</f>
        <v/>
      </c>
      <c r="E1790" s="3" t="str">
        <f t="array" ref="E1790">IF(B1790="","",INDEX(helper!$F$3:$F3996,MOD(ROW()-2,COUNTA(helper!$D$3:$D3996))+1))</f>
        <v/>
      </c>
      <c r="F1790" s="3" t="str">
        <f>IF(B1790="","",SUMIFS('inventory ledger'!$H:$H,'inventory ledger'!$C:$C,C1790,'inventory ledger'!$D:$D,D1790,'inventory ledger'!$E:$E,E1790,'inventory ledger'!$A:$A,"&lt;="&amp;B1790+TIME(23,59,59))-SUMIFS('inventory ledger'!$I:$I,'inventory ledger'!$C:$C,C1790,'inventory ledger'!$D:$D,D1790,'inventory ledger'!$E:$E,E1790,'inventory ledger'!$A:$A,"&lt;="&amp;B1790+TIME(23,59,59)))</f>
        <v/>
      </c>
      <c r="G1790" s="3">
        <f>IFERROR(__xludf.DUMMYFUNCTION("IF(F1790&lt;=0,0,IFERROR(ROUNDUP(F1790/INDEX(FILTER('warehouse config'!$D:$D,('warehouse config'!$B:$B=C1790)*('warehouse config'!$C:$C=D1790)*('warehouse config'!$G:$G&lt;=B1790)*(('warehouse config'!$H:$H&gt;=B1790)+ISBLANK('warehouse config'!$H:$H))),1)),0))"),0.0)</f>
        <v>0</v>
      </c>
      <c r="H1790" s="3">
        <f>IFERROR(__xludf.DUMMYFUNCTION("IFERROR(INDEX(FILTER('cost master'!$E:$E,('cost master'!$B:$B=C1790)*('cost master'!$D:$D=""Storage cost per pallet / week"")*('cost master'!$G:$G&lt;=B1790)*(('cost master'!$H:$H&gt;=B1790)+ISBLANK('cost master'!$H:$H))),1),0)"),0.0)</f>
        <v>0</v>
      </c>
      <c r="I1790" s="3">
        <f t="shared" si="4"/>
        <v>0</v>
      </c>
      <c r="J1790" s="27">
        <f t="shared" si="5"/>
        <v>693947</v>
      </c>
      <c r="K1790" s="27">
        <f t="shared" si="6"/>
        <v>693977</v>
      </c>
    </row>
    <row r="1791" hidden="1">
      <c r="A1791" s="3" t="str">
        <f t="shared" si="3"/>
        <v/>
      </c>
      <c r="B1791" s="2" t="str">
        <f t="array" ref="B1791">INDEX(helper!$A$3:$A3996,ROUNDUP((ROW()-1)/COUNTA(helper!$D$3:$D3996),0))</f>
        <v/>
      </c>
      <c r="C1791" s="5" t="str">
        <f t="array" ref="C1791">IF(B1791="","",INDEX(helper!$D$3:$D3996,MOD(ROW()-2,COUNTA(helper!$D$3:$D3996))+1))</f>
        <v/>
      </c>
      <c r="D1791" s="3" t="str">
        <f t="array" ref="D1791">IF(B1791="","",INDEX(helper!$E$3:$E3996,MOD(ROW()-2,COUNTA(helper!$D$3:$D3996))+1))</f>
        <v/>
      </c>
      <c r="E1791" s="3" t="str">
        <f t="array" ref="E1791">IF(B1791="","",INDEX(helper!$F$3:$F3996,MOD(ROW()-2,COUNTA(helper!$D$3:$D3996))+1))</f>
        <v/>
      </c>
      <c r="F1791" s="3" t="str">
        <f>IF(B1791="","",SUMIFS('inventory ledger'!$H:$H,'inventory ledger'!$C:$C,C1791,'inventory ledger'!$D:$D,D1791,'inventory ledger'!$E:$E,E1791,'inventory ledger'!$A:$A,"&lt;="&amp;B1791+TIME(23,59,59))-SUMIFS('inventory ledger'!$I:$I,'inventory ledger'!$C:$C,C1791,'inventory ledger'!$D:$D,D1791,'inventory ledger'!$E:$E,E1791,'inventory ledger'!$A:$A,"&lt;="&amp;B1791+TIME(23,59,59)))</f>
        <v/>
      </c>
      <c r="G1791" s="3">
        <f>IFERROR(__xludf.DUMMYFUNCTION("IF(F1791&lt;=0,0,IFERROR(ROUNDUP(F1791/INDEX(FILTER('warehouse config'!$D:$D,('warehouse config'!$B:$B=C1791)*('warehouse config'!$C:$C=D1791)*('warehouse config'!$G:$G&lt;=B1791)*(('warehouse config'!$H:$H&gt;=B1791)+ISBLANK('warehouse config'!$H:$H))),1)),0))"),0.0)</f>
        <v>0</v>
      </c>
      <c r="H1791" s="3">
        <f>IFERROR(__xludf.DUMMYFUNCTION("IFERROR(INDEX(FILTER('cost master'!$E:$E,('cost master'!$B:$B=C1791)*('cost master'!$D:$D=""Storage cost per pallet / week"")*('cost master'!$G:$G&lt;=B1791)*(('cost master'!$H:$H&gt;=B1791)+ISBLANK('cost master'!$H:$H))),1),0)"),0.0)</f>
        <v>0</v>
      </c>
      <c r="I1791" s="3">
        <f t="shared" si="4"/>
        <v>0</v>
      </c>
      <c r="J1791" s="27">
        <f t="shared" si="5"/>
        <v>693947</v>
      </c>
      <c r="K1791" s="27">
        <f t="shared" si="6"/>
        <v>693977</v>
      </c>
    </row>
    <row r="1792" hidden="1">
      <c r="A1792" s="3" t="str">
        <f t="shared" si="3"/>
        <v/>
      </c>
      <c r="B1792" s="2" t="str">
        <f t="array" ref="B1792">INDEX(helper!$A$3:$A3996,ROUNDUP((ROW()-1)/COUNTA(helper!$D$3:$D3996),0))</f>
        <v/>
      </c>
      <c r="C1792" s="5" t="str">
        <f t="array" ref="C1792">IF(B1792="","",INDEX(helper!$D$3:$D3996,MOD(ROW()-2,COUNTA(helper!$D$3:$D3996))+1))</f>
        <v/>
      </c>
      <c r="D1792" s="3" t="str">
        <f t="array" ref="D1792">IF(B1792="","",INDEX(helper!$E$3:$E3996,MOD(ROW()-2,COUNTA(helper!$D$3:$D3996))+1))</f>
        <v/>
      </c>
      <c r="E1792" s="3" t="str">
        <f t="array" ref="E1792">IF(B1792="","",INDEX(helper!$F$3:$F3996,MOD(ROW()-2,COUNTA(helper!$D$3:$D3996))+1))</f>
        <v/>
      </c>
      <c r="F1792" s="3" t="str">
        <f>IF(B1792="","",SUMIFS('inventory ledger'!$H:$H,'inventory ledger'!$C:$C,C1792,'inventory ledger'!$D:$D,D1792,'inventory ledger'!$E:$E,E1792,'inventory ledger'!$A:$A,"&lt;="&amp;B1792+TIME(23,59,59))-SUMIFS('inventory ledger'!$I:$I,'inventory ledger'!$C:$C,C1792,'inventory ledger'!$D:$D,D1792,'inventory ledger'!$E:$E,E1792,'inventory ledger'!$A:$A,"&lt;="&amp;B1792+TIME(23,59,59)))</f>
        <v/>
      </c>
      <c r="G1792" s="3">
        <f>IFERROR(__xludf.DUMMYFUNCTION("IF(F1792&lt;=0,0,IFERROR(ROUNDUP(F1792/INDEX(FILTER('warehouse config'!$D:$D,('warehouse config'!$B:$B=C1792)*('warehouse config'!$C:$C=D1792)*('warehouse config'!$G:$G&lt;=B1792)*(('warehouse config'!$H:$H&gt;=B1792)+ISBLANK('warehouse config'!$H:$H))),1)),0))"),0.0)</f>
        <v>0</v>
      </c>
      <c r="H1792" s="3">
        <f>IFERROR(__xludf.DUMMYFUNCTION("IFERROR(INDEX(FILTER('cost master'!$E:$E,('cost master'!$B:$B=C1792)*('cost master'!$D:$D=""Storage cost per pallet / week"")*('cost master'!$G:$G&lt;=B1792)*(('cost master'!$H:$H&gt;=B1792)+ISBLANK('cost master'!$H:$H))),1),0)"),0.0)</f>
        <v>0</v>
      </c>
      <c r="I1792" s="3">
        <f t="shared" si="4"/>
        <v>0</v>
      </c>
      <c r="J1792" s="27">
        <f t="shared" si="5"/>
        <v>693947</v>
      </c>
      <c r="K1792" s="27">
        <f t="shared" si="6"/>
        <v>693977</v>
      </c>
    </row>
    <row r="1793" hidden="1">
      <c r="A1793" s="3" t="str">
        <f t="shared" si="3"/>
        <v/>
      </c>
      <c r="B1793" s="2" t="str">
        <f t="array" ref="B1793">INDEX(helper!$A$3:$A3996,ROUNDUP((ROW()-1)/COUNTA(helper!$D$3:$D3996),0))</f>
        <v/>
      </c>
      <c r="C1793" s="5" t="str">
        <f t="array" ref="C1793">IF(B1793="","",INDEX(helper!$D$3:$D3996,MOD(ROW()-2,COUNTA(helper!$D$3:$D3996))+1))</f>
        <v/>
      </c>
      <c r="D1793" s="3" t="str">
        <f t="array" ref="D1793">IF(B1793="","",INDEX(helper!$E$3:$E3996,MOD(ROW()-2,COUNTA(helper!$D$3:$D3996))+1))</f>
        <v/>
      </c>
      <c r="E1793" s="3" t="str">
        <f t="array" ref="E1793">IF(B1793="","",INDEX(helper!$F$3:$F3996,MOD(ROW()-2,COUNTA(helper!$D$3:$D3996))+1))</f>
        <v/>
      </c>
      <c r="F1793" s="3" t="str">
        <f>IF(B1793="","",SUMIFS('inventory ledger'!$H:$H,'inventory ledger'!$C:$C,C1793,'inventory ledger'!$D:$D,D1793,'inventory ledger'!$E:$E,E1793,'inventory ledger'!$A:$A,"&lt;="&amp;B1793+TIME(23,59,59))-SUMIFS('inventory ledger'!$I:$I,'inventory ledger'!$C:$C,C1793,'inventory ledger'!$D:$D,D1793,'inventory ledger'!$E:$E,E1793,'inventory ledger'!$A:$A,"&lt;="&amp;B1793+TIME(23,59,59)))</f>
        <v/>
      </c>
      <c r="G1793" s="3">
        <f>IFERROR(__xludf.DUMMYFUNCTION("IF(F1793&lt;=0,0,IFERROR(ROUNDUP(F1793/INDEX(FILTER('warehouse config'!$D:$D,('warehouse config'!$B:$B=C1793)*('warehouse config'!$C:$C=D1793)*('warehouse config'!$G:$G&lt;=B1793)*(('warehouse config'!$H:$H&gt;=B1793)+ISBLANK('warehouse config'!$H:$H))),1)),0))"),0.0)</f>
        <v>0</v>
      </c>
      <c r="H1793" s="3">
        <f>IFERROR(__xludf.DUMMYFUNCTION("IFERROR(INDEX(FILTER('cost master'!$E:$E,('cost master'!$B:$B=C1793)*('cost master'!$D:$D=""Storage cost per pallet / week"")*('cost master'!$G:$G&lt;=B1793)*(('cost master'!$H:$H&gt;=B1793)+ISBLANK('cost master'!$H:$H))),1),0)"),0.0)</f>
        <v>0</v>
      </c>
      <c r="I1793" s="3">
        <f t="shared" si="4"/>
        <v>0</v>
      </c>
      <c r="J1793" s="27">
        <f t="shared" si="5"/>
        <v>693947</v>
      </c>
      <c r="K1793" s="27">
        <f t="shared" si="6"/>
        <v>693977</v>
      </c>
    </row>
    <row r="1794" hidden="1">
      <c r="A1794" s="3" t="str">
        <f t="shared" si="3"/>
        <v/>
      </c>
      <c r="B1794" s="2" t="str">
        <f t="array" ref="B1794">INDEX(helper!$A$3:$A3996,ROUNDUP((ROW()-1)/COUNTA(helper!$D$3:$D3996),0))</f>
        <v/>
      </c>
      <c r="C1794" s="5" t="str">
        <f t="array" ref="C1794">IF(B1794="","",INDEX(helper!$D$3:$D3996,MOD(ROW()-2,COUNTA(helper!$D$3:$D3996))+1))</f>
        <v/>
      </c>
      <c r="D1794" s="3" t="str">
        <f t="array" ref="D1794">IF(B1794="","",INDEX(helper!$E$3:$E3996,MOD(ROW()-2,COUNTA(helper!$D$3:$D3996))+1))</f>
        <v/>
      </c>
      <c r="E1794" s="3" t="str">
        <f t="array" ref="E1794">IF(B1794="","",INDEX(helper!$F$3:$F3996,MOD(ROW()-2,COUNTA(helper!$D$3:$D3996))+1))</f>
        <v/>
      </c>
      <c r="F1794" s="3" t="str">
        <f>IF(B1794="","",SUMIFS('inventory ledger'!$H:$H,'inventory ledger'!$C:$C,C1794,'inventory ledger'!$D:$D,D1794,'inventory ledger'!$E:$E,E1794,'inventory ledger'!$A:$A,"&lt;="&amp;B1794+TIME(23,59,59))-SUMIFS('inventory ledger'!$I:$I,'inventory ledger'!$C:$C,C1794,'inventory ledger'!$D:$D,D1794,'inventory ledger'!$E:$E,E1794,'inventory ledger'!$A:$A,"&lt;="&amp;B1794+TIME(23,59,59)))</f>
        <v/>
      </c>
      <c r="G1794" s="3">
        <f>IFERROR(__xludf.DUMMYFUNCTION("IF(F1794&lt;=0,0,IFERROR(ROUNDUP(F1794/INDEX(FILTER('warehouse config'!$D:$D,('warehouse config'!$B:$B=C1794)*('warehouse config'!$C:$C=D1794)*('warehouse config'!$G:$G&lt;=B1794)*(('warehouse config'!$H:$H&gt;=B1794)+ISBLANK('warehouse config'!$H:$H))),1)),0))"),0.0)</f>
        <v>0</v>
      </c>
      <c r="H1794" s="3">
        <f>IFERROR(__xludf.DUMMYFUNCTION("IFERROR(INDEX(FILTER('cost master'!$E:$E,('cost master'!$B:$B=C1794)*('cost master'!$D:$D=""Storage cost per pallet / week"")*('cost master'!$G:$G&lt;=B1794)*(('cost master'!$H:$H&gt;=B1794)+ISBLANK('cost master'!$H:$H))),1),0)"),0.0)</f>
        <v>0</v>
      </c>
      <c r="I1794" s="3">
        <f t="shared" si="4"/>
        <v>0</v>
      </c>
      <c r="J1794" s="27">
        <f t="shared" si="5"/>
        <v>693947</v>
      </c>
      <c r="K1794" s="27">
        <f t="shared" si="6"/>
        <v>693977</v>
      </c>
    </row>
    <row r="1795" hidden="1">
      <c r="A1795" s="3" t="str">
        <f t="shared" si="3"/>
        <v/>
      </c>
      <c r="B1795" s="2" t="str">
        <f t="array" ref="B1795">INDEX(helper!$A$3:$A3996,ROUNDUP((ROW()-1)/COUNTA(helper!$D$3:$D3996),0))</f>
        <v/>
      </c>
      <c r="C1795" s="5" t="str">
        <f t="array" ref="C1795">IF(B1795="","",INDEX(helper!$D$3:$D3996,MOD(ROW()-2,COUNTA(helper!$D$3:$D3996))+1))</f>
        <v/>
      </c>
      <c r="D1795" s="3" t="str">
        <f t="array" ref="D1795">IF(B1795="","",INDEX(helper!$E$3:$E3996,MOD(ROW()-2,COUNTA(helper!$D$3:$D3996))+1))</f>
        <v/>
      </c>
      <c r="E1795" s="3" t="str">
        <f t="array" ref="E1795">IF(B1795="","",INDEX(helper!$F$3:$F3996,MOD(ROW()-2,COUNTA(helper!$D$3:$D3996))+1))</f>
        <v/>
      </c>
      <c r="F1795" s="3" t="str">
        <f>IF(B1795="","",SUMIFS('inventory ledger'!$H:$H,'inventory ledger'!$C:$C,C1795,'inventory ledger'!$D:$D,D1795,'inventory ledger'!$E:$E,E1795,'inventory ledger'!$A:$A,"&lt;="&amp;B1795+TIME(23,59,59))-SUMIFS('inventory ledger'!$I:$I,'inventory ledger'!$C:$C,C1795,'inventory ledger'!$D:$D,D1795,'inventory ledger'!$E:$E,E1795,'inventory ledger'!$A:$A,"&lt;="&amp;B1795+TIME(23,59,59)))</f>
        <v/>
      </c>
      <c r="G1795" s="3">
        <f>IFERROR(__xludf.DUMMYFUNCTION("IF(F1795&lt;=0,0,IFERROR(ROUNDUP(F1795/INDEX(FILTER('warehouse config'!$D:$D,('warehouse config'!$B:$B=C1795)*('warehouse config'!$C:$C=D1795)*('warehouse config'!$G:$G&lt;=B1795)*(('warehouse config'!$H:$H&gt;=B1795)+ISBLANK('warehouse config'!$H:$H))),1)),0))"),0.0)</f>
        <v>0</v>
      </c>
      <c r="H1795" s="3">
        <f>IFERROR(__xludf.DUMMYFUNCTION("IFERROR(INDEX(FILTER('cost master'!$E:$E,('cost master'!$B:$B=C1795)*('cost master'!$D:$D=""Storage cost per pallet / week"")*('cost master'!$G:$G&lt;=B1795)*(('cost master'!$H:$H&gt;=B1795)+ISBLANK('cost master'!$H:$H))),1),0)"),0.0)</f>
        <v>0</v>
      </c>
      <c r="I1795" s="3">
        <f t="shared" si="4"/>
        <v>0</v>
      </c>
      <c r="J1795" s="27">
        <f t="shared" si="5"/>
        <v>693947</v>
      </c>
      <c r="K1795" s="27">
        <f t="shared" si="6"/>
        <v>693977</v>
      </c>
    </row>
    <row r="1796" hidden="1">
      <c r="A1796" s="3" t="str">
        <f t="shared" si="3"/>
        <v/>
      </c>
      <c r="B1796" s="2" t="str">
        <f t="array" ref="B1796">INDEX(helper!$A$3:$A3996,ROUNDUP((ROW()-1)/COUNTA(helper!$D$3:$D3996),0))</f>
        <v/>
      </c>
      <c r="C1796" s="5" t="str">
        <f t="array" ref="C1796">IF(B1796="","",INDEX(helper!$D$3:$D3996,MOD(ROW()-2,COUNTA(helper!$D$3:$D3996))+1))</f>
        <v/>
      </c>
      <c r="D1796" s="3" t="str">
        <f t="array" ref="D1796">IF(B1796="","",INDEX(helper!$E$3:$E3996,MOD(ROW()-2,COUNTA(helper!$D$3:$D3996))+1))</f>
        <v/>
      </c>
      <c r="E1796" s="3" t="str">
        <f t="array" ref="E1796">IF(B1796="","",INDEX(helper!$F$3:$F3996,MOD(ROW()-2,COUNTA(helper!$D$3:$D3996))+1))</f>
        <v/>
      </c>
      <c r="F1796" s="3" t="str">
        <f>IF(B1796="","",SUMIFS('inventory ledger'!$H:$H,'inventory ledger'!$C:$C,C1796,'inventory ledger'!$D:$D,D1796,'inventory ledger'!$E:$E,E1796,'inventory ledger'!$A:$A,"&lt;="&amp;B1796+TIME(23,59,59))-SUMIFS('inventory ledger'!$I:$I,'inventory ledger'!$C:$C,C1796,'inventory ledger'!$D:$D,D1796,'inventory ledger'!$E:$E,E1796,'inventory ledger'!$A:$A,"&lt;="&amp;B1796+TIME(23,59,59)))</f>
        <v/>
      </c>
      <c r="G1796" s="3">
        <f>IFERROR(__xludf.DUMMYFUNCTION("IF(F1796&lt;=0,0,IFERROR(ROUNDUP(F1796/INDEX(FILTER('warehouse config'!$D:$D,('warehouse config'!$B:$B=C1796)*('warehouse config'!$C:$C=D1796)*('warehouse config'!$G:$G&lt;=B1796)*(('warehouse config'!$H:$H&gt;=B1796)+ISBLANK('warehouse config'!$H:$H))),1)),0))"),0.0)</f>
        <v>0</v>
      </c>
      <c r="H1796" s="3">
        <f>IFERROR(__xludf.DUMMYFUNCTION("IFERROR(INDEX(FILTER('cost master'!$E:$E,('cost master'!$B:$B=C1796)*('cost master'!$D:$D=""Storage cost per pallet / week"")*('cost master'!$G:$G&lt;=B1796)*(('cost master'!$H:$H&gt;=B1796)+ISBLANK('cost master'!$H:$H))),1),0)"),0.0)</f>
        <v>0</v>
      </c>
      <c r="I1796" s="3">
        <f t="shared" si="4"/>
        <v>0</v>
      </c>
      <c r="J1796" s="27">
        <f t="shared" si="5"/>
        <v>693947</v>
      </c>
      <c r="K1796" s="27">
        <f t="shared" si="6"/>
        <v>693977</v>
      </c>
    </row>
    <row r="1797" hidden="1">
      <c r="A1797" s="3" t="str">
        <f t="shared" si="3"/>
        <v/>
      </c>
      <c r="B1797" s="2" t="str">
        <f t="array" ref="B1797">INDEX(helper!$A$3:$A3996,ROUNDUP((ROW()-1)/COUNTA(helper!$D$3:$D3996),0))</f>
        <v/>
      </c>
      <c r="C1797" s="5" t="str">
        <f t="array" ref="C1797">IF(B1797="","",INDEX(helper!$D$3:$D3996,MOD(ROW()-2,COUNTA(helper!$D$3:$D3996))+1))</f>
        <v/>
      </c>
      <c r="D1797" s="3" t="str">
        <f t="array" ref="D1797">IF(B1797="","",INDEX(helper!$E$3:$E3996,MOD(ROW()-2,COUNTA(helper!$D$3:$D3996))+1))</f>
        <v/>
      </c>
      <c r="E1797" s="3" t="str">
        <f t="array" ref="E1797">IF(B1797="","",INDEX(helper!$F$3:$F3996,MOD(ROW()-2,COUNTA(helper!$D$3:$D3996))+1))</f>
        <v/>
      </c>
      <c r="F1797" s="3" t="str">
        <f>IF(B1797="","",SUMIFS('inventory ledger'!$H:$H,'inventory ledger'!$C:$C,C1797,'inventory ledger'!$D:$D,D1797,'inventory ledger'!$E:$E,E1797,'inventory ledger'!$A:$A,"&lt;="&amp;B1797+TIME(23,59,59))-SUMIFS('inventory ledger'!$I:$I,'inventory ledger'!$C:$C,C1797,'inventory ledger'!$D:$D,D1797,'inventory ledger'!$E:$E,E1797,'inventory ledger'!$A:$A,"&lt;="&amp;B1797+TIME(23,59,59)))</f>
        <v/>
      </c>
      <c r="G1797" s="3">
        <f>IFERROR(__xludf.DUMMYFUNCTION("IF(F1797&lt;=0,0,IFERROR(ROUNDUP(F1797/INDEX(FILTER('warehouse config'!$D:$D,('warehouse config'!$B:$B=C1797)*('warehouse config'!$C:$C=D1797)*('warehouse config'!$G:$G&lt;=B1797)*(('warehouse config'!$H:$H&gt;=B1797)+ISBLANK('warehouse config'!$H:$H))),1)),0))"),0.0)</f>
        <v>0</v>
      </c>
      <c r="H1797" s="3">
        <f>IFERROR(__xludf.DUMMYFUNCTION("IFERROR(INDEX(FILTER('cost master'!$E:$E,('cost master'!$B:$B=C1797)*('cost master'!$D:$D=""Storage cost per pallet / week"")*('cost master'!$G:$G&lt;=B1797)*(('cost master'!$H:$H&gt;=B1797)+ISBLANK('cost master'!$H:$H))),1),0)"),0.0)</f>
        <v>0</v>
      </c>
      <c r="I1797" s="3">
        <f t="shared" si="4"/>
        <v>0</v>
      </c>
      <c r="J1797" s="27">
        <f t="shared" si="5"/>
        <v>693947</v>
      </c>
      <c r="K1797" s="27">
        <f t="shared" si="6"/>
        <v>693977</v>
      </c>
    </row>
    <row r="1798" hidden="1">
      <c r="A1798" s="3" t="str">
        <f t="shared" si="3"/>
        <v/>
      </c>
      <c r="B1798" s="2" t="str">
        <f t="array" ref="B1798">INDEX(helper!$A$3:$A3996,ROUNDUP((ROW()-1)/COUNTA(helper!$D$3:$D3996),0))</f>
        <v/>
      </c>
      <c r="C1798" s="5" t="str">
        <f t="array" ref="C1798">IF(B1798="","",INDEX(helper!$D$3:$D3996,MOD(ROW()-2,COUNTA(helper!$D$3:$D3996))+1))</f>
        <v/>
      </c>
      <c r="D1798" s="3" t="str">
        <f t="array" ref="D1798">IF(B1798="","",INDEX(helper!$E$3:$E3996,MOD(ROW()-2,COUNTA(helper!$D$3:$D3996))+1))</f>
        <v/>
      </c>
      <c r="E1798" s="3" t="str">
        <f t="array" ref="E1798">IF(B1798="","",INDEX(helper!$F$3:$F3996,MOD(ROW()-2,COUNTA(helper!$D$3:$D3996))+1))</f>
        <v/>
      </c>
      <c r="F1798" s="3" t="str">
        <f>IF(B1798="","",SUMIFS('inventory ledger'!$H:$H,'inventory ledger'!$C:$C,C1798,'inventory ledger'!$D:$D,D1798,'inventory ledger'!$E:$E,E1798,'inventory ledger'!$A:$A,"&lt;="&amp;B1798+TIME(23,59,59))-SUMIFS('inventory ledger'!$I:$I,'inventory ledger'!$C:$C,C1798,'inventory ledger'!$D:$D,D1798,'inventory ledger'!$E:$E,E1798,'inventory ledger'!$A:$A,"&lt;="&amp;B1798+TIME(23,59,59)))</f>
        <v/>
      </c>
      <c r="G1798" s="3">
        <f>IFERROR(__xludf.DUMMYFUNCTION("IF(F1798&lt;=0,0,IFERROR(ROUNDUP(F1798/INDEX(FILTER('warehouse config'!$D:$D,('warehouse config'!$B:$B=C1798)*('warehouse config'!$C:$C=D1798)*('warehouse config'!$G:$G&lt;=B1798)*(('warehouse config'!$H:$H&gt;=B1798)+ISBLANK('warehouse config'!$H:$H))),1)),0))"),0.0)</f>
        <v>0</v>
      </c>
      <c r="H1798" s="3">
        <f>IFERROR(__xludf.DUMMYFUNCTION("IFERROR(INDEX(FILTER('cost master'!$E:$E,('cost master'!$B:$B=C1798)*('cost master'!$D:$D=""Storage cost per pallet / week"")*('cost master'!$G:$G&lt;=B1798)*(('cost master'!$H:$H&gt;=B1798)+ISBLANK('cost master'!$H:$H))),1),0)"),0.0)</f>
        <v>0</v>
      </c>
      <c r="I1798" s="3">
        <f t="shared" si="4"/>
        <v>0</v>
      </c>
      <c r="J1798" s="27">
        <f t="shared" si="5"/>
        <v>693947</v>
      </c>
      <c r="K1798" s="27">
        <f t="shared" si="6"/>
        <v>693977</v>
      </c>
    </row>
    <row r="1799" hidden="1">
      <c r="A1799" s="3" t="str">
        <f t="shared" si="3"/>
        <v/>
      </c>
      <c r="B1799" s="2" t="str">
        <f t="array" ref="B1799">INDEX(helper!$A$3:$A3996,ROUNDUP((ROW()-1)/COUNTA(helper!$D$3:$D3996),0))</f>
        <v/>
      </c>
      <c r="C1799" s="5" t="str">
        <f t="array" ref="C1799">IF(B1799="","",INDEX(helper!$D$3:$D3996,MOD(ROW()-2,COUNTA(helper!$D$3:$D3996))+1))</f>
        <v/>
      </c>
      <c r="D1799" s="3" t="str">
        <f t="array" ref="D1799">IF(B1799="","",INDEX(helper!$E$3:$E3996,MOD(ROW()-2,COUNTA(helper!$D$3:$D3996))+1))</f>
        <v/>
      </c>
      <c r="E1799" s="3" t="str">
        <f t="array" ref="E1799">IF(B1799="","",INDEX(helper!$F$3:$F3996,MOD(ROW()-2,COUNTA(helper!$D$3:$D3996))+1))</f>
        <v/>
      </c>
      <c r="F1799" s="3" t="str">
        <f>IF(B1799="","",SUMIFS('inventory ledger'!$H:$H,'inventory ledger'!$C:$C,C1799,'inventory ledger'!$D:$D,D1799,'inventory ledger'!$E:$E,E1799,'inventory ledger'!$A:$A,"&lt;="&amp;B1799+TIME(23,59,59))-SUMIFS('inventory ledger'!$I:$I,'inventory ledger'!$C:$C,C1799,'inventory ledger'!$D:$D,D1799,'inventory ledger'!$E:$E,E1799,'inventory ledger'!$A:$A,"&lt;="&amp;B1799+TIME(23,59,59)))</f>
        <v/>
      </c>
      <c r="G1799" s="3">
        <f>IFERROR(__xludf.DUMMYFUNCTION("IF(F1799&lt;=0,0,IFERROR(ROUNDUP(F1799/INDEX(FILTER('warehouse config'!$D:$D,('warehouse config'!$B:$B=C1799)*('warehouse config'!$C:$C=D1799)*('warehouse config'!$G:$G&lt;=B1799)*(('warehouse config'!$H:$H&gt;=B1799)+ISBLANK('warehouse config'!$H:$H))),1)),0))"),0.0)</f>
        <v>0</v>
      </c>
      <c r="H1799" s="3">
        <f>IFERROR(__xludf.DUMMYFUNCTION("IFERROR(INDEX(FILTER('cost master'!$E:$E,('cost master'!$B:$B=C1799)*('cost master'!$D:$D=""Storage cost per pallet / week"")*('cost master'!$G:$G&lt;=B1799)*(('cost master'!$H:$H&gt;=B1799)+ISBLANK('cost master'!$H:$H))),1),0)"),0.0)</f>
        <v>0</v>
      </c>
      <c r="I1799" s="3">
        <f t="shared" si="4"/>
        <v>0</v>
      </c>
      <c r="J1799" s="27">
        <f t="shared" si="5"/>
        <v>693947</v>
      </c>
      <c r="K1799" s="27">
        <f t="shared" si="6"/>
        <v>693977</v>
      </c>
    </row>
    <row r="1800" hidden="1">
      <c r="A1800" s="3" t="str">
        <f t="shared" si="3"/>
        <v/>
      </c>
      <c r="B1800" s="2" t="str">
        <f t="array" ref="B1800">INDEX(helper!$A$3:$A3996,ROUNDUP((ROW()-1)/COUNTA(helper!$D$3:$D3996),0))</f>
        <v/>
      </c>
      <c r="C1800" s="5" t="str">
        <f t="array" ref="C1800">IF(B1800="","",INDEX(helper!$D$3:$D3996,MOD(ROW()-2,COUNTA(helper!$D$3:$D3996))+1))</f>
        <v/>
      </c>
      <c r="D1800" s="3" t="str">
        <f t="array" ref="D1800">IF(B1800="","",INDEX(helper!$E$3:$E3996,MOD(ROW()-2,COUNTA(helper!$D$3:$D3996))+1))</f>
        <v/>
      </c>
      <c r="E1800" s="3" t="str">
        <f t="array" ref="E1800">IF(B1800="","",INDEX(helper!$F$3:$F3996,MOD(ROW()-2,COUNTA(helper!$D$3:$D3996))+1))</f>
        <v/>
      </c>
      <c r="F1800" s="3" t="str">
        <f>IF(B1800="","",SUMIFS('inventory ledger'!$H:$H,'inventory ledger'!$C:$C,C1800,'inventory ledger'!$D:$D,D1800,'inventory ledger'!$E:$E,E1800,'inventory ledger'!$A:$A,"&lt;="&amp;B1800+TIME(23,59,59))-SUMIFS('inventory ledger'!$I:$I,'inventory ledger'!$C:$C,C1800,'inventory ledger'!$D:$D,D1800,'inventory ledger'!$E:$E,E1800,'inventory ledger'!$A:$A,"&lt;="&amp;B1800+TIME(23,59,59)))</f>
        <v/>
      </c>
      <c r="G1800" s="3">
        <f>IFERROR(__xludf.DUMMYFUNCTION("IF(F1800&lt;=0,0,IFERROR(ROUNDUP(F1800/INDEX(FILTER('warehouse config'!$D:$D,('warehouse config'!$B:$B=C1800)*('warehouse config'!$C:$C=D1800)*('warehouse config'!$G:$G&lt;=B1800)*(('warehouse config'!$H:$H&gt;=B1800)+ISBLANK('warehouse config'!$H:$H))),1)),0))"),0.0)</f>
        <v>0</v>
      </c>
      <c r="H1800" s="3">
        <f>IFERROR(__xludf.DUMMYFUNCTION("IFERROR(INDEX(FILTER('cost master'!$E:$E,('cost master'!$B:$B=C1800)*('cost master'!$D:$D=""Storage cost per pallet / week"")*('cost master'!$G:$G&lt;=B1800)*(('cost master'!$H:$H&gt;=B1800)+ISBLANK('cost master'!$H:$H))),1),0)"),0.0)</f>
        <v>0</v>
      </c>
      <c r="I1800" s="3">
        <f t="shared" si="4"/>
        <v>0</v>
      </c>
      <c r="J1800" s="27">
        <f t="shared" si="5"/>
        <v>693947</v>
      </c>
      <c r="K1800" s="27">
        <f t="shared" si="6"/>
        <v>693977</v>
      </c>
    </row>
    <row r="1801" hidden="1">
      <c r="A1801" s="3" t="str">
        <f t="shared" si="3"/>
        <v/>
      </c>
      <c r="B1801" s="2" t="str">
        <f t="array" ref="B1801">INDEX(helper!$A$3:$A3996,ROUNDUP((ROW()-1)/COUNTA(helper!$D$3:$D3996),0))</f>
        <v/>
      </c>
      <c r="C1801" s="5" t="str">
        <f t="array" ref="C1801">IF(B1801="","",INDEX(helper!$D$3:$D3996,MOD(ROW()-2,COUNTA(helper!$D$3:$D3996))+1))</f>
        <v/>
      </c>
      <c r="D1801" s="3" t="str">
        <f t="array" ref="D1801">IF(B1801="","",INDEX(helper!$E$3:$E3996,MOD(ROW()-2,COUNTA(helper!$D$3:$D3996))+1))</f>
        <v/>
      </c>
      <c r="E1801" s="3" t="str">
        <f t="array" ref="E1801">IF(B1801="","",INDEX(helper!$F$3:$F3996,MOD(ROW()-2,COUNTA(helper!$D$3:$D3996))+1))</f>
        <v/>
      </c>
      <c r="F1801" s="3" t="str">
        <f>IF(B1801="","",SUMIFS('inventory ledger'!$H:$H,'inventory ledger'!$C:$C,C1801,'inventory ledger'!$D:$D,D1801,'inventory ledger'!$E:$E,E1801,'inventory ledger'!$A:$A,"&lt;="&amp;B1801+TIME(23,59,59))-SUMIFS('inventory ledger'!$I:$I,'inventory ledger'!$C:$C,C1801,'inventory ledger'!$D:$D,D1801,'inventory ledger'!$E:$E,E1801,'inventory ledger'!$A:$A,"&lt;="&amp;B1801+TIME(23,59,59)))</f>
        <v/>
      </c>
      <c r="G1801" s="3">
        <f>IFERROR(__xludf.DUMMYFUNCTION("IF(F1801&lt;=0,0,IFERROR(ROUNDUP(F1801/INDEX(FILTER('warehouse config'!$D:$D,('warehouse config'!$B:$B=C1801)*('warehouse config'!$C:$C=D1801)*('warehouse config'!$G:$G&lt;=B1801)*(('warehouse config'!$H:$H&gt;=B1801)+ISBLANK('warehouse config'!$H:$H))),1)),0))"),0.0)</f>
        <v>0</v>
      </c>
      <c r="H1801" s="3">
        <f>IFERROR(__xludf.DUMMYFUNCTION("IFERROR(INDEX(FILTER('cost master'!$E:$E,('cost master'!$B:$B=C1801)*('cost master'!$D:$D=""Storage cost per pallet / week"")*('cost master'!$G:$G&lt;=B1801)*(('cost master'!$H:$H&gt;=B1801)+ISBLANK('cost master'!$H:$H))),1),0)"),0.0)</f>
        <v>0</v>
      </c>
      <c r="I1801" s="3">
        <f t="shared" si="4"/>
        <v>0</v>
      </c>
      <c r="J1801" s="27">
        <f t="shared" si="5"/>
        <v>693947</v>
      </c>
      <c r="K1801" s="27">
        <f t="shared" si="6"/>
        <v>693977</v>
      </c>
    </row>
    <row r="1802" hidden="1">
      <c r="A1802" s="3" t="str">
        <f t="shared" si="3"/>
        <v/>
      </c>
      <c r="B1802" s="2" t="str">
        <f t="array" ref="B1802">INDEX(helper!$A$3:$A3996,ROUNDUP((ROW()-1)/COUNTA(helper!$D$3:$D3996),0))</f>
        <v/>
      </c>
      <c r="C1802" s="5" t="str">
        <f t="array" ref="C1802">IF(B1802="","",INDEX(helper!$D$3:$D3996,MOD(ROW()-2,COUNTA(helper!$D$3:$D3996))+1))</f>
        <v/>
      </c>
      <c r="D1802" s="3" t="str">
        <f t="array" ref="D1802">IF(B1802="","",INDEX(helper!$E$3:$E3996,MOD(ROW()-2,COUNTA(helper!$D$3:$D3996))+1))</f>
        <v/>
      </c>
      <c r="E1802" s="3" t="str">
        <f t="array" ref="E1802">IF(B1802="","",INDEX(helper!$F$3:$F3996,MOD(ROW()-2,COUNTA(helper!$D$3:$D3996))+1))</f>
        <v/>
      </c>
      <c r="F1802" s="3" t="str">
        <f>IF(B1802="","",SUMIFS('inventory ledger'!$H:$H,'inventory ledger'!$C:$C,C1802,'inventory ledger'!$D:$D,D1802,'inventory ledger'!$E:$E,E1802,'inventory ledger'!$A:$A,"&lt;="&amp;B1802+TIME(23,59,59))-SUMIFS('inventory ledger'!$I:$I,'inventory ledger'!$C:$C,C1802,'inventory ledger'!$D:$D,D1802,'inventory ledger'!$E:$E,E1802,'inventory ledger'!$A:$A,"&lt;="&amp;B1802+TIME(23,59,59)))</f>
        <v/>
      </c>
      <c r="G1802" s="3">
        <f>IFERROR(__xludf.DUMMYFUNCTION("IF(F1802&lt;=0,0,IFERROR(ROUNDUP(F1802/INDEX(FILTER('warehouse config'!$D:$D,('warehouse config'!$B:$B=C1802)*('warehouse config'!$C:$C=D1802)*('warehouse config'!$G:$G&lt;=B1802)*(('warehouse config'!$H:$H&gt;=B1802)+ISBLANK('warehouse config'!$H:$H))),1)),0))"),0.0)</f>
        <v>0</v>
      </c>
      <c r="H1802" s="3">
        <f>IFERROR(__xludf.DUMMYFUNCTION("IFERROR(INDEX(FILTER('cost master'!$E:$E,('cost master'!$B:$B=C1802)*('cost master'!$D:$D=""Storage cost per pallet / week"")*('cost master'!$G:$G&lt;=B1802)*(('cost master'!$H:$H&gt;=B1802)+ISBLANK('cost master'!$H:$H))),1),0)"),0.0)</f>
        <v>0</v>
      </c>
      <c r="I1802" s="3">
        <f t="shared" si="4"/>
        <v>0</v>
      </c>
      <c r="J1802" s="27">
        <f t="shared" si="5"/>
        <v>693947</v>
      </c>
      <c r="K1802" s="27">
        <f t="shared" si="6"/>
        <v>693977</v>
      </c>
    </row>
    <row r="1803" hidden="1">
      <c r="A1803" s="3" t="str">
        <f t="shared" si="3"/>
        <v/>
      </c>
      <c r="B1803" s="2" t="str">
        <f t="array" ref="B1803">INDEX(helper!$A$3:$A3996,ROUNDUP((ROW()-1)/COUNTA(helper!$D$3:$D3996),0))</f>
        <v/>
      </c>
      <c r="C1803" s="5" t="str">
        <f t="array" ref="C1803">IF(B1803="","",INDEX(helper!$D$3:$D3996,MOD(ROW()-2,COUNTA(helper!$D$3:$D3996))+1))</f>
        <v/>
      </c>
      <c r="D1803" s="3" t="str">
        <f t="array" ref="D1803">IF(B1803="","",INDEX(helper!$E$3:$E3996,MOD(ROW()-2,COUNTA(helper!$D$3:$D3996))+1))</f>
        <v/>
      </c>
      <c r="E1803" s="3" t="str">
        <f t="array" ref="E1803">IF(B1803="","",INDEX(helper!$F$3:$F3996,MOD(ROW()-2,COUNTA(helper!$D$3:$D3996))+1))</f>
        <v/>
      </c>
      <c r="F1803" s="3" t="str">
        <f>IF(B1803="","",SUMIFS('inventory ledger'!$H:$H,'inventory ledger'!$C:$C,C1803,'inventory ledger'!$D:$D,D1803,'inventory ledger'!$E:$E,E1803,'inventory ledger'!$A:$A,"&lt;="&amp;B1803+TIME(23,59,59))-SUMIFS('inventory ledger'!$I:$I,'inventory ledger'!$C:$C,C1803,'inventory ledger'!$D:$D,D1803,'inventory ledger'!$E:$E,E1803,'inventory ledger'!$A:$A,"&lt;="&amp;B1803+TIME(23,59,59)))</f>
        <v/>
      </c>
      <c r="G1803" s="3">
        <f>IFERROR(__xludf.DUMMYFUNCTION("IF(F1803&lt;=0,0,IFERROR(ROUNDUP(F1803/INDEX(FILTER('warehouse config'!$D:$D,('warehouse config'!$B:$B=C1803)*('warehouse config'!$C:$C=D1803)*('warehouse config'!$G:$G&lt;=B1803)*(('warehouse config'!$H:$H&gt;=B1803)+ISBLANK('warehouse config'!$H:$H))),1)),0))"),0.0)</f>
        <v>0</v>
      </c>
      <c r="H1803" s="3">
        <f>IFERROR(__xludf.DUMMYFUNCTION("IFERROR(INDEX(FILTER('cost master'!$E:$E,('cost master'!$B:$B=C1803)*('cost master'!$D:$D=""Storage cost per pallet / week"")*('cost master'!$G:$G&lt;=B1803)*(('cost master'!$H:$H&gt;=B1803)+ISBLANK('cost master'!$H:$H))),1),0)"),0.0)</f>
        <v>0</v>
      </c>
      <c r="I1803" s="3">
        <f t="shared" si="4"/>
        <v>0</v>
      </c>
      <c r="J1803" s="27">
        <f t="shared" si="5"/>
        <v>693947</v>
      </c>
      <c r="K1803" s="27">
        <f t="shared" si="6"/>
        <v>693977</v>
      </c>
    </row>
    <row r="1804" hidden="1">
      <c r="A1804" s="3" t="str">
        <f t="shared" si="3"/>
        <v/>
      </c>
      <c r="B1804" s="2" t="str">
        <f t="array" ref="B1804">INDEX(helper!$A$3:$A3996,ROUNDUP((ROW()-1)/COUNTA(helper!$D$3:$D3996),0))</f>
        <v/>
      </c>
      <c r="C1804" s="5" t="str">
        <f t="array" ref="C1804">IF(B1804="","",INDEX(helper!$D$3:$D3996,MOD(ROW()-2,COUNTA(helper!$D$3:$D3996))+1))</f>
        <v/>
      </c>
      <c r="D1804" s="3" t="str">
        <f t="array" ref="D1804">IF(B1804="","",INDEX(helper!$E$3:$E3996,MOD(ROW()-2,COUNTA(helper!$D$3:$D3996))+1))</f>
        <v/>
      </c>
      <c r="E1804" s="3" t="str">
        <f t="array" ref="E1804">IF(B1804="","",INDEX(helper!$F$3:$F3996,MOD(ROW()-2,COUNTA(helper!$D$3:$D3996))+1))</f>
        <v/>
      </c>
      <c r="F1804" s="3" t="str">
        <f>IF(B1804="","",SUMIFS('inventory ledger'!$H:$H,'inventory ledger'!$C:$C,C1804,'inventory ledger'!$D:$D,D1804,'inventory ledger'!$E:$E,E1804,'inventory ledger'!$A:$A,"&lt;="&amp;B1804+TIME(23,59,59))-SUMIFS('inventory ledger'!$I:$I,'inventory ledger'!$C:$C,C1804,'inventory ledger'!$D:$D,D1804,'inventory ledger'!$E:$E,E1804,'inventory ledger'!$A:$A,"&lt;="&amp;B1804+TIME(23,59,59)))</f>
        <v/>
      </c>
      <c r="G1804" s="3">
        <f>IFERROR(__xludf.DUMMYFUNCTION("IF(F1804&lt;=0,0,IFERROR(ROUNDUP(F1804/INDEX(FILTER('warehouse config'!$D:$D,('warehouse config'!$B:$B=C1804)*('warehouse config'!$C:$C=D1804)*('warehouse config'!$G:$G&lt;=B1804)*(('warehouse config'!$H:$H&gt;=B1804)+ISBLANK('warehouse config'!$H:$H))),1)),0))"),0.0)</f>
        <v>0</v>
      </c>
      <c r="H1804" s="3">
        <f>IFERROR(__xludf.DUMMYFUNCTION("IFERROR(INDEX(FILTER('cost master'!$E:$E,('cost master'!$B:$B=C1804)*('cost master'!$D:$D=""Storage cost per pallet / week"")*('cost master'!$G:$G&lt;=B1804)*(('cost master'!$H:$H&gt;=B1804)+ISBLANK('cost master'!$H:$H))),1),0)"),0.0)</f>
        <v>0</v>
      </c>
      <c r="I1804" s="3">
        <f t="shared" si="4"/>
        <v>0</v>
      </c>
      <c r="J1804" s="27">
        <f t="shared" si="5"/>
        <v>693947</v>
      </c>
      <c r="K1804" s="27">
        <f t="shared" si="6"/>
        <v>693977</v>
      </c>
    </row>
    <row r="1805" hidden="1">
      <c r="A1805" s="3" t="str">
        <f t="shared" si="3"/>
        <v/>
      </c>
      <c r="B1805" s="2" t="str">
        <f t="array" ref="B1805">INDEX(helper!$A$3:$A3996,ROUNDUP((ROW()-1)/COUNTA(helper!$D$3:$D3996),0))</f>
        <v/>
      </c>
      <c r="C1805" s="5" t="str">
        <f t="array" ref="C1805">IF(B1805="","",INDEX(helper!$D$3:$D3996,MOD(ROW()-2,COUNTA(helper!$D$3:$D3996))+1))</f>
        <v/>
      </c>
      <c r="D1805" s="3" t="str">
        <f t="array" ref="D1805">IF(B1805="","",INDEX(helper!$E$3:$E3996,MOD(ROW()-2,COUNTA(helper!$D$3:$D3996))+1))</f>
        <v/>
      </c>
      <c r="E1805" s="3" t="str">
        <f t="array" ref="E1805">IF(B1805="","",INDEX(helper!$F$3:$F3996,MOD(ROW()-2,COUNTA(helper!$D$3:$D3996))+1))</f>
        <v/>
      </c>
      <c r="F1805" s="3" t="str">
        <f>IF(B1805="","",SUMIFS('inventory ledger'!$H:$H,'inventory ledger'!$C:$C,C1805,'inventory ledger'!$D:$D,D1805,'inventory ledger'!$E:$E,E1805,'inventory ledger'!$A:$A,"&lt;="&amp;B1805+TIME(23,59,59))-SUMIFS('inventory ledger'!$I:$I,'inventory ledger'!$C:$C,C1805,'inventory ledger'!$D:$D,D1805,'inventory ledger'!$E:$E,E1805,'inventory ledger'!$A:$A,"&lt;="&amp;B1805+TIME(23,59,59)))</f>
        <v/>
      </c>
      <c r="G1805" s="3">
        <f>IFERROR(__xludf.DUMMYFUNCTION("IF(F1805&lt;=0,0,IFERROR(ROUNDUP(F1805/INDEX(FILTER('warehouse config'!$D:$D,('warehouse config'!$B:$B=C1805)*('warehouse config'!$C:$C=D1805)*('warehouse config'!$G:$G&lt;=B1805)*(('warehouse config'!$H:$H&gt;=B1805)+ISBLANK('warehouse config'!$H:$H))),1)),0))"),0.0)</f>
        <v>0</v>
      </c>
      <c r="H1805" s="3">
        <f>IFERROR(__xludf.DUMMYFUNCTION("IFERROR(INDEX(FILTER('cost master'!$E:$E,('cost master'!$B:$B=C1805)*('cost master'!$D:$D=""Storage cost per pallet / week"")*('cost master'!$G:$G&lt;=B1805)*(('cost master'!$H:$H&gt;=B1805)+ISBLANK('cost master'!$H:$H))),1),0)"),0.0)</f>
        <v>0</v>
      </c>
      <c r="I1805" s="3">
        <f t="shared" si="4"/>
        <v>0</v>
      </c>
      <c r="J1805" s="27">
        <f t="shared" si="5"/>
        <v>693947</v>
      </c>
      <c r="K1805" s="27">
        <f t="shared" si="6"/>
        <v>693977</v>
      </c>
    </row>
    <row r="1806" hidden="1">
      <c r="A1806" s="3" t="str">
        <f t="shared" si="3"/>
        <v/>
      </c>
      <c r="B1806" s="2" t="str">
        <f t="array" ref="B1806">INDEX(helper!$A$3:$A3996,ROUNDUP((ROW()-1)/COUNTA(helper!$D$3:$D3996),0))</f>
        <v/>
      </c>
      <c r="C1806" s="5" t="str">
        <f t="array" ref="C1806">IF(B1806="","",INDEX(helper!$D$3:$D3996,MOD(ROW()-2,COUNTA(helper!$D$3:$D3996))+1))</f>
        <v/>
      </c>
      <c r="D1806" s="3" t="str">
        <f t="array" ref="D1806">IF(B1806="","",INDEX(helper!$E$3:$E3996,MOD(ROW()-2,COUNTA(helper!$D$3:$D3996))+1))</f>
        <v/>
      </c>
      <c r="E1806" s="3" t="str">
        <f t="array" ref="E1806">IF(B1806="","",INDEX(helper!$F$3:$F3996,MOD(ROW()-2,COUNTA(helper!$D$3:$D3996))+1))</f>
        <v/>
      </c>
      <c r="F1806" s="3" t="str">
        <f>IF(B1806="","",SUMIFS('inventory ledger'!$H:$H,'inventory ledger'!$C:$C,C1806,'inventory ledger'!$D:$D,D1806,'inventory ledger'!$E:$E,E1806,'inventory ledger'!$A:$A,"&lt;="&amp;B1806+TIME(23,59,59))-SUMIFS('inventory ledger'!$I:$I,'inventory ledger'!$C:$C,C1806,'inventory ledger'!$D:$D,D1806,'inventory ledger'!$E:$E,E1806,'inventory ledger'!$A:$A,"&lt;="&amp;B1806+TIME(23,59,59)))</f>
        <v/>
      </c>
      <c r="G1806" s="3">
        <f>IFERROR(__xludf.DUMMYFUNCTION("IF(F1806&lt;=0,0,IFERROR(ROUNDUP(F1806/INDEX(FILTER('warehouse config'!$D:$D,('warehouse config'!$B:$B=C1806)*('warehouse config'!$C:$C=D1806)*('warehouse config'!$G:$G&lt;=B1806)*(('warehouse config'!$H:$H&gt;=B1806)+ISBLANK('warehouse config'!$H:$H))),1)),0))"),0.0)</f>
        <v>0</v>
      </c>
      <c r="H1806" s="3">
        <f>IFERROR(__xludf.DUMMYFUNCTION("IFERROR(INDEX(FILTER('cost master'!$E:$E,('cost master'!$B:$B=C1806)*('cost master'!$D:$D=""Storage cost per pallet / week"")*('cost master'!$G:$G&lt;=B1806)*(('cost master'!$H:$H&gt;=B1806)+ISBLANK('cost master'!$H:$H))),1),0)"),0.0)</f>
        <v>0</v>
      </c>
      <c r="I1806" s="3">
        <f t="shared" si="4"/>
        <v>0</v>
      </c>
      <c r="J1806" s="27">
        <f t="shared" si="5"/>
        <v>693947</v>
      </c>
      <c r="K1806" s="27">
        <f t="shared" si="6"/>
        <v>693977</v>
      </c>
    </row>
    <row r="1807" hidden="1">
      <c r="A1807" s="3" t="str">
        <f t="shared" si="3"/>
        <v/>
      </c>
      <c r="B1807" s="2" t="str">
        <f t="array" ref="B1807">INDEX(helper!$A$3:$A3996,ROUNDUP((ROW()-1)/COUNTA(helper!$D$3:$D3996),0))</f>
        <v/>
      </c>
      <c r="C1807" s="5" t="str">
        <f t="array" ref="C1807">IF(B1807="","",INDEX(helper!$D$3:$D3996,MOD(ROW()-2,COUNTA(helper!$D$3:$D3996))+1))</f>
        <v/>
      </c>
      <c r="D1807" s="3" t="str">
        <f t="array" ref="D1807">IF(B1807="","",INDEX(helper!$E$3:$E3996,MOD(ROW()-2,COUNTA(helper!$D$3:$D3996))+1))</f>
        <v/>
      </c>
      <c r="E1807" s="3" t="str">
        <f t="array" ref="E1807">IF(B1807="","",INDEX(helper!$F$3:$F3996,MOD(ROW()-2,COUNTA(helper!$D$3:$D3996))+1))</f>
        <v/>
      </c>
      <c r="F1807" s="3" t="str">
        <f>IF(B1807="","",SUMIFS('inventory ledger'!$H:$H,'inventory ledger'!$C:$C,C1807,'inventory ledger'!$D:$D,D1807,'inventory ledger'!$E:$E,E1807,'inventory ledger'!$A:$A,"&lt;="&amp;B1807+TIME(23,59,59))-SUMIFS('inventory ledger'!$I:$I,'inventory ledger'!$C:$C,C1807,'inventory ledger'!$D:$D,D1807,'inventory ledger'!$E:$E,E1807,'inventory ledger'!$A:$A,"&lt;="&amp;B1807+TIME(23,59,59)))</f>
        <v/>
      </c>
      <c r="G1807" s="3">
        <f>IFERROR(__xludf.DUMMYFUNCTION("IF(F1807&lt;=0,0,IFERROR(ROUNDUP(F1807/INDEX(FILTER('warehouse config'!$D:$D,('warehouse config'!$B:$B=C1807)*('warehouse config'!$C:$C=D1807)*('warehouse config'!$G:$G&lt;=B1807)*(('warehouse config'!$H:$H&gt;=B1807)+ISBLANK('warehouse config'!$H:$H))),1)),0))"),0.0)</f>
        <v>0</v>
      </c>
      <c r="H1807" s="3">
        <f>IFERROR(__xludf.DUMMYFUNCTION("IFERROR(INDEX(FILTER('cost master'!$E:$E,('cost master'!$B:$B=C1807)*('cost master'!$D:$D=""Storage cost per pallet / week"")*('cost master'!$G:$G&lt;=B1807)*(('cost master'!$H:$H&gt;=B1807)+ISBLANK('cost master'!$H:$H))),1),0)"),0.0)</f>
        <v>0</v>
      </c>
      <c r="I1807" s="3">
        <f t="shared" si="4"/>
        <v>0</v>
      </c>
      <c r="J1807" s="27">
        <f t="shared" si="5"/>
        <v>693947</v>
      </c>
      <c r="K1807" s="27">
        <f t="shared" si="6"/>
        <v>693977</v>
      </c>
    </row>
    <row r="1808" hidden="1">
      <c r="A1808" s="3" t="str">
        <f t="shared" si="3"/>
        <v/>
      </c>
      <c r="B1808" s="2" t="str">
        <f t="array" ref="B1808">INDEX(helper!$A$3:$A3996,ROUNDUP((ROW()-1)/COUNTA(helper!$D$3:$D3996),0))</f>
        <v/>
      </c>
      <c r="C1808" s="5" t="str">
        <f t="array" ref="C1808">IF(B1808="","",INDEX(helper!$D$3:$D3996,MOD(ROW()-2,COUNTA(helper!$D$3:$D3996))+1))</f>
        <v/>
      </c>
      <c r="D1808" s="3" t="str">
        <f t="array" ref="D1808">IF(B1808="","",INDEX(helper!$E$3:$E3996,MOD(ROW()-2,COUNTA(helper!$D$3:$D3996))+1))</f>
        <v/>
      </c>
      <c r="E1808" s="3" t="str">
        <f t="array" ref="E1808">IF(B1808="","",INDEX(helper!$F$3:$F3996,MOD(ROW()-2,COUNTA(helper!$D$3:$D3996))+1))</f>
        <v/>
      </c>
      <c r="F1808" s="3" t="str">
        <f>IF(B1808="","",SUMIFS('inventory ledger'!$H:$H,'inventory ledger'!$C:$C,C1808,'inventory ledger'!$D:$D,D1808,'inventory ledger'!$E:$E,E1808,'inventory ledger'!$A:$A,"&lt;="&amp;B1808+TIME(23,59,59))-SUMIFS('inventory ledger'!$I:$I,'inventory ledger'!$C:$C,C1808,'inventory ledger'!$D:$D,D1808,'inventory ledger'!$E:$E,E1808,'inventory ledger'!$A:$A,"&lt;="&amp;B1808+TIME(23,59,59)))</f>
        <v/>
      </c>
      <c r="G1808" s="3">
        <f>IFERROR(__xludf.DUMMYFUNCTION("IF(F1808&lt;=0,0,IFERROR(ROUNDUP(F1808/INDEX(FILTER('warehouse config'!$D:$D,('warehouse config'!$B:$B=C1808)*('warehouse config'!$C:$C=D1808)*('warehouse config'!$G:$G&lt;=B1808)*(('warehouse config'!$H:$H&gt;=B1808)+ISBLANK('warehouse config'!$H:$H))),1)),0))"),0.0)</f>
        <v>0</v>
      </c>
      <c r="H1808" s="3">
        <f>IFERROR(__xludf.DUMMYFUNCTION("IFERROR(INDEX(FILTER('cost master'!$E:$E,('cost master'!$B:$B=C1808)*('cost master'!$D:$D=""Storage cost per pallet / week"")*('cost master'!$G:$G&lt;=B1808)*(('cost master'!$H:$H&gt;=B1808)+ISBLANK('cost master'!$H:$H))),1),0)"),0.0)</f>
        <v>0</v>
      </c>
      <c r="I1808" s="3">
        <f t="shared" si="4"/>
        <v>0</v>
      </c>
      <c r="J1808" s="27">
        <f t="shared" si="5"/>
        <v>693947</v>
      </c>
      <c r="K1808" s="27">
        <f t="shared" si="6"/>
        <v>693977</v>
      </c>
    </row>
    <row r="1809" hidden="1">
      <c r="A1809" s="3" t="str">
        <f t="shared" si="3"/>
        <v/>
      </c>
      <c r="B1809" s="2" t="str">
        <f t="array" ref="B1809">INDEX(helper!$A$3:$A3996,ROUNDUP((ROW()-1)/COUNTA(helper!$D$3:$D3996),0))</f>
        <v/>
      </c>
      <c r="C1809" s="5" t="str">
        <f t="array" ref="C1809">IF(B1809="","",INDEX(helper!$D$3:$D3996,MOD(ROW()-2,COUNTA(helper!$D$3:$D3996))+1))</f>
        <v/>
      </c>
      <c r="D1809" s="3" t="str">
        <f t="array" ref="D1809">IF(B1809="","",INDEX(helper!$E$3:$E3996,MOD(ROW()-2,COUNTA(helper!$D$3:$D3996))+1))</f>
        <v/>
      </c>
      <c r="E1809" s="3" t="str">
        <f t="array" ref="E1809">IF(B1809="","",INDEX(helper!$F$3:$F3996,MOD(ROW()-2,COUNTA(helper!$D$3:$D3996))+1))</f>
        <v/>
      </c>
      <c r="F1809" s="3" t="str">
        <f>IF(B1809="","",SUMIFS('inventory ledger'!$H:$H,'inventory ledger'!$C:$C,C1809,'inventory ledger'!$D:$D,D1809,'inventory ledger'!$E:$E,E1809,'inventory ledger'!$A:$A,"&lt;="&amp;B1809+TIME(23,59,59))-SUMIFS('inventory ledger'!$I:$I,'inventory ledger'!$C:$C,C1809,'inventory ledger'!$D:$D,D1809,'inventory ledger'!$E:$E,E1809,'inventory ledger'!$A:$A,"&lt;="&amp;B1809+TIME(23,59,59)))</f>
        <v/>
      </c>
      <c r="G1809" s="3">
        <f>IFERROR(__xludf.DUMMYFUNCTION("IF(F1809&lt;=0,0,IFERROR(ROUNDUP(F1809/INDEX(FILTER('warehouse config'!$D:$D,('warehouse config'!$B:$B=C1809)*('warehouse config'!$C:$C=D1809)*('warehouse config'!$G:$G&lt;=B1809)*(('warehouse config'!$H:$H&gt;=B1809)+ISBLANK('warehouse config'!$H:$H))),1)),0))"),0.0)</f>
        <v>0</v>
      </c>
      <c r="H1809" s="3">
        <f>IFERROR(__xludf.DUMMYFUNCTION("IFERROR(INDEX(FILTER('cost master'!$E:$E,('cost master'!$B:$B=C1809)*('cost master'!$D:$D=""Storage cost per pallet / week"")*('cost master'!$G:$G&lt;=B1809)*(('cost master'!$H:$H&gt;=B1809)+ISBLANK('cost master'!$H:$H))),1),0)"),0.0)</f>
        <v>0</v>
      </c>
      <c r="I1809" s="3">
        <f t="shared" si="4"/>
        <v>0</v>
      </c>
      <c r="J1809" s="27">
        <f t="shared" si="5"/>
        <v>693947</v>
      </c>
      <c r="K1809" s="27">
        <f t="shared" si="6"/>
        <v>693977</v>
      </c>
    </row>
    <row r="1810" hidden="1">
      <c r="A1810" s="3" t="str">
        <f t="shared" si="3"/>
        <v/>
      </c>
      <c r="B1810" s="2" t="str">
        <f t="array" ref="B1810">INDEX(helper!$A$3:$A3996,ROUNDUP((ROW()-1)/COUNTA(helper!$D$3:$D3996),0))</f>
        <v/>
      </c>
      <c r="C1810" s="5" t="str">
        <f t="array" ref="C1810">IF(B1810="","",INDEX(helper!$D$3:$D3996,MOD(ROW()-2,COUNTA(helper!$D$3:$D3996))+1))</f>
        <v/>
      </c>
      <c r="D1810" s="3" t="str">
        <f t="array" ref="D1810">IF(B1810="","",INDEX(helper!$E$3:$E3996,MOD(ROW()-2,COUNTA(helper!$D$3:$D3996))+1))</f>
        <v/>
      </c>
      <c r="E1810" s="3" t="str">
        <f t="array" ref="E1810">IF(B1810="","",INDEX(helper!$F$3:$F3996,MOD(ROW()-2,COUNTA(helper!$D$3:$D3996))+1))</f>
        <v/>
      </c>
      <c r="F1810" s="3" t="str">
        <f>IF(B1810="","",SUMIFS('inventory ledger'!$H:$H,'inventory ledger'!$C:$C,C1810,'inventory ledger'!$D:$D,D1810,'inventory ledger'!$E:$E,E1810,'inventory ledger'!$A:$A,"&lt;="&amp;B1810+TIME(23,59,59))-SUMIFS('inventory ledger'!$I:$I,'inventory ledger'!$C:$C,C1810,'inventory ledger'!$D:$D,D1810,'inventory ledger'!$E:$E,E1810,'inventory ledger'!$A:$A,"&lt;="&amp;B1810+TIME(23,59,59)))</f>
        <v/>
      </c>
      <c r="G1810" s="3">
        <f>IFERROR(__xludf.DUMMYFUNCTION("IF(F1810&lt;=0,0,IFERROR(ROUNDUP(F1810/INDEX(FILTER('warehouse config'!$D:$D,('warehouse config'!$B:$B=C1810)*('warehouse config'!$C:$C=D1810)*('warehouse config'!$G:$G&lt;=B1810)*(('warehouse config'!$H:$H&gt;=B1810)+ISBLANK('warehouse config'!$H:$H))),1)),0))"),0.0)</f>
        <v>0</v>
      </c>
      <c r="H1810" s="3">
        <f>IFERROR(__xludf.DUMMYFUNCTION("IFERROR(INDEX(FILTER('cost master'!$E:$E,('cost master'!$B:$B=C1810)*('cost master'!$D:$D=""Storage cost per pallet / week"")*('cost master'!$G:$G&lt;=B1810)*(('cost master'!$H:$H&gt;=B1810)+ISBLANK('cost master'!$H:$H))),1),0)"),0.0)</f>
        <v>0</v>
      </c>
      <c r="I1810" s="3">
        <f t="shared" si="4"/>
        <v>0</v>
      </c>
      <c r="J1810" s="27">
        <f t="shared" si="5"/>
        <v>693947</v>
      </c>
      <c r="K1810" s="27">
        <f t="shared" si="6"/>
        <v>693977</v>
      </c>
    </row>
    <row r="1811" hidden="1">
      <c r="A1811" s="3" t="str">
        <f t="shared" si="3"/>
        <v/>
      </c>
      <c r="B1811" s="2" t="str">
        <f t="array" ref="B1811">INDEX(helper!$A$3:$A3996,ROUNDUP((ROW()-1)/COUNTA(helper!$D$3:$D3996),0))</f>
        <v/>
      </c>
      <c r="C1811" s="5" t="str">
        <f t="array" ref="C1811">IF(B1811="","",INDEX(helper!$D$3:$D3996,MOD(ROW()-2,COUNTA(helper!$D$3:$D3996))+1))</f>
        <v/>
      </c>
      <c r="D1811" s="3" t="str">
        <f t="array" ref="D1811">IF(B1811="","",INDEX(helper!$E$3:$E3996,MOD(ROW()-2,COUNTA(helper!$D$3:$D3996))+1))</f>
        <v/>
      </c>
      <c r="E1811" s="3" t="str">
        <f t="array" ref="E1811">IF(B1811="","",INDEX(helper!$F$3:$F3996,MOD(ROW()-2,COUNTA(helper!$D$3:$D3996))+1))</f>
        <v/>
      </c>
      <c r="F1811" s="3" t="str">
        <f>IF(B1811="","",SUMIFS('inventory ledger'!$H:$H,'inventory ledger'!$C:$C,C1811,'inventory ledger'!$D:$D,D1811,'inventory ledger'!$E:$E,E1811,'inventory ledger'!$A:$A,"&lt;="&amp;B1811+TIME(23,59,59))-SUMIFS('inventory ledger'!$I:$I,'inventory ledger'!$C:$C,C1811,'inventory ledger'!$D:$D,D1811,'inventory ledger'!$E:$E,E1811,'inventory ledger'!$A:$A,"&lt;="&amp;B1811+TIME(23,59,59)))</f>
        <v/>
      </c>
      <c r="G1811" s="3">
        <f>IFERROR(__xludf.DUMMYFUNCTION("IF(F1811&lt;=0,0,IFERROR(ROUNDUP(F1811/INDEX(FILTER('warehouse config'!$D:$D,('warehouse config'!$B:$B=C1811)*('warehouse config'!$C:$C=D1811)*('warehouse config'!$G:$G&lt;=B1811)*(('warehouse config'!$H:$H&gt;=B1811)+ISBLANK('warehouse config'!$H:$H))),1)),0))"),0.0)</f>
        <v>0</v>
      </c>
      <c r="H1811" s="3">
        <f>IFERROR(__xludf.DUMMYFUNCTION("IFERROR(INDEX(FILTER('cost master'!$E:$E,('cost master'!$B:$B=C1811)*('cost master'!$D:$D=""Storage cost per pallet / week"")*('cost master'!$G:$G&lt;=B1811)*(('cost master'!$H:$H&gt;=B1811)+ISBLANK('cost master'!$H:$H))),1),0)"),0.0)</f>
        <v>0</v>
      </c>
      <c r="I1811" s="3">
        <f t="shared" si="4"/>
        <v>0</v>
      </c>
      <c r="J1811" s="27">
        <f t="shared" si="5"/>
        <v>693947</v>
      </c>
      <c r="K1811" s="27">
        <f t="shared" si="6"/>
        <v>693977</v>
      </c>
    </row>
    <row r="1812" hidden="1">
      <c r="A1812" s="3" t="str">
        <f t="shared" si="3"/>
        <v/>
      </c>
      <c r="B1812" s="2" t="str">
        <f t="array" ref="B1812">INDEX(helper!$A$3:$A3996,ROUNDUP((ROW()-1)/COUNTA(helper!$D$3:$D3996),0))</f>
        <v/>
      </c>
      <c r="C1812" s="5" t="str">
        <f t="array" ref="C1812">IF(B1812="","",INDEX(helper!$D$3:$D3996,MOD(ROW()-2,COUNTA(helper!$D$3:$D3996))+1))</f>
        <v/>
      </c>
      <c r="D1812" s="3" t="str">
        <f t="array" ref="D1812">IF(B1812="","",INDEX(helper!$E$3:$E3996,MOD(ROW()-2,COUNTA(helper!$D$3:$D3996))+1))</f>
        <v/>
      </c>
      <c r="E1812" s="3" t="str">
        <f t="array" ref="E1812">IF(B1812="","",INDEX(helper!$F$3:$F3996,MOD(ROW()-2,COUNTA(helper!$D$3:$D3996))+1))</f>
        <v/>
      </c>
      <c r="F1812" s="3" t="str">
        <f>IF(B1812="","",SUMIFS('inventory ledger'!$H:$H,'inventory ledger'!$C:$C,C1812,'inventory ledger'!$D:$D,D1812,'inventory ledger'!$E:$E,E1812,'inventory ledger'!$A:$A,"&lt;="&amp;B1812+TIME(23,59,59))-SUMIFS('inventory ledger'!$I:$I,'inventory ledger'!$C:$C,C1812,'inventory ledger'!$D:$D,D1812,'inventory ledger'!$E:$E,E1812,'inventory ledger'!$A:$A,"&lt;="&amp;B1812+TIME(23,59,59)))</f>
        <v/>
      </c>
      <c r="G1812" s="3">
        <f>IFERROR(__xludf.DUMMYFUNCTION("IF(F1812&lt;=0,0,IFERROR(ROUNDUP(F1812/INDEX(FILTER('warehouse config'!$D:$D,('warehouse config'!$B:$B=C1812)*('warehouse config'!$C:$C=D1812)*('warehouse config'!$G:$G&lt;=B1812)*(('warehouse config'!$H:$H&gt;=B1812)+ISBLANK('warehouse config'!$H:$H))),1)),0))"),0.0)</f>
        <v>0</v>
      </c>
      <c r="H1812" s="3">
        <f>IFERROR(__xludf.DUMMYFUNCTION("IFERROR(INDEX(FILTER('cost master'!$E:$E,('cost master'!$B:$B=C1812)*('cost master'!$D:$D=""Storage cost per pallet / week"")*('cost master'!$G:$G&lt;=B1812)*(('cost master'!$H:$H&gt;=B1812)+ISBLANK('cost master'!$H:$H))),1),0)"),0.0)</f>
        <v>0</v>
      </c>
      <c r="I1812" s="3">
        <f t="shared" si="4"/>
        <v>0</v>
      </c>
      <c r="J1812" s="27">
        <f t="shared" si="5"/>
        <v>693947</v>
      </c>
      <c r="K1812" s="27">
        <f t="shared" si="6"/>
        <v>693977</v>
      </c>
    </row>
    <row r="1813" hidden="1">
      <c r="A1813" s="3" t="str">
        <f t="shared" si="3"/>
        <v/>
      </c>
      <c r="B1813" s="2" t="str">
        <f t="array" ref="B1813">INDEX(helper!$A$3:$A3996,ROUNDUP((ROW()-1)/COUNTA(helper!$D$3:$D3996),0))</f>
        <v/>
      </c>
      <c r="C1813" s="5" t="str">
        <f t="array" ref="C1813">IF(B1813="","",INDEX(helper!$D$3:$D3996,MOD(ROW()-2,COUNTA(helper!$D$3:$D3996))+1))</f>
        <v/>
      </c>
      <c r="D1813" s="3" t="str">
        <f t="array" ref="D1813">IF(B1813="","",INDEX(helper!$E$3:$E3996,MOD(ROW()-2,COUNTA(helper!$D$3:$D3996))+1))</f>
        <v/>
      </c>
      <c r="E1813" s="3" t="str">
        <f t="array" ref="E1813">IF(B1813="","",INDEX(helper!$F$3:$F3996,MOD(ROW()-2,COUNTA(helper!$D$3:$D3996))+1))</f>
        <v/>
      </c>
      <c r="F1813" s="3" t="str">
        <f>IF(B1813="","",SUMIFS('inventory ledger'!$H:$H,'inventory ledger'!$C:$C,C1813,'inventory ledger'!$D:$D,D1813,'inventory ledger'!$E:$E,E1813,'inventory ledger'!$A:$A,"&lt;="&amp;B1813+TIME(23,59,59))-SUMIFS('inventory ledger'!$I:$I,'inventory ledger'!$C:$C,C1813,'inventory ledger'!$D:$D,D1813,'inventory ledger'!$E:$E,E1813,'inventory ledger'!$A:$A,"&lt;="&amp;B1813+TIME(23,59,59)))</f>
        <v/>
      </c>
      <c r="G1813" s="3">
        <f>IFERROR(__xludf.DUMMYFUNCTION("IF(F1813&lt;=0,0,IFERROR(ROUNDUP(F1813/INDEX(FILTER('warehouse config'!$D:$D,('warehouse config'!$B:$B=C1813)*('warehouse config'!$C:$C=D1813)*('warehouse config'!$G:$G&lt;=B1813)*(('warehouse config'!$H:$H&gt;=B1813)+ISBLANK('warehouse config'!$H:$H))),1)),0))"),0.0)</f>
        <v>0</v>
      </c>
      <c r="H1813" s="3">
        <f>IFERROR(__xludf.DUMMYFUNCTION("IFERROR(INDEX(FILTER('cost master'!$E:$E,('cost master'!$B:$B=C1813)*('cost master'!$D:$D=""Storage cost per pallet / week"")*('cost master'!$G:$G&lt;=B1813)*(('cost master'!$H:$H&gt;=B1813)+ISBLANK('cost master'!$H:$H))),1),0)"),0.0)</f>
        <v>0</v>
      </c>
      <c r="I1813" s="3">
        <f t="shared" si="4"/>
        <v>0</v>
      </c>
      <c r="J1813" s="27">
        <f t="shared" si="5"/>
        <v>693947</v>
      </c>
      <c r="K1813" s="27">
        <f t="shared" si="6"/>
        <v>693977</v>
      </c>
    </row>
    <row r="1814" hidden="1">
      <c r="A1814" s="3" t="str">
        <f t="shared" si="3"/>
        <v/>
      </c>
      <c r="B1814" s="2" t="str">
        <f t="array" ref="B1814">INDEX(helper!$A$3:$A3996,ROUNDUP((ROW()-1)/COUNTA(helper!$D$3:$D3996),0))</f>
        <v/>
      </c>
      <c r="C1814" s="5" t="str">
        <f t="array" ref="C1814">IF(B1814="","",INDEX(helper!$D$3:$D3996,MOD(ROW()-2,COUNTA(helper!$D$3:$D3996))+1))</f>
        <v/>
      </c>
      <c r="D1814" s="3" t="str">
        <f t="array" ref="D1814">IF(B1814="","",INDEX(helper!$E$3:$E3996,MOD(ROW()-2,COUNTA(helper!$D$3:$D3996))+1))</f>
        <v/>
      </c>
      <c r="E1814" s="3" t="str">
        <f t="array" ref="E1814">IF(B1814="","",INDEX(helper!$F$3:$F3996,MOD(ROW()-2,COUNTA(helper!$D$3:$D3996))+1))</f>
        <v/>
      </c>
      <c r="F1814" s="3" t="str">
        <f>IF(B1814="","",SUMIFS('inventory ledger'!$H:$H,'inventory ledger'!$C:$C,C1814,'inventory ledger'!$D:$D,D1814,'inventory ledger'!$E:$E,E1814,'inventory ledger'!$A:$A,"&lt;="&amp;B1814+TIME(23,59,59))-SUMIFS('inventory ledger'!$I:$I,'inventory ledger'!$C:$C,C1814,'inventory ledger'!$D:$D,D1814,'inventory ledger'!$E:$E,E1814,'inventory ledger'!$A:$A,"&lt;="&amp;B1814+TIME(23,59,59)))</f>
        <v/>
      </c>
      <c r="G1814" s="3">
        <f>IFERROR(__xludf.DUMMYFUNCTION("IF(F1814&lt;=0,0,IFERROR(ROUNDUP(F1814/INDEX(FILTER('warehouse config'!$D:$D,('warehouse config'!$B:$B=C1814)*('warehouse config'!$C:$C=D1814)*('warehouse config'!$G:$G&lt;=B1814)*(('warehouse config'!$H:$H&gt;=B1814)+ISBLANK('warehouse config'!$H:$H))),1)),0))"),0.0)</f>
        <v>0</v>
      </c>
      <c r="H1814" s="3">
        <f>IFERROR(__xludf.DUMMYFUNCTION("IFERROR(INDEX(FILTER('cost master'!$E:$E,('cost master'!$B:$B=C1814)*('cost master'!$D:$D=""Storage cost per pallet / week"")*('cost master'!$G:$G&lt;=B1814)*(('cost master'!$H:$H&gt;=B1814)+ISBLANK('cost master'!$H:$H))),1),0)"),0.0)</f>
        <v>0</v>
      </c>
      <c r="I1814" s="3">
        <f t="shared" si="4"/>
        <v>0</v>
      </c>
      <c r="J1814" s="27">
        <f t="shared" si="5"/>
        <v>693947</v>
      </c>
      <c r="K1814" s="27">
        <f t="shared" si="6"/>
        <v>693977</v>
      </c>
    </row>
    <row r="1815" hidden="1">
      <c r="A1815" s="3" t="str">
        <f t="shared" si="3"/>
        <v/>
      </c>
      <c r="B1815" s="2" t="str">
        <f t="array" ref="B1815">INDEX(helper!$A$3:$A3996,ROUNDUP((ROW()-1)/COUNTA(helper!$D$3:$D3996),0))</f>
        <v/>
      </c>
      <c r="C1815" s="5" t="str">
        <f t="array" ref="C1815">IF(B1815="","",INDEX(helper!$D$3:$D3996,MOD(ROW()-2,COUNTA(helper!$D$3:$D3996))+1))</f>
        <v/>
      </c>
      <c r="D1815" s="3" t="str">
        <f t="array" ref="D1815">IF(B1815="","",INDEX(helper!$E$3:$E3996,MOD(ROW()-2,COUNTA(helper!$D$3:$D3996))+1))</f>
        <v/>
      </c>
      <c r="E1815" s="3" t="str">
        <f t="array" ref="E1815">IF(B1815="","",INDEX(helper!$F$3:$F3996,MOD(ROW()-2,COUNTA(helper!$D$3:$D3996))+1))</f>
        <v/>
      </c>
      <c r="F1815" s="3" t="str">
        <f>IF(B1815="","",SUMIFS('inventory ledger'!$H:$H,'inventory ledger'!$C:$C,C1815,'inventory ledger'!$D:$D,D1815,'inventory ledger'!$E:$E,E1815,'inventory ledger'!$A:$A,"&lt;="&amp;B1815+TIME(23,59,59))-SUMIFS('inventory ledger'!$I:$I,'inventory ledger'!$C:$C,C1815,'inventory ledger'!$D:$D,D1815,'inventory ledger'!$E:$E,E1815,'inventory ledger'!$A:$A,"&lt;="&amp;B1815+TIME(23,59,59)))</f>
        <v/>
      </c>
      <c r="G1815" s="3">
        <f>IFERROR(__xludf.DUMMYFUNCTION("IF(F1815&lt;=0,0,IFERROR(ROUNDUP(F1815/INDEX(FILTER('warehouse config'!$D:$D,('warehouse config'!$B:$B=C1815)*('warehouse config'!$C:$C=D1815)*('warehouse config'!$G:$G&lt;=B1815)*(('warehouse config'!$H:$H&gt;=B1815)+ISBLANK('warehouse config'!$H:$H))),1)),0))"),0.0)</f>
        <v>0</v>
      </c>
      <c r="H1815" s="3">
        <f>IFERROR(__xludf.DUMMYFUNCTION("IFERROR(INDEX(FILTER('cost master'!$E:$E,('cost master'!$B:$B=C1815)*('cost master'!$D:$D=""Storage cost per pallet / week"")*('cost master'!$G:$G&lt;=B1815)*(('cost master'!$H:$H&gt;=B1815)+ISBLANK('cost master'!$H:$H))),1),0)"),0.0)</f>
        <v>0</v>
      </c>
      <c r="I1815" s="3">
        <f t="shared" si="4"/>
        <v>0</v>
      </c>
      <c r="J1815" s="27">
        <f t="shared" si="5"/>
        <v>693947</v>
      </c>
      <c r="K1815" s="27">
        <f t="shared" si="6"/>
        <v>693977</v>
      </c>
    </row>
    <row r="1816" hidden="1">
      <c r="A1816" s="3" t="str">
        <f t="shared" si="3"/>
        <v/>
      </c>
      <c r="B1816" s="2" t="str">
        <f t="array" ref="B1816">INDEX(helper!$A$3:$A3996,ROUNDUP((ROW()-1)/COUNTA(helper!$D$3:$D3996),0))</f>
        <v/>
      </c>
      <c r="C1816" s="5" t="str">
        <f t="array" ref="C1816">IF(B1816="","",INDEX(helper!$D$3:$D3996,MOD(ROW()-2,COUNTA(helper!$D$3:$D3996))+1))</f>
        <v/>
      </c>
      <c r="D1816" s="3" t="str">
        <f t="array" ref="D1816">IF(B1816="","",INDEX(helper!$E$3:$E3996,MOD(ROW()-2,COUNTA(helper!$D$3:$D3996))+1))</f>
        <v/>
      </c>
      <c r="E1816" s="3" t="str">
        <f t="array" ref="E1816">IF(B1816="","",INDEX(helper!$F$3:$F3996,MOD(ROW()-2,COUNTA(helper!$D$3:$D3996))+1))</f>
        <v/>
      </c>
      <c r="F1816" s="3" t="str">
        <f>IF(B1816="","",SUMIFS('inventory ledger'!$H:$H,'inventory ledger'!$C:$C,C1816,'inventory ledger'!$D:$D,D1816,'inventory ledger'!$E:$E,E1816,'inventory ledger'!$A:$A,"&lt;="&amp;B1816+TIME(23,59,59))-SUMIFS('inventory ledger'!$I:$I,'inventory ledger'!$C:$C,C1816,'inventory ledger'!$D:$D,D1816,'inventory ledger'!$E:$E,E1816,'inventory ledger'!$A:$A,"&lt;="&amp;B1816+TIME(23,59,59)))</f>
        <v/>
      </c>
      <c r="G1816" s="3">
        <f>IFERROR(__xludf.DUMMYFUNCTION("IF(F1816&lt;=0,0,IFERROR(ROUNDUP(F1816/INDEX(FILTER('warehouse config'!$D:$D,('warehouse config'!$B:$B=C1816)*('warehouse config'!$C:$C=D1816)*('warehouse config'!$G:$G&lt;=B1816)*(('warehouse config'!$H:$H&gt;=B1816)+ISBLANK('warehouse config'!$H:$H))),1)),0))"),0.0)</f>
        <v>0</v>
      </c>
      <c r="H1816" s="3">
        <f>IFERROR(__xludf.DUMMYFUNCTION("IFERROR(INDEX(FILTER('cost master'!$E:$E,('cost master'!$B:$B=C1816)*('cost master'!$D:$D=""Storage cost per pallet / week"")*('cost master'!$G:$G&lt;=B1816)*(('cost master'!$H:$H&gt;=B1816)+ISBLANK('cost master'!$H:$H))),1),0)"),0.0)</f>
        <v>0</v>
      </c>
      <c r="I1816" s="3">
        <f t="shared" si="4"/>
        <v>0</v>
      </c>
      <c r="J1816" s="27">
        <f t="shared" si="5"/>
        <v>693947</v>
      </c>
      <c r="K1816" s="27">
        <f t="shared" si="6"/>
        <v>693977</v>
      </c>
    </row>
    <row r="1817" hidden="1">
      <c r="A1817" s="3" t="str">
        <f t="shared" si="3"/>
        <v/>
      </c>
      <c r="B1817" s="2" t="str">
        <f t="array" ref="B1817">INDEX(helper!$A$3:$A3996,ROUNDUP((ROW()-1)/COUNTA(helper!$D$3:$D3996),0))</f>
        <v/>
      </c>
      <c r="C1817" s="5" t="str">
        <f t="array" ref="C1817">IF(B1817="","",INDEX(helper!$D$3:$D3996,MOD(ROW()-2,COUNTA(helper!$D$3:$D3996))+1))</f>
        <v/>
      </c>
      <c r="D1817" s="3" t="str">
        <f t="array" ref="D1817">IF(B1817="","",INDEX(helper!$E$3:$E3996,MOD(ROW()-2,COUNTA(helper!$D$3:$D3996))+1))</f>
        <v/>
      </c>
      <c r="E1817" s="3" t="str">
        <f t="array" ref="E1817">IF(B1817="","",INDEX(helper!$F$3:$F3996,MOD(ROW()-2,COUNTA(helper!$D$3:$D3996))+1))</f>
        <v/>
      </c>
      <c r="F1817" s="3" t="str">
        <f>IF(B1817="","",SUMIFS('inventory ledger'!$H:$H,'inventory ledger'!$C:$C,C1817,'inventory ledger'!$D:$D,D1817,'inventory ledger'!$E:$E,E1817,'inventory ledger'!$A:$A,"&lt;="&amp;B1817+TIME(23,59,59))-SUMIFS('inventory ledger'!$I:$I,'inventory ledger'!$C:$C,C1817,'inventory ledger'!$D:$D,D1817,'inventory ledger'!$E:$E,E1817,'inventory ledger'!$A:$A,"&lt;="&amp;B1817+TIME(23,59,59)))</f>
        <v/>
      </c>
      <c r="G1817" s="3">
        <f>IFERROR(__xludf.DUMMYFUNCTION("IF(F1817&lt;=0,0,IFERROR(ROUNDUP(F1817/INDEX(FILTER('warehouse config'!$D:$D,('warehouse config'!$B:$B=C1817)*('warehouse config'!$C:$C=D1817)*('warehouse config'!$G:$G&lt;=B1817)*(('warehouse config'!$H:$H&gt;=B1817)+ISBLANK('warehouse config'!$H:$H))),1)),0))"),0.0)</f>
        <v>0</v>
      </c>
      <c r="H1817" s="3">
        <f>IFERROR(__xludf.DUMMYFUNCTION("IFERROR(INDEX(FILTER('cost master'!$E:$E,('cost master'!$B:$B=C1817)*('cost master'!$D:$D=""Storage cost per pallet / week"")*('cost master'!$G:$G&lt;=B1817)*(('cost master'!$H:$H&gt;=B1817)+ISBLANK('cost master'!$H:$H))),1),0)"),0.0)</f>
        <v>0</v>
      </c>
      <c r="I1817" s="3">
        <f t="shared" si="4"/>
        <v>0</v>
      </c>
      <c r="J1817" s="27">
        <f t="shared" si="5"/>
        <v>693947</v>
      </c>
      <c r="K1817" s="27">
        <f t="shared" si="6"/>
        <v>693977</v>
      </c>
    </row>
    <row r="1818" hidden="1">
      <c r="A1818" s="3" t="str">
        <f t="shared" si="3"/>
        <v/>
      </c>
      <c r="B1818" s="2" t="str">
        <f t="array" ref="B1818">INDEX(helper!$A$3:$A3996,ROUNDUP((ROW()-1)/COUNTA(helper!$D$3:$D3996),0))</f>
        <v/>
      </c>
      <c r="C1818" s="5" t="str">
        <f t="array" ref="C1818">IF(B1818="","",INDEX(helper!$D$3:$D3996,MOD(ROW()-2,COUNTA(helper!$D$3:$D3996))+1))</f>
        <v/>
      </c>
      <c r="D1818" s="3" t="str">
        <f t="array" ref="D1818">IF(B1818="","",INDEX(helper!$E$3:$E3996,MOD(ROW()-2,COUNTA(helper!$D$3:$D3996))+1))</f>
        <v/>
      </c>
      <c r="E1818" s="3" t="str">
        <f t="array" ref="E1818">IF(B1818="","",INDEX(helper!$F$3:$F3996,MOD(ROW()-2,COUNTA(helper!$D$3:$D3996))+1))</f>
        <v/>
      </c>
      <c r="F1818" s="3" t="str">
        <f>IF(B1818="","",SUMIFS('inventory ledger'!$H:$H,'inventory ledger'!$C:$C,C1818,'inventory ledger'!$D:$D,D1818,'inventory ledger'!$E:$E,E1818,'inventory ledger'!$A:$A,"&lt;="&amp;B1818+TIME(23,59,59))-SUMIFS('inventory ledger'!$I:$I,'inventory ledger'!$C:$C,C1818,'inventory ledger'!$D:$D,D1818,'inventory ledger'!$E:$E,E1818,'inventory ledger'!$A:$A,"&lt;="&amp;B1818+TIME(23,59,59)))</f>
        <v/>
      </c>
      <c r="G1818" s="3">
        <f>IFERROR(__xludf.DUMMYFUNCTION("IF(F1818&lt;=0,0,IFERROR(ROUNDUP(F1818/INDEX(FILTER('warehouse config'!$D:$D,('warehouse config'!$B:$B=C1818)*('warehouse config'!$C:$C=D1818)*('warehouse config'!$G:$G&lt;=B1818)*(('warehouse config'!$H:$H&gt;=B1818)+ISBLANK('warehouse config'!$H:$H))),1)),0))"),0.0)</f>
        <v>0</v>
      </c>
      <c r="H1818" s="3">
        <f>IFERROR(__xludf.DUMMYFUNCTION("IFERROR(INDEX(FILTER('cost master'!$E:$E,('cost master'!$B:$B=C1818)*('cost master'!$D:$D=""Storage cost per pallet / week"")*('cost master'!$G:$G&lt;=B1818)*(('cost master'!$H:$H&gt;=B1818)+ISBLANK('cost master'!$H:$H))),1),0)"),0.0)</f>
        <v>0</v>
      </c>
      <c r="I1818" s="3">
        <f t="shared" si="4"/>
        <v>0</v>
      </c>
      <c r="J1818" s="27">
        <f t="shared" si="5"/>
        <v>693947</v>
      </c>
      <c r="K1818" s="27">
        <f t="shared" si="6"/>
        <v>693977</v>
      </c>
    </row>
    <row r="1819" hidden="1">
      <c r="A1819" s="3" t="str">
        <f t="shared" si="3"/>
        <v/>
      </c>
      <c r="B1819" s="2" t="str">
        <f t="array" ref="B1819">INDEX(helper!$A$3:$A3996,ROUNDUP((ROW()-1)/COUNTA(helper!$D$3:$D3996),0))</f>
        <v/>
      </c>
      <c r="C1819" s="5" t="str">
        <f t="array" ref="C1819">IF(B1819="","",INDEX(helper!$D$3:$D3996,MOD(ROW()-2,COUNTA(helper!$D$3:$D3996))+1))</f>
        <v/>
      </c>
      <c r="D1819" s="3" t="str">
        <f t="array" ref="D1819">IF(B1819="","",INDEX(helper!$E$3:$E3996,MOD(ROW()-2,COUNTA(helper!$D$3:$D3996))+1))</f>
        <v/>
      </c>
      <c r="E1819" s="3" t="str">
        <f t="array" ref="E1819">IF(B1819="","",INDEX(helper!$F$3:$F3996,MOD(ROW()-2,COUNTA(helper!$D$3:$D3996))+1))</f>
        <v/>
      </c>
      <c r="F1819" s="3" t="str">
        <f>IF(B1819="","",SUMIFS('inventory ledger'!$H:$H,'inventory ledger'!$C:$C,C1819,'inventory ledger'!$D:$D,D1819,'inventory ledger'!$E:$E,E1819,'inventory ledger'!$A:$A,"&lt;="&amp;B1819+TIME(23,59,59))-SUMIFS('inventory ledger'!$I:$I,'inventory ledger'!$C:$C,C1819,'inventory ledger'!$D:$D,D1819,'inventory ledger'!$E:$E,E1819,'inventory ledger'!$A:$A,"&lt;="&amp;B1819+TIME(23,59,59)))</f>
        <v/>
      </c>
      <c r="G1819" s="3">
        <f>IFERROR(__xludf.DUMMYFUNCTION("IF(F1819&lt;=0,0,IFERROR(ROUNDUP(F1819/INDEX(FILTER('warehouse config'!$D:$D,('warehouse config'!$B:$B=C1819)*('warehouse config'!$C:$C=D1819)*('warehouse config'!$G:$G&lt;=B1819)*(('warehouse config'!$H:$H&gt;=B1819)+ISBLANK('warehouse config'!$H:$H))),1)),0))"),0.0)</f>
        <v>0</v>
      </c>
      <c r="H1819" s="3">
        <f>IFERROR(__xludf.DUMMYFUNCTION("IFERROR(INDEX(FILTER('cost master'!$E:$E,('cost master'!$B:$B=C1819)*('cost master'!$D:$D=""Storage cost per pallet / week"")*('cost master'!$G:$G&lt;=B1819)*(('cost master'!$H:$H&gt;=B1819)+ISBLANK('cost master'!$H:$H))),1),0)"),0.0)</f>
        <v>0</v>
      </c>
      <c r="I1819" s="3">
        <f t="shared" si="4"/>
        <v>0</v>
      </c>
      <c r="J1819" s="27">
        <f t="shared" si="5"/>
        <v>693947</v>
      </c>
      <c r="K1819" s="27">
        <f t="shared" si="6"/>
        <v>693977</v>
      </c>
    </row>
    <row r="1820" hidden="1">
      <c r="A1820" s="3" t="str">
        <f t="shared" si="3"/>
        <v/>
      </c>
      <c r="B1820" s="2" t="str">
        <f t="array" ref="B1820">INDEX(helper!$A$3:$A3996,ROUNDUP((ROW()-1)/COUNTA(helper!$D$3:$D3996),0))</f>
        <v/>
      </c>
      <c r="C1820" s="5" t="str">
        <f t="array" ref="C1820">IF(B1820="","",INDEX(helper!$D$3:$D3996,MOD(ROW()-2,COUNTA(helper!$D$3:$D3996))+1))</f>
        <v/>
      </c>
      <c r="D1820" s="3" t="str">
        <f t="array" ref="D1820">IF(B1820="","",INDEX(helper!$E$3:$E3996,MOD(ROW()-2,COUNTA(helper!$D$3:$D3996))+1))</f>
        <v/>
      </c>
      <c r="E1820" s="3" t="str">
        <f t="array" ref="E1820">IF(B1820="","",INDEX(helper!$F$3:$F3996,MOD(ROW()-2,COUNTA(helper!$D$3:$D3996))+1))</f>
        <v/>
      </c>
      <c r="F1820" s="3" t="str">
        <f>IF(B1820="","",SUMIFS('inventory ledger'!$H:$H,'inventory ledger'!$C:$C,C1820,'inventory ledger'!$D:$D,D1820,'inventory ledger'!$E:$E,E1820,'inventory ledger'!$A:$A,"&lt;="&amp;B1820+TIME(23,59,59))-SUMIFS('inventory ledger'!$I:$I,'inventory ledger'!$C:$C,C1820,'inventory ledger'!$D:$D,D1820,'inventory ledger'!$E:$E,E1820,'inventory ledger'!$A:$A,"&lt;="&amp;B1820+TIME(23,59,59)))</f>
        <v/>
      </c>
      <c r="G1820" s="3">
        <f>IFERROR(__xludf.DUMMYFUNCTION("IF(F1820&lt;=0,0,IFERROR(ROUNDUP(F1820/INDEX(FILTER('warehouse config'!$D:$D,('warehouse config'!$B:$B=C1820)*('warehouse config'!$C:$C=D1820)*('warehouse config'!$G:$G&lt;=B1820)*(('warehouse config'!$H:$H&gt;=B1820)+ISBLANK('warehouse config'!$H:$H))),1)),0))"),0.0)</f>
        <v>0</v>
      </c>
      <c r="H1820" s="3">
        <f>IFERROR(__xludf.DUMMYFUNCTION("IFERROR(INDEX(FILTER('cost master'!$E:$E,('cost master'!$B:$B=C1820)*('cost master'!$D:$D=""Storage cost per pallet / week"")*('cost master'!$G:$G&lt;=B1820)*(('cost master'!$H:$H&gt;=B1820)+ISBLANK('cost master'!$H:$H))),1),0)"),0.0)</f>
        <v>0</v>
      </c>
      <c r="I1820" s="3">
        <f t="shared" si="4"/>
        <v>0</v>
      </c>
      <c r="J1820" s="27">
        <f t="shared" si="5"/>
        <v>693947</v>
      </c>
      <c r="K1820" s="27">
        <f t="shared" si="6"/>
        <v>693977</v>
      </c>
    </row>
    <row r="1821" hidden="1">
      <c r="A1821" s="3" t="str">
        <f t="shared" si="3"/>
        <v/>
      </c>
      <c r="B1821" s="2" t="str">
        <f t="array" ref="B1821">INDEX(helper!$A$3:$A3996,ROUNDUP((ROW()-1)/COUNTA(helper!$D$3:$D3996),0))</f>
        <v/>
      </c>
      <c r="C1821" s="5" t="str">
        <f t="array" ref="C1821">IF(B1821="","",INDEX(helper!$D$3:$D3996,MOD(ROW()-2,COUNTA(helper!$D$3:$D3996))+1))</f>
        <v/>
      </c>
      <c r="D1821" s="3" t="str">
        <f t="array" ref="D1821">IF(B1821="","",INDEX(helper!$E$3:$E3996,MOD(ROW()-2,COUNTA(helper!$D$3:$D3996))+1))</f>
        <v/>
      </c>
      <c r="E1821" s="3" t="str">
        <f t="array" ref="E1821">IF(B1821="","",INDEX(helper!$F$3:$F3996,MOD(ROW()-2,COUNTA(helper!$D$3:$D3996))+1))</f>
        <v/>
      </c>
      <c r="F1821" s="3" t="str">
        <f>IF(B1821="","",SUMIFS('inventory ledger'!$H:$H,'inventory ledger'!$C:$C,C1821,'inventory ledger'!$D:$D,D1821,'inventory ledger'!$E:$E,E1821,'inventory ledger'!$A:$A,"&lt;="&amp;B1821+TIME(23,59,59))-SUMIFS('inventory ledger'!$I:$I,'inventory ledger'!$C:$C,C1821,'inventory ledger'!$D:$D,D1821,'inventory ledger'!$E:$E,E1821,'inventory ledger'!$A:$A,"&lt;="&amp;B1821+TIME(23,59,59)))</f>
        <v/>
      </c>
      <c r="G1821" s="3">
        <f>IFERROR(__xludf.DUMMYFUNCTION("IF(F1821&lt;=0,0,IFERROR(ROUNDUP(F1821/INDEX(FILTER('warehouse config'!$D:$D,('warehouse config'!$B:$B=C1821)*('warehouse config'!$C:$C=D1821)*('warehouse config'!$G:$G&lt;=B1821)*(('warehouse config'!$H:$H&gt;=B1821)+ISBLANK('warehouse config'!$H:$H))),1)),0))"),0.0)</f>
        <v>0</v>
      </c>
      <c r="H1821" s="3">
        <f>IFERROR(__xludf.DUMMYFUNCTION("IFERROR(INDEX(FILTER('cost master'!$E:$E,('cost master'!$B:$B=C1821)*('cost master'!$D:$D=""Storage cost per pallet / week"")*('cost master'!$G:$G&lt;=B1821)*(('cost master'!$H:$H&gt;=B1821)+ISBLANK('cost master'!$H:$H))),1),0)"),0.0)</f>
        <v>0</v>
      </c>
      <c r="I1821" s="3">
        <f t="shared" si="4"/>
        <v>0</v>
      </c>
      <c r="J1821" s="27">
        <f t="shared" si="5"/>
        <v>693947</v>
      </c>
      <c r="K1821" s="27">
        <f t="shared" si="6"/>
        <v>693977</v>
      </c>
    </row>
    <row r="1822" hidden="1">
      <c r="A1822" s="3" t="str">
        <f t="shared" si="3"/>
        <v/>
      </c>
      <c r="B1822" s="2" t="str">
        <f t="array" ref="B1822">INDEX(helper!$A$3:$A3996,ROUNDUP((ROW()-1)/COUNTA(helper!$D$3:$D3996),0))</f>
        <v/>
      </c>
      <c r="C1822" s="5" t="str">
        <f t="array" ref="C1822">IF(B1822="","",INDEX(helper!$D$3:$D3996,MOD(ROW()-2,COUNTA(helper!$D$3:$D3996))+1))</f>
        <v/>
      </c>
      <c r="D1822" s="3" t="str">
        <f t="array" ref="D1822">IF(B1822="","",INDEX(helper!$E$3:$E3996,MOD(ROW()-2,COUNTA(helper!$D$3:$D3996))+1))</f>
        <v/>
      </c>
      <c r="E1822" s="3" t="str">
        <f t="array" ref="E1822">IF(B1822="","",INDEX(helper!$F$3:$F3996,MOD(ROW()-2,COUNTA(helper!$D$3:$D3996))+1))</f>
        <v/>
      </c>
      <c r="F1822" s="3" t="str">
        <f>IF(B1822="","",SUMIFS('inventory ledger'!$H:$H,'inventory ledger'!$C:$C,C1822,'inventory ledger'!$D:$D,D1822,'inventory ledger'!$E:$E,E1822,'inventory ledger'!$A:$A,"&lt;="&amp;B1822+TIME(23,59,59))-SUMIFS('inventory ledger'!$I:$I,'inventory ledger'!$C:$C,C1822,'inventory ledger'!$D:$D,D1822,'inventory ledger'!$E:$E,E1822,'inventory ledger'!$A:$A,"&lt;="&amp;B1822+TIME(23,59,59)))</f>
        <v/>
      </c>
      <c r="G1822" s="3">
        <f>IFERROR(__xludf.DUMMYFUNCTION("IF(F1822&lt;=0,0,IFERROR(ROUNDUP(F1822/INDEX(FILTER('warehouse config'!$D:$D,('warehouse config'!$B:$B=C1822)*('warehouse config'!$C:$C=D1822)*('warehouse config'!$G:$G&lt;=B1822)*(('warehouse config'!$H:$H&gt;=B1822)+ISBLANK('warehouse config'!$H:$H))),1)),0))"),0.0)</f>
        <v>0</v>
      </c>
      <c r="H1822" s="3">
        <f>IFERROR(__xludf.DUMMYFUNCTION("IFERROR(INDEX(FILTER('cost master'!$E:$E,('cost master'!$B:$B=C1822)*('cost master'!$D:$D=""Storage cost per pallet / week"")*('cost master'!$G:$G&lt;=B1822)*(('cost master'!$H:$H&gt;=B1822)+ISBLANK('cost master'!$H:$H))),1),0)"),0.0)</f>
        <v>0</v>
      </c>
      <c r="I1822" s="3">
        <f t="shared" si="4"/>
        <v>0</v>
      </c>
      <c r="J1822" s="27">
        <f t="shared" si="5"/>
        <v>693947</v>
      </c>
      <c r="K1822" s="27">
        <f t="shared" si="6"/>
        <v>693977</v>
      </c>
    </row>
    <row r="1823" hidden="1">
      <c r="A1823" s="3" t="str">
        <f t="shared" si="3"/>
        <v/>
      </c>
      <c r="B1823" s="2" t="str">
        <f t="array" ref="B1823">INDEX(helper!$A$3:$A3996,ROUNDUP((ROW()-1)/COUNTA(helper!$D$3:$D3996),0))</f>
        <v/>
      </c>
      <c r="C1823" s="5" t="str">
        <f t="array" ref="C1823">IF(B1823="","",INDEX(helper!$D$3:$D3996,MOD(ROW()-2,COUNTA(helper!$D$3:$D3996))+1))</f>
        <v/>
      </c>
      <c r="D1823" s="3" t="str">
        <f t="array" ref="D1823">IF(B1823="","",INDEX(helper!$E$3:$E3996,MOD(ROW()-2,COUNTA(helper!$D$3:$D3996))+1))</f>
        <v/>
      </c>
      <c r="E1823" s="3" t="str">
        <f t="array" ref="E1823">IF(B1823="","",INDEX(helper!$F$3:$F3996,MOD(ROW()-2,COUNTA(helper!$D$3:$D3996))+1))</f>
        <v/>
      </c>
      <c r="F1823" s="3" t="str">
        <f>IF(B1823="","",SUMIFS('inventory ledger'!$H:$H,'inventory ledger'!$C:$C,C1823,'inventory ledger'!$D:$D,D1823,'inventory ledger'!$E:$E,E1823,'inventory ledger'!$A:$A,"&lt;="&amp;B1823+TIME(23,59,59))-SUMIFS('inventory ledger'!$I:$I,'inventory ledger'!$C:$C,C1823,'inventory ledger'!$D:$D,D1823,'inventory ledger'!$E:$E,E1823,'inventory ledger'!$A:$A,"&lt;="&amp;B1823+TIME(23,59,59)))</f>
        <v/>
      </c>
      <c r="G1823" s="3">
        <f>IFERROR(__xludf.DUMMYFUNCTION("IF(F1823&lt;=0,0,IFERROR(ROUNDUP(F1823/INDEX(FILTER('warehouse config'!$D:$D,('warehouse config'!$B:$B=C1823)*('warehouse config'!$C:$C=D1823)*('warehouse config'!$G:$G&lt;=B1823)*(('warehouse config'!$H:$H&gt;=B1823)+ISBLANK('warehouse config'!$H:$H))),1)),0))"),0.0)</f>
        <v>0</v>
      </c>
      <c r="H1823" s="3">
        <f>IFERROR(__xludf.DUMMYFUNCTION("IFERROR(INDEX(FILTER('cost master'!$E:$E,('cost master'!$B:$B=C1823)*('cost master'!$D:$D=""Storage cost per pallet / week"")*('cost master'!$G:$G&lt;=B1823)*(('cost master'!$H:$H&gt;=B1823)+ISBLANK('cost master'!$H:$H))),1),0)"),0.0)</f>
        <v>0</v>
      </c>
      <c r="I1823" s="3">
        <f t="shared" si="4"/>
        <v>0</v>
      </c>
      <c r="J1823" s="27">
        <f t="shared" si="5"/>
        <v>693947</v>
      </c>
      <c r="K1823" s="27">
        <f t="shared" si="6"/>
        <v>693977</v>
      </c>
    </row>
    <row r="1824" hidden="1">
      <c r="A1824" s="3" t="str">
        <f t="shared" si="3"/>
        <v/>
      </c>
      <c r="B1824" s="2" t="str">
        <f t="array" ref="B1824">INDEX(helper!$A$3:$A3996,ROUNDUP((ROW()-1)/COUNTA(helper!$D$3:$D3996),0))</f>
        <v/>
      </c>
      <c r="C1824" s="5" t="str">
        <f t="array" ref="C1824">IF(B1824="","",INDEX(helper!$D$3:$D3996,MOD(ROW()-2,COUNTA(helper!$D$3:$D3996))+1))</f>
        <v/>
      </c>
      <c r="D1824" s="3" t="str">
        <f t="array" ref="D1824">IF(B1824="","",INDEX(helper!$E$3:$E3996,MOD(ROW()-2,COUNTA(helper!$D$3:$D3996))+1))</f>
        <v/>
      </c>
      <c r="E1824" s="3" t="str">
        <f t="array" ref="E1824">IF(B1824="","",INDEX(helper!$F$3:$F3996,MOD(ROW()-2,COUNTA(helper!$D$3:$D3996))+1))</f>
        <v/>
      </c>
      <c r="F1824" s="3" t="str">
        <f>IF(B1824="","",SUMIFS('inventory ledger'!$H:$H,'inventory ledger'!$C:$C,C1824,'inventory ledger'!$D:$D,D1824,'inventory ledger'!$E:$E,E1824,'inventory ledger'!$A:$A,"&lt;="&amp;B1824+TIME(23,59,59))-SUMIFS('inventory ledger'!$I:$I,'inventory ledger'!$C:$C,C1824,'inventory ledger'!$D:$D,D1824,'inventory ledger'!$E:$E,E1824,'inventory ledger'!$A:$A,"&lt;="&amp;B1824+TIME(23,59,59)))</f>
        <v/>
      </c>
      <c r="G1824" s="3">
        <f>IFERROR(__xludf.DUMMYFUNCTION("IF(F1824&lt;=0,0,IFERROR(ROUNDUP(F1824/INDEX(FILTER('warehouse config'!$D:$D,('warehouse config'!$B:$B=C1824)*('warehouse config'!$C:$C=D1824)*('warehouse config'!$G:$G&lt;=B1824)*(('warehouse config'!$H:$H&gt;=B1824)+ISBLANK('warehouse config'!$H:$H))),1)),0))"),0.0)</f>
        <v>0</v>
      </c>
      <c r="H1824" s="3">
        <f>IFERROR(__xludf.DUMMYFUNCTION("IFERROR(INDEX(FILTER('cost master'!$E:$E,('cost master'!$B:$B=C1824)*('cost master'!$D:$D=""Storage cost per pallet / week"")*('cost master'!$G:$G&lt;=B1824)*(('cost master'!$H:$H&gt;=B1824)+ISBLANK('cost master'!$H:$H))),1),0)"),0.0)</f>
        <v>0</v>
      </c>
      <c r="I1824" s="3">
        <f t="shared" si="4"/>
        <v>0</v>
      </c>
      <c r="J1824" s="27">
        <f t="shared" si="5"/>
        <v>693947</v>
      </c>
      <c r="K1824" s="27">
        <f t="shared" si="6"/>
        <v>693977</v>
      </c>
    </row>
    <row r="1825" hidden="1">
      <c r="A1825" s="3" t="str">
        <f t="shared" si="3"/>
        <v/>
      </c>
      <c r="B1825" s="2" t="str">
        <f t="array" ref="B1825">INDEX(helper!$A$3:$A3996,ROUNDUP((ROW()-1)/COUNTA(helper!$D$3:$D3996),0))</f>
        <v/>
      </c>
      <c r="C1825" s="5" t="str">
        <f t="array" ref="C1825">IF(B1825="","",INDEX(helper!$D$3:$D3996,MOD(ROW()-2,COUNTA(helper!$D$3:$D3996))+1))</f>
        <v/>
      </c>
      <c r="D1825" s="3" t="str">
        <f t="array" ref="D1825">IF(B1825="","",INDEX(helper!$E$3:$E3996,MOD(ROW()-2,COUNTA(helper!$D$3:$D3996))+1))</f>
        <v/>
      </c>
      <c r="E1825" s="3" t="str">
        <f t="array" ref="E1825">IF(B1825="","",INDEX(helper!$F$3:$F3996,MOD(ROW()-2,COUNTA(helper!$D$3:$D3996))+1))</f>
        <v/>
      </c>
      <c r="F1825" s="3" t="str">
        <f>IF(B1825="","",SUMIFS('inventory ledger'!$H:$H,'inventory ledger'!$C:$C,C1825,'inventory ledger'!$D:$D,D1825,'inventory ledger'!$E:$E,E1825,'inventory ledger'!$A:$A,"&lt;="&amp;B1825+TIME(23,59,59))-SUMIFS('inventory ledger'!$I:$I,'inventory ledger'!$C:$C,C1825,'inventory ledger'!$D:$D,D1825,'inventory ledger'!$E:$E,E1825,'inventory ledger'!$A:$A,"&lt;="&amp;B1825+TIME(23,59,59)))</f>
        <v/>
      </c>
      <c r="G1825" s="3">
        <f>IFERROR(__xludf.DUMMYFUNCTION("IF(F1825&lt;=0,0,IFERROR(ROUNDUP(F1825/INDEX(FILTER('warehouse config'!$D:$D,('warehouse config'!$B:$B=C1825)*('warehouse config'!$C:$C=D1825)*('warehouse config'!$G:$G&lt;=B1825)*(('warehouse config'!$H:$H&gt;=B1825)+ISBLANK('warehouse config'!$H:$H))),1)),0))"),0.0)</f>
        <v>0</v>
      </c>
      <c r="H1825" s="3">
        <f>IFERROR(__xludf.DUMMYFUNCTION("IFERROR(INDEX(FILTER('cost master'!$E:$E,('cost master'!$B:$B=C1825)*('cost master'!$D:$D=""Storage cost per pallet / week"")*('cost master'!$G:$G&lt;=B1825)*(('cost master'!$H:$H&gt;=B1825)+ISBLANK('cost master'!$H:$H))),1),0)"),0.0)</f>
        <v>0</v>
      </c>
      <c r="I1825" s="3">
        <f t="shared" si="4"/>
        <v>0</v>
      </c>
      <c r="J1825" s="27">
        <f t="shared" si="5"/>
        <v>693947</v>
      </c>
      <c r="K1825" s="27">
        <f t="shared" si="6"/>
        <v>693977</v>
      </c>
    </row>
    <row r="1826" hidden="1">
      <c r="A1826" s="3" t="str">
        <f t="shared" si="3"/>
        <v/>
      </c>
      <c r="B1826" s="2" t="str">
        <f t="array" ref="B1826">INDEX(helper!$A$3:$A3996,ROUNDUP((ROW()-1)/COUNTA(helper!$D$3:$D3996),0))</f>
        <v/>
      </c>
      <c r="C1826" s="5" t="str">
        <f t="array" ref="C1826">IF(B1826="","",INDEX(helper!$D$3:$D3996,MOD(ROW()-2,COUNTA(helper!$D$3:$D3996))+1))</f>
        <v/>
      </c>
      <c r="D1826" s="3" t="str">
        <f t="array" ref="D1826">IF(B1826="","",INDEX(helper!$E$3:$E3996,MOD(ROW()-2,COUNTA(helper!$D$3:$D3996))+1))</f>
        <v/>
      </c>
      <c r="E1826" s="3" t="str">
        <f t="array" ref="E1826">IF(B1826="","",INDEX(helper!$F$3:$F3996,MOD(ROW()-2,COUNTA(helper!$D$3:$D3996))+1))</f>
        <v/>
      </c>
      <c r="F1826" s="3" t="str">
        <f>IF(B1826="","",SUMIFS('inventory ledger'!$H:$H,'inventory ledger'!$C:$C,C1826,'inventory ledger'!$D:$D,D1826,'inventory ledger'!$E:$E,E1826,'inventory ledger'!$A:$A,"&lt;="&amp;B1826+TIME(23,59,59))-SUMIFS('inventory ledger'!$I:$I,'inventory ledger'!$C:$C,C1826,'inventory ledger'!$D:$D,D1826,'inventory ledger'!$E:$E,E1826,'inventory ledger'!$A:$A,"&lt;="&amp;B1826+TIME(23,59,59)))</f>
        <v/>
      </c>
      <c r="G1826" s="3">
        <f>IFERROR(__xludf.DUMMYFUNCTION("IF(F1826&lt;=0,0,IFERROR(ROUNDUP(F1826/INDEX(FILTER('warehouse config'!$D:$D,('warehouse config'!$B:$B=C1826)*('warehouse config'!$C:$C=D1826)*('warehouse config'!$G:$G&lt;=B1826)*(('warehouse config'!$H:$H&gt;=B1826)+ISBLANK('warehouse config'!$H:$H))),1)),0))"),0.0)</f>
        <v>0</v>
      </c>
      <c r="H1826" s="3">
        <f>IFERROR(__xludf.DUMMYFUNCTION("IFERROR(INDEX(FILTER('cost master'!$E:$E,('cost master'!$B:$B=C1826)*('cost master'!$D:$D=""Storage cost per pallet / week"")*('cost master'!$G:$G&lt;=B1826)*(('cost master'!$H:$H&gt;=B1826)+ISBLANK('cost master'!$H:$H))),1),0)"),0.0)</f>
        <v>0</v>
      </c>
      <c r="I1826" s="3">
        <f t="shared" si="4"/>
        <v>0</v>
      </c>
      <c r="J1826" s="27">
        <f t="shared" si="5"/>
        <v>693947</v>
      </c>
      <c r="K1826" s="27">
        <f t="shared" si="6"/>
        <v>693977</v>
      </c>
    </row>
    <row r="1827" hidden="1">
      <c r="A1827" s="3" t="str">
        <f t="shared" si="3"/>
        <v/>
      </c>
      <c r="B1827" s="2" t="str">
        <f t="array" ref="B1827">INDEX(helper!$A$3:$A3996,ROUNDUP((ROW()-1)/COUNTA(helper!$D$3:$D3996),0))</f>
        <v/>
      </c>
      <c r="C1827" s="5" t="str">
        <f t="array" ref="C1827">IF(B1827="","",INDEX(helper!$D$3:$D3996,MOD(ROW()-2,COUNTA(helper!$D$3:$D3996))+1))</f>
        <v/>
      </c>
      <c r="D1827" s="3" t="str">
        <f t="array" ref="D1827">IF(B1827="","",INDEX(helper!$E$3:$E3996,MOD(ROW()-2,COUNTA(helper!$D$3:$D3996))+1))</f>
        <v/>
      </c>
      <c r="E1827" s="3" t="str">
        <f t="array" ref="E1827">IF(B1827="","",INDEX(helper!$F$3:$F3996,MOD(ROW()-2,COUNTA(helper!$D$3:$D3996))+1))</f>
        <v/>
      </c>
      <c r="F1827" s="3" t="str">
        <f>IF(B1827="","",SUMIFS('inventory ledger'!$H:$H,'inventory ledger'!$C:$C,C1827,'inventory ledger'!$D:$D,D1827,'inventory ledger'!$E:$E,E1827,'inventory ledger'!$A:$A,"&lt;="&amp;B1827+TIME(23,59,59))-SUMIFS('inventory ledger'!$I:$I,'inventory ledger'!$C:$C,C1827,'inventory ledger'!$D:$D,D1827,'inventory ledger'!$E:$E,E1827,'inventory ledger'!$A:$A,"&lt;="&amp;B1827+TIME(23,59,59)))</f>
        <v/>
      </c>
      <c r="G1827" s="3">
        <f>IFERROR(__xludf.DUMMYFUNCTION("IF(F1827&lt;=0,0,IFERROR(ROUNDUP(F1827/INDEX(FILTER('warehouse config'!$D:$D,('warehouse config'!$B:$B=C1827)*('warehouse config'!$C:$C=D1827)*('warehouse config'!$G:$G&lt;=B1827)*(('warehouse config'!$H:$H&gt;=B1827)+ISBLANK('warehouse config'!$H:$H))),1)),0))"),0.0)</f>
        <v>0</v>
      </c>
      <c r="H1827" s="3">
        <f>IFERROR(__xludf.DUMMYFUNCTION("IFERROR(INDEX(FILTER('cost master'!$E:$E,('cost master'!$B:$B=C1827)*('cost master'!$D:$D=""Storage cost per pallet / week"")*('cost master'!$G:$G&lt;=B1827)*(('cost master'!$H:$H&gt;=B1827)+ISBLANK('cost master'!$H:$H))),1),0)"),0.0)</f>
        <v>0</v>
      </c>
      <c r="I1827" s="3">
        <f t="shared" si="4"/>
        <v>0</v>
      </c>
      <c r="J1827" s="27">
        <f t="shared" si="5"/>
        <v>693947</v>
      </c>
      <c r="K1827" s="27">
        <f t="shared" si="6"/>
        <v>693977</v>
      </c>
    </row>
    <row r="1828" hidden="1">
      <c r="A1828" s="3" t="str">
        <f t="shared" si="3"/>
        <v/>
      </c>
      <c r="B1828" s="2" t="str">
        <f t="array" ref="B1828">INDEX(helper!$A$3:$A3996,ROUNDUP((ROW()-1)/COUNTA(helper!$D$3:$D3996),0))</f>
        <v/>
      </c>
      <c r="C1828" s="5" t="str">
        <f t="array" ref="C1828">IF(B1828="","",INDEX(helper!$D$3:$D3996,MOD(ROW()-2,COUNTA(helper!$D$3:$D3996))+1))</f>
        <v/>
      </c>
      <c r="D1828" s="3" t="str">
        <f t="array" ref="D1828">IF(B1828="","",INDEX(helper!$E$3:$E3996,MOD(ROW()-2,COUNTA(helper!$D$3:$D3996))+1))</f>
        <v/>
      </c>
      <c r="E1828" s="3" t="str">
        <f t="array" ref="E1828">IF(B1828="","",INDEX(helper!$F$3:$F3996,MOD(ROW()-2,COUNTA(helper!$D$3:$D3996))+1))</f>
        <v/>
      </c>
      <c r="F1828" s="3" t="str">
        <f>IF(B1828="","",SUMIFS('inventory ledger'!$H:$H,'inventory ledger'!$C:$C,C1828,'inventory ledger'!$D:$D,D1828,'inventory ledger'!$E:$E,E1828,'inventory ledger'!$A:$A,"&lt;="&amp;B1828+TIME(23,59,59))-SUMIFS('inventory ledger'!$I:$I,'inventory ledger'!$C:$C,C1828,'inventory ledger'!$D:$D,D1828,'inventory ledger'!$E:$E,E1828,'inventory ledger'!$A:$A,"&lt;="&amp;B1828+TIME(23,59,59)))</f>
        <v/>
      </c>
      <c r="G1828" s="3">
        <f>IFERROR(__xludf.DUMMYFUNCTION("IF(F1828&lt;=0,0,IFERROR(ROUNDUP(F1828/INDEX(FILTER('warehouse config'!$D:$D,('warehouse config'!$B:$B=C1828)*('warehouse config'!$C:$C=D1828)*('warehouse config'!$G:$G&lt;=B1828)*(('warehouse config'!$H:$H&gt;=B1828)+ISBLANK('warehouse config'!$H:$H))),1)),0))"),0.0)</f>
        <v>0</v>
      </c>
      <c r="H1828" s="3">
        <f>IFERROR(__xludf.DUMMYFUNCTION("IFERROR(INDEX(FILTER('cost master'!$E:$E,('cost master'!$B:$B=C1828)*('cost master'!$D:$D=""Storage cost per pallet / week"")*('cost master'!$G:$G&lt;=B1828)*(('cost master'!$H:$H&gt;=B1828)+ISBLANK('cost master'!$H:$H))),1),0)"),0.0)</f>
        <v>0</v>
      </c>
      <c r="I1828" s="3">
        <f t="shared" si="4"/>
        <v>0</v>
      </c>
      <c r="J1828" s="27">
        <f t="shared" si="5"/>
        <v>693947</v>
      </c>
      <c r="K1828" s="27">
        <f t="shared" si="6"/>
        <v>693977</v>
      </c>
    </row>
    <row r="1829" hidden="1">
      <c r="A1829" s="3" t="str">
        <f t="shared" si="3"/>
        <v/>
      </c>
      <c r="B1829" s="2" t="str">
        <f t="array" ref="B1829">INDEX(helper!$A$3:$A3996,ROUNDUP((ROW()-1)/COUNTA(helper!$D$3:$D3996),0))</f>
        <v/>
      </c>
      <c r="C1829" s="5" t="str">
        <f t="array" ref="C1829">IF(B1829="","",INDEX(helper!$D$3:$D3996,MOD(ROW()-2,COUNTA(helper!$D$3:$D3996))+1))</f>
        <v/>
      </c>
      <c r="D1829" s="3" t="str">
        <f t="array" ref="D1829">IF(B1829="","",INDEX(helper!$E$3:$E3996,MOD(ROW()-2,COUNTA(helper!$D$3:$D3996))+1))</f>
        <v/>
      </c>
      <c r="E1829" s="3" t="str">
        <f t="array" ref="E1829">IF(B1829="","",INDEX(helper!$F$3:$F3996,MOD(ROW()-2,COUNTA(helper!$D$3:$D3996))+1))</f>
        <v/>
      </c>
      <c r="F1829" s="3" t="str">
        <f>IF(B1829="","",SUMIFS('inventory ledger'!$H:$H,'inventory ledger'!$C:$C,C1829,'inventory ledger'!$D:$D,D1829,'inventory ledger'!$E:$E,E1829,'inventory ledger'!$A:$A,"&lt;="&amp;B1829+TIME(23,59,59))-SUMIFS('inventory ledger'!$I:$I,'inventory ledger'!$C:$C,C1829,'inventory ledger'!$D:$D,D1829,'inventory ledger'!$E:$E,E1829,'inventory ledger'!$A:$A,"&lt;="&amp;B1829+TIME(23,59,59)))</f>
        <v/>
      </c>
      <c r="G1829" s="3">
        <f>IFERROR(__xludf.DUMMYFUNCTION("IF(F1829&lt;=0,0,IFERROR(ROUNDUP(F1829/INDEX(FILTER('warehouse config'!$D:$D,('warehouse config'!$B:$B=C1829)*('warehouse config'!$C:$C=D1829)*('warehouse config'!$G:$G&lt;=B1829)*(('warehouse config'!$H:$H&gt;=B1829)+ISBLANK('warehouse config'!$H:$H))),1)),0))"),0.0)</f>
        <v>0</v>
      </c>
      <c r="H1829" s="3">
        <f>IFERROR(__xludf.DUMMYFUNCTION("IFERROR(INDEX(FILTER('cost master'!$E:$E,('cost master'!$B:$B=C1829)*('cost master'!$D:$D=""Storage cost per pallet / week"")*('cost master'!$G:$G&lt;=B1829)*(('cost master'!$H:$H&gt;=B1829)+ISBLANK('cost master'!$H:$H))),1),0)"),0.0)</f>
        <v>0</v>
      </c>
      <c r="I1829" s="3">
        <f t="shared" si="4"/>
        <v>0</v>
      </c>
      <c r="J1829" s="27">
        <f t="shared" si="5"/>
        <v>693947</v>
      </c>
      <c r="K1829" s="27">
        <f t="shared" si="6"/>
        <v>693977</v>
      </c>
    </row>
    <row r="1830" hidden="1">
      <c r="A1830" s="3" t="str">
        <f t="shared" si="3"/>
        <v/>
      </c>
      <c r="B1830" s="2" t="str">
        <f t="array" ref="B1830">INDEX(helper!$A$3:$A3996,ROUNDUP((ROW()-1)/COUNTA(helper!$D$3:$D3996),0))</f>
        <v/>
      </c>
      <c r="C1830" s="5" t="str">
        <f t="array" ref="C1830">IF(B1830="","",INDEX(helper!$D$3:$D3996,MOD(ROW()-2,COUNTA(helper!$D$3:$D3996))+1))</f>
        <v/>
      </c>
      <c r="D1830" s="3" t="str">
        <f t="array" ref="D1830">IF(B1830="","",INDEX(helper!$E$3:$E3996,MOD(ROW()-2,COUNTA(helper!$D$3:$D3996))+1))</f>
        <v/>
      </c>
      <c r="E1830" s="3" t="str">
        <f t="array" ref="E1830">IF(B1830="","",INDEX(helper!$F$3:$F3996,MOD(ROW()-2,COUNTA(helper!$D$3:$D3996))+1))</f>
        <v/>
      </c>
      <c r="F1830" s="3" t="str">
        <f>IF(B1830="","",SUMIFS('inventory ledger'!$H:$H,'inventory ledger'!$C:$C,C1830,'inventory ledger'!$D:$D,D1830,'inventory ledger'!$E:$E,E1830,'inventory ledger'!$A:$A,"&lt;="&amp;B1830+TIME(23,59,59))-SUMIFS('inventory ledger'!$I:$I,'inventory ledger'!$C:$C,C1830,'inventory ledger'!$D:$D,D1830,'inventory ledger'!$E:$E,E1830,'inventory ledger'!$A:$A,"&lt;="&amp;B1830+TIME(23,59,59)))</f>
        <v/>
      </c>
      <c r="G1830" s="3">
        <f>IFERROR(__xludf.DUMMYFUNCTION("IF(F1830&lt;=0,0,IFERROR(ROUNDUP(F1830/INDEX(FILTER('warehouse config'!$D:$D,('warehouse config'!$B:$B=C1830)*('warehouse config'!$C:$C=D1830)*('warehouse config'!$G:$G&lt;=B1830)*(('warehouse config'!$H:$H&gt;=B1830)+ISBLANK('warehouse config'!$H:$H))),1)),0))"),0.0)</f>
        <v>0</v>
      </c>
      <c r="H1830" s="3">
        <f>IFERROR(__xludf.DUMMYFUNCTION("IFERROR(INDEX(FILTER('cost master'!$E:$E,('cost master'!$B:$B=C1830)*('cost master'!$D:$D=""Storage cost per pallet / week"")*('cost master'!$G:$G&lt;=B1830)*(('cost master'!$H:$H&gt;=B1830)+ISBLANK('cost master'!$H:$H))),1),0)"),0.0)</f>
        <v>0</v>
      </c>
      <c r="I1830" s="3">
        <f t="shared" si="4"/>
        <v>0</v>
      </c>
      <c r="J1830" s="27">
        <f t="shared" si="5"/>
        <v>693947</v>
      </c>
      <c r="K1830" s="27">
        <f t="shared" si="6"/>
        <v>693977</v>
      </c>
    </row>
    <row r="1831" hidden="1">
      <c r="A1831" s="3" t="str">
        <f t="shared" si="3"/>
        <v/>
      </c>
      <c r="B1831" s="2" t="str">
        <f t="array" ref="B1831">INDEX(helper!$A$3:$A3996,ROUNDUP((ROW()-1)/COUNTA(helper!$D$3:$D3996),0))</f>
        <v/>
      </c>
      <c r="C1831" s="5" t="str">
        <f t="array" ref="C1831">IF(B1831="","",INDEX(helper!$D$3:$D3996,MOD(ROW()-2,COUNTA(helper!$D$3:$D3996))+1))</f>
        <v/>
      </c>
      <c r="D1831" s="3" t="str">
        <f t="array" ref="D1831">IF(B1831="","",INDEX(helper!$E$3:$E3996,MOD(ROW()-2,COUNTA(helper!$D$3:$D3996))+1))</f>
        <v/>
      </c>
      <c r="E1831" s="3" t="str">
        <f t="array" ref="E1831">IF(B1831="","",INDEX(helper!$F$3:$F3996,MOD(ROW()-2,COUNTA(helper!$D$3:$D3996))+1))</f>
        <v/>
      </c>
      <c r="F1831" s="3" t="str">
        <f>IF(B1831="","",SUMIFS('inventory ledger'!$H:$H,'inventory ledger'!$C:$C,C1831,'inventory ledger'!$D:$D,D1831,'inventory ledger'!$E:$E,E1831,'inventory ledger'!$A:$A,"&lt;="&amp;B1831+TIME(23,59,59))-SUMIFS('inventory ledger'!$I:$I,'inventory ledger'!$C:$C,C1831,'inventory ledger'!$D:$D,D1831,'inventory ledger'!$E:$E,E1831,'inventory ledger'!$A:$A,"&lt;="&amp;B1831+TIME(23,59,59)))</f>
        <v/>
      </c>
      <c r="G1831" s="3">
        <f>IFERROR(__xludf.DUMMYFUNCTION("IF(F1831&lt;=0,0,IFERROR(ROUNDUP(F1831/INDEX(FILTER('warehouse config'!$D:$D,('warehouse config'!$B:$B=C1831)*('warehouse config'!$C:$C=D1831)*('warehouse config'!$G:$G&lt;=B1831)*(('warehouse config'!$H:$H&gt;=B1831)+ISBLANK('warehouse config'!$H:$H))),1)),0))"),0.0)</f>
        <v>0</v>
      </c>
      <c r="H1831" s="3">
        <f>IFERROR(__xludf.DUMMYFUNCTION("IFERROR(INDEX(FILTER('cost master'!$E:$E,('cost master'!$B:$B=C1831)*('cost master'!$D:$D=""Storage cost per pallet / week"")*('cost master'!$G:$G&lt;=B1831)*(('cost master'!$H:$H&gt;=B1831)+ISBLANK('cost master'!$H:$H))),1),0)"),0.0)</f>
        <v>0</v>
      </c>
      <c r="I1831" s="3">
        <f t="shared" si="4"/>
        <v>0</v>
      </c>
      <c r="J1831" s="27">
        <f t="shared" si="5"/>
        <v>693947</v>
      </c>
      <c r="K1831" s="27">
        <f t="shared" si="6"/>
        <v>693977</v>
      </c>
    </row>
    <row r="1832" hidden="1">
      <c r="A1832" s="3" t="str">
        <f t="shared" si="3"/>
        <v/>
      </c>
      <c r="B1832" s="2" t="str">
        <f t="array" ref="B1832">INDEX(helper!$A$3:$A3996,ROUNDUP((ROW()-1)/COUNTA(helper!$D$3:$D3996),0))</f>
        <v/>
      </c>
      <c r="C1832" s="5" t="str">
        <f t="array" ref="C1832">IF(B1832="","",INDEX(helper!$D$3:$D3996,MOD(ROW()-2,COUNTA(helper!$D$3:$D3996))+1))</f>
        <v/>
      </c>
      <c r="D1832" s="3" t="str">
        <f t="array" ref="D1832">IF(B1832="","",INDEX(helper!$E$3:$E3996,MOD(ROW()-2,COUNTA(helper!$D$3:$D3996))+1))</f>
        <v/>
      </c>
      <c r="E1832" s="3" t="str">
        <f t="array" ref="E1832">IF(B1832="","",INDEX(helper!$F$3:$F3996,MOD(ROW()-2,COUNTA(helper!$D$3:$D3996))+1))</f>
        <v/>
      </c>
      <c r="F1832" s="3" t="str">
        <f>IF(B1832="","",SUMIFS('inventory ledger'!$H:$H,'inventory ledger'!$C:$C,C1832,'inventory ledger'!$D:$D,D1832,'inventory ledger'!$E:$E,E1832,'inventory ledger'!$A:$A,"&lt;="&amp;B1832+TIME(23,59,59))-SUMIFS('inventory ledger'!$I:$I,'inventory ledger'!$C:$C,C1832,'inventory ledger'!$D:$D,D1832,'inventory ledger'!$E:$E,E1832,'inventory ledger'!$A:$A,"&lt;="&amp;B1832+TIME(23,59,59)))</f>
        <v/>
      </c>
      <c r="G1832" s="3">
        <f>IFERROR(__xludf.DUMMYFUNCTION("IF(F1832&lt;=0,0,IFERROR(ROUNDUP(F1832/INDEX(FILTER('warehouse config'!$D:$D,('warehouse config'!$B:$B=C1832)*('warehouse config'!$C:$C=D1832)*('warehouse config'!$G:$G&lt;=B1832)*(('warehouse config'!$H:$H&gt;=B1832)+ISBLANK('warehouse config'!$H:$H))),1)),0))"),0.0)</f>
        <v>0</v>
      </c>
      <c r="H1832" s="3">
        <f>IFERROR(__xludf.DUMMYFUNCTION("IFERROR(INDEX(FILTER('cost master'!$E:$E,('cost master'!$B:$B=C1832)*('cost master'!$D:$D=""Storage cost per pallet / week"")*('cost master'!$G:$G&lt;=B1832)*(('cost master'!$H:$H&gt;=B1832)+ISBLANK('cost master'!$H:$H))),1),0)"),0.0)</f>
        <v>0</v>
      </c>
      <c r="I1832" s="3">
        <f t="shared" si="4"/>
        <v>0</v>
      </c>
      <c r="J1832" s="27">
        <f t="shared" si="5"/>
        <v>693947</v>
      </c>
      <c r="K1832" s="27">
        <f t="shared" si="6"/>
        <v>693977</v>
      </c>
    </row>
    <row r="1833" hidden="1">
      <c r="A1833" s="3" t="str">
        <f t="shared" si="3"/>
        <v/>
      </c>
      <c r="B1833" s="2" t="str">
        <f t="array" ref="B1833">INDEX(helper!$A$3:$A3996,ROUNDUP((ROW()-1)/COUNTA(helper!$D$3:$D3996),0))</f>
        <v/>
      </c>
      <c r="C1833" s="5" t="str">
        <f t="array" ref="C1833">IF(B1833="","",INDEX(helper!$D$3:$D3996,MOD(ROW()-2,COUNTA(helper!$D$3:$D3996))+1))</f>
        <v/>
      </c>
      <c r="D1833" s="3" t="str">
        <f t="array" ref="D1833">IF(B1833="","",INDEX(helper!$E$3:$E3996,MOD(ROW()-2,COUNTA(helper!$D$3:$D3996))+1))</f>
        <v/>
      </c>
      <c r="E1833" s="3" t="str">
        <f t="array" ref="E1833">IF(B1833="","",INDEX(helper!$F$3:$F3996,MOD(ROW()-2,COUNTA(helper!$D$3:$D3996))+1))</f>
        <v/>
      </c>
      <c r="F1833" s="3" t="str">
        <f>IF(B1833="","",SUMIFS('inventory ledger'!$H:$H,'inventory ledger'!$C:$C,C1833,'inventory ledger'!$D:$D,D1833,'inventory ledger'!$E:$E,E1833,'inventory ledger'!$A:$A,"&lt;="&amp;B1833+TIME(23,59,59))-SUMIFS('inventory ledger'!$I:$I,'inventory ledger'!$C:$C,C1833,'inventory ledger'!$D:$D,D1833,'inventory ledger'!$E:$E,E1833,'inventory ledger'!$A:$A,"&lt;="&amp;B1833+TIME(23,59,59)))</f>
        <v/>
      </c>
      <c r="G1833" s="3">
        <f>IFERROR(__xludf.DUMMYFUNCTION("IF(F1833&lt;=0,0,IFERROR(ROUNDUP(F1833/INDEX(FILTER('warehouse config'!$D:$D,('warehouse config'!$B:$B=C1833)*('warehouse config'!$C:$C=D1833)*('warehouse config'!$G:$G&lt;=B1833)*(('warehouse config'!$H:$H&gt;=B1833)+ISBLANK('warehouse config'!$H:$H))),1)),0))"),0.0)</f>
        <v>0</v>
      </c>
      <c r="H1833" s="3">
        <f>IFERROR(__xludf.DUMMYFUNCTION("IFERROR(INDEX(FILTER('cost master'!$E:$E,('cost master'!$B:$B=C1833)*('cost master'!$D:$D=""Storage cost per pallet / week"")*('cost master'!$G:$G&lt;=B1833)*(('cost master'!$H:$H&gt;=B1833)+ISBLANK('cost master'!$H:$H))),1),0)"),0.0)</f>
        <v>0</v>
      </c>
      <c r="I1833" s="3">
        <f t="shared" si="4"/>
        <v>0</v>
      </c>
      <c r="J1833" s="27">
        <f t="shared" si="5"/>
        <v>693947</v>
      </c>
      <c r="K1833" s="27">
        <f t="shared" si="6"/>
        <v>693977</v>
      </c>
    </row>
    <row r="1834" hidden="1">
      <c r="A1834" s="3" t="str">
        <f t="shared" si="3"/>
        <v/>
      </c>
      <c r="B1834" s="2" t="str">
        <f t="array" ref="B1834">INDEX(helper!$A$3:$A3996,ROUNDUP((ROW()-1)/COUNTA(helper!$D$3:$D3996),0))</f>
        <v/>
      </c>
      <c r="C1834" s="5" t="str">
        <f t="array" ref="C1834">IF(B1834="","",INDEX(helper!$D$3:$D3996,MOD(ROW()-2,COUNTA(helper!$D$3:$D3996))+1))</f>
        <v/>
      </c>
      <c r="D1834" s="3" t="str">
        <f t="array" ref="D1834">IF(B1834="","",INDEX(helper!$E$3:$E3996,MOD(ROW()-2,COUNTA(helper!$D$3:$D3996))+1))</f>
        <v/>
      </c>
      <c r="E1834" s="3" t="str">
        <f t="array" ref="E1834">IF(B1834="","",INDEX(helper!$F$3:$F3996,MOD(ROW()-2,COUNTA(helper!$D$3:$D3996))+1))</f>
        <v/>
      </c>
      <c r="F1834" s="3" t="str">
        <f>IF(B1834="","",SUMIFS('inventory ledger'!$H:$H,'inventory ledger'!$C:$C,C1834,'inventory ledger'!$D:$D,D1834,'inventory ledger'!$E:$E,E1834,'inventory ledger'!$A:$A,"&lt;="&amp;B1834+TIME(23,59,59))-SUMIFS('inventory ledger'!$I:$I,'inventory ledger'!$C:$C,C1834,'inventory ledger'!$D:$D,D1834,'inventory ledger'!$E:$E,E1834,'inventory ledger'!$A:$A,"&lt;="&amp;B1834+TIME(23,59,59)))</f>
        <v/>
      </c>
      <c r="G1834" s="3">
        <f>IFERROR(__xludf.DUMMYFUNCTION("IF(F1834&lt;=0,0,IFERROR(ROUNDUP(F1834/INDEX(FILTER('warehouse config'!$D:$D,('warehouse config'!$B:$B=C1834)*('warehouse config'!$C:$C=D1834)*('warehouse config'!$G:$G&lt;=B1834)*(('warehouse config'!$H:$H&gt;=B1834)+ISBLANK('warehouse config'!$H:$H))),1)),0))"),0.0)</f>
        <v>0</v>
      </c>
      <c r="H1834" s="3">
        <f>IFERROR(__xludf.DUMMYFUNCTION("IFERROR(INDEX(FILTER('cost master'!$E:$E,('cost master'!$B:$B=C1834)*('cost master'!$D:$D=""Storage cost per pallet / week"")*('cost master'!$G:$G&lt;=B1834)*(('cost master'!$H:$H&gt;=B1834)+ISBLANK('cost master'!$H:$H))),1),0)"),0.0)</f>
        <v>0</v>
      </c>
      <c r="I1834" s="3">
        <f t="shared" si="4"/>
        <v>0</v>
      </c>
      <c r="J1834" s="27">
        <f t="shared" si="5"/>
        <v>693947</v>
      </c>
      <c r="K1834" s="27">
        <f t="shared" si="6"/>
        <v>693977</v>
      </c>
    </row>
    <row r="1835" hidden="1">
      <c r="A1835" s="3" t="str">
        <f t="shared" si="3"/>
        <v/>
      </c>
      <c r="B1835" s="2" t="str">
        <f t="array" ref="B1835">INDEX(helper!$A$3:$A3996,ROUNDUP((ROW()-1)/COUNTA(helper!$D$3:$D3996),0))</f>
        <v/>
      </c>
      <c r="C1835" s="5" t="str">
        <f t="array" ref="C1835">IF(B1835="","",INDEX(helper!$D$3:$D3996,MOD(ROW()-2,COUNTA(helper!$D$3:$D3996))+1))</f>
        <v/>
      </c>
      <c r="D1835" s="3" t="str">
        <f t="array" ref="D1835">IF(B1835="","",INDEX(helper!$E$3:$E3996,MOD(ROW()-2,COUNTA(helper!$D$3:$D3996))+1))</f>
        <v/>
      </c>
      <c r="E1835" s="3" t="str">
        <f t="array" ref="E1835">IF(B1835="","",INDEX(helper!$F$3:$F3996,MOD(ROW()-2,COUNTA(helper!$D$3:$D3996))+1))</f>
        <v/>
      </c>
      <c r="F1835" s="3" t="str">
        <f>IF(B1835="","",SUMIFS('inventory ledger'!$H:$H,'inventory ledger'!$C:$C,C1835,'inventory ledger'!$D:$D,D1835,'inventory ledger'!$E:$E,E1835,'inventory ledger'!$A:$A,"&lt;="&amp;B1835+TIME(23,59,59))-SUMIFS('inventory ledger'!$I:$I,'inventory ledger'!$C:$C,C1835,'inventory ledger'!$D:$D,D1835,'inventory ledger'!$E:$E,E1835,'inventory ledger'!$A:$A,"&lt;="&amp;B1835+TIME(23,59,59)))</f>
        <v/>
      </c>
      <c r="G1835" s="3">
        <f>IFERROR(__xludf.DUMMYFUNCTION("IF(F1835&lt;=0,0,IFERROR(ROUNDUP(F1835/INDEX(FILTER('warehouse config'!$D:$D,('warehouse config'!$B:$B=C1835)*('warehouse config'!$C:$C=D1835)*('warehouse config'!$G:$G&lt;=B1835)*(('warehouse config'!$H:$H&gt;=B1835)+ISBLANK('warehouse config'!$H:$H))),1)),0))"),0.0)</f>
        <v>0</v>
      </c>
      <c r="H1835" s="3">
        <f>IFERROR(__xludf.DUMMYFUNCTION("IFERROR(INDEX(FILTER('cost master'!$E:$E,('cost master'!$B:$B=C1835)*('cost master'!$D:$D=""Storage cost per pallet / week"")*('cost master'!$G:$G&lt;=B1835)*(('cost master'!$H:$H&gt;=B1835)+ISBLANK('cost master'!$H:$H))),1),0)"),0.0)</f>
        <v>0</v>
      </c>
      <c r="I1835" s="3">
        <f t="shared" si="4"/>
        <v>0</v>
      </c>
      <c r="J1835" s="27">
        <f t="shared" si="5"/>
        <v>693947</v>
      </c>
      <c r="K1835" s="27">
        <f t="shared" si="6"/>
        <v>693977</v>
      </c>
    </row>
    <row r="1836" hidden="1">
      <c r="A1836" s="3" t="str">
        <f t="shared" si="3"/>
        <v/>
      </c>
      <c r="B1836" s="2" t="str">
        <f t="array" ref="B1836">INDEX(helper!$A$3:$A3996,ROUNDUP((ROW()-1)/COUNTA(helper!$D$3:$D3996),0))</f>
        <v/>
      </c>
      <c r="C1836" s="5" t="str">
        <f t="array" ref="C1836">IF(B1836="","",INDEX(helper!$D$3:$D3996,MOD(ROW()-2,COUNTA(helper!$D$3:$D3996))+1))</f>
        <v/>
      </c>
      <c r="D1836" s="3" t="str">
        <f t="array" ref="D1836">IF(B1836="","",INDEX(helper!$E$3:$E3996,MOD(ROW()-2,COUNTA(helper!$D$3:$D3996))+1))</f>
        <v/>
      </c>
      <c r="E1836" s="3" t="str">
        <f t="array" ref="E1836">IF(B1836="","",INDEX(helper!$F$3:$F3996,MOD(ROW()-2,COUNTA(helper!$D$3:$D3996))+1))</f>
        <v/>
      </c>
      <c r="F1836" s="3" t="str">
        <f>IF(B1836="","",SUMIFS('inventory ledger'!$H:$H,'inventory ledger'!$C:$C,C1836,'inventory ledger'!$D:$D,D1836,'inventory ledger'!$E:$E,E1836,'inventory ledger'!$A:$A,"&lt;="&amp;B1836+TIME(23,59,59))-SUMIFS('inventory ledger'!$I:$I,'inventory ledger'!$C:$C,C1836,'inventory ledger'!$D:$D,D1836,'inventory ledger'!$E:$E,E1836,'inventory ledger'!$A:$A,"&lt;="&amp;B1836+TIME(23,59,59)))</f>
        <v/>
      </c>
      <c r="G1836" s="3">
        <f>IFERROR(__xludf.DUMMYFUNCTION("IF(F1836&lt;=0,0,IFERROR(ROUNDUP(F1836/INDEX(FILTER('warehouse config'!$D:$D,('warehouse config'!$B:$B=C1836)*('warehouse config'!$C:$C=D1836)*('warehouse config'!$G:$G&lt;=B1836)*(('warehouse config'!$H:$H&gt;=B1836)+ISBLANK('warehouse config'!$H:$H))),1)),0))"),0.0)</f>
        <v>0</v>
      </c>
      <c r="H1836" s="3">
        <f>IFERROR(__xludf.DUMMYFUNCTION("IFERROR(INDEX(FILTER('cost master'!$E:$E,('cost master'!$B:$B=C1836)*('cost master'!$D:$D=""Storage cost per pallet / week"")*('cost master'!$G:$G&lt;=B1836)*(('cost master'!$H:$H&gt;=B1836)+ISBLANK('cost master'!$H:$H))),1),0)"),0.0)</f>
        <v>0</v>
      </c>
      <c r="I1836" s="3">
        <f t="shared" si="4"/>
        <v>0</v>
      </c>
      <c r="J1836" s="27">
        <f t="shared" si="5"/>
        <v>693947</v>
      </c>
      <c r="K1836" s="27">
        <f t="shared" si="6"/>
        <v>693977</v>
      </c>
    </row>
    <row r="1837" hidden="1">
      <c r="A1837" s="3" t="str">
        <f t="shared" si="3"/>
        <v/>
      </c>
      <c r="B1837" s="2" t="str">
        <f t="array" ref="B1837">INDEX(helper!$A$3:$A3996,ROUNDUP((ROW()-1)/COUNTA(helper!$D$3:$D3996),0))</f>
        <v/>
      </c>
      <c r="C1837" s="5" t="str">
        <f t="array" ref="C1837">IF(B1837="","",INDEX(helper!$D$3:$D3996,MOD(ROW()-2,COUNTA(helper!$D$3:$D3996))+1))</f>
        <v/>
      </c>
      <c r="D1837" s="3" t="str">
        <f t="array" ref="D1837">IF(B1837="","",INDEX(helper!$E$3:$E3996,MOD(ROW()-2,COUNTA(helper!$D$3:$D3996))+1))</f>
        <v/>
      </c>
      <c r="E1837" s="3" t="str">
        <f t="array" ref="E1837">IF(B1837="","",INDEX(helper!$F$3:$F3996,MOD(ROW()-2,COUNTA(helper!$D$3:$D3996))+1))</f>
        <v/>
      </c>
      <c r="F1837" s="3" t="str">
        <f>IF(B1837="","",SUMIFS('inventory ledger'!$H:$H,'inventory ledger'!$C:$C,C1837,'inventory ledger'!$D:$D,D1837,'inventory ledger'!$E:$E,E1837,'inventory ledger'!$A:$A,"&lt;="&amp;B1837+TIME(23,59,59))-SUMIFS('inventory ledger'!$I:$I,'inventory ledger'!$C:$C,C1837,'inventory ledger'!$D:$D,D1837,'inventory ledger'!$E:$E,E1837,'inventory ledger'!$A:$A,"&lt;="&amp;B1837+TIME(23,59,59)))</f>
        <v/>
      </c>
      <c r="G1837" s="3">
        <f>IFERROR(__xludf.DUMMYFUNCTION("IF(F1837&lt;=0,0,IFERROR(ROUNDUP(F1837/INDEX(FILTER('warehouse config'!$D:$D,('warehouse config'!$B:$B=C1837)*('warehouse config'!$C:$C=D1837)*('warehouse config'!$G:$G&lt;=B1837)*(('warehouse config'!$H:$H&gt;=B1837)+ISBLANK('warehouse config'!$H:$H))),1)),0))"),0.0)</f>
        <v>0</v>
      </c>
      <c r="H1837" s="3">
        <f>IFERROR(__xludf.DUMMYFUNCTION("IFERROR(INDEX(FILTER('cost master'!$E:$E,('cost master'!$B:$B=C1837)*('cost master'!$D:$D=""Storage cost per pallet / week"")*('cost master'!$G:$G&lt;=B1837)*(('cost master'!$H:$H&gt;=B1837)+ISBLANK('cost master'!$H:$H))),1),0)"),0.0)</f>
        <v>0</v>
      </c>
      <c r="I1837" s="3">
        <f t="shared" si="4"/>
        <v>0</v>
      </c>
      <c r="J1837" s="27">
        <f t="shared" si="5"/>
        <v>693947</v>
      </c>
      <c r="K1837" s="27">
        <f t="shared" si="6"/>
        <v>693977</v>
      </c>
    </row>
    <row r="1838" hidden="1">
      <c r="A1838" s="3" t="str">
        <f t="shared" si="3"/>
        <v/>
      </c>
      <c r="B1838" s="2" t="str">
        <f t="array" ref="B1838">INDEX(helper!$A$3:$A3996,ROUNDUP((ROW()-1)/COUNTA(helper!$D$3:$D3996),0))</f>
        <v/>
      </c>
      <c r="C1838" s="5" t="str">
        <f t="array" ref="C1838">IF(B1838="","",INDEX(helper!$D$3:$D3996,MOD(ROW()-2,COUNTA(helper!$D$3:$D3996))+1))</f>
        <v/>
      </c>
      <c r="D1838" s="3" t="str">
        <f t="array" ref="D1838">IF(B1838="","",INDEX(helper!$E$3:$E3996,MOD(ROW()-2,COUNTA(helper!$D$3:$D3996))+1))</f>
        <v/>
      </c>
      <c r="E1838" s="3" t="str">
        <f t="array" ref="E1838">IF(B1838="","",INDEX(helper!$F$3:$F3996,MOD(ROW()-2,COUNTA(helper!$D$3:$D3996))+1))</f>
        <v/>
      </c>
      <c r="F1838" s="3" t="str">
        <f>IF(B1838="","",SUMIFS('inventory ledger'!$H:$H,'inventory ledger'!$C:$C,C1838,'inventory ledger'!$D:$D,D1838,'inventory ledger'!$E:$E,E1838,'inventory ledger'!$A:$A,"&lt;="&amp;B1838+TIME(23,59,59))-SUMIFS('inventory ledger'!$I:$I,'inventory ledger'!$C:$C,C1838,'inventory ledger'!$D:$D,D1838,'inventory ledger'!$E:$E,E1838,'inventory ledger'!$A:$A,"&lt;="&amp;B1838+TIME(23,59,59)))</f>
        <v/>
      </c>
      <c r="G1838" s="3">
        <f>IFERROR(__xludf.DUMMYFUNCTION("IF(F1838&lt;=0,0,IFERROR(ROUNDUP(F1838/INDEX(FILTER('warehouse config'!$D:$D,('warehouse config'!$B:$B=C1838)*('warehouse config'!$C:$C=D1838)*('warehouse config'!$G:$G&lt;=B1838)*(('warehouse config'!$H:$H&gt;=B1838)+ISBLANK('warehouse config'!$H:$H))),1)),0))"),0.0)</f>
        <v>0</v>
      </c>
      <c r="H1838" s="3">
        <f>IFERROR(__xludf.DUMMYFUNCTION("IFERROR(INDEX(FILTER('cost master'!$E:$E,('cost master'!$B:$B=C1838)*('cost master'!$D:$D=""Storage cost per pallet / week"")*('cost master'!$G:$G&lt;=B1838)*(('cost master'!$H:$H&gt;=B1838)+ISBLANK('cost master'!$H:$H))),1),0)"),0.0)</f>
        <v>0</v>
      </c>
      <c r="I1838" s="3">
        <f t="shared" si="4"/>
        <v>0</v>
      </c>
      <c r="J1838" s="27">
        <f t="shared" si="5"/>
        <v>693947</v>
      </c>
      <c r="K1838" s="27">
        <f t="shared" si="6"/>
        <v>693977</v>
      </c>
    </row>
    <row r="1839" hidden="1">
      <c r="A1839" s="3" t="str">
        <f t="shared" si="3"/>
        <v/>
      </c>
      <c r="B1839" s="2" t="str">
        <f t="array" ref="B1839">INDEX(helper!$A$3:$A3996,ROUNDUP((ROW()-1)/COUNTA(helper!$D$3:$D3996),0))</f>
        <v/>
      </c>
      <c r="C1839" s="5" t="str">
        <f t="array" ref="C1839">IF(B1839="","",INDEX(helper!$D$3:$D3996,MOD(ROW()-2,COUNTA(helper!$D$3:$D3996))+1))</f>
        <v/>
      </c>
      <c r="D1839" s="3" t="str">
        <f t="array" ref="D1839">IF(B1839="","",INDEX(helper!$E$3:$E3996,MOD(ROW()-2,COUNTA(helper!$D$3:$D3996))+1))</f>
        <v/>
      </c>
      <c r="E1839" s="3" t="str">
        <f t="array" ref="E1839">IF(B1839="","",INDEX(helper!$F$3:$F3996,MOD(ROW()-2,COUNTA(helper!$D$3:$D3996))+1))</f>
        <v/>
      </c>
      <c r="F1839" s="3" t="str">
        <f>IF(B1839="","",SUMIFS('inventory ledger'!$H:$H,'inventory ledger'!$C:$C,C1839,'inventory ledger'!$D:$D,D1839,'inventory ledger'!$E:$E,E1839,'inventory ledger'!$A:$A,"&lt;="&amp;B1839+TIME(23,59,59))-SUMIFS('inventory ledger'!$I:$I,'inventory ledger'!$C:$C,C1839,'inventory ledger'!$D:$D,D1839,'inventory ledger'!$E:$E,E1839,'inventory ledger'!$A:$A,"&lt;="&amp;B1839+TIME(23,59,59)))</f>
        <v/>
      </c>
      <c r="G1839" s="3">
        <f>IFERROR(__xludf.DUMMYFUNCTION("IF(F1839&lt;=0,0,IFERROR(ROUNDUP(F1839/INDEX(FILTER('warehouse config'!$D:$D,('warehouse config'!$B:$B=C1839)*('warehouse config'!$C:$C=D1839)*('warehouse config'!$G:$G&lt;=B1839)*(('warehouse config'!$H:$H&gt;=B1839)+ISBLANK('warehouse config'!$H:$H))),1)),0))"),0.0)</f>
        <v>0</v>
      </c>
      <c r="H1839" s="3">
        <f>IFERROR(__xludf.DUMMYFUNCTION("IFERROR(INDEX(FILTER('cost master'!$E:$E,('cost master'!$B:$B=C1839)*('cost master'!$D:$D=""Storage cost per pallet / week"")*('cost master'!$G:$G&lt;=B1839)*(('cost master'!$H:$H&gt;=B1839)+ISBLANK('cost master'!$H:$H))),1),0)"),0.0)</f>
        <v>0</v>
      </c>
      <c r="I1839" s="3">
        <f t="shared" si="4"/>
        <v>0</v>
      </c>
      <c r="J1839" s="27">
        <f t="shared" si="5"/>
        <v>693947</v>
      </c>
      <c r="K1839" s="27">
        <f t="shared" si="6"/>
        <v>693977</v>
      </c>
    </row>
    <row r="1840" hidden="1">
      <c r="A1840" s="3" t="str">
        <f t="shared" si="3"/>
        <v/>
      </c>
      <c r="B1840" s="2" t="str">
        <f t="array" ref="B1840">INDEX(helper!$A$3:$A3996,ROUNDUP((ROW()-1)/COUNTA(helper!$D$3:$D3996),0))</f>
        <v/>
      </c>
      <c r="C1840" s="5" t="str">
        <f t="array" ref="C1840">IF(B1840="","",INDEX(helper!$D$3:$D3996,MOD(ROW()-2,COUNTA(helper!$D$3:$D3996))+1))</f>
        <v/>
      </c>
      <c r="D1840" s="3" t="str">
        <f t="array" ref="D1840">IF(B1840="","",INDEX(helper!$E$3:$E3996,MOD(ROW()-2,COUNTA(helper!$D$3:$D3996))+1))</f>
        <v/>
      </c>
      <c r="E1840" s="3" t="str">
        <f t="array" ref="E1840">IF(B1840="","",INDEX(helper!$F$3:$F3996,MOD(ROW()-2,COUNTA(helper!$D$3:$D3996))+1))</f>
        <v/>
      </c>
      <c r="F1840" s="3" t="str">
        <f>IF(B1840="","",SUMIFS('inventory ledger'!$H:$H,'inventory ledger'!$C:$C,C1840,'inventory ledger'!$D:$D,D1840,'inventory ledger'!$E:$E,E1840,'inventory ledger'!$A:$A,"&lt;="&amp;B1840+TIME(23,59,59))-SUMIFS('inventory ledger'!$I:$I,'inventory ledger'!$C:$C,C1840,'inventory ledger'!$D:$D,D1840,'inventory ledger'!$E:$E,E1840,'inventory ledger'!$A:$A,"&lt;="&amp;B1840+TIME(23,59,59)))</f>
        <v/>
      </c>
      <c r="G1840" s="3">
        <f>IFERROR(__xludf.DUMMYFUNCTION("IF(F1840&lt;=0,0,IFERROR(ROUNDUP(F1840/INDEX(FILTER('warehouse config'!$D:$D,('warehouse config'!$B:$B=C1840)*('warehouse config'!$C:$C=D1840)*('warehouse config'!$G:$G&lt;=B1840)*(('warehouse config'!$H:$H&gt;=B1840)+ISBLANK('warehouse config'!$H:$H))),1)),0))"),0.0)</f>
        <v>0</v>
      </c>
      <c r="H1840" s="3">
        <f>IFERROR(__xludf.DUMMYFUNCTION("IFERROR(INDEX(FILTER('cost master'!$E:$E,('cost master'!$B:$B=C1840)*('cost master'!$D:$D=""Storage cost per pallet / week"")*('cost master'!$G:$G&lt;=B1840)*(('cost master'!$H:$H&gt;=B1840)+ISBLANK('cost master'!$H:$H))),1),0)"),0.0)</f>
        <v>0</v>
      </c>
      <c r="I1840" s="3">
        <f t="shared" si="4"/>
        <v>0</v>
      </c>
      <c r="J1840" s="27">
        <f t="shared" si="5"/>
        <v>693947</v>
      </c>
      <c r="K1840" s="27">
        <f t="shared" si="6"/>
        <v>693977</v>
      </c>
    </row>
    <row r="1841" hidden="1">
      <c r="A1841" s="3" t="str">
        <f t="shared" si="3"/>
        <v/>
      </c>
      <c r="B1841" s="2" t="str">
        <f t="array" ref="B1841">INDEX(helper!$A$3:$A3996,ROUNDUP((ROW()-1)/COUNTA(helper!$D$3:$D3996),0))</f>
        <v/>
      </c>
      <c r="C1841" s="5" t="str">
        <f t="array" ref="C1841">IF(B1841="","",INDEX(helper!$D$3:$D3996,MOD(ROW()-2,COUNTA(helper!$D$3:$D3996))+1))</f>
        <v/>
      </c>
      <c r="D1841" s="3" t="str">
        <f t="array" ref="D1841">IF(B1841="","",INDEX(helper!$E$3:$E3996,MOD(ROW()-2,COUNTA(helper!$D$3:$D3996))+1))</f>
        <v/>
      </c>
      <c r="E1841" s="3" t="str">
        <f t="array" ref="E1841">IF(B1841="","",INDEX(helper!$F$3:$F3996,MOD(ROW()-2,COUNTA(helper!$D$3:$D3996))+1))</f>
        <v/>
      </c>
      <c r="F1841" s="3" t="str">
        <f>IF(B1841="","",SUMIFS('inventory ledger'!$H:$H,'inventory ledger'!$C:$C,C1841,'inventory ledger'!$D:$D,D1841,'inventory ledger'!$E:$E,E1841,'inventory ledger'!$A:$A,"&lt;="&amp;B1841+TIME(23,59,59))-SUMIFS('inventory ledger'!$I:$I,'inventory ledger'!$C:$C,C1841,'inventory ledger'!$D:$D,D1841,'inventory ledger'!$E:$E,E1841,'inventory ledger'!$A:$A,"&lt;="&amp;B1841+TIME(23,59,59)))</f>
        <v/>
      </c>
      <c r="G1841" s="3">
        <f>IFERROR(__xludf.DUMMYFUNCTION("IF(F1841&lt;=0,0,IFERROR(ROUNDUP(F1841/INDEX(FILTER('warehouse config'!$D:$D,('warehouse config'!$B:$B=C1841)*('warehouse config'!$C:$C=D1841)*('warehouse config'!$G:$G&lt;=B1841)*(('warehouse config'!$H:$H&gt;=B1841)+ISBLANK('warehouse config'!$H:$H))),1)),0))"),0.0)</f>
        <v>0</v>
      </c>
      <c r="H1841" s="3">
        <f>IFERROR(__xludf.DUMMYFUNCTION("IFERROR(INDEX(FILTER('cost master'!$E:$E,('cost master'!$B:$B=C1841)*('cost master'!$D:$D=""Storage cost per pallet / week"")*('cost master'!$G:$G&lt;=B1841)*(('cost master'!$H:$H&gt;=B1841)+ISBLANK('cost master'!$H:$H))),1),0)"),0.0)</f>
        <v>0</v>
      </c>
      <c r="I1841" s="3">
        <f t="shared" si="4"/>
        <v>0</v>
      </c>
      <c r="J1841" s="27">
        <f t="shared" si="5"/>
        <v>693947</v>
      </c>
      <c r="K1841" s="27">
        <f t="shared" si="6"/>
        <v>693977</v>
      </c>
    </row>
    <row r="1842" hidden="1">
      <c r="A1842" s="3" t="str">
        <f t="shared" si="3"/>
        <v/>
      </c>
      <c r="B1842" s="2" t="str">
        <f t="array" ref="B1842">INDEX(helper!$A$3:$A3996,ROUNDUP((ROW()-1)/COUNTA(helper!$D$3:$D3996),0))</f>
        <v/>
      </c>
      <c r="C1842" s="5" t="str">
        <f t="array" ref="C1842">IF(B1842="","",INDEX(helper!$D$3:$D3996,MOD(ROW()-2,COUNTA(helper!$D$3:$D3996))+1))</f>
        <v/>
      </c>
      <c r="D1842" s="3" t="str">
        <f t="array" ref="D1842">IF(B1842="","",INDEX(helper!$E$3:$E3996,MOD(ROW()-2,COUNTA(helper!$D$3:$D3996))+1))</f>
        <v/>
      </c>
      <c r="E1842" s="3" t="str">
        <f t="array" ref="E1842">IF(B1842="","",INDEX(helper!$F$3:$F3996,MOD(ROW()-2,COUNTA(helper!$D$3:$D3996))+1))</f>
        <v/>
      </c>
      <c r="F1842" s="3" t="str">
        <f>IF(B1842="","",SUMIFS('inventory ledger'!$H:$H,'inventory ledger'!$C:$C,C1842,'inventory ledger'!$D:$D,D1842,'inventory ledger'!$E:$E,E1842,'inventory ledger'!$A:$A,"&lt;="&amp;B1842+TIME(23,59,59))-SUMIFS('inventory ledger'!$I:$I,'inventory ledger'!$C:$C,C1842,'inventory ledger'!$D:$D,D1842,'inventory ledger'!$E:$E,E1842,'inventory ledger'!$A:$A,"&lt;="&amp;B1842+TIME(23,59,59)))</f>
        <v/>
      </c>
      <c r="G1842" s="3">
        <f>IFERROR(__xludf.DUMMYFUNCTION("IF(F1842&lt;=0,0,IFERROR(ROUNDUP(F1842/INDEX(FILTER('warehouse config'!$D:$D,('warehouse config'!$B:$B=C1842)*('warehouse config'!$C:$C=D1842)*('warehouse config'!$G:$G&lt;=B1842)*(('warehouse config'!$H:$H&gt;=B1842)+ISBLANK('warehouse config'!$H:$H))),1)),0))"),0.0)</f>
        <v>0</v>
      </c>
      <c r="H1842" s="3">
        <f>IFERROR(__xludf.DUMMYFUNCTION("IFERROR(INDEX(FILTER('cost master'!$E:$E,('cost master'!$B:$B=C1842)*('cost master'!$D:$D=""Storage cost per pallet / week"")*('cost master'!$G:$G&lt;=B1842)*(('cost master'!$H:$H&gt;=B1842)+ISBLANK('cost master'!$H:$H))),1),0)"),0.0)</f>
        <v>0</v>
      </c>
      <c r="I1842" s="3">
        <f t="shared" si="4"/>
        <v>0</v>
      </c>
      <c r="J1842" s="27">
        <f t="shared" si="5"/>
        <v>693947</v>
      </c>
      <c r="K1842" s="27">
        <f t="shared" si="6"/>
        <v>693977</v>
      </c>
    </row>
    <row r="1843" hidden="1">
      <c r="A1843" s="3" t="str">
        <f t="shared" si="3"/>
        <v/>
      </c>
      <c r="B1843" s="2" t="str">
        <f t="array" ref="B1843">INDEX(helper!$A$3:$A3996,ROUNDUP((ROW()-1)/COUNTA(helper!$D$3:$D3996),0))</f>
        <v/>
      </c>
      <c r="C1843" s="5" t="str">
        <f t="array" ref="C1843">IF(B1843="","",INDEX(helper!$D$3:$D3996,MOD(ROW()-2,COUNTA(helper!$D$3:$D3996))+1))</f>
        <v/>
      </c>
      <c r="D1843" s="3" t="str">
        <f t="array" ref="D1843">IF(B1843="","",INDEX(helper!$E$3:$E3996,MOD(ROW()-2,COUNTA(helper!$D$3:$D3996))+1))</f>
        <v/>
      </c>
      <c r="E1843" s="3" t="str">
        <f t="array" ref="E1843">IF(B1843="","",INDEX(helper!$F$3:$F3996,MOD(ROW()-2,COUNTA(helper!$D$3:$D3996))+1))</f>
        <v/>
      </c>
      <c r="F1843" s="3" t="str">
        <f>IF(B1843="","",SUMIFS('inventory ledger'!$H:$H,'inventory ledger'!$C:$C,C1843,'inventory ledger'!$D:$D,D1843,'inventory ledger'!$E:$E,E1843,'inventory ledger'!$A:$A,"&lt;="&amp;B1843+TIME(23,59,59))-SUMIFS('inventory ledger'!$I:$I,'inventory ledger'!$C:$C,C1843,'inventory ledger'!$D:$D,D1843,'inventory ledger'!$E:$E,E1843,'inventory ledger'!$A:$A,"&lt;="&amp;B1843+TIME(23,59,59)))</f>
        <v/>
      </c>
      <c r="G1843" s="3">
        <f>IFERROR(__xludf.DUMMYFUNCTION("IF(F1843&lt;=0,0,IFERROR(ROUNDUP(F1843/INDEX(FILTER('warehouse config'!$D:$D,('warehouse config'!$B:$B=C1843)*('warehouse config'!$C:$C=D1843)*('warehouse config'!$G:$G&lt;=B1843)*(('warehouse config'!$H:$H&gt;=B1843)+ISBLANK('warehouse config'!$H:$H))),1)),0))"),0.0)</f>
        <v>0</v>
      </c>
      <c r="H1843" s="3">
        <f>IFERROR(__xludf.DUMMYFUNCTION("IFERROR(INDEX(FILTER('cost master'!$E:$E,('cost master'!$B:$B=C1843)*('cost master'!$D:$D=""Storage cost per pallet / week"")*('cost master'!$G:$G&lt;=B1843)*(('cost master'!$H:$H&gt;=B1843)+ISBLANK('cost master'!$H:$H))),1),0)"),0.0)</f>
        <v>0</v>
      </c>
      <c r="I1843" s="3">
        <f t="shared" si="4"/>
        <v>0</v>
      </c>
      <c r="J1843" s="27">
        <f t="shared" si="5"/>
        <v>693947</v>
      </c>
      <c r="K1843" s="27">
        <f t="shared" si="6"/>
        <v>693977</v>
      </c>
    </row>
    <row r="1844" hidden="1">
      <c r="A1844" s="3" t="str">
        <f t="shared" si="3"/>
        <v/>
      </c>
      <c r="B1844" s="2" t="str">
        <f t="array" ref="B1844">INDEX(helper!$A$3:$A3996,ROUNDUP((ROW()-1)/COUNTA(helper!$D$3:$D3996),0))</f>
        <v/>
      </c>
      <c r="C1844" s="5" t="str">
        <f t="array" ref="C1844">IF(B1844="","",INDEX(helper!$D$3:$D3996,MOD(ROW()-2,COUNTA(helper!$D$3:$D3996))+1))</f>
        <v/>
      </c>
      <c r="D1844" s="3" t="str">
        <f t="array" ref="D1844">IF(B1844="","",INDEX(helper!$E$3:$E3996,MOD(ROW()-2,COUNTA(helper!$D$3:$D3996))+1))</f>
        <v/>
      </c>
      <c r="E1844" s="3" t="str">
        <f t="array" ref="E1844">IF(B1844="","",INDEX(helper!$F$3:$F3996,MOD(ROW()-2,COUNTA(helper!$D$3:$D3996))+1))</f>
        <v/>
      </c>
      <c r="F1844" s="3" t="str">
        <f>IF(B1844="","",SUMIFS('inventory ledger'!$H:$H,'inventory ledger'!$C:$C,C1844,'inventory ledger'!$D:$D,D1844,'inventory ledger'!$E:$E,E1844,'inventory ledger'!$A:$A,"&lt;="&amp;B1844+TIME(23,59,59))-SUMIFS('inventory ledger'!$I:$I,'inventory ledger'!$C:$C,C1844,'inventory ledger'!$D:$D,D1844,'inventory ledger'!$E:$E,E1844,'inventory ledger'!$A:$A,"&lt;="&amp;B1844+TIME(23,59,59)))</f>
        <v/>
      </c>
      <c r="G1844" s="3">
        <f>IFERROR(__xludf.DUMMYFUNCTION("IF(F1844&lt;=0,0,IFERROR(ROUNDUP(F1844/INDEX(FILTER('warehouse config'!$D:$D,('warehouse config'!$B:$B=C1844)*('warehouse config'!$C:$C=D1844)*('warehouse config'!$G:$G&lt;=B1844)*(('warehouse config'!$H:$H&gt;=B1844)+ISBLANK('warehouse config'!$H:$H))),1)),0))"),0.0)</f>
        <v>0</v>
      </c>
      <c r="H1844" s="3">
        <f>IFERROR(__xludf.DUMMYFUNCTION("IFERROR(INDEX(FILTER('cost master'!$E:$E,('cost master'!$B:$B=C1844)*('cost master'!$D:$D=""Storage cost per pallet / week"")*('cost master'!$G:$G&lt;=B1844)*(('cost master'!$H:$H&gt;=B1844)+ISBLANK('cost master'!$H:$H))),1),0)"),0.0)</f>
        <v>0</v>
      </c>
      <c r="I1844" s="3">
        <f t="shared" si="4"/>
        <v>0</v>
      </c>
      <c r="J1844" s="27">
        <f t="shared" si="5"/>
        <v>693947</v>
      </c>
      <c r="K1844" s="27">
        <f t="shared" si="6"/>
        <v>693977</v>
      </c>
    </row>
    <row r="1845" hidden="1">
      <c r="A1845" s="3" t="str">
        <f t="shared" si="3"/>
        <v/>
      </c>
      <c r="B1845" s="2" t="str">
        <f t="array" ref="B1845">INDEX(helper!$A$3:$A3996,ROUNDUP((ROW()-1)/COUNTA(helper!$D$3:$D3996),0))</f>
        <v/>
      </c>
      <c r="C1845" s="5" t="str">
        <f t="array" ref="C1845">IF(B1845="","",INDEX(helper!$D$3:$D3996,MOD(ROW()-2,COUNTA(helper!$D$3:$D3996))+1))</f>
        <v/>
      </c>
      <c r="D1845" s="3" t="str">
        <f t="array" ref="D1845">IF(B1845="","",INDEX(helper!$E$3:$E3996,MOD(ROW()-2,COUNTA(helper!$D$3:$D3996))+1))</f>
        <v/>
      </c>
      <c r="E1845" s="3" t="str">
        <f t="array" ref="E1845">IF(B1845="","",INDEX(helper!$F$3:$F3996,MOD(ROW()-2,COUNTA(helper!$D$3:$D3996))+1))</f>
        <v/>
      </c>
      <c r="F1845" s="3" t="str">
        <f>IF(B1845="","",SUMIFS('inventory ledger'!$H:$H,'inventory ledger'!$C:$C,C1845,'inventory ledger'!$D:$D,D1845,'inventory ledger'!$E:$E,E1845,'inventory ledger'!$A:$A,"&lt;="&amp;B1845+TIME(23,59,59))-SUMIFS('inventory ledger'!$I:$I,'inventory ledger'!$C:$C,C1845,'inventory ledger'!$D:$D,D1845,'inventory ledger'!$E:$E,E1845,'inventory ledger'!$A:$A,"&lt;="&amp;B1845+TIME(23,59,59)))</f>
        <v/>
      </c>
      <c r="G1845" s="3">
        <f>IFERROR(__xludf.DUMMYFUNCTION("IF(F1845&lt;=0,0,IFERROR(ROUNDUP(F1845/INDEX(FILTER('warehouse config'!$D:$D,('warehouse config'!$B:$B=C1845)*('warehouse config'!$C:$C=D1845)*('warehouse config'!$G:$G&lt;=B1845)*(('warehouse config'!$H:$H&gt;=B1845)+ISBLANK('warehouse config'!$H:$H))),1)),0))"),0.0)</f>
        <v>0</v>
      </c>
      <c r="H1845" s="3">
        <f>IFERROR(__xludf.DUMMYFUNCTION("IFERROR(INDEX(FILTER('cost master'!$E:$E,('cost master'!$B:$B=C1845)*('cost master'!$D:$D=""Storage cost per pallet / week"")*('cost master'!$G:$G&lt;=B1845)*(('cost master'!$H:$H&gt;=B1845)+ISBLANK('cost master'!$H:$H))),1),0)"),0.0)</f>
        <v>0</v>
      </c>
      <c r="I1845" s="3">
        <f t="shared" si="4"/>
        <v>0</v>
      </c>
      <c r="J1845" s="27">
        <f t="shared" si="5"/>
        <v>693947</v>
      </c>
      <c r="K1845" s="27">
        <f t="shared" si="6"/>
        <v>693977</v>
      </c>
    </row>
    <row r="1846" hidden="1">
      <c r="A1846" s="3" t="str">
        <f t="shared" si="3"/>
        <v/>
      </c>
      <c r="B1846" s="2" t="str">
        <f t="array" ref="B1846">INDEX(helper!$A$3:$A3996,ROUNDUP((ROW()-1)/COUNTA(helper!$D$3:$D3996),0))</f>
        <v/>
      </c>
      <c r="C1846" s="5" t="str">
        <f t="array" ref="C1846">IF(B1846="","",INDEX(helper!$D$3:$D3996,MOD(ROW()-2,COUNTA(helper!$D$3:$D3996))+1))</f>
        <v/>
      </c>
      <c r="D1846" s="3" t="str">
        <f t="array" ref="D1846">IF(B1846="","",INDEX(helper!$E$3:$E3996,MOD(ROW()-2,COUNTA(helper!$D$3:$D3996))+1))</f>
        <v/>
      </c>
      <c r="E1846" s="3" t="str">
        <f t="array" ref="E1846">IF(B1846="","",INDEX(helper!$F$3:$F3996,MOD(ROW()-2,COUNTA(helper!$D$3:$D3996))+1))</f>
        <v/>
      </c>
      <c r="F1846" s="3" t="str">
        <f>IF(B1846="","",SUMIFS('inventory ledger'!$H:$H,'inventory ledger'!$C:$C,C1846,'inventory ledger'!$D:$D,D1846,'inventory ledger'!$E:$E,E1846,'inventory ledger'!$A:$A,"&lt;="&amp;B1846+TIME(23,59,59))-SUMIFS('inventory ledger'!$I:$I,'inventory ledger'!$C:$C,C1846,'inventory ledger'!$D:$D,D1846,'inventory ledger'!$E:$E,E1846,'inventory ledger'!$A:$A,"&lt;="&amp;B1846+TIME(23,59,59)))</f>
        <v/>
      </c>
      <c r="G1846" s="3">
        <f>IFERROR(__xludf.DUMMYFUNCTION("IF(F1846&lt;=0,0,IFERROR(ROUNDUP(F1846/INDEX(FILTER('warehouse config'!$D:$D,('warehouse config'!$B:$B=C1846)*('warehouse config'!$C:$C=D1846)*('warehouse config'!$G:$G&lt;=B1846)*(('warehouse config'!$H:$H&gt;=B1846)+ISBLANK('warehouse config'!$H:$H))),1)),0))"),0.0)</f>
        <v>0</v>
      </c>
      <c r="H1846" s="3">
        <f>IFERROR(__xludf.DUMMYFUNCTION("IFERROR(INDEX(FILTER('cost master'!$E:$E,('cost master'!$B:$B=C1846)*('cost master'!$D:$D=""Storage cost per pallet / week"")*('cost master'!$G:$G&lt;=B1846)*(('cost master'!$H:$H&gt;=B1846)+ISBLANK('cost master'!$H:$H))),1),0)"),0.0)</f>
        <v>0</v>
      </c>
      <c r="I1846" s="3">
        <f t="shared" si="4"/>
        <v>0</v>
      </c>
      <c r="J1846" s="27">
        <f t="shared" si="5"/>
        <v>693947</v>
      </c>
      <c r="K1846" s="27">
        <f t="shared" si="6"/>
        <v>693977</v>
      </c>
    </row>
    <row r="1847" hidden="1">
      <c r="A1847" s="3" t="str">
        <f t="shared" si="3"/>
        <v/>
      </c>
      <c r="B1847" s="2" t="str">
        <f t="array" ref="B1847">INDEX(helper!$A$3:$A3996,ROUNDUP((ROW()-1)/COUNTA(helper!$D$3:$D3996),0))</f>
        <v/>
      </c>
      <c r="C1847" s="5" t="str">
        <f t="array" ref="C1847">IF(B1847="","",INDEX(helper!$D$3:$D3996,MOD(ROW()-2,COUNTA(helper!$D$3:$D3996))+1))</f>
        <v/>
      </c>
      <c r="D1847" s="3" t="str">
        <f t="array" ref="D1847">IF(B1847="","",INDEX(helper!$E$3:$E3996,MOD(ROW()-2,COUNTA(helper!$D$3:$D3996))+1))</f>
        <v/>
      </c>
      <c r="E1847" s="3" t="str">
        <f t="array" ref="E1847">IF(B1847="","",INDEX(helper!$F$3:$F3996,MOD(ROW()-2,COUNTA(helper!$D$3:$D3996))+1))</f>
        <v/>
      </c>
      <c r="F1847" s="3" t="str">
        <f>IF(B1847="","",SUMIFS('inventory ledger'!$H:$H,'inventory ledger'!$C:$C,C1847,'inventory ledger'!$D:$D,D1847,'inventory ledger'!$E:$E,E1847,'inventory ledger'!$A:$A,"&lt;="&amp;B1847+TIME(23,59,59))-SUMIFS('inventory ledger'!$I:$I,'inventory ledger'!$C:$C,C1847,'inventory ledger'!$D:$D,D1847,'inventory ledger'!$E:$E,E1847,'inventory ledger'!$A:$A,"&lt;="&amp;B1847+TIME(23,59,59)))</f>
        <v/>
      </c>
      <c r="G1847" s="3">
        <f>IFERROR(__xludf.DUMMYFUNCTION("IF(F1847&lt;=0,0,IFERROR(ROUNDUP(F1847/INDEX(FILTER('warehouse config'!$D:$D,('warehouse config'!$B:$B=C1847)*('warehouse config'!$C:$C=D1847)*('warehouse config'!$G:$G&lt;=B1847)*(('warehouse config'!$H:$H&gt;=B1847)+ISBLANK('warehouse config'!$H:$H))),1)),0))"),0.0)</f>
        <v>0</v>
      </c>
      <c r="H1847" s="3">
        <f>IFERROR(__xludf.DUMMYFUNCTION("IFERROR(INDEX(FILTER('cost master'!$E:$E,('cost master'!$B:$B=C1847)*('cost master'!$D:$D=""Storage cost per pallet / week"")*('cost master'!$G:$G&lt;=B1847)*(('cost master'!$H:$H&gt;=B1847)+ISBLANK('cost master'!$H:$H))),1),0)"),0.0)</f>
        <v>0</v>
      </c>
      <c r="I1847" s="3">
        <f t="shared" si="4"/>
        <v>0</v>
      </c>
      <c r="J1847" s="27">
        <f t="shared" si="5"/>
        <v>693947</v>
      </c>
      <c r="K1847" s="27">
        <f t="shared" si="6"/>
        <v>693977</v>
      </c>
    </row>
    <row r="1848" hidden="1">
      <c r="A1848" s="3" t="str">
        <f t="shared" si="3"/>
        <v/>
      </c>
      <c r="B1848" s="2" t="str">
        <f t="array" ref="B1848">INDEX(helper!$A$3:$A3996,ROUNDUP((ROW()-1)/COUNTA(helper!$D$3:$D3996),0))</f>
        <v/>
      </c>
      <c r="C1848" s="5" t="str">
        <f t="array" ref="C1848">IF(B1848="","",INDEX(helper!$D$3:$D3996,MOD(ROW()-2,COUNTA(helper!$D$3:$D3996))+1))</f>
        <v/>
      </c>
      <c r="D1848" s="3" t="str">
        <f t="array" ref="D1848">IF(B1848="","",INDEX(helper!$E$3:$E3996,MOD(ROW()-2,COUNTA(helper!$D$3:$D3996))+1))</f>
        <v/>
      </c>
      <c r="E1848" s="3" t="str">
        <f t="array" ref="E1848">IF(B1848="","",INDEX(helper!$F$3:$F3996,MOD(ROW()-2,COUNTA(helper!$D$3:$D3996))+1))</f>
        <v/>
      </c>
      <c r="F1848" s="3" t="str">
        <f>IF(B1848="","",SUMIFS('inventory ledger'!$H:$H,'inventory ledger'!$C:$C,C1848,'inventory ledger'!$D:$D,D1848,'inventory ledger'!$E:$E,E1848,'inventory ledger'!$A:$A,"&lt;="&amp;B1848+TIME(23,59,59))-SUMIFS('inventory ledger'!$I:$I,'inventory ledger'!$C:$C,C1848,'inventory ledger'!$D:$D,D1848,'inventory ledger'!$E:$E,E1848,'inventory ledger'!$A:$A,"&lt;="&amp;B1848+TIME(23,59,59)))</f>
        <v/>
      </c>
      <c r="G1848" s="3">
        <f>IFERROR(__xludf.DUMMYFUNCTION("IF(F1848&lt;=0,0,IFERROR(ROUNDUP(F1848/INDEX(FILTER('warehouse config'!$D:$D,('warehouse config'!$B:$B=C1848)*('warehouse config'!$C:$C=D1848)*('warehouse config'!$G:$G&lt;=B1848)*(('warehouse config'!$H:$H&gt;=B1848)+ISBLANK('warehouse config'!$H:$H))),1)),0))"),0.0)</f>
        <v>0</v>
      </c>
      <c r="H1848" s="3">
        <f>IFERROR(__xludf.DUMMYFUNCTION("IFERROR(INDEX(FILTER('cost master'!$E:$E,('cost master'!$B:$B=C1848)*('cost master'!$D:$D=""Storage cost per pallet / week"")*('cost master'!$G:$G&lt;=B1848)*(('cost master'!$H:$H&gt;=B1848)+ISBLANK('cost master'!$H:$H))),1),0)"),0.0)</f>
        <v>0</v>
      </c>
      <c r="I1848" s="3">
        <f t="shared" si="4"/>
        <v>0</v>
      </c>
      <c r="J1848" s="27">
        <f t="shared" si="5"/>
        <v>693947</v>
      </c>
      <c r="K1848" s="27">
        <f t="shared" si="6"/>
        <v>693977</v>
      </c>
    </row>
    <row r="1849" hidden="1">
      <c r="A1849" s="3" t="str">
        <f t="shared" si="3"/>
        <v/>
      </c>
      <c r="B1849" s="2" t="str">
        <f t="array" ref="B1849">INDEX(helper!$A$3:$A3996,ROUNDUP((ROW()-1)/COUNTA(helper!$D$3:$D3996),0))</f>
        <v/>
      </c>
      <c r="C1849" s="5" t="str">
        <f t="array" ref="C1849">IF(B1849="","",INDEX(helper!$D$3:$D3996,MOD(ROW()-2,COUNTA(helper!$D$3:$D3996))+1))</f>
        <v/>
      </c>
      <c r="D1849" s="3" t="str">
        <f t="array" ref="D1849">IF(B1849="","",INDEX(helper!$E$3:$E3996,MOD(ROW()-2,COUNTA(helper!$D$3:$D3996))+1))</f>
        <v/>
      </c>
      <c r="E1849" s="3" t="str">
        <f t="array" ref="E1849">IF(B1849="","",INDEX(helper!$F$3:$F3996,MOD(ROW()-2,COUNTA(helper!$D$3:$D3996))+1))</f>
        <v/>
      </c>
      <c r="F1849" s="3" t="str">
        <f>IF(B1849="","",SUMIFS('inventory ledger'!$H:$H,'inventory ledger'!$C:$C,C1849,'inventory ledger'!$D:$D,D1849,'inventory ledger'!$E:$E,E1849,'inventory ledger'!$A:$A,"&lt;="&amp;B1849+TIME(23,59,59))-SUMIFS('inventory ledger'!$I:$I,'inventory ledger'!$C:$C,C1849,'inventory ledger'!$D:$D,D1849,'inventory ledger'!$E:$E,E1849,'inventory ledger'!$A:$A,"&lt;="&amp;B1849+TIME(23,59,59)))</f>
        <v/>
      </c>
      <c r="G1849" s="3">
        <f>IFERROR(__xludf.DUMMYFUNCTION("IF(F1849&lt;=0,0,IFERROR(ROUNDUP(F1849/INDEX(FILTER('warehouse config'!$D:$D,('warehouse config'!$B:$B=C1849)*('warehouse config'!$C:$C=D1849)*('warehouse config'!$G:$G&lt;=B1849)*(('warehouse config'!$H:$H&gt;=B1849)+ISBLANK('warehouse config'!$H:$H))),1)),0))"),0.0)</f>
        <v>0</v>
      </c>
      <c r="H1849" s="3">
        <f>IFERROR(__xludf.DUMMYFUNCTION("IFERROR(INDEX(FILTER('cost master'!$E:$E,('cost master'!$B:$B=C1849)*('cost master'!$D:$D=""Storage cost per pallet / week"")*('cost master'!$G:$G&lt;=B1849)*(('cost master'!$H:$H&gt;=B1849)+ISBLANK('cost master'!$H:$H))),1),0)"),0.0)</f>
        <v>0</v>
      </c>
      <c r="I1849" s="3">
        <f t="shared" si="4"/>
        <v>0</v>
      </c>
      <c r="J1849" s="27">
        <f t="shared" si="5"/>
        <v>693947</v>
      </c>
      <c r="K1849" s="27">
        <f t="shared" si="6"/>
        <v>693977</v>
      </c>
    </row>
    <row r="1850" hidden="1">
      <c r="A1850" s="3" t="str">
        <f t="shared" si="3"/>
        <v/>
      </c>
      <c r="B1850" s="2" t="str">
        <f t="array" ref="B1850">INDEX(helper!$A$3:$A3996,ROUNDUP((ROW()-1)/COUNTA(helper!$D$3:$D3996),0))</f>
        <v/>
      </c>
      <c r="C1850" s="5" t="str">
        <f t="array" ref="C1850">IF(B1850="","",INDEX(helper!$D$3:$D3996,MOD(ROW()-2,COUNTA(helper!$D$3:$D3996))+1))</f>
        <v/>
      </c>
      <c r="D1850" s="3" t="str">
        <f t="array" ref="D1850">IF(B1850="","",INDEX(helper!$E$3:$E3996,MOD(ROW()-2,COUNTA(helper!$D$3:$D3996))+1))</f>
        <v/>
      </c>
      <c r="E1850" s="3" t="str">
        <f t="array" ref="E1850">IF(B1850="","",INDEX(helper!$F$3:$F3996,MOD(ROW()-2,COUNTA(helper!$D$3:$D3996))+1))</f>
        <v/>
      </c>
      <c r="F1850" s="3" t="str">
        <f>IF(B1850="","",SUMIFS('inventory ledger'!$H:$H,'inventory ledger'!$C:$C,C1850,'inventory ledger'!$D:$D,D1850,'inventory ledger'!$E:$E,E1850,'inventory ledger'!$A:$A,"&lt;="&amp;B1850+TIME(23,59,59))-SUMIFS('inventory ledger'!$I:$I,'inventory ledger'!$C:$C,C1850,'inventory ledger'!$D:$D,D1850,'inventory ledger'!$E:$E,E1850,'inventory ledger'!$A:$A,"&lt;="&amp;B1850+TIME(23,59,59)))</f>
        <v/>
      </c>
      <c r="G1850" s="3">
        <f>IFERROR(__xludf.DUMMYFUNCTION("IF(F1850&lt;=0,0,IFERROR(ROUNDUP(F1850/INDEX(FILTER('warehouse config'!$D:$D,('warehouse config'!$B:$B=C1850)*('warehouse config'!$C:$C=D1850)*('warehouse config'!$G:$G&lt;=B1850)*(('warehouse config'!$H:$H&gt;=B1850)+ISBLANK('warehouse config'!$H:$H))),1)),0))"),0.0)</f>
        <v>0</v>
      </c>
      <c r="H1850" s="3">
        <f>IFERROR(__xludf.DUMMYFUNCTION("IFERROR(INDEX(FILTER('cost master'!$E:$E,('cost master'!$B:$B=C1850)*('cost master'!$D:$D=""Storage cost per pallet / week"")*('cost master'!$G:$G&lt;=B1850)*(('cost master'!$H:$H&gt;=B1850)+ISBLANK('cost master'!$H:$H))),1),0)"),0.0)</f>
        <v>0</v>
      </c>
      <c r="I1850" s="3">
        <f t="shared" si="4"/>
        <v>0</v>
      </c>
      <c r="J1850" s="27">
        <f t="shared" si="5"/>
        <v>693947</v>
      </c>
      <c r="K1850" s="27">
        <f t="shared" si="6"/>
        <v>693977</v>
      </c>
    </row>
    <row r="1851" hidden="1">
      <c r="A1851" s="3" t="str">
        <f t="shared" si="3"/>
        <v/>
      </c>
      <c r="B1851" s="2" t="str">
        <f t="array" ref="B1851">INDEX(helper!$A$3:$A3996,ROUNDUP((ROW()-1)/COUNTA(helper!$D$3:$D3996),0))</f>
        <v/>
      </c>
      <c r="C1851" s="5" t="str">
        <f t="array" ref="C1851">IF(B1851="","",INDEX(helper!$D$3:$D3996,MOD(ROW()-2,COUNTA(helper!$D$3:$D3996))+1))</f>
        <v/>
      </c>
      <c r="D1851" s="3" t="str">
        <f t="array" ref="D1851">IF(B1851="","",INDEX(helper!$E$3:$E3996,MOD(ROW()-2,COUNTA(helper!$D$3:$D3996))+1))</f>
        <v/>
      </c>
      <c r="E1851" s="3" t="str">
        <f t="array" ref="E1851">IF(B1851="","",INDEX(helper!$F$3:$F3996,MOD(ROW()-2,COUNTA(helper!$D$3:$D3996))+1))</f>
        <v/>
      </c>
      <c r="F1851" s="3" t="str">
        <f>IF(B1851="","",SUMIFS('inventory ledger'!$H:$H,'inventory ledger'!$C:$C,C1851,'inventory ledger'!$D:$D,D1851,'inventory ledger'!$E:$E,E1851,'inventory ledger'!$A:$A,"&lt;="&amp;B1851+TIME(23,59,59))-SUMIFS('inventory ledger'!$I:$I,'inventory ledger'!$C:$C,C1851,'inventory ledger'!$D:$D,D1851,'inventory ledger'!$E:$E,E1851,'inventory ledger'!$A:$A,"&lt;="&amp;B1851+TIME(23,59,59)))</f>
        <v/>
      </c>
      <c r="G1851" s="3">
        <f>IFERROR(__xludf.DUMMYFUNCTION("IF(F1851&lt;=0,0,IFERROR(ROUNDUP(F1851/INDEX(FILTER('warehouse config'!$D:$D,('warehouse config'!$B:$B=C1851)*('warehouse config'!$C:$C=D1851)*('warehouse config'!$G:$G&lt;=B1851)*(('warehouse config'!$H:$H&gt;=B1851)+ISBLANK('warehouse config'!$H:$H))),1)),0))"),0.0)</f>
        <v>0</v>
      </c>
      <c r="H1851" s="3">
        <f>IFERROR(__xludf.DUMMYFUNCTION("IFERROR(INDEX(FILTER('cost master'!$E:$E,('cost master'!$B:$B=C1851)*('cost master'!$D:$D=""Storage cost per pallet / week"")*('cost master'!$G:$G&lt;=B1851)*(('cost master'!$H:$H&gt;=B1851)+ISBLANK('cost master'!$H:$H))),1),0)"),0.0)</f>
        <v>0</v>
      </c>
      <c r="I1851" s="3">
        <f t="shared" si="4"/>
        <v>0</v>
      </c>
      <c r="J1851" s="27">
        <f t="shared" si="5"/>
        <v>693947</v>
      </c>
      <c r="K1851" s="27">
        <f t="shared" si="6"/>
        <v>693977</v>
      </c>
    </row>
    <row r="1852" hidden="1">
      <c r="A1852" s="3" t="str">
        <f t="shared" si="3"/>
        <v/>
      </c>
      <c r="B1852" s="2" t="str">
        <f t="array" ref="B1852">INDEX(helper!$A$3:$A3996,ROUNDUP((ROW()-1)/COUNTA(helper!$D$3:$D3996),0))</f>
        <v/>
      </c>
      <c r="C1852" s="5" t="str">
        <f t="array" ref="C1852">IF(B1852="","",INDEX(helper!$D$3:$D3996,MOD(ROW()-2,COUNTA(helper!$D$3:$D3996))+1))</f>
        <v/>
      </c>
      <c r="D1852" s="3" t="str">
        <f t="array" ref="D1852">IF(B1852="","",INDEX(helper!$E$3:$E3996,MOD(ROW()-2,COUNTA(helper!$D$3:$D3996))+1))</f>
        <v/>
      </c>
      <c r="E1852" s="3" t="str">
        <f t="array" ref="E1852">IF(B1852="","",INDEX(helper!$F$3:$F3996,MOD(ROW()-2,COUNTA(helper!$D$3:$D3996))+1))</f>
        <v/>
      </c>
      <c r="F1852" s="3" t="str">
        <f>IF(B1852="","",SUMIFS('inventory ledger'!$H:$H,'inventory ledger'!$C:$C,C1852,'inventory ledger'!$D:$D,D1852,'inventory ledger'!$E:$E,E1852,'inventory ledger'!$A:$A,"&lt;="&amp;B1852+TIME(23,59,59))-SUMIFS('inventory ledger'!$I:$I,'inventory ledger'!$C:$C,C1852,'inventory ledger'!$D:$D,D1852,'inventory ledger'!$E:$E,E1852,'inventory ledger'!$A:$A,"&lt;="&amp;B1852+TIME(23,59,59)))</f>
        <v/>
      </c>
      <c r="G1852" s="3">
        <f>IFERROR(__xludf.DUMMYFUNCTION("IF(F1852&lt;=0,0,IFERROR(ROUNDUP(F1852/INDEX(FILTER('warehouse config'!$D:$D,('warehouse config'!$B:$B=C1852)*('warehouse config'!$C:$C=D1852)*('warehouse config'!$G:$G&lt;=B1852)*(('warehouse config'!$H:$H&gt;=B1852)+ISBLANK('warehouse config'!$H:$H))),1)),0))"),0.0)</f>
        <v>0</v>
      </c>
      <c r="H1852" s="3">
        <f>IFERROR(__xludf.DUMMYFUNCTION("IFERROR(INDEX(FILTER('cost master'!$E:$E,('cost master'!$B:$B=C1852)*('cost master'!$D:$D=""Storage cost per pallet / week"")*('cost master'!$G:$G&lt;=B1852)*(('cost master'!$H:$H&gt;=B1852)+ISBLANK('cost master'!$H:$H))),1),0)"),0.0)</f>
        <v>0</v>
      </c>
      <c r="I1852" s="3">
        <f t="shared" si="4"/>
        <v>0</v>
      </c>
      <c r="J1852" s="27">
        <f t="shared" si="5"/>
        <v>693947</v>
      </c>
      <c r="K1852" s="27">
        <f t="shared" si="6"/>
        <v>693977</v>
      </c>
    </row>
    <row r="1853" hidden="1">
      <c r="A1853" s="3" t="str">
        <f t="shared" si="3"/>
        <v/>
      </c>
      <c r="B1853" s="2" t="str">
        <f t="array" ref="B1853">INDEX(helper!$A$3:$A3996,ROUNDUP((ROW()-1)/COUNTA(helper!$D$3:$D3996),0))</f>
        <v/>
      </c>
      <c r="C1853" s="5" t="str">
        <f t="array" ref="C1853">IF(B1853="","",INDEX(helper!$D$3:$D3996,MOD(ROW()-2,COUNTA(helper!$D$3:$D3996))+1))</f>
        <v/>
      </c>
      <c r="D1853" s="3" t="str">
        <f t="array" ref="D1853">IF(B1853="","",INDEX(helper!$E$3:$E3996,MOD(ROW()-2,COUNTA(helper!$D$3:$D3996))+1))</f>
        <v/>
      </c>
      <c r="E1853" s="3" t="str">
        <f t="array" ref="E1853">IF(B1853="","",INDEX(helper!$F$3:$F3996,MOD(ROW()-2,COUNTA(helper!$D$3:$D3996))+1))</f>
        <v/>
      </c>
      <c r="F1853" s="3" t="str">
        <f>IF(B1853="","",SUMIFS('inventory ledger'!$H:$H,'inventory ledger'!$C:$C,C1853,'inventory ledger'!$D:$D,D1853,'inventory ledger'!$E:$E,E1853,'inventory ledger'!$A:$A,"&lt;="&amp;B1853+TIME(23,59,59))-SUMIFS('inventory ledger'!$I:$I,'inventory ledger'!$C:$C,C1853,'inventory ledger'!$D:$D,D1853,'inventory ledger'!$E:$E,E1853,'inventory ledger'!$A:$A,"&lt;="&amp;B1853+TIME(23,59,59)))</f>
        <v/>
      </c>
      <c r="G1853" s="3">
        <f>IFERROR(__xludf.DUMMYFUNCTION("IF(F1853&lt;=0,0,IFERROR(ROUNDUP(F1853/INDEX(FILTER('warehouse config'!$D:$D,('warehouse config'!$B:$B=C1853)*('warehouse config'!$C:$C=D1853)*('warehouse config'!$G:$G&lt;=B1853)*(('warehouse config'!$H:$H&gt;=B1853)+ISBLANK('warehouse config'!$H:$H))),1)),0))"),0.0)</f>
        <v>0</v>
      </c>
      <c r="H1853" s="3">
        <f>IFERROR(__xludf.DUMMYFUNCTION("IFERROR(INDEX(FILTER('cost master'!$E:$E,('cost master'!$B:$B=C1853)*('cost master'!$D:$D=""Storage cost per pallet / week"")*('cost master'!$G:$G&lt;=B1853)*(('cost master'!$H:$H&gt;=B1853)+ISBLANK('cost master'!$H:$H))),1),0)"),0.0)</f>
        <v>0</v>
      </c>
      <c r="I1853" s="3">
        <f t="shared" si="4"/>
        <v>0</v>
      </c>
      <c r="J1853" s="27">
        <f t="shared" si="5"/>
        <v>693947</v>
      </c>
      <c r="K1853" s="27">
        <f t="shared" si="6"/>
        <v>693977</v>
      </c>
    </row>
    <row r="1854" hidden="1">
      <c r="A1854" s="3" t="str">
        <f t="shared" si="3"/>
        <v/>
      </c>
      <c r="B1854" s="2" t="str">
        <f t="array" ref="B1854">INDEX(helper!$A$3:$A3996,ROUNDUP((ROW()-1)/COUNTA(helper!$D$3:$D3996),0))</f>
        <v/>
      </c>
      <c r="C1854" s="5" t="str">
        <f t="array" ref="C1854">IF(B1854="","",INDEX(helper!$D$3:$D3996,MOD(ROW()-2,COUNTA(helper!$D$3:$D3996))+1))</f>
        <v/>
      </c>
      <c r="D1854" s="3" t="str">
        <f t="array" ref="D1854">IF(B1854="","",INDEX(helper!$E$3:$E3996,MOD(ROW()-2,COUNTA(helper!$D$3:$D3996))+1))</f>
        <v/>
      </c>
      <c r="E1854" s="3" t="str">
        <f t="array" ref="E1854">IF(B1854="","",INDEX(helper!$F$3:$F3996,MOD(ROW()-2,COUNTA(helper!$D$3:$D3996))+1))</f>
        <v/>
      </c>
      <c r="F1854" s="3" t="str">
        <f>IF(B1854="","",SUMIFS('inventory ledger'!$H:$H,'inventory ledger'!$C:$C,C1854,'inventory ledger'!$D:$D,D1854,'inventory ledger'!$E:$E,E1854,'inventory ledger'!$A:$A,"&lt;="&amp;B1854+TIME(23,59,59))-SUMIFS('inventory ledger'!$I:$I,'inventory ledger'!$C:$C,C1854,'inventory ledger'!$D:$D,D1854,'inventory ledger'!$E:$E,E1854,'inventory ledger'!$A:$A,"&lt;="&amp;B1854+TIME(23,59,59)))</f>
        <v/>
      </c>
      <c r="G1854" s="3">
        <f>IFERROR(__xludf.DUMMYFUNCTION("IF(F1854&lt;=0,0,IFERROR(ROUNDUP(F1854/INDEX(FILTER('warehouse config'!$D:$D,('warehouse config'!$B:$B=C1854)*('warehouse config'!$C:$C=D1854)*('warehouse config'!$G:$G&lt;=B1854)*(('warehouse config'!$H:$H&gt;=B1854)+ISBLANK('warehouse config'!$H:$H))),1)),0))"),0.0)</f>
        <v>0</v>
      </c>
      <c r="H1854" s="3">
        <f>IFERROR(__xludf.DUMMYFUNCTION("IFERROR(INDEX(FILTER('cost master'!$E:$E,('cost master'!$B:$B=C1854)*('cost master'!$D:$D=""Storage cost per pallet / week"")*('cost master'!$G:$G&lt;=B1854)*(('cost master'!$H:$H&gt;=B1854)+ISBLANK('cost master'!$H:$H))),1),0)"),0.0)</f>
        <v>0</v>
      </c>
      <c r="I1854" s="3">
        <f t="shared" si="4"/>
        <v>0</v>
      </c>
      <c r="J1854" s="27">
        <f t="shared" si="5"/>
        <v>693947</v>
      </c>
      <c r="K1854" s="27">
        <f t="shared" si="6"/>
        <v>693977</v>
      </c>
    </row>
    <row r="1855" hidden="1">
      <c r="A1855" s="3" t="str">
        <f t="shared" si="3"/>
        <v/>
      </c>
      <c r="B1855" s="2" t="str">
        <f t="array" ref="B1855">INDEX(helper!$A$3:$A3996,ROUNDUP((ROW()-1)/COUNTA(helper!$D$3:$D3996),0))</f>
        <v/>
      </c>
      <c r="C1855" s="5" t="str">
        <f t="array" ref="C1855">IF(B1855="","",INDEX(helper!$D$3:$D3996,MOD(ROW()-2,COUNTA(helper!$D$3:$D3996))+1))</f>
        <v/>
      </c>
      <c r="D1855" s="3" t="str">
        <f t="array" ref="D1855">IF(B1855="","",INDEX(helper!$E$3:$E3996,MOD(ROW()-2,COUNTA(helper!$D$3:$D3996))+1))</f>
        <v/>
      </c>
      <c r="E1855" s="3" t="str">
        <f t="array" ref="E1855">IF(B1855="","",INDEX(helper!$F$3:$F3996,MOD(ROW()-2,COUNTA(helper!$D$3:$D3996))+1))</f>
        <v/>
      </c>
      <c r="F1855" s="3" t="str">
        <f>IF(B1855="","",SUMIFS('inventory ledger'!$H:$H,'inventory ledger'!$C:$C,C1855,'inventory ledger'!$D:$D,D1855,'inventory ledger'!$E:$E,E1855,'inventory ledger'!$A:$A,"&lt;="&amp;B1855+TIME(23,59,59))-SUMIFS('inventory ledger'!$I:$I,'inventory ledger'!$C:$C,C1855,'inventory ledger'!$D:$D,D1855,'inventory ledger'!$E:$E,E1855,'inventory ledger'!$A:$A,"&lt;="&amp;B1855+TIME(23,59,59)))</f>
        <v/>
      </c>
      <c r="G1855" s="3">
        <f>IFERROR(__xludf.DUMMYFUNCTION("IF(F1855&lt;=0,0,IFERROR(ROUNDUP(F1855/INDEX(FILTER('warehouse config'!$D:$D,('warehouse config'!$B:$B=C1855)*('warehouse config'!$C:$C=D1855)*('warehouse config'!$G:$G&lt;=B1855)*(('warehouse config'!$H:$H&gt;=B1855)+ISBLANK('warehouse config'!$H:$H))),1)),0))"),0.0)</f>
        <v>0</v>
      </c>
      <c r="H1855" s="3">
        <f>IFERROR(__xludf.DUMMYFUNCTION("IFERROR(INDEX(FILTER('cost master'!$E:$E,('cost master'!$B:$B=C1855)*('cost master'!$D:$D=""Storage cost per pallet / week"")*('cost master'!$G:$G&lt;=B1855)*(('cost master'!$H:$H&gt;=B1855)+ISBLANK('cost master'!$H:$H))),1),0)"),0.0)</f>
        <v>0</v>
      </c>
      <c r="I1855" s="3">
        <f t="shared" si="4"/>
        <v>0</v>
      </c>
      <c r="J1855" s="27">
        <f t="shared" si="5"/>
        <v>693947</v>
      </c>
      <c r="K1855" s="27">
        <f t="shared" si="6"/>
        <v>693977</v>
      </c>
    </row>
    <row r="1856" hidden="1">
      <c r="A1856" s="3" t="str">
        <f t="shared" si="3"/>
        <v/>
      </c>
      <c r="B1856" s="2" t="str">
        <f t="array" ref="B1856">INDEX(helper!$A$3:$A3996,ROUNDUP((ROW()-1)/COUNTA(helper!$D$3:$D3996),0))</f>
        <v/>
      </c>
      <c r="C1856" s="5" t="str">
        <f t="array" ref="C1856">IF(B1856="","",INDEX(helper!$D$3:$D3996,MOD(ROW()-2,COUNTA(helper!$D$3:$D3996))+1))</f>
        <v/>
      </c>
      <c r="D1856" s="3" t="str">
        <f t="array" ref="D1856">IF(B1856="","",INDEX(helper!$E$3:$E3996,MOD(ROW()-2,COUNTA(helper!$D$3:$D3996))+1))</f>
        <v/>
      </c>
      <c r="E1856" s="3" t="str">
        <f t="array" ref="E1856">IF(B1856="","",INDEX(helper!$F$3:$F3996,MOD(ROW()-2,COUNTA(helper!$D$3:$D3996))+1))</f>
        <v/>
      </c>
      <c r="F1856" s="3" t="str">
        <f>IF(B1856="","",SUMIFS('inventory ledger'!$H:$H,'inventory ledger'!$C:$C,C1856,'inventory ledger'!$D:$D,D1856,'inventory ledger'!$E:$E,E1856,'inventory ledger'!$A:$A,"&lt;="&amp;B1856+TIME(23,59,59))-SUMIFS('inventory ledger'!$I:$I,'inventory ledger'!$C:$C,C1856,'inventory ledger'!$D:$D,D1856,'inventory ledger'!$E:$E,E1856,'inventory ledger'!$A:$A,"&lt;="&amp;B1856+TIME(23,59,59)))</f>
        <v/>
      </c>
      <c r="G1856" s="3">
        <f>IFERROR(__xludf.DUMMYFUNCTION("IF(F1856&lt;=0,0,IFERROR(ROUNDUP(F1856/INDEX(FILTER('warehouse config'!$D:$D,('warehouse config'!$B:$B=C1856)*('warehouse config'!$C:$C=D1856)*('warehouse config'!$G:$G&lt;=B1856)*(('warehouse config'!$H:$H&gt;=B1856)+ISBLANK('warehouse config'!$H:$H))),1)),0))"),0.0)</f>
        <v>0</v>
      </c>
      <c r="H1856" s="3">
        <f>IFERROR(__xludf.DUMMYFUNCTION("IFERROR(INDEX(FILTER('cost master'!$E:$E,('cost master'!$B:$B=C1856)*('cost master'!$D:$D=""Storage cost per pallet / week"")*('cost master'!$G:$G&lt;=B1856)*(('cost master'!$H:$H&gt;=B1856)+ISBLANK('cost master'!$H:$H))),1),0)"),0.0)</f>
        <v>0</v>
      </c>
      <c r="I1856" s="3">
        <f t="shared" si="4"/>
        <v>0</v>
      </c>
      <c r="J1856" s="27">
        <f t="shared" si="5"/>
        <v>693947</v>
      </c>
      <c r="K1856" s="27">
        <f t="shared" si="6"/>
        <v>693977</v>
      </c>
    </row>
    <row r="1857" hidden="1">
      <c r="A1857" s="3" t="str">
        <f t="shared" si="3"/>
        <v/>
      </c>
      <c r="B1857" s="2" t="str">
        <f t="array" ref="B1857">INDEX(helper!$A$3:$A3996,ROUNDUP((ROW()-1)/COUNTA(helper!$D$3:$D3996),0))</f>
        <v/>
      </c>
      <c r="C1857" s="5" t="str">
        <f t="array" ref="C1857">IF(B1857="","",INDEX(helper!$D$3:$D3996,MOD(ROW()-2,COUNTA(helper!$D$3:$D3996))+1))</f>
        <v/>
      </c>
      <c r="D1857" s="3" t="str">
        <f t="array" ref="D1857">IF(B1857="","",INDEX(helper!$E$3:$E3996,MOD(ROW()-2,COUNTA(helper!$D$3:$D3996))+1))</f>
        <v/>
      </c>
      <c r="E1857" s="3" t="str">
        <f t="array" ref="E1857">IF(B1857="","",INDEX(helper!$F$3:$F3996,MOD(ROW()-2,COUNTA(helper!$D$3:$D3996))+1))</f>
        <v/>
      </c>
      <c r="F1857" s="3" t="str">
        <f>IF(B1857="","",SUMIFS('inventory ledger'!$H:$H,'inventory ledger'!$C:$C,C1857,'inventory ledger'!$D:$D,D1857,'inventory ledger'!$E:$E,E1857,'inventory ledger'!$A:$A,"&lt;="&amp;B1857+TIME(23,59,59))-SUMIFS('inventory ledger'!$I:$I,'inventory ledger'!$C:$C,C1857,'inventory ledger'!$D:$D,D1857,'inventory ledger'!$E:$E,E1857,'inventory ledger'!$A:$A,"&lt;="&amp;B1857+TIME(23,59,59)))</f>
        <v/>
      </c>
      <c r="G1857" s="3">
        <f>IFERROR(__xludf.DUMMYFUNCTION("IF(F1857&lt;=0,0,IFERROR(ROUNDUP(F1857/INDEX(FILTER('warehouse config'!$D:$D,('warehouse config'!$B:$B=C1857)*('warehouse config'!$C:$C=D1857)*('warehouse config'!$G:$G&lt;=B1857)*(('warehouse config'!$H:$H&gt;=B1857)+ISBLANK('warehouse config'!$H:$H))),1)),0))"),0.0)</f>
        <v>0</v>
      </c>
      <c r="H1857" s="3">
        <f>IFERROR(__xludf.DUMMYFUNCTION("IFERROR(INDEX(FILTER('cost master'!$E:$E,('cost master'!$B:$B=C1857)*('cost master'!$D:$D=""Storage cost per pallet / week"")*('cost master'!$G:$G&lt;=B1857)*(('cost master'!$H:$H&gt;=B1857)+ISBLANK('cost master'!$H:$H))),1),0)"),0.0)</f>
        <v>0</v>
      </c>
      <c r="I1857" s="3">
        <f t="shared" si="4"/>
        <v>0</v>
      </c>
      <c r="J1857" s="27">
        <f t="shared" si="5"/>
        <v>693947</v>
      </c>
      <c r="K1857" s="27">
        <f t="shared" si="6"/>
        <v>693977</v>
      </c>
    </row>
    <row r="1858" hidden="1">
      <c r="A1858" s="3" t="str">
        <f t="shared" si="3"/>
        <v/>
      </c>
      <c r="B1858" s="2" t="str">
        <f t="array" ref="B1858">INDEX(helper!$A$3:$A3996,ROUNDUP((ROW()-1)/COUNTA(helper!$D$3:$D3996),0))</f>
        <v/>
      </c>
      <c r="C1858" s="5" t="str">
        <f t="array" ref="C1858">IF(B1858="","",INDEX(helper!$D$3:$D3996,MOD(ROW()-2,COUNTA(helper!$D$3:$D3996))+1))</f>
        <v/>
      </c>
      <c r="D1858" s="3" t="str">
        <f t="array" ref="D1858">IF(B1858="","",INDEX(helper!$E$3:$E3996,MOD(ROW()-2,COUNTA(helper!$D$3:$D3996))+1))</f>
        <v/>
      </c>
      <c r="E1858" s="3" t="str">
        <f t="array" ref="E1858">IF(B1858="","",INDEX(helper!$F$3:$F3996,MOD(ROW()-2,COUNTA(helper!$D$3:$D3996))+1))</f>
        <v/>
      </c>
      <c r="F1858" s="3" t="str">
        <f>IF(B1858="","",SUMIFS('inventory ledger'!$H:$H,'inventory ledger'!$C:$C,C1858,'inventory ledger'!$D:$D,D1858,'inventory ledger'!$E:$E,E1858,'inventory ledger'!$A:$A,"&lt;="&amp;B1858+TIME(23,59,59))-SUMIFS('inventory ledger'!$I:$I,'inventory ledger'!$C:$C,C1858,'inventory ledger'!$D:$D,D1858,'inventory ledger'!$E:$E,E1858,'inventory ledger'!$A:$A,"&lt;="&amp;B1858+TIME(23,59,59)))</f>
        <v/>
      </c>
      <c r="G1858" s="3">
        <f>IFERROR(__xludf.DUMMYFUNCTION("IF(F1858&lt;=0,0,IFERROR(ROUNDUP(F1858/INDEX(FILTER('warehouse config'!$D:$D,('warehouse config'!$B:$B=C1858)*('warehouse config'!$C:$C=D1858)*('warehouse config'!$G:$G&lt;=B1858)*(('warehouse config'!$H:$H&gt;=B1858)+ISBLANK('warehouse config'!$H:$H))),1)),0))"),0.0)</f>
        <v>0</v>
      </c>
      <c r="H1858" s="3">
        <f>IFERROR(__xludf.DUMMYFUNCTION("IFERROR(INDEX(FILTER('cost master'!$E:$E,('cost master'!$B:$B=C1858)*('cost master'!$D:$D=""Storage cost per pallet / week"")*('cost master'!$G:$G&lt;=B1858)*(('cost master'!$H:$H&gt;=B1858)+ISBLANK('cost master'!$H:$H))),1),0)"),0.0)</f>
        <v>0</v>
      </c>
      <c r="I1858" s="3">
        <f t="shared" si="4"/>
        <v>0</v>
      </c>
      <c r="J1858" s="27">
        <f t="shared" si="5"/>
        <v>693947</v>
      </c>
      <c r="K1858" s="27">
        <f t="shared" si="6"/>
        <v>693977</v>
      </c>
    </row>
    <row r="1859" hidden="1">
      <c r="A1859" s="3" t="str">
        <f t="shared" si="3"/>
        <v/>
      </c>
      <c r="B1859" s="2" t="str">
        <f t="array" ref="B1859">INDEX(helper!$A$3:$A3996,ROUNDUP((ROW()-1)/COUNTA(helper!$D$3:$D3996),0))</f>
        <v/>
      </c>
      <c r="C1859" s="5" t="str">
        <f t="array" ref="C1859">IF(B1859="","",INDEX(helper!$D$3:$D3996,MOD(ROW()-2,COUNTA(helper!$D$3:$D3996))+1))</f>
        <v/>
      </c>
      <c r="D1859" s="3" t="str">
        <f t="array" ref="D1859">IF(B1859="","",INDEX(helper!$E$3:$E3996,MOD(ROW()-2,COUNTA(helper!$D$3:$D3996))+1))</f>
        <v/>
      </c>
      <c r="E1859" s="3" t="str">
        <f t="array" ref="E1859">IF(B1859="","",INDEX(helper!$F$3:$F3996,MOD(ROW()-2,COUNTA(helper!$D$3:$D3996))+1))</f>
        <v/>
      </c>
      <c r="F1859" s="3" t="str">
        <f>IF(B1859="","",SUMIFS('inventory ledger'!$H:$H,'inventory ledger'!$C:$C,C1859,'inventory ledger'!$D:$D,D1859,'inventory ledger'!$E:$E,E1859,'inventory ledger'!$A:$A,"&lt;="&amp;B1859+TIME(23,59,59))-SUMIFS('inventory ledger'!$I:$I,'inventory ledger'!$C:$C,C1859,'inventory ledger'!$D:$D,D1859,'inventory ledger'!$E:$E,E1859,'inventory ledger'!$A:$A,"&lt;="&amp;B1859+TIME(23,59,59)))</f>
        <v/>
      </c>
      <c r="G1859" s="3">
        <f>IFERROR(__xludf.DUMMYFUNCTION("IF(F1859&lt;=0,0,IFERROR(ROUNDUP(F1859/INDEX(FILTER('warehouse config'!$D:$D,('warehouse config'!$B:$B=C1859)*('warehouse config'!$C:$C=D1859)*('warehouse config'!$G:$G&lt;=B1859)*(('warehouse config'!$H:$H&gt;=B1859)+ISBLANK('warehouse config'!$H:$H))),1)),0))"),0.0)</f>
        <v>0</v>
      </c>
      <c r="H1859" s="3">
        <f>IFERROR(__xludf.DUMMYFUNCTION("IFERROR(INDEX(FILTER('cost master'!$E:$E,('cost master'!$B:$B=C1859)*('cost master'!$D:$D=""Storage cost per pallet / week"")*('cost master'!$G:$G&lt;=B1859)*(('cost master'!$H:$H&gt;=B1859)+ISBLANK('cost master'!$H:$H))),1),0)"),0.0)</f>
        <v>0</v>
      </c>
      <c r="I1859" s="3">
        <f t="shared" si="4"/>
        <v>0</v>
      </c>
      <c r="J1859" s="27">
        <f t="shared" si="5"/>
        <v>693947</v>
      </c>
      <c r="K1859" s="27">
        <f t="shared" si="6"/>
        <v>693977</v>
      </c>
    </row>
    <row r="1860" hidden="1">
      <c r="A1860" s="3" t="str">
        <f t="shared" si="3"/>
        <v/>
      </c>
      <c r="B1860" s="2" t="str">
        <f t="array" ref="B1860">INDEX(helper!$A$3:$A3996,ROUNDUP((ROW()-1)/COUNTA(helper!$D$3:$D3996),0))</f>
        <v/>
      </c>
      <c r="C1860" s="5" t="str">
        <f t="array" ref="C1860">IF(B1860="","",INDEX(helper!$D$3:$D3996,MOD(ROW()-2,COUNTA(helper!$D$3:$D3996))+1))</f>
        <v/>
      </c>
      <c r="D1860" s="3" t="str">
        <f t="array" ref="D1860">IF(B1860="","",INDEX(helper!$E$3:$E3996,MOD(ROW()-2,COUNTA(helper!$D$3:$D3996))+1))</f>
        <v/>
      </c>
      <c r="E1860" s="3" t="str">
        <f t="array" ref="E1860">IF(B1860="","",INDEX(helper!$F$3:$F3996,MOD(ROW()-2,COUNTA(helper!$D$3:$D3996))+1))</f>
        <v/>
      </c>
      <c r="F1860" s="3" t="str">
        <f>IF(B1860="","",SUMIFS('inventory ledger'!$H:$H,'inventory ledger'!$C:$C,C1860,'inventory ledger'!$D:$D,D1860,'inventory ledger'!$E:$E,E1860,'inventory ledger'!$A:$A,"&lt;="&amp;B1860+TIME(23,59,59))-SUMIFS('inventory ledger'!$I:$I,'inventory ledger'!$C:$C,C1860,'inventory ledger'!$D:$D,D1860,'inventory ledger'!$E:$E,E1860,'inventory ledger'!$A:$A,"&lt;="&amp;B1860+TIME(23,59,59)))</f>
        <v/>
      </c>
      <c r="G1860" s="3">
        <f>IFERROR(__xludf.DUMMYFUNCTION("IF(F1860&lt;=0,0,IFERROR(ROUNDUP(F1860/INDEX(FILTER('warehouse config'!$D:$D,('warehouse config'!$B:$B=C1860)*('warehouse config'!$C:$C=D1860)*('warehouse config'!$G:$G&lt;=B1860)*(('warehouse config'!$H:$H&gt;=B1860)+ISBLANK('warehouse config'!$H:$H))),1)),0))"),0.0)</f>
        <v>0</v>
      </c>
      <c r="H1860" s="3">
        <f>IFERROR(__xludf.DUMMYFUNCTION("IFERROR(INDEX(FILTER('cost master'!$E:$E,('cost master'!$B:$B=C1860)*('cost master'!$D:$D=""Storage cost per pallet / week"")*('cost master'!$G:$G&lt;=B1860)*(('cost master'!$H:$H&gt;=B1860)+ISBLANK('cost master'!$H:$H))),1),0)"),0.0)</f>
        <v>0</v>
      </c>
      <c r="I1860" s="3">
        <f t="shared" si="4"/>
        <v>0</v>
      </c>
      <c r="J1860" s="27">
        <f t="shared" si="5"/>
        <v>693947</v>
      </c>
      <c r="K1860" s="27">
        <f t="shared" si="6"/>
        <v>693977</v>
      </c>
    </row>
    <row r="1861" hidden="1">
      <c r="A1861" s="3" t="str">
        <f t="shared" si="3"/>
        <v/>
      </c>
      <c r="B1861" s="2" t="str">
        <f t="array" ref="B1861">INDEX(helper!$A$3:$A3996,ROUNDUP((ROW()-1)/COUNTA(helper!$D$3:$D3996),0))</f>
        <v/>
      </c>
      <c r="C1861" s="5" t="str">
        <f t="array" ref="C1861">IF(B1861="","",INDEX(helper!$D$3:$D3996,MOD(ROW()-2,COUNTA(helper!$D$3:$D3996))+1))</f>
        <v/>
      </c>
      <c r="D1861" s="3" t="str">
        <f t="array" ref="D1861">IF(B1861="","",INDEX(helper!$E$3:$E3996,MOD(ROW()-2,COUNTA(helper!$D$3:$D3996))+1))</f>
        <v/>
      </c>
      <c r="E1861" s="3" t="str">
        <f t="array" ref="E1861">IF(B1861="","",INDEX(helper!$F$3:$F3996,MOD(ROW()-2,COUNTA(helper!$D$3:$D3996))+1))</f>
        <v/>
      </c>
      <c r="F1861" s="3" t="str">
        <f>IF(B1861="","",SUMIFS('inventory ledger'!$H:$H,'inventory ledger'!$C:$C,C1861,'inventory ledger'!$D:$D,D1861,'inventory ledger'!$E:$E,E1861,'inventory ledger'!$A:$A,"&lt;="&amp;B1861+TIME(23,59,59))-SUMIFS('inventory ledger'!$I:$I,'inventory ledger'!$C:$C,C1861,'inventory ledger'!$D:$D,D1861,'inventory ledger'!$E:$E,E1861,'inventory ledger'!$A:$A,"&lt;="&amp;B1861+TIME(23,59,59)))</f>
        <v/>
      </c>
      <c r="G1861" s="3">
        <f>IFERROR(__xludf.DUMMYFUNCTION("IF(F1861&lt;=0,0,IFERROR(ROUNDUP(F1861/INDEX(FILTER('warehouse config'!$D:$D,('warehouse config'!$B:$B=C1861)*('warehouse config'!$C:$C=D1861)*('warehouse config'!$G:$G&lt;=B1861)*(('warehouse config'!$H:$H&gt;=B1861)+ISBLANK('warehouse config'!$H:$H))),1)),0))"),0.0)</f>
        <v>0</v>
      </c>
      <c r="H1861" s="3">
        <f>IFERROR(__xludf.DUMMYFUNCTION("IFERROR(INDEX(FILTER('cost master'!$E:$E,('cost master'!$B:$B=C1861)*('cost master'!$D:$D=""Storage cost per pallet / week"")*('cost master'!$G:$G&lt;=B1861)*(('cost master'!$H:$H&gt;=B1861)+ISBLANK('cost master'!$H:$H))),1),0)"),0.0)</f>
        <v>0</v>
      </c>
      <c r="I1861" s="3">
        <f t="shared" si="4"/>
        <v>0</v>
      </c>
      <c r="J1861" s="27">
        <f t="shared" si="5"/>
        <v>693947</v>
      </c>
      <c r="K1861" s="27">
        <f t="shared" si="6"/>
        <v>693977</v>
      </c>
    </row>
    <row r="1862" hidden="1">
      <c r="A1862" s="3" t="str">
        <f t="shared" si="3"/>
        <v/>
      </c>
      <c r="B1862" s="2" t="str">
        <f t="array" ref="B1862">INDEX(helper!$A$3:$A3996,ROUNDUP((ROW()-1)/COUNTA(helper!$D$3:$D3996),0))</f>
        <v/>
      </c>
      <c r="C1862" s="5" t="str">
        <f t="array" ref="C1862">IF(B1862="","",INDEX(helper!$D$3:$D3996,MOD(ROW()-2,COUNTA(helper!$D$3:$D3996))+1))</f>
        <v/>
      </c>
      <c r="D1862" s="3" t="str">
        <f t="array" ref="D1862">IF(B1862="","",INDEX(helper!$E$3:$E3996,MOD(ROW()-2,COUNTA(helper!$D$3:$D3996))+1))</f>
        <v/>
      </c>
      <c r="E1862" s="3" t="str">
        <f t="array" ref="E1862">IF(B1862="","",INDEX(helper!$F$3:$F3996,MOD(ROW()-2,COUNTA(helper!$D$3:$D3996))+1))</f>
        <v/>
      </c>
      <c r="F1862" s="3" t="str">
        <f>IF(B1862="","",SUMIFS('inventory ledger'!$H:$H,'inventory ledger'!$C:$C,C1862,'inventory ledger'!$D:$D,D1862,'inventory ledger'!$E:$E,E1862,'inventory ledger'!$A:$A,"&lt;="&amp;B1862+TIME(23,59,59))-SUMIFS('inventory ledger'!$I:$I,'inventory ledger'!$C:$C,C1862,'inventory ledger'!$D:$D,D1862,'inventory ledger'!$E:$E,E1862,'inventory ledger'!$A:$A,"&lt;="&amp;B1862+TIME(23,59,59)))</f>
        <v/>
      </c>
      <c r="G1862" s="3">
        <f>IFERROR(__xludf.DUMMYFUNCTION("IF(F1862&lt;=0,0,IFERROR(ROUNDUP(F1862/INDEX(FILTER('warehouse config'!$D:$D,('warehouse config'!$B:$B=C1862)*('warehouse config'!$C:$C=D1862)*('warehouse config'!$G:$G&lt;=B1862)*(('warehouse config'!$H:$H&gt;=B1862)+ISBLANK('warehouse config'!$H:$H))),1)),0))"),0.0)</f>
        <v>0</v>
      </c>
      <c r="H1862" s="3">
        <f>IFERROR(__xludf.DUMMYFUNCTION("IFERROR(INDEX(FILTER('cost master'!$E:$E,('cost master'!$B:$B=C1862)*('cost master'!$D:$D=""Storage cost per pallet / week"")*('cost master'!$G:$G&lt;=B1862)*(('cost master'!$H:$H&gt;=B1862)+ISBLANK('cost master'!$H:$H))),1),0)"),0.0)</f>
        <v>0</v>
      </c>
      <c r="I1862" s="3">
        <f t="shared" si="4"/>
        <v>0</v>
      </c>
      <c r="J1862" s="27">
        <f t="shared" si="5"/>
        <v>693947</v>
      </c>
      <c r="K1862" s="27">
        <f t="shared" si="6"/>
        <v>693977</v>
      </c>
    </row>
    <row r="1863" hidden="1">
      <c r="A1863" s="3" t="str">
        <f t="shared" si="3"/>
        <v/>
      </c>
      <c r="B1863" s="2" t="str">
        <f t="array" ref="B1863">INDEX(helper!$A$3:$A3996,ROUNDUP((ROW()-1)/COUNTA(helper!$D$3:$D3996),0))</f>
        <v/>
      </c>
      <c r="C1863" s="5" t="str">
        <f t="array" ref="C1863">IF(B1863="","",INDEX(helper!$D$3:$D3996,MOD(ROW()-2,COUNTA(helper!$D$3:$D3996))+1))</f>
        <v/>
      </c>
      <c r="D1863" s="3" t="str">
        <f t="array" ref="D1863">IF(B1863="","",INDEX(helper!$E$3:$E3996,MOD(ROW()-2,COUNTA(helper!$D$3:$D3996))+1))</f>
        <v/>
      </c>
      <c r="E1863" s="3" t="str">
        <f t="array" ref="E1863">IF(B1863="","",INDEX(helper!$F$3:$F3996,MOD(ROW()-2,COUNTA(helper!$D$3:$D3996))+1))</f>
        <v/>
      </c>
      <c r="F1863" s="3" t="str">
        <f>IF(B1863="","",SUMIFS('inventory ledger'!$H:$H,'inventory ledger'!$C:$C,C1863,'inventory ledger'!$D:$D,D1863,'inventory ledger'!$E:$E,E1863,'inventory ledger'!$A:$A,"&lt;="&amp;B1863+TIME(23,59,59))-SUMIFS('inventory ledger'!$I:$I,'inventory ledger'!$C:$C,C1863,'inventory ledger'!$D:$D,D1863,'inventory ledger'!$E:$E,E1863,'inventory ledger'!$A:$A,"&lt;="&amp;B1863+TIME(23,59,59)))</f>
        <v/>
      </c>
      <c r="G1863" s="3">
        <f>IFERROR(__xludf.DUMMYFUNCTION("IF(F1863&lt;=0,0,IFERROR(ROUNDUP(F1863/INDEX(FILTER('warehouse config'!$D:$D,('warehouse config'!$B:$B=C1863)*('warehouse config'!$C:$C=D1863)*('warehouse config'!$G:$G&lt;=B1863)*(('warehouse config'!$H:$H&gt;=B1863)+ISBLANK('warehouse config'!$H:$H))),1)),0))"),0.0)</f>
        <v>0</v>
      </c>
      <c r="H1863" s="3">
        <f>IFERROR(__xludf.DUMMYFUNCTION("IFERROR(INDEX(FILTER('cost master'!$E:$E,('cost master'!$B:$B=C1863)*('cost master'!$D:$D=""Storage cost per pallet / week"")*('cost master'!$G:$G&lt;=B1863)*(('cost master'!$H:$H&gt;=B1863)+ISBLANK('cost master'!$H:$H))),1),0)"),0.0)</f>
        <v>0</v>
      </c>
      <c r="I1863" s="3">
        <f t="shared" si="4"/>
        <v>0</v>
      </c>
      <c r="J1863" s="27">
        <f t="shared" si="5"/>
        <v>693947</v>
      </c>
      <c r="K1863" s="27">
        <f t="shared" si="6"/>
        <v>693977</v>
      </c>
    </row>
    <row r="1864" hidden="1">
      <c r="A1864" s="3" t="str">
        <f t="shared" si="3"/>
        <v/>
      </c>
      <c r="B1864" s="2" t="str">
        <f t="array" ref="B1864">INDEX(helper!$A$3:$A3996,ROUNDUP((ROW()-1)/COUNTA(helper!$D$3:$D3996),0))</f>
        <v/>
      </c>
      <c r="C1864" s="5" t="str">
        <f t="array" ref="C1864">IF(B1864="","",INDEX(helper!$D$3:$D3996,MOD(ROW()-2,COUNTA(helper!$D$3:$D3996))+1))</f>
        <v/>
      </c>
      <c r="D1864" s="3" t="str">
        <f t="array" ref="D1864">IF(B1864="","",INDEX(helper!$E$3:$E3996,MOD(ROW()-2,COUNTA(helper!$D$3:$D3996))+1))</f>
        <v/>
      </c>
      <c r="E1864" s="3" t="str">
        <f t="array" ref="E1864">IF(B1864="","",INDEX(helper!$F$3:$F3996,MOD(ROW()-2,COUNTA(helper!$D$3:$D3996))+1))</f>
        <v/>
      </c>
      <c r="F1864" s="3" t="str">
        <f>IF(B1864="","",SUMIFS('inventory ledger'!$H:$H,'inventory ledger'!$C:$C,C1864,'inventory ledger'!$D:$D,D1864,'inventory ledger'!$E:$E,E1864,'inventory ledger'!$A:$A,"&lt;="&amp;B1864+TIME(23,59,59))-SUMIFS('inventory ledger'!$I:$I,'inventory ledger'!$C:$C,C1864,'inventory ledger'!$D:$D,D1864,'inventory ledger'!$E:$E,E1864,'inventory ledger'!$A:$A,"&lt;="&amp;B1864+TIME(23,59,59)))</f>
        <v/>
      </c>
      <c r="G1864" s="3">
        <f>IFERROR(__xludf.DUMMYFUNCTION("IF(F1864&lt;=0,0,IFERROR(ROUNDUP(F1864/INDEX(FILTER('warehouse config'!$D:$D,('warehouse config'!$B:$B=C1864)*('warehouse config'!$C:$C=D1864)*('warehouse config'!$G:$G&lt;=B1864)*(('warehouse config'!$H:$H&gt;=B1864)+ISBLANK('warehouse config'!$H:$H))),1)),0))"),0.0)</f>
        <v>0</v>
      </c>
      <c r="H1864" s="3">
        <f>IFERROR(__xludf.DUMMYFUNCTION("IFERROR(INDEX(FILTER('cost master'!$E:$E,('cost master'!$B:$B=C1864)*('cost master'!$D:$D=""Storage cost per pallet / week"")*('cost master'!$G:$G&lt;=B1864)*(('cost master'!$H:$H&gt;=B1864)+ISBLANK('cost master'!$H:$H))),1),0)"),0.0)</f>
        <v>0</v>
      </c>
      <c r="I1864" s="3">
        <f t="shared" si="4"/>
        <v>0</v>
      </c>
      <c r="J1864" s="27">
        <f t="shared" si="5"/>
        <v>693947</v>
      </c>
      <c r="K1864" s="27">
        <f t="shared" si="6"/>
        <v>693977</v>
      </c>
    </row>
    <row r="1865" hidden="1">
      <c r="A1865" s="3" t="str">
        <f t="shared" si="3"/>
        <v/>
      </c>
      <c r="B1865" s="2" t="str">
        <f t="array" ref="B1865">INDEX(helper!$A$3:$A3996,ROUNDUP((ROW()-1)/COUNTA(helper!$D$3:$D3996),0))</f>
        <v/>
      </c>
      <c r="C1865" s="5" t="str">
        <f t="array" ref="C1865">IF(B1865="","",INDEX(helper!$D$3:$D3996,MOD(ROW()-2,COUNTA(helper!$D$3:$D3996))+1))</f>
        <v/>
      </c>
      <c r="D1865" s="3" t="str">
        <f t="array" ref="D1865">IF(B1865="","",INDEX(helper!$E$3:$E3996,MOD(ROW()-2,COUNTA(helper!$D$3:$D3996))+1))</f>
        <v/>
      </c>
      <c r="E1865" s="3" t="str">
        <f t="array" ref="E1865">IF(B1865="","",INDEX(helper!$F$3:$F3996,MOD(ROW()-2,COUNTA(helper!$D$3:$D3996))+1))</f>
        <v/>
      </c>
      <c r="F1865" s="3" t="str">
        <f>IF(B1865="","",SUMIFS('inventory ledger'!$H:$H,'inventory ledger'!$C:$C,C1865,'inventory ledger'!$D:$D,D1865,'inventory ledger'!$E:$E,E1865,'inventory ledger'!$A:$A,"&lt;="&amp;B1865+TIME(23,59,59))-SUMIFS('inventory ledger'!$I:$I,'inventory ledger'!$C:$C,C1865,'inventory ledger'!$D:$D,D1865,'inventory ledger'!$E:$E,E1865,'inventory ledger'!$A:$A,"&lt;="&amp;B1865+TIME(23,59,59)))</f>
        <v/>
      </c>
      <c r="G1865" s="3">
        <f>IFERROR(__xludf.DUMMYFUNCTION("IF(F1865&lt;=0,0,IFERROR(ROUNDUP(F1865/INDEX(FILTER('warehouse config'!$D:$D,('warehouse config'!$B:$B=C1865)*('warehouse config'!$C:$C=D1865)*('warehouse config'!$G:$G&lt;=B1865)*(('warehouse config'!$H:$H&gt;=B1865)+ISBLANK('warehouse config'!$H:$H))),1)),0))"),0.0)</f>
        <v>0</v>
      </c>
      <c r="H1865" s="3">
        <f>IFERROR(__xludf.DUMMYFUNCTION("IFERROR(INDEX(FILTER('cost master'!$E:$E,('cost master'!$B:$B=C1865)*('cost master'!$D:$D=""Storage cost per pallet / week"")*('cost master'!$G:$G&lt;=B1865)*(('cost master'!$H:$H&gt;=B1865)+ISBLANK('cost master'!$H:$H))),1),0)"),0.0)</f>
        <v>0</v>
      </c>
      <c r="I1865" s="3">
        <f t="shared" si="4"/>
        <v>0</v>
      </c>
      <c r="J1865" s="27">
        <f t="shared" si="5"/>
        <v>693947</v>
      </c>
      <c r="K1865" s="27">
        <f t="shared" si="6"/>
        <v>693977</v>
      </c>
    </row>
    <row r="1866" hidden="1">
      <c r="A1866" s="3" t="str">
        <f t="shared" si="3"/>
        <v/>
      </c>
      <c r="B1866" s="2" t="str">
        <f t="array" ref="B1866">INDEX(helper!$A$3:$A3996,ROUNDUP((ROW()-1)/COUNTA(helper!$D$3:$D3996),0))</f>
        <v/>
      </c>
      <c r="C1866" s="5" t="str">
        <f t="array" ref="C1866">IF(B1866="","",INDEX(helper!$D$3:$D3996,MOD(ROW()-2,COUNTA(helper!$D$3:$D3996))+1))</f>
        <v/>
      </c>
      <c r="D1866" s="3" t="str">
        <f t="array" ref="D1866">IF(B1866="","",INDEX(helper!$E$3:$E3996,MOD(ROW()-2,COUNTA(helper!$D$3:$D3996))+1))</f>
        <v/>
      </c>
      <c r="E1866" s="3" t="str">
        <f t="array" ref="E1866">IF(B1866="","",INDEX(helper!$F$3:$F3996,MOD(ROW()-2,COUNTA(helper!$D$3:$D3996))+1))</f>
        <v/>
      </c>
      <c r="F1866" s="3" t="str">
        <f>IF(B1866="","",SUMIFS('inventory ledger'!$H:$H,'inventory ledger'!$C:$C,C1866,'inventory ledger'!$D:$D,D1866,'inventory ledger'!$E:$E,E1866,'inventory ledger'!$A:$A,"&lt;="&amp;B1866+TIME(23,59,59))-SUMIFS('inventory ledger'!$I:$I,'inventory ledger'!$C:$C,C1866,'inventory ledger'!$D:$D,D1866,'inventory ledger'!$E:$E,E1866,'inventory ledger'!$A:$A,"&lt;="&amp;B1866+TIME(23,59,59)))</f>
        <v/>
      </c>
      <c r="G1866" s="3">
        <f>IFERROR(__xludf.DUMMYFUNCTION("IF(F1866&lt;=0,0,IFERROR(ROUNDUP(F1866/INDEX(FILTER('warehouse config'!$D:$D,('warehouse config'!$B:$B=C1866)*('warehouse config'!$C:$C=D1866)*('warehouse config'!$G:$G&lt;=B1866)*(('warehouse config'!$H:$H&gt;=B1866)+ISBLANK('warehouse config'!$H:$H))),1)),0))"),0.0)</f>
        <v>0</v>
      </c>
      <c r="H1866" s="3">
        <f>IFERROR(__xludf.DUMMYFUNCTION("IFERROR(INDEX(FILTER('cost master'!$E:$E,('cost master'!$B:$B=C1866)*('cost master'!$D:$D=""Storage cost per pallet / week"")*('cost master'!$G:$G&lt;=B1866)*(('cost master'!$H:$H&gt;=B1866)+ISBLANK('cost master'!$H:$H))),1),0)"),0.0)</f>
        <v>0</v>
      </c>
      <c r="I1866" s="3">
        <f t="shared" si="4"/>
        <v>0</v>
      </c>
      <c r="J1866" s="27">
        <f t="shared" si="5"/>
        <v>693947</v>
      </c>
      <c r="K1866" s="27">
        <f t="shared" si="6"/>
        <v>693977</v>
      </c>
    </row>
    <row r="1867" hidden="1">
      <c r="A1867" s="3" t="str">
        <f t="shared" si="3"/>
        <v/>
      </c>
      <c r="B1867" s="2" t="str">
        <f t="array" ref="B1867">INDEX(helper!$A$3:$A3996,ROUNDUP((ROW()-1)/COUNTA(helper!$D$3:$D3996),0))</f>
        <v/>
      </c>
      <c r="C1867" s="5" t="str">
        <f t="array" ref="C1867">IF(B1867="","",INDEX(helper!$D$3:$D3996,MOD(ROW()-2,COUNTA(helper!$D$3:$D3996))+1))</f>
        <v/>
      </c>
      <c r="D1867" s="3" t="str">
        <f t="array" ref="D1867">IF(B1867="","",INDEX(helper!$E$3:$E3996,MOD(ROW()-2,COUNTA(helper!$D$3:$D3996))+1))</f>
        <v/>
      </c>
      <c r="E1867" s="3" t="str">
        <f t="array" ref="E1867">IF(B1867="","",INDEX(helper!$F$3:$F3996,MOD(ROW()-2,COUNTA(helper!$D$3:$D3996))+1))</f>
        <v/>
      </c>
      <c r="F1867" s="3" t="str">
        <f>IF(B1867="","",SUMIFS('inventory ledger'!$H:$H,'inventory ledger'!$C:$C,C1867,'inventory ledger'!$D:$D,D1867,'inventory ledger'!$E:$E,E1867,'inventory ledger'!$A:$A,"&lt;="&amp;B1867+TIME(23,59,59))-SUMIFS('inventory ledger'!$I:$I,'inventory ledger'!$C:$C,C1867,'inventory ledger'!$D:$D,D1867,'inventory ledger'!$E:$E,E1867,'inventory ledger'!$A:$A,"&lt;="&amp;B1867+TIME(23,59,59)))</f>
        <v/>
      </c>
      <c r="G1867" s="3">
        <f>IFERROR(__xludf.DUMMYFUNCTION("IF(F1867&lt;=0,0,IFERROR(ROUNDUP(F1867/INDEX(FILTER('warehouse config'!$D:$D,('warehouse config'!$B:$B=C1867)*('warehouse config'!$C:$C=D1867)*('warehouse config'!$G:$G&lt;=B1867)*(('warehouse config'!$H:$H&gt;=B1867)+ISBLANK('warehouse config'!$H:$H))),1)),0))"),0.0)</f>
        <v>0</v>
      </c>
      <c r="H1867" s="3">
        <f>IFERROR(__xludf.DUMMYFUNCTION("IFERROR(INDEX(FILTER('cost master'!$E:$E,('cost master'!$B:$B=C1867)*('cost master'!$D:$D=""Storage cost per pallet / week"")*('cost master'!$G:$G&lt;=B1867)*(('cost master'!$H:$H&gt;=B1867)+ISBLANK('cost master'!$H:$H))),1),0)"),0.0)</f>
        <v>0</v>
      </c>
      <c r="I1867" s="3">
        <f t="shared" si="4"/>
        <v>0</v>
      </c>
      <c r="J1867" s="27">
        <f t="shared" si="5"/>
        <v>693947</v>
      </c>
      <c r="K1867" s="27">
        <f t="shared" si="6"/>
        <v>693977</v>
      </c>
    </row>
    <row r="1868" hidden="1">
      <c r="A1868" s="3" t="str">
        <f t="shared" si="3"/>
        <v/>
      </c>
      <c r="B1868" s="2" t="str">
        <f t="array" ref="B1868">INDEX(helper!$A$3:$A3996,ROUNDUP((ROW()-1)/COUNTA(helper!$D$3:$D3996),0))</f>
        <v/>
      </c>
      <c r="C1868" s="5" t="str">
        <f t="array" ref="C1868">IF(B1868="","",INDEX(helper!$D$3:$D3996,MOD(ROW()-2,COUNTA(helper!$D$3:$D3996))+1))</f>
        <v/>
      </c>
      <c r="D1868" s="3" t="str">
        <f t="array" ref="D1868">IF(B1868="","",INDEX(helper!$E$3:$E3996,MOD(ROW()-2,COUNTA(helper!$D$3:$D3996))+1))</f>
        <v/>
      </c>
      <c r="E1868" s="3" t="str">
        <f t="array" ref="E1868">IF(B1868="","",INDEX(helper!$F$3:$F3996,MOD(ROW()-2,COUNTA(helper!$D$3:$D3996))+1))</f>
        <v/>
      </c>
      <c r="F1868" s="3" t="str">
        <f>IF(B1868="","",SUMIFS('inventory ledger'!$H:$H,'inventory ledger'!$C:$C,C1868,'inventory ledger'!$D:$D,D1868,'inventory ledger'!$E:$E,E1868,'inventory ledger'!$A:$A,"&lt;="&amp;B1868+TIME(23,59,59))-SUMIFS('inventory ledger'!$I:$I,'inventory ledger'!$C:$C,C1868,'inventory ledger'!$D:$D,D1868,'inventory ledger'!$E:$E,E1868,'inventory ledger'!$A:$A,"&lt;="&amp;B1868+TIME(23,59,59)))</f>
        <v/>
      </c>
      <c r="G1868" s="3">
        <f>IFERROR(__xludf.DUMMYFUNCTION("IF(F1868&lt;=0,0,IFERROR(ROUNDUP(F1868/INDEX(FILTER('warehouse config'!$D:$D,('warehouse config'!$B:$B=C1868)*('warehouse config'!$C:$C=D1868)*('warehouse config'!$G:$G&lt;=B1868)*(('warehouse config'!$H:$H&gt;=B1868)+ISBLANK('warehouse config'!$H:$H))),1)),0))"),0.0)</f>
        <v>0</v>
      </c>
      <c r="H1868" s="3">
        <f>IFERROR(__xludf.DUMMYFUNCTION("IFERROR(INDEX(FILTER('cost master'!$E:$E,('cost master'!$B:$B=C1868)*('cost master'!$D:$D=""Storage cost per pallet / week"")*('cost master'!$G:$G&lt;=B1868)*(('cost master'!$H:$H&gt;=B1868)+ISBLANK('cost master'!$H:$H))),1),0)"),0.0)</f>
        <v>0</v>
      </c>
      <c r="I1868" s="3">
        <f t="shared" si="4"/>
        <v>0</v>
      </c>
      <c r="J1868" s="27">
        <f t="shared" si="5"/>
        <v>693947</v>
      </c>
      <c r="K1868" s="27">
        <f t="shared" si="6"/>
        <v>693977</v>
      </c>
    </row>
    <row r="1869" hidden="1">
      <c r="A1869" s="3" t="str">
        <f t="shared" si="3"/>
        <v/>
      </c>
      <c r="B1869" s="2" t="str">
        <f t="array" ref="B1869">INDEX(helper!$A$3:$A3996,ROUNDUP((ROW()-1)/COUNTA(helper!$D$3:$D3996),0))</f>
        <v/>
      </c>
      <c r="C1869" s="5" t="str">
        <f t="array" ref="C1869">IF(B1869="","",INDEX(helper!$D$3:$D3996,MOD(ROW()-2,COUNTA(helper!$D$3:$D3996))+1))</f>
        <v/>
      </c>
      <c r="D1869" s="3" t="str">
        <f t="array" ref="D1869">IF(B1869="","",INDEX(helper!$E$3:$E3996,MOD(ROW()-2,COUNTA(helper!$D$3:$D3996))+1))</f>
        <v/>
      </c>
      <c r="E1869" s="3" t="str">
        <f t="array" ref="E1869">IF(B1869="","",INDEX(helper!$F$3:$F3996,MOD(ROW()-2,COUNTA(helper!$D$3:$D3996))+1))</f>
        <v/>
      </c>
      <c r="F1869" s="3" t="str">
        <f>IF(B1869="","",SUMIFS('inventory ledger'!$H:$H,'inventory ledger'!$C:$C,C1869,'inventory ledger'!$D:$D,D1869,'inventory ledger'!$E:$E,E1869,'inventory ledger'!$A:$A,"&lt;="&amp;B1869+TIME(23,59,59))-SUMIFS('inventory ledger'!$I:$I,'inventory ledger'!$C:$C,C1869,'inventory ledger'!$D:$D,D1869,'inventory ledger'!$E:$E,E1869,'inventory ledger'!$A:$A,"&lt;="&amp;B1869+TIME(23,59,59)))</f>
        <v/>
      </c>
      <c r="G1869" s="3">
        <f>IFERROR(__xludf.DUMMYFUNCTION("IF(F1869&lt;=0,0,IFERROR(ROUNDUP(F1869/INDEX(FILTER('warehouse config'!$D:$D,('warehouse config'!$B:$B=C1869)*('warehouse config'!$C:$C=D1869)*('warehouse config'!$G:$G&lt;=B1869)*(('warehouse config'!$H:$H&gt;=B1869)+ISBLANK('warehouse config'!$H:$H))),1)),0))"),0.0)</f>
        <v>0</v>
      </c>
      <c r="H1869" s="3">
        <f>IFERROR(__xludf.DUMMYFUNCTION("IFERROR(INDEX(FILTER('cost master'!$E:$E,('cost master'!$B:$B=C1869)*('cost master'!$D:$D=""Storage cost per pallet / week"")*('cost master'!$G:$G&lt;=B1869)*(('cost master'!$H:$H&gt;=B1869)+ISBLANK('cost master'!$H:$H))),1),0)"),0.0)</f>
        <v>0</v>
      </c>
      <c r="I1869" s="3">
        <f t="shared" si="4"/>
        <v>0</v>
      </c>
      <c r="J1869" s="27">
        <f t="shared" si="5"/>
        <v>693947</v>
      </c>
      <c r="K1869" s="27">
        <f t="shared" si="6"/>
        <v>693977</v>
      </c>
    </row>
    <row r="1870" hidden="1">
      <c r="A1870" s="3" t="str">
        <f t="shared" si="3"/>
        <v/>
      </c>
      <c r="B1870" s="2" t="str">
        <f t="array" ref="B1870">INDEX(helper!$A$3:$A3996,ROUNDUP((ROW()-1)/COUNTA(helper!$D$3:$D3996),0))</f>
        <v/>
      </c>
      <c r="C1870" s="5" t="str">
        <f t="array" ref="C1870">IF(B1870="","",INDEX(helper!$D$3:$D3996,MOD(ROW()-2,COUNTA(helper!$D$3:$D3996))+1))</f>
        <v/>
      </c>
      <c r="D1870" s="3" t="str">
        <f t="array" ref="D1870">IF(B1870="","",INDEX(helper!$E$3:$E3996,MOD(ROW()-2,COUNTA(helper!$D$3:$D3996))+1))</f>
        <v/>
      </c>
      <c r="E1870" s="3" t="str">
        <f t="array" ref="E1870">IF(B1870="","",INDEX(helper!$F$3:$F3996,MOD(ROW()-2,COUNTA(helper!$D$3:$D3996))+1))</f>
        <v/>
      </c>
      <c r="F1870" s="3" t="str">
        <f>IF(B1870="","",SUMIFS('inventory ledger'!$H:$H,'inventory ledger'!$C:$C,C1870,'inventory ledger'!$D:$D,D1870,'inventory ledger'!$E:$E,E1870,'inventory ledger'!$A:$A,"&lt;="&amp;B1870+TIME(23,59,59))-SUMIFS('inventory ledger'!$I:$I,'inventory ledger'!$C:$C,C1870,'inventory ledger'!$D:$D,D1870,'inventory ledger'!$E:$E,E1870,'inventory ledger'!$A:$A,"&lt;="&amp;B1870+TIME(23,59,59)))</f>
        <v/>
      </c>
      <c r="G1870" s="3">
        <f>IFERROR(__xludf.DUMMYFUNCTION("IF(F1870&lt;=0,0,IFERROR(ROUNDUP(F1870/INDEX(FILTER('warehouse config'!$D:$D,('warehouse config'!$B:$B=C1870)*('warehouse config'!$C:$C=D1870)*('warehouse config'!$G:$G&lt;=B1870)*(('warehouse config'!$H:$H&gt;=B1870)+ISBLANK('warehouse config'!$H:$H))),1)),0))"),0.0)</f>
        <v>0</v>
      </c>
      <c r="H1870" s="3">
        <f>IFERROR(__xludf.DUMMYFUNCTION("IFERROR(INDEX(FILTER('cost master'!$E:$E,('cost master'!$B:$B=C1870)*('cost master'!$D:$D=""Storage cost per pallet / week"")*('cost master'!$G:$G&lt;=B1870)*(('cost master'!$H:$H&gt;=B1870)+ISBLANK('cost master'!$H:$H))),1),0)"),0.0)</f>
        <v>0</v>
      </c>
      <c r="I1870" s="3">
        <f t="shared" si="4"/>
        <v>0</v>
      </c>
      <c r="J1870" s="27">
        <f t="shared" si="5"/>
        <v>693947</v>
      </c>
      <c r="K1870" s="27">
        <f t="shared" si="6"/>
        <v>693977</v>
      </c>
    </row>
    <row r="1871" hidden="1">
      <c r="A1871" s="3" t="str">
        <f t="shared" si="3"/>
        <v/>
      </c>
      <c r="B1871" s="2" t="str">
        <f t="array" ref="B1871">INDEX(helper!$A$3:$A3996,ROUNDUP((ROW()-1)/COUNTA(helper!$D$3:$D3996),0))</f>
        <v/>
      </c>
      <c r="C1871" s="5" t="str">
        <f t="array" ref="C1871">IF(B1871="","",INDEX(helper!$D$3:$D3996,MOD(ROW()-2,COUNTA(helper!$D$3:$D3996))+1))</f>
        <v/>
      </c>
      <c r="D1871" s="3" t="str">
        <f t="array" ref="D1871">IF(B1871="","",INDEX(helper!$E$3:$E3996,MOD(ROW()-2,COUNTA(helper!$D$3:$D3996))+1))</f>
        <v/>
      </c>
      <c r="E1871" s="3" t="str">
        <f t="array" ref="E1871">IF(B1871="","",INDEX(helper!$F$3:$F3996,MOD(ROW()-2,COUNTA(helper!$D$3:$D3996))+1))</f>
        <v/>
      </c>
      <c r="F1871" s="3" t="str">
        <f>IF(B1871="","",SUMIFS('inventory ledger'!$H:$H,'inventory ledger'!$C:$C,C1871,'inventory ledger'!$D:$D,D1871,'inventory ledger'!$E:$E,E1871,'inventory ledger'!$A:$A,"&lt;="&amp;B1871+TIME(23,59,59))-SUMIFS('inventory ledger'!$I:$I,'inventory ledger'!$C:$C,C1871,'inventory ledger'!$D:$D,D1871,'inventory ledger'!$E:$E,E1871,'inventory ledger'!$A:$A,"&lt;="&amp;B1871+TIME(23,59,59)))</f>
        <v/>
      </c>
      <c r="G1871" s="3">
        <f>IFERROR(__xludf.DUMMYFUNCTION("IF(F1871&lt;=0,0,IFERROR(ROUNDUP(F1871/INDEX(FILTER('warehouse config'!$D:$D,('warehouse config'!$B:$B=C1871)*('warehouse config'!$C:$C=D1871)*('warehouse config'!$G:$G&lt;=B1871)*(('warehouse config'!$H:$H&gt;=B1871)+ISBLANK('warehouse config'!$H:$H))),1)),0))"),0.0)</f>
        <v>0</v>
      </c>
      <c r="H1871" s="3">
        <f>IFERROR(__xludf.DUMMYFUNCTION("IFERROR(INDEX(FILTER('cost master'!$E:$E,('cost master'!$B:$B=C1871)*('cost master'!$D:$D=""Storage cost per pallet / week"")*('cost master'!$G:$G&lt;=B1871)*(('cost master'!$H:$H&gt;=B1871)+ISBLANK('cost master'!$H:$H))),1),0)"),0.0)</f>
        <v>0</v>
      </c>
      <c r="I1871" s="3">
        <f t="shared" si="4"/>
        <v>0</v>
      </c>
      <c r="J1871" s="27">
        <f t="shared" si="5"/>
        <v>693947</v>
      </c>
      <c r="K1871" s="27">
        <f t="shared" si="6"/>
        <v>693977</v>
      </c>
    </row>
    <row r="1872" hidden="1">
      <c r="A1872" s="3" t="str">
        <f t="shared" si="3"/>
        <v/>
      </c>
      <c r="B1872" s="2" t="str">
        <f t="array" ref="B1872">INDEX(helper!$A$3:$A3996,ROUNDUP((ROW()-1)/COUNTA(helper!$D$3:$D3996),0))</f>
        <v/>
      </c>
      <c r="C1872" s="5" t="str">
        <f t="array" ref="C1872">IF(B1872="","",INDEX(helper!$D$3:$D3996,MOD(ROW()-2,COUNTA(helper!$D$3:$D3996))+1))</f>
        <v/>
      </c>
      <c r="D1872" s="3" t="str">
        <f t="array" ref="D1872">IF(B1872="","",INDEX(helper!$E$3:$E3996,MOD(ROW()-2,COUNTA(helper!$D$3:$D3996))+1))</f>
        <v/>
      </c>
      <c r="E1872" s="3" t="str">
        <f t="array" ref="E1872">IF(B1872="","",INDEX(helper!$F$3:$F3996,MOD(ROW()-2,COUNTA(helper!$D$3:$D3996))+1))</f>
        <v/>
      </c>
      <c r="F1872" s="3" t="str">
        <f>IF(B1872="","",SUMIFS('inventory ledger'!$H:$H,'inventory ledger'!$C:$C,C1872,'inventory ledger'!$D:$D,D1872,'inventory ledger'!$E:$E,E1872,'inventory ledger'!$A:$A,"&lt;="&amp;B1872+TIME(23,59,59))-SUMIFS('inventory ledger'!$I:$I,'inventory ledger'!$C:$C,C1872,'inventory ledger'!$D:$D,D1872,'inventory ledger'!$E:$E,E1872,'inventory ledger'!$A:$A,"&lt;="&amp;B1872+TIME(23,59,59)))</f>
        <v/>
      </c>
      <c r="G1872" s="3">
        <f>IFERROR(__xludf.DUMMYFUNCTION("IF(F1872&lt;=0,0,IFERROR(ROUNDUP(F1872/INDEX(FILTER('warehouse config'!$D:$D,('warehouse config'!$B:$B=C1872)*('warehouse config'!$C:$C=D1872)*('warehouse config'!$G:$G&lt;=B1872)*(('warehouse config'!$H:$H&gt;=B1872)+ISBLANK('warehouse config'!$H:$H))),1)),0))"),0.0)</f>
        <v>0</v>
      </c>
      <c r="H1872" s="3">
        <f>IFERROR(__xludf.DUMMYFUNCTION("IFERROR(INDEX(FILTER('cost master'!$E:$E,('cost master'!$B:$B=C1872)*('cost master'!$D:$D=""Storage cost per pallet / week"")*('cost master'!$G:$G&lt;=B1872)*(('cost master'!$H:$H&gt;=B1872)+ISBLANK('cost master'!$H:$H))),1),0)"),0.0)</f>
        <v>0</v>
      </c>
      <c r="I1872" s="3">
        <f t="shared" si="4"/>
        <v>0</v>
      </c>
      <c r="J1872" s="27">
        <f t="shared" si="5"/>
        <v>693947</v>
      </c>
      <c r="K1872" s="27">
        <f t="shared" si="6"/>
        <v>693977</v>
      </c>
    </row>
    <row r="1873" hidden="1">
      <c r="A1873" s="3" t="str">
        <f t="shared" si="3"/>
        <v/>
      </c>
      <c r="B1873" s="2" t="str">
        <f t="array" ref="B1873">INDEX(helper!$A$3:$A3996,ROUNDUP((ROW()-1)/COUNTA(helper!$D$3:$D3996),0))</f>
        <v/>
      </c>
      <c r="C1873" s="5" t="str">
        <f t="array" ref="C1873">IF(B1873="","",INDEX(helper!$D$3:$D3996,MOD(ROW()-2,COUNTA(helper!$D$3:$D3996))+1))</f>
        <v/>
      </c>
      <c r="D1873" s="3" t="str">
        <f t="array" ref="D1873">IF(B1873="","",INDEX(helper!$E$3:$E3996,MOD(ROW()-2,COUNTA(helper!$D$3:$D3996))+1))</f>
        <v/>
      </c>
      <c r="E1873" s="3" t="str">
        <f t="array" ref="E1873">IF(B1873="","",INDEX(helper!$F$3:$F3996,MOD(ROW()-2,COUNTA(helper!$D$3:$D3996))+1))</f>
        <v/>
      </c>
      <c r="F1873" s="3" t="str">
        <f>IF(B1873="","",SUMIFS('inventory ledger'!$H:$H,'inventory ledger'!$C:$C,C1873,'inventory ledger'!$D:$D,D1873,'inventory ledger'!$E:$E,E1873,'inventory ledger'!$A:$A,"&lt;="&amp;B1873+TIME(23,59,59))-SUMIFS('inventory ledger'!$I:$I,'inventory ledger'!$C:$C,C1873,'inventory ledger'!$D:$D,D1873,'inventory ledger'!$E:$E,E1873,'inventory ledger'!$A:$A,"&lt;="&amp;B1873+TIME(23,59,59)))</f>
        <v/>
      </c>
      <c r="G1873" s="3">
        <f>IFERROR(__xludf.DUMMYFUNCTION("IF(F1873&lt;=0,0,IFERROR(ROUNDUP(F1873/INDEX(FILTER('warehouse config'!$D:$D,('warehouse config'!$B:$B=C1873)*('warehouse config'!$C:$C=D1873)*('warehouse config'!$G:$G&lt;=B1873)*(('warehouse config'!$H:$H&gt;=B1873)+ISBLANK('warehouse config'!$H:$H))),1)),0))"),0.0)</f>
        <v>0</v>
      </c>
      <c r="H1873" s="3">
        <f>IFERROR(__xludf.DUMMYFUNCTION("IFERROR(INDEX(FILTER('cost master'!$E:$E,('cost master'!$B:$B=C1873)*('cost master'!$D:$D=""Storage cost per pallet / week"")*('cost master'!$G:$G&lt;=B1873)*(('cost master'!$H:$H&gt;=B1873)+ISBLANK('cost master'!$H:$H))),1),0)"),0.0)</f>
        <v>0</v>
      </c>
      <c r="I1873" s="3">
        <f t="shared" si="4"/>
        <v>0</v>
      </c>
      <c r="J1873" s="27">
        <f t="shared" si="5"/>
        <v>693947</v>
      </c>
      <c r="K1873" s="27">
        <f t="shared" si="6"/>
        <v>693977</v>
      </c>
    </row>
    <row r="1874" hidden="1">
      <c r="A1874" s="3" t="str">
        <f t="shared" si="3"/>
        <v/>
      </c>
      <c r="B1874" s="2" t="str">
        <f t="array" ref="B1874">INDEX(helper!$A$3:$A3996,ROUNDUP((ROW()-1)/COUNTA(helper!$D$3:$D3996),0))</f>
        <v/>
      </c>
      <c r="C1874" s="5" t="str">
        <f t="array" ref="C1874">IF(B1874="","",INDEX(helper!$D$3:$D3996,MOD(ROW()-2,COUNTA(helper!$D$3:$D3996))+1))</f>
        <v/>
      </c>
      <c r="D1874" s="3" t="str">
        <f t="array" ref="D1874">IF(B1874="","",INDEX(helper!$E$3:$E3996,MOD(ROW()-2,COUNTA(helper!$D$3:$D3996))+1))</f>
        <v/>
      </c>
      <c r="E1874" s="3" t="str">
        <f t="array" ref="E1874">IF(B1874="","",INDEX(helper!$F$3:$F3996,MOD(ROW()-2,COUNTA(helper!$D$3:$D3996))+1))</f>
        <v/>
      </c>
      <c r="F1874" s="3" t="str">
        <f>IF(B1874="","",SUMIFS('inventory ledger'!$H:$H,'inventory ledger'!$C:$C,C1874,'inventory ledger'!$D:$D,D1874,'inventory ledger'!$E:$E,E1874,'inventory ledger'!$A:$A,"&lt;="&amp;B1874+TIME(23,59,59))-SUMIFS('inventory ledger'!$I:$I,'inventory ledger'!$C:$C,C1874,'inventory ledger'!$D:$D,D1874,'inventory ledger'!$E:$E,E1874,'inventory ledger'!$A:$A,"&lt;="&amp;B1874+TIME(23,59,59)))</f>
        <v/>
      </c>
      <c r="G1874" s="3">
        <f>IFERROR(__xludf.DUMMYFUNCTION("IF(F1874&lt;=0,0,IFERROR(ROUNDUP(F1874/INDEX(FILTER('warehouse config'!$D:$D,('warehouse config'!$B:$B=C1874)*('warehouse config'!$C:$C=D1874)*('warehouse config'!$G:$G&lt;=B1874)*(('warehouse config'!$H:$H&gt;=B1874)+ISBLANK('warehouse config'!$H:$H))),1)),0))"),0.0)</f>
        <v>0</v>
      </c>
      <c r="H1874" s="3">
        <f>IFERROR(__xludf.DUMMYFUNCTION("IFERROR(INDEX(FILTER('cost master'!$E:$E,('cost master'!$B:$B=C1874)*('cost master'!$D:$D=""Storage cost per pallet / week"")*('cost master'!$G:$G&lt;=B1874)*(('cost master'!$H:$H&gt;=B1874)+ISBLANK('cost master'!$H:$H))),1),0)"),0.0)</f>
        <v>0</v>
      </c>
      <c r="I1874" s="3">
        <f t="shared" si="4"/>
        <v>0</v>
      </c>
      <c r="J1874" s="27">
        <f t="shared" si="5"/>
        <v>693947</v>
      </c>
      <c r="K1874" s="27">
        <f t="shared" si="6"/>
        <v>693977</v>
      </c>
    </row>
    <row r="1875" hidden="1">
      <c r="A1875" s="3" t="str">
        <f t="shared" si="3"/>
        <v/>
      </c>
      <c r="B1875" s="2" t="str">
        <f t="array" ref="B1875">INDEX(helper!$A$3:$A3996,ROUNDUP((ROW()-1)/COUNTA(helper!$D$3:$D3996),0))</f>
        <v/>
      </c>
      <c r="C1875" s="5" t="str">
        <f t="array" ref="C1875">IF(B1875="","",INDEX(helper!$D$3:$D3996,MOD(ROW()-2,COUNTA(helper!$D$3:$D3996))+1))</f>
        <v/>
      </c>
      <c r="D1875" s="3" t="str">
        <f t="array" ref="D1875">IF(B1875="","",INDEX(helper!$E$3:$E3996,MOD(ROW()-2,COUNTA(helper!$D$3:$D3996))+1))</f>
        <v/>
      </c>
      <c r="E1875" s="3" t="str">
        <f t="array" ref="E1875">IF(B1875="","",INDEX(helper!$F$3:$F3996,MOD(ROW()-2,COUNTA(helper!$D$3:$D3996))+1))</f>
        <v/>
      </c>
      <c r="F1875" s="3" t="str">
        <f>IF(B1875="","",SUMIFS('inventory ledger'!$H:$H,'inventory ledger'!$C:$C,C1875,'inventory ledger'!$D:$D,D1875,'inventory ledger'!$E:$E,E1875,'inventory ledger'!$A:$A,"&lt;="&amp;B1875+TIME(23,59,59))-SUMIFS('inventory ledger'!$I:$I,'inventory ledger'!$C:$C,C1875,'inventory ledger'!$D:$D,D1875,'inventory ledger'!$E:$E,E1875,'inventory ledger'!$A:$A,"&lt;="&amp;B1875+TIME(23,59,59)))</f>
        <v/>
      </c>
      <c r="G1875" s="3">
        <f>IFERROR(__xludf.DUMMYFUNCTION("IF(F1875&lt;=0,0,IFERROR(ROUNDUP(F1875/INDEX(FILTER('warehouse config'!$D:$D,('warehouse config'!$B:$B=C1875)*('warehouse config'!$C:$C=D1875)*('warehouse config'!$G:$G&lt;=B1875)*(('warehouse config'!$H:$H&gt;=B1875)+ISBLANK('warehouse config'!$H:$H))),1)),0))"),0.0)</f>
        <v>0</v>
      </c>
      <c r="H1875" s="3">
        <f>IFERROR(__xludf.DUMMYFUNCTION("IFERROR(INDEX(FILTER('cost master'!$E:$E,('cost master'!$B:$B=C1875)*('cost master'!$D:$D=""Storage cost per pallet / week"")*('cost master'!$G:$G&lt;=B1875)*(('cost master'!$H:$H&gt;=B1875)+ISBLANK('cost master'!$H:$H))),1),0)"),0.0)</f>
        <v>0</v>
      </c>
      <c r="I1875" s="3">
        <f t="shared" si="4"/>
        <v>0</v>
      </c>
      <c r="J1875" s="27">
        <f t="shared" si="5"/>
        <v>693947</v>
      </c>
      <c r="K1875" s="27">
        <f t="shared" si="6"/>
        <v>693977</v>
      </c>
    </row>
    <row r="1876" hidden="1">
      <c r="A1876" s="3" t="str">
        <f t="shared" si="3"/>
        <v/>
      </c>
      <c r="B1876" s="2" t="str">
        <f t="array" ref="B1876">INDEX(helper!$A$3:$A3996,ROUNDUP((ROW()-1)/COUNTA(helper!$D$3:$D3996),0))</f>
        <v/>
      </c>
      <c r="C1876" s="5" t="str">
        <f t="array" ref="C1876">IF(B1876="","",INDEX(helper!$D$3:$D3996,MOD(ROW()-2,COUNTA(helper!$D$3:$D3996))+1))</f>
        <v/>
      </c>
      <c r="D1876" s="3" t="str">
        <f t="array" ref="D1876">IF(B1876="","",INDEX(helper!$E$3:$E3996,MOD(ROW()-2,COUNTA(helper!$D$3:$D3996))+1))</f>
        <v/>
      </c>
      <c r="E1876" s="3" t="str">
        <f t="array" ref="E1876">IF(B1876="","",INDEX(helper!$F$3:$F3996,MOD(ROW()-2,COUNTA(helper!$D$3:$D3996))+1))</f>
        <v/>
      </c>
      <c r="F1876" s="3" t="str">
        <f>IF(B1876="","",SUMIFS('inventory ledger'!$H:$H,'inventory ledger'!$C:$C,C1876,'inventory ledger'!$D:$D,D1876,'inventory ledger'!$E:$E,E1876,'inventory ledger'!$A:$A,"&lt;="&amp;B1876+TIME(23,59,59))-SUMIFS('inventory ledger'!$I:$I,'inventory ledger'!$C:$C,C1876,'inventory ledger'!$D:$D,D1876,'inventory ledger'!$E:$E,E1876,'inventory ledger'!$A:$A,"&lt;="&amp;B1876+TIME(23,59,59)))</f>
        <v/>
      </c>
      <c r="G1876" s="3">
        <f>IFERROR(__xludf.DUMMYFUNCTION("IF(F1876&lt;=0,0,IFERROR(ROUNDUP(F1876/INDEX(FILTER('warehouse config'!$D:$D,('warehouse config'!$B:$B=C1876)*('warehouse config'!$C:$C=D1876)*('warehouse config'!$G:$G&lt;=B1876)*(('warehouse config'!$H:$H&gt;=B1876)+ISBLANK('warehouse config'!$H:$H))),1)),0))"),0.0)</f>
        <v>0</v>
      </c>
      <c r="H1876" s="3">
        <f>IFERROR(__xludf.DUMMYFUNCTION("IFERROR(INDEX(FILTER('cost master'!$E:$E,('cost master'!$B:$B=C1876)*('cost master'!$D:$D=""Storage cost per pallet / week"")*('cost master'!$G:$G&lt;=B1876)*(('cost master'!$H:$H&gt;=B1876)+ISBLANK('cost master'!$H:$H))),1),0)"),0.0)</f>
        <v>0</v>
      </c>
      <c r="I1876" s="3">
        <f t="shared" si="4"/>
        <v>0</v>
      </c>
      <c r="J1876" s="27">
        <f t="shared" si="5"/>
        <v>693947</v>
      </c>
      <c r="K1876" s="27">
        <f t="shared" si="6"/>
        <v>693977</v>
      </c>
    </row>
    <row r="1877" hidden="1">
      <c r="A1877" s="3" t="str">
        <f t="shared" si="3"/>
        <v/>
      </c>
      <c r="B1877" s="2" t="str">
        <f t="array" ref="B1877">INDEX(helper!$A$3:$A3996,ROUNDUP((ROW()-1)/COUNTA(helper!$D$3:$D3996),0))</f>
        <v/>
      </c>
      <c r="C1877" s="5" t="str">
        <f t="array" ref="C1877">IF(B1877="","",INDEX(helper!$D$3:$D3996,MOD(ROW()-2,COUNTA(helper!$D$3:$D3996))+1))</f>
        <v/>
      </c>
      <c r="D1877" s="3" t="str">
        <f t="array" ref="D1877">IF(B1877="","",INDEX(helper!$E$3:$E3996,MOD(ROW()-2,COUNTA(helper!$D$3:$D3996))+1))</f>
        <v/>
      </c>
      <c r="E1877" s="3" t="str">
        <f t="array" ref="E1877">IF(B1877="","",INDEX(helper!$F$3:$F3996,MOD(ROW()-2,COUNTA(helper!$D$3:$D3996))+1))</f>
        <v/>
      </c>
      <c r="F1877" s="3" t="str">
        <f>IF(B1877="","",SUMIFS('inventory ledger'!$H:$H,'inventory ledger'!$C:$C,C1877,'inventory ledger'!$D:$D,D1877,'inventory ledger'!$E:$E,E1877,'inventory ledger'!$A:$A,"&lt;="&amp;B1877+TIME(23,59,59))-SUMIFS('inventory ledger'!$I:$I,'inventory ledger'!$C:$C,C1877,'inventory ledger'!$D:$D,D1877,'inventory ledger'!$E:$E,E1877,'inventory ledger'!$A:$A,"&lt;="&amp;B1877+TIME(23,59,59)))</f>
        <v/>
      </c>
      <c r="G1877" s="3">
        <f>IFERROR(__xludf.DUMMYFUNCTION("IF(F1877&lt;=0,0,IFERROR(ROUNDUP(F1877/INDEX(FILTER('warehouse config'!$D:$D,('warehouse config'!$B:$B=C1877)*('warehouse config'!$C:$C=D1877)*('warehouse config'!$G:$G&lt;=B1877)*(('warehouse config'!$H:$H&gt;=B1877)+ISBLANK('warehouse config'!$H:$H))),1)),0))"),0.0)</f>
        <v>0</v>
      </c>
      <c r="H1877" s="3">
        <f>IFERROR(__xludf.DUMMYFUNCTION("IFERROR(INDEX(FILTER('cost master'!$E:$E,('cost master'!$B:$B=C1877)*('cost master'!$D:$D=""Storage cost per pallet / week"")*('cost master'!$G:$G&lt;=B1877)*(('cost master'!$H:$H&gt;=B1877)+ISBLANK('cost master'!$H:$H))),1),0)"),0.0)</f>
        <v>0</v>
      </c>
      <c r="I1877" s="3">
        <f t="shared" si="4"/>
        <v>0</v>
      </c>
      <c r="J1877" s="27">
        <f t="shared" si="5"/>
        <v>693947</v>
      </c>
      <c r="K1877" s="27">
        <f t="shared" si="6"/>
        <v>693977</v>
      </c>
    </row>
    <row r="1878" hidden="1">
      <c r="A1878" s="3" t="str">
        <f t="shared" si="3"/>
        <v/>
      </c>
      <c r="B1878" s="2" t="str">
        <f t="array" ref="B1878">INDEX(helper!$A$3:$A3996,ROUNDUP((ROW()-1)/COUNTA(helper!$D$3:$D3996),0))</f>
        <v/>
      </c>
      <c r="C1878" s="5" t="str">
        <f t="array" ref="C1878">IF(B1878="","",INDEX(helper!$D$3:$D3996,MOD(ROW()-2,COUNTA(helper!$D$3:$D3996))+1))</f>
        <v/>
      </c>
      <c r="D1878" s="3" t="str">
        <f t="array" ref="D1878">IF(B1878="","",INDEX(helper!$E$3:$E3996,MOD(ROW()-2,COUNTA(helper!$D$3:$D3996))+1))</f>
        <v/>
      </c>
      <c r="E1878" s="3" t="str">
        <f t="array" ref="E1878">IF(B1878="","",INDEX(helper!$F$3:$F3996,MOD(ROW()-2,COUNTA(helper!$D$3:$D3996))+1))</f>
        <v/>
      </c>
      <c r="F1878" s="3" t="str">
        <f>IF(B1878="","",SUMIFS('inventory ledger'!$H:$H,'inventory ledger'!$C:$C,C1878,'inventory ledger'!$D:$D,D1878,'inventory ledger'!$E:$E,E1878,'inventory ledger'!$A:$A,"&lt;="&amp;B1878+TIME(23,59,59))-SUMIFS('inventory ledger'!$I:$I,'inventory ledger'!$C:$C,C1878,'inventory ledger'!$D:$D,D1878,'inventory ledger'!$E:$E,E1878,'inventory ledger'!$A:$A,"&lt;="&amp;B1878+TIME(23,59,59)))</f>
        <v/>
      </c>
      <c r="G1878" s="3">
        <f>IFERROR(__xludf.DUMMYFUNCTION("IF(F1878&lt;=0,0,IFERROR(ROUNDUP(F1878/INDEX(FILTER('warehouse config'!$D:$D,('warehouse config'!$B:$B=C1878)*('warehouse config'!$C:$C=D1878)*('warehouse config'!$G:$G&lt;=B1878)*(('warehouse config'!$H:$H&gt;=B1878)+ISBLANK('warehouse config'!$H:$H))),1)),0))"),0.0)</f>
        <v>0</v>
      </c>
      <c r="H1878" s="3">
        <f>IFERROR(__xludf.DUMMYFUNCTION("IFERROR(INDEX(FILTER('cost master'!$E:$E,('cost master'!$B:$B=C1878)*('cost master'!$D:$D=""Storage cost per pallet / week"")*('cost master'!$G:$G&lt;=B1878)*(('cost master'!$H:$H&gt;=B1878)+ISBLANK('cost master'!$H:$H))),1),0)"),0.0)</f>
        <v>0</v>
      </c>
      <c r="I1878" s="3">
        <f t="shared" si="4"/>
        <v>0</v>
      </c>
      <c r="J1878" s="27">
        <f t="shared" si="5"/>
        <v>693947</v>
      </c>
      <c r="K1878" s="27">
        <f t="shared" si="6"/>
        <v>693977</v>
      </c>
    </row>
    <row r="1879" hidden="1">
      <c r="A1879" s="3" t="str">
        <f t="shared" si="3"/>
        <v/>
      </c>
      <c r="B1879" s="2" t="str">
        <f t="array" ref="B1879">INDEX(helper!$A$3:$A3996,ROUNDUP((ROW()-1)/COUNTA(helper!$D$3:$D3996),0))</f>
        <v/>
      </c>
      <c r="C1879" s="5" t="str">
        <f t="array" ref="C1879">IF(B1879="","",INDEX(helper!$D$3:$D3996,MOD(ROW()-2,COUNTA(helper!$D$3:$D3996))+1))</f>
        <v/>
      </c>
      <c r="D1879" s="3" t="str">
        <f t="array" ref="D1879">IF(B1879="","",INDEX(helper!$E$3:$E3996,MOD(ROW()-2,COUNTA(helper!$D$3:$D3996))+1))</f>
        <v/>
      </c>
      <c r="E1879" s="3" t="str">
        <f t="array" ref="E1879">IF(B1879="","",INDEX(helper!$F$3:$F3996,MOD(ROW()-2,COUNTA(helper!$D$3:$D3996))+1))</f>
        <v/>
      </c>
      <c r="F1879" s="3" t="str">
        <f>IF(B1879="","",SUMIFS('inventory ledger'!$H:$H,'inventory ledger'!$C:$C,C1879,'inventory ledger'!$D:$D,D1879,'inventory ledger'!$E:$E,E1879,'inventory ledger'!$A:$A,"&lt;="&amp;B1879+TIME(23,59,59))-SUMIFS('inventory ledger'!$I:$I,'inventory ledger'!$C:$C,C1879,'inventory ledger'!$D:$D,D1879,'inventory ledger'!$E:$E,E1879,'inventory ledger'!$A:$A,"&lt;="&amp;B1879+TIME(23,59,59)))</f>
        <v/>
      </c>
      <c r="G1879" s="3">
        <f>IFERROR(__xludf.DUMMYFUNCTION("IF(F1879&lt;=0,0,IFERROR(ROUNDUP(F1879/INDEX(FILTER('warehouse config'!$D:$D,('warehouse config'!$B:$B=C1879)*('warehouse config'!$C:$C=D1879)*('warehouse config'!$G:$G&lt;=B1879)*(('warehouse config'!$H:$H&gt;=B1879)+ISBLANK('warehouse config'!$H:$H))),1)),0))"),0.0)</f>
        <v>0</v>
      </c>
      <c r="H1879" s="3">
        <f>IFERROR(__xludf.DUMMYFUNCTION("IFERROR(INDEX(FILTER('cost master'!$E:$E,('cost master'!$B:$B=C1879)*('cost master'!$D:$D=""Storage cost per pallet / week"")*('cost master'!$G:$G&lt;=B1879)*(('cost master'!$H:$H&gt;=B1879)+ISBLANK('cost master'!$H:$H))),1),0)"),0.0)</f>
        <v>0</v>
      </c>
      <c r="I1879" s="3">
        <f t="shared" si="4"/>
        <v>0</v>
      </c>
      <c r="J1879" s="27">
        <f t="shared" si="5"/>
        <v>693947</v>
      </c>
      <c r="K1879" s="27">
        <f t="shared" si="6"/>
        <v>693977</v>
      </c>
    </row>
    <row r="1880" hidden="1">
      <c r="A1880" s="3" t="str">
        <f t="shared" si="3"/>
        <v/>
      </c>
      <c r="B1880" s="2" t="str">
        <f t="array" ref="B1880">INDEX(helper!$A$3:$A3996,ROUNDUP((ROW()-1)/COUNTA(helper!$D$3:$D3996),0))</f>
        <v/>
      </c>
      <c r="C1880" s="5" t="str">
        <f t="array" ref="C1880">IF(B1880="","",INDEX(helper!$D$3:$D3996,MOD(ROW()-2,COUNTA(helper!$D$3:$D3996))+1))</f>
        <v/>
      </c>
      <c r="D1880" s="3" t="str">
        <f t="array" ref="D1880">IF(B1880="","",INDEX(helper!$E$3:$E3996,MOD(ROW()-2,COUNTA(helper!$D$3:$D3996))+1))</f>
        <v/>
      </c>
      <c r="E1880" s="3" t="str">
        <f t="array" ref="E1880">IF(B1880="","",INDEX(helper!$F$3:$F3996,MOD(ROW()-2,COUNTA(helper!$D$3:$D3996))+1))</f>
        <v/>
      </c>
      <c r="F1880" s="3" t="str">
        <f>IF(B1880="","",SUMIFS('inventory ledger'!$H:$H,'inventory ledger'!$C:$C,C1880,'inventory ledger'!$D:$D,D1880,'inventory ledger'!$E:$E,E1880,'inventory ledger'!$A:$A,"&lt;="&amp;B1880+TIME(23,59,59))-SUMIFS('inventory ledger'!$I:$I,'inventory ledger'!$C:$C,C1880,'inventory ledger'!$D:$D,D1880,'inventory ledger'!$E:$E,E1880,'inventory ledger'!$A:$A,"&lt;="&amp;B1880+TIME(23,59,59)))</f>
        <v/>
      </c>
      <c r="G1880" s="3">
        <f>IFERROR(__xludf.DUMMYFUNCTION("IF(F1880&lt;=0,0,IFERROR(ROUNDUP(F1880/INDEX(FILTER('warehouse config'!$D:$D,('warehouse config'!$B:$B=C1880)*('warehouse config'!$C:$C=D1880)*('warehouse config'!$G:$G&lt;=B1880)*(('warehouse config'!$H:$H&gt;=B1880)+ISBLANK('warehouse config'!$H:$H))),1)),0))"),0.0)</f>
        <v>0</v>
      </c>
      <c r="H1880" s="3">
        <f>IFERROR(__xludf.DUMMYFUNCTION("IFERROR(INDEX(FILTER('cost master'!$E:$E,('cost master'!$B:$B=C1880)*('cost master'!$D:$D=""Storage cost per pallet / week"")*('cost master'!$G:$G&lt;=B1880)*(('cost master'!$H:$H&gt;=B1880)+ISBLANK('cost master'!$H:$H))),1),0)"),0.0)</f>
        <v>0</v>
      </c>
      <c r="I1880" s="3">
        <f t="shared" si="4"/>
        <v>0</v>
      </c>
      <c r="J1880" s="27">
        <f t="shared" si="5"/>
        <v>693947</v>
      </c>
      <c r="K1880" s="27">
        <f t="shared" si="6"/>
        <v>693977</v>
      </c>
    </row>
    <row r="1881" hidden="1">
      <c r="A1881" s="3" t="str">
        <f t="shared" si="3"/>
        <v/>
      </c>
      <c r="B1881" s="2" t="str">
        <f t="array" ref="B1881">INDEX(helper!$A$3:$A3996,ROUNDUP((ROW()-1)/COUNTA(helper!$D$3:$D3996),0))</f>
        <v/>
      </c>
      <c r="C1881" s="5" t="str">
        <f t="array" ref="C1881">IF(B1881="","",INDEX(helper!$D$3:$D3996,MOD(ROW()-2,COUNTA(helper!$D$3:$D3996))+1))</f>
        <v/>
      </c>
      <c r="D1881" s="3" t="str">
        <f t="array" ref="D1881">IF(B1881="","",INDEX(helper!$E$3:$E3996,MOD(ROW()-2,COUNTA(helper!$D$3:$D3996))+1))</f>
        <v/>
      </c>
      <c r="E1881" s="3" t="str">
        <f t="array" ref="E1881">IF(B1881="","",INDEX(helper!$F$3:$F3996,MOD(ROW()-2,COUNTA(helper!$D$3:$D3996))+1))</f>
        <v/>
      </c>
      <c r="F1881" s="3" t="str">
        <f>IF(B1881="","",SUMIFS('inventory ledger'!$H:$H,'inventory ledger'!$C:$C,C1881,'inventory ledger'!$D:$D,D1881,'inventory ledger'!$E:$E,E1881,'inventory ledger'!$A:$A,"&lt;="&amp;B1881+TIME(23,59,59))-SUMIFS('inventory ledger'!$I:$I,'inventory ledger'!$C:$C,C1881,'inventory ledger'!$D:$D,D1881,'inventory ledger'!$E:$E,E1881,'inventory ledger'!$A:$A,"&lt;="&amp;B1881+TIME(23,59,59)))</f>
        <v/>
      </c>
      <c r="G1881" s="3">
        <f>IFERROR(__xludf.DUMMYFUNCTION("IF(F1881&lt;=0,0,IFERROR(ROUNDUP(F1881/INDEX(FILTER('warehouse config'!$D:$D,('warehouse config'!$B:$B=C1881)*('warehouse config'!$C:$C=D1881)*('warehouse config'!$G:$G&lt;=B1881)*(('warehouse config'!$H:$H&gt;=B1881)+ISBLANK('warehouse config'!$H:$H))),1)),0))"),0.0)</f>
        <v>0</v>
      </c>
      <c r="H1881" s="3">
        <f>IFERROR(__xludf.DUMMYFUNCTION("IFERROR(INDEX(FILTER('cost master'!$E:$E,('cost master'!$B:$B=C1881)*('cost master'!$D:$D=""Storage cost per pallet / week"")*('cost master'!$G:$G&lt;=B1881)*(('cost master'!$H:$H&gt;=B1881)+ISBLANK('cost master'!$H:$H))),1),0)"),0.0)</f>
        <v>0</v>
      </c>
      <c r="I1881" s="3">
        <f t="shared" si="4"/>
        <v>0</v>
      </c>
      <c r="J1881" s="27">
        <f t="shared" si="5"/>
        <v>693947</v>
      </c>
      <c r="K1881" s="27">
        <f t="shared" si="6"/>
        <v>693977</v>
      </c>
    </row>
    <row r="1882" hidden="1">
      <c r="A1882" s="3" t="str">
        <f t="shared" si="3"/>
        <v/>
      </c>
      <c r="B1882" s="2" t="str">
        <f t="array" ref="B1882">INDEX(helper!$A$3:$A3996,ROUNDUP((ROW()-1)/COUNTA(helper!$D$3:$D3996),0))</f>
        <v/>
      </c>
      <c r="C1882" s="5" t="str">
        <f t="array" ref="C1882">IF(B1882="","",INDEX(helper!$D$3:$D3996,MOD(ROW()-2,COUNTA(helper!$D$3:$D3996))+1))</f>
        <v/>
      </c>
      <c r="D1882" s="3" t="str">
        <f t="array" ref="D1882">IF(B1882="","",INDEX(helper!$E$3:$E3996,MOD(ROW()-2,COUNTA(helper!$D$3:$D3996))+1))</f>
        <v/>
      </c>
      <c r="E1882" s="3" t="str">
        <f t="array" ref="E1882">IF(B1882="","",INDEX(helper!$F$3:$F3996,MOD(ROW()-2,COUNTA(helper!$D$3:$D3996))+1))</f>
        <v/>
      </c>
      <c r="F1882" s="3" t="str">
        <f>IF(B1882="","",SUMIFS('inventory ledger'!$H:$H,'inventory ledger'!$C:$C,C1882,'inventory ledger'!$D:$D,D1882,'inventory ledger'!$E:$E,E1882,'inventory ledger'!$A:$A,"&lt;="&amp;B1882+TIME(23,59,59))-SUMIFS('inventory ledger'!$I:$I,'inventory ledger'!$C:$C,C1882,'inventory ledger'!$D:$D,D1882,'inventory ledger'!$E:$E,E1882,'inventory ledger'!$A:$A,"&lt;="&amp;B1882+TIME(23,59,59)))</f>
        <v/>
      </c>
      <c r="G1882" s="3">
        <f>IFERROR(__xludf.DUMMYFUNCTION("IF(F1882&lt;=0,0,IFERROR(ROUNDUP(F1882/INDEX(FILTER('warehouse config'!$D:$D,('warehouse config'!$B:$B=C1882)*('warehouse config'!$C:$C=D1882)*('warehouse config'!$G:$G&lt;=B1882)*(('warehouse config'!$H:$H&gt;=B1882)+ISBLANK('warehouse config'!$H:$H))),1)),0))"),0.0)</f>
        <v>0</v>
      </c>
      <c r="H1882" s="3">
        <f>IFERROR(__xludf.DUMMYFUNCTION("IFERROR(INDEX(FILTER('cost master'!$E:$E,('cost master'!$B:$B=C1882)*('cost master'!$D:$D=""Storage cost per pallet / week"")*('cost master'!$G:$G&lt;=B1882)*(('cost master'!$H:$H&gt;=B1882)+ISBLANK('cost master'!$H:$H))),1),0)"),0.0)</f>
        <v>0</v>
      </c>
      <c r="I1882" s="3">
        <f t="shared" si="4"/>
        <v>0</v>
      </c>
      <c r="J1882" s="27">
        <f t="shared" si="5"/>
        <v>693947</v>
      </c>
      <c r="K1882" s="27">
        <f t="shared" si="6"/>
        <v>693977</v>
      </c>
    </row>
    <row r="1883" hidden="1">
      <c r="A1883" s="3" t="str">
        <f t="shared" si="3"/>
        <v/>
      </c>
      <c r="B1883" s="2" t="str">
        <f t="array" ref="B1883">INDEX(helper!$A$3:$A3996,ROUNDUP((ROW()-1)/COUNTA(helper!$D$3:$D3996),0))</f>
        <v/>
      </c>
      <c r="C1883" s="5" t="str">
        <f t="array" ref="C1883">IF(B1883="","",INDEX(helper!$D$3:$D3996,MOD(ROW()-2,COUNTA(helper!$D$3:$D3996))+1))</f>
        <v/>
      </c>
      <c r="D1883" s="3" t="str">
        <f t="array" ref="D1883">IF(B1883="","",INDEX(helper!$E$3:$E3996,MOD(ROW()-2,COUNTA(helper!$D$3:$D3996))+1))</f>
        <v/>
      </c>
      <c r="E1883" s="3" t="str">
        <f t="array" ref="E1883">IF(B1883="","",INDEX(helper!$F$3:$F3996,MOD(ROW()-2,COUNTA(helper!$D$3:$D3996))+1))</f>
        <v/>
      </c>
      <c r="F1883" s="3" t="str">
        <f>IF(B1883="","",SUMIFS('inventory ledger'!$H:$H,'inventory ledger'!$C:$C,C1883,'inventory ledger'!$D:$D,D1883,'inventory ledger'!$E:$E,E1883,'inventory ledger'!$A:$A,"&lt;="&amp;B1883+TIME(23,59,59))-SUMIFS('inventory ledger'!$I:$I,'inventory ledger'!$C:$C,C1883,'inventory ledger'!$D:$D,D1883,'inventory ledger'!$E:$E,E1883,'inventory ledger'!$A:$A,"&lt;="&amp;B1883+TIME(23,59,59)))</f>
        <v/>
      </c>
      <c r="G1883" s="3">
        <f>IFERROR(__xludf.DUMMYFUNCTION("IF(F1883&lt;=0,0,IFERROR(ROUNDUP(F1883/INDEX(FILTER('warehouse config'!$D:$D,('warehouse config'!$B:$B=C1883)*('warehouse config'!$C:$C=D1883)*('warehouse config'!$G:$G&lt;=B1883)*(('warehouse config'!$H:$H&gt;=B1883)+ISBLANK('warehouse config'!$H:$H))),1)),0))"),0.0)</f>
        <v>0</v>
      </c>
      <c r="H1883" s="3">
        <f>IFERROR(__xludf.DUMMYFUNCTION("IFERROR(INDEX(FILTER('cost master'!$E:$E,('cost master'!$B:$B=C1883)*('cost master'!$D:$D=""Storage cost per pallet / week"")*('cost master'!$G:$G&lt;=B1883)*(('cost master'!$H:$H&gt;=B1883)+ISBLANK('cost master'!$H:$H))),1),0)"),0.0)</f>
        <v>0</v>
      </c>
      <c r="I1883" s="3">
        <f t="shared" si="4"/>
        <v>0</v>
      </c>
      <c r="J1883" s="27">
        <f t="shared" si="5"/>
        <v>693947</v>
      </c>
      <c r="K1883" s="27">
        <f t="shared" si="6"/>
        <v>693977</v>
      </c>
    </row>
    <row r="1884" hidden="1">
      <c r="A1884" s="3" t="str">
        <f t="shared" si="3"/>
        <v/>
      </c>
      <c r="B1884" s="2" t="str">
        <f t="array" ref="B1884">INDEX(helper!$A$3:$A3996,ROUNDUP((ROW()-1)/COUNTA(helper!$D$3:$D3996),0))</f>
        <v/>
      </c>
      <c r="C1884" s="5" t="str">
        <f t="array" ref="C1884">IF(B1884="","",INDEX(helper!$D$3:$D3996,MOD(ROW()-2,COUNTA(helper!$D$3:$D3996))+1))</f>
        <v/>
      </c>
      <c r="D1884" s="3" t="str">
        <f t="array" ref="D1884">IF(B1884="","",INDEX(helper!$E$3:$E3996,MOD(ROW()-2,COUNTA(helper!$D$3:$D3996))+1))</f>
        <v/>
      </c>
      <c r="E1884" s="3" t="str">
        <f t="array" ref="E1884">IF(B1884="","",INDEX(helper!$F$3:$F3996,MOD(ROW()-2,COUNTA(helper!$D$3:$D3996))+1))</f>
        <v/>
      </c>
      <c r="F1884" s="3" t="str">
        <f>IF(B1884="","",SUMIFS('inventory ledger'!$H:$H,'inventory ledger'!$C:$C,C1884,'inventory ledger'!$D:$D,D1884,'inventory ledger'!$E:$E,E1884,'inventory ledger'!$A:$A,"&lt;="&amp;B1884+TIME(23,59,59))-SUMIFS('inventory ledger'!$I:$I,'inventory ledger'!$C:$C,C1884,'inventory ledger'!$D:$D,D1884,'inventory ledger'!$E:$E,E1884,'inventory ledger'!$A:$A,"&lt;="&amp;B1884+TIME(23,59,59)))</f>
        <v/>
      </c>
      <c r="G1884" s="3">
        <f>IFERROR(__xludf.DUMMYFUNCTION("IF(F1884&lt;=0,0,IFERROR(ROUNDUP(F1884/INDEX(FILTER('warehouse config'!$D:$D,('warehouse config'!$B:$B=C1884)*('warehouse config'!$C:$C=D1884)*('warehouse config'!$G:$G&lt;=B1884)*(('warehouse config'!$H:$H&gt;=B1884)+ISBLANK('warehouse config'!$H:$H))),1)),0))"),0.0)</f>
        <v>0</v>
      </c>
      <c r="H1884" s="3">
        <f>IFERROR(__xludf.DUMMYFUNCTION("IFERROR(INDEX(FILTER('cost master'!$E:$E,('cost master'!$B:$B=C1884)*('cost master'!$D:$D=""Storage cost per pallet / week"")*('cost master'!$G:$G&lt;=B1884)*(('cost master'!$H:$H&gt;=B1884)+ISBLANK('cost master'!$H:$H))),1),0)"),0.0)</f>
        <v>0</v>
      </c>
      <c r="I1884" s="3">
        <f t="shared" si="4"/>
        <v>0</v>
      </c>
      <c r="J1884" s="27">
        <f t="shared" si="5"/>
        <v>693947</v>
      </c>
      <c r="K1884" s="27">
        <f t="shared" si="6"/>
        <v>693977</v>
      </c>
    </row>
    <row r="1885" hidden="1">
      <c r="A1885" s="3" t="str">
        <f t="shared" si="3"/>
        <v/>
      </c>
      <c r="B1885" s="2" t="str">
        <f t="array" ref="B1885">INDEX(helper!$A$3:$A3996,ROUNDUP((ROW()-1)/COUNTA(helper!$D$3:$D3996),0))</f>
        <v/>
      </c>
      <c r="C1885" s="5" t="str">
        <f t="array" ref="C1885">IF(B1885="","",INDEX(helper!$D$3:$D3996,MOD(ROW()-2,COUNTA(helper!$D$3:$D3996))+1))</f>
        <v/>
      </c>
      <c r="D1885" s="3" t="str">
        <f t="array" ref="D1885">IF(B1885="","",INDEX(helper!$E$3:$E3996,MOD(ROW()-2,COUNTA(helper!$D$3:$D3996))+1))</f>
        <v/>
      </c>
      <c r="E1885" s="3" t="str">
        <f t="array" ref="E1885">IF(B1885="","",INDEX(helper!$F$3:$F3996,MOD(ROW()-2,COUNTA(helper!$D$3:$D3996))+1))</f>
        <v/>
      </c>
      <c r="F1885" s="3" t="str">
        <f>IF(B1885="","",SUMIFS('inventory ledger'!$H:$H,'inventory ledger'!$C:$C,C1885,'inventory ledger'!$D:$D,D1885,'inventory ledger'!$E:$E,E1885,'inventory ledger'!$A:$A,"&lt;="&amp;B1885+TIME(23,59,59))-SUMIFS('inventory ledger'!$I:$I,'inventory ledger'!$C:$C,C1885,'inventory ledger'!$D:$D,D1885,'inventory ledger'!$E:$E,E1885,'inventory ledger'!$A:$A,"&lt;="&amp;B1885+TIME(23,59,59)))</f>
        <v/>
      </c>
      <c r="G1885" s="3">
        <f>IFERROR(__xludf.DUMMYFUNCTION("IF(F1885&lt;=0,0,IFERROR(ROUNDUP(F1885/INDEX(FILTER('warehouse config'!$D:$D,('warehouse config'!$B:$B=C1885)*('warehouse config'!$C:$C=D1885)*('warehouse config'!$G:$G&lt;=B1885)*(('warehouse config'!$H:$H&gt;=B1885)+ISBLANK('warehouse config'!$H:$H))),1)),0))"),0.0)</f>
        <v>0</v>
      </c>
      <c r="H1885" s="3">
        <f>IFERROR(__xludf.DUMMYFUNCTION("IFERROR(INDEX(FILTER('cost master'!$E:$E,('cost master'!$B:$B=C1885)*('cost master'!$D:$D=""Storage cost per pallet / week"")*('cost master'!$G:$G&lt;=B1885)*(('cost master'!$H:$H&gt;=B1885)+ISBLANK('cost master'!$H:$H))),1),0)"),0.0)</f>
        <v>0</v>
      </c>
      <c r="I1885" s="3">
        <f t="shared" si="4"/>
        <v>0</v>
      </c>
      <c r="J1885" s="27">
        <f t="shared" si="5"/>
        <v>693947</v>
      </c>
      <c r="K1885" s="27">
        <f t="shared" si="6"/>
        <v>693977</v>
      </c>
    </row>
    <row r="1886" hidden="1">
      <c r="A1886" s="3" t="str">
        <f t="shared" si="3"/>
        <v/>
      </c>
      <c r="B1886" s="2" t="str">
        <f t="array" ref="B1886">INDEX(helper!$A$3:$A3996,ROUNDUP((ROW()-1)/COUNTA(helper!$D$3:$D3996),0))</f>
        <v/>
      </c>
      <c r="C1886" s="5" t="str">
        <f t="array" ref="C1886">IF(B1886="","",INDEX(helper!$D$3:$D3996,MOD(ROW()-2,COUNTA(helper!$D$3:$D3996))+1))</f>
        <v/>
      </c>
      <c r="D1886" s="3" t="str">
        <f t="array" ref="D1886">IF(B1886="","",INDEX(helper!$E$3:$E3996,MOD(ROW()-2,COUNTA(helper!$D$3:$D3996))+1))</f>
        <v/>
      </c>
      <c r="E1886" s="3" t="str">
        <f t="array" ref="E1886">IF(B1886="","",INDEX(helper!$F$3:$F3996,MOD(ROW()-2,COUNTA(helper!$D$3:$D3996))+1))</f>
        <v/>
      </c>
      <c r="F1886" s="3" t="str">
        <f>IF(B1886="","",SUMIFS('inventory ledger'!$H:$H,'inventory ledger'!$C:$C,C1886,'inventory ledger'!$D:$D,D1886,'inventory ledger'!$E:$E,E1886,'inventory ledger'!$A:$A,"&lt;="&amp;B1886+TIME(23,59,59))-SUMIFS('inventory ledger'!$I:$I,'inventory ledger'!$C:$C,C1886,'inventory ledger'!$D:$D,D1886,'inventory ledger'!$E:$E,E1886,'inventory ledger'!$A:$A,"&lt;="&amp;B1886+TIME(23,59,59)))</f>
        <v/>
      </c>
      <c r="G1886" s="3">
        <f>IFERROR(__xludf.DUMMYFUNCTION("IF(F1886&lt;=0,0,IFERROR(ROUNDUP(F1886/INDEX(FILTER('warehouse config'!$D:$D,('warehouse config'!$B:$B=C1886)*('warehouse config'!$C:$C=D1886)*('warehouse config'!$G:$G&lt;=B1886)*(('warehouse config'!$H:$H&gt;=B1886)+ISBLANK('warehouse config'!$H:$H))),1)),0))"),0.0)</f>
        <v>0</v>
      </c>
      <c r="H1886" s="3">
        <f>IFERROR(__xludf.DUMMYFUNCTION("IFERROR(INDEX(FILTER('cost master'!$E:$E,('cost master'!$B:$B=C1886)*('cost master'!$D:$D=""Storage cost per pallet / week"")*('cost master'!$G:$G&lt;=B1886)*(('cost master'!$H:$H&gt;=B1886)+ISBLANK('cost master'!$H:$H))),1),0)"),0.0)</f>
        <v>0</v>
      </c>
      <c r="I1886" s="3">
        <f t="shared" si="4"/>
        <v>0</v>
      </c>
      <c r="J1886" s="27">
        <f t="shared" si="5"/>
        <v>693947</v>
      </c>
      <c r="K1886" s="27">
        <f t="shared" si="6"/>
        <v>693977</v>
      </c>
    </row>
    <row r="1887" hidden="1">
      <c r="A1887" s="3" t="str">
        <f t="shared" si="3"/>
        <v/>
      </c>
      <c r="B1887" s="2" t="str">
        <f t="array" ref="B1887">INDEX(helper!$A$3:$A3996,ROUNDUP((ROW()-1)/COUNTA(helper!$D$3:$D3996),0))</f>
        <v/>
      </c>
      <c r="C1887" s="5" t="str">
        <f t="array" ref="C1887">IF(B1887="","",INDEX(helper!$D$3:$D3996,MOD(ROW()-2,COUNTA(helper!$D$3:$D3996))+1))</f>
        <v/>
      </c>
      <c r="D1887" s="3" t="str">
        <f t="array" ref="D1887">IF(B1887="","",INDEX(helper!$E$3:$E3996,MOD(ROW()-2,COUNTA(helper!$D$3:$D3996))+1))</f>
        <v/>
      </c>
      <c r="E1887" s="3" t="str">
        <f t="array" ref="E1887">IF(B1887="","",INDEX(helper!$F$3:$F3996,MOD(ROW()-2,COUNTA(helper!$D$3:$D3996))+1))</f>
        <v/>
      </c>
      <c r="F1887" s="3" t="str">
        <f>IF(B1887="","",SUMIFS('inventory ledger'!$H:$H,'inventory ledger'!$C:$C,C1887,'inventory ledger'!$D:$D,D1887,'inventory ledger'!$E:$E,E1887,'inventory ledger'!$A:$A,"&lt;="&amp;B1887+TIME(23,59,59))-SUMIFS('inventory ledger'!$I:$I,'inventory ledger'!$C:$C,C1887,'inventory ledger'!$D:$D,D1887,'inventory ledger'!$E:$E,E1887,'inventory ledger'!$A:$A,"&lt;="&amp;B1887+TIME(23,59,59)))</f>
        <v/>
      </c>
      <c r="G1887" s="3">
        <f>IFERROR(__xludf.DUMMYFUNCTION("IF(F1887&lt;=0,0,IFERROR(ROUNDUP(F1887/INDEX(FILTER('warehouse config'!$D:$D,('warehouse config'!$B:$B=C1887)*('warehouse config'!$C:$C=D1887)*('warehouse config'!$G:$G&lt;=B1887)*(('warehouse config'!$H:$H&gt;=B1887)+ISBLANK('warehouse config'!$H:$H))),1)),0))"),0.0)</f>
        <v>0</v>
      </c>
      <c r="H1887" s="3">
        <f>IFERROR(__xludf.DUMMYFUNCTION("IFERROR(INDEX(FILTER('cost master'!$E:$E,('cost master'!$B:$B=C1887)*('cost master'!$D:$D=""Storage cost per pallet / week"")*('cost master'!$G:$G&lt;=B1887)*(('cost master'!$H:$H&gt;=B1887)+ISBLANK('cost master'!$H:$H))),1),0)"),0.0)</f>
        <v>0</v>
      </c>
      <c r="I1887" s="3">
        <f t="shared" si="4"/>
        <v>0</v>
      </c>
      <c r="J1887" s="27">
        <f t="shared" si="5"/>
        <v>693947</v>
      </c>
      <c r="K1887" s="27">
        <f t="shared" si="6"/>
        <v>693977</v>
      </c>
    </row>
    <row r="1888" hidden="1">
      <c r="A1888" s="3" t="str">
        <f t="shared" si="3"/>
        <v/>
      </c>
      <c r="B1888" s="2" t="str">
        <f t="array" ref="B1888">INDEX(helper!$A$3:$A3996,ROUNDUP((ROW()-1)/COUNTA(helper!$D$3:$D3996),0))</f>
        <v/>
      </c>
      <c r="C1888" s="5" t="str">
        <f t="array" ref="C1888">IF(B1888="","",INDEX(helper!$D$3:$D3996,MOD(ROW()-2,COUNTA(helper!$D$3:$D3996))+1))</f>
        <v/>
      </c>
      <c r="D1888" s="3" t="str">
        <f t="array" ref="D1888">IF(B1888="","",INDEX(helper!$E$3:$E3996,MOD(ROW()-2,COUNTA(helper!$D$3:$D3996))+1))</f>
        <v/>
      </c>
      <c r="E1888" s="3" t="str">
        <f t="array" ref="E1888">IF(B1888="","",INDEX(helper!$F$3:$F3996,MOD(ROW()-2,COUNTA(helper!$D$3:$D3996))+1))</f>
        <v/>
      </c>
      <c r="F1888" s="3" t="str">
        <f>IF(B1888="","",SUMIFS('inventory ledger'!$H:$H,'inventory ledger'!$C:$C,C1888,'inventory ledger'!$D:$D,D1888,'inventory ledger'!$E:$E,E1888,'inventory ledger'!$A:$A,"&lt;="&amp;B1888+TIME(23,59,59))-SUMIFS('inventory ledger'!$I:$I,'inventory ledger'!$C:$C,C1888,'inventory ledger'!$D:$D,D1888,'inventory ledger'!$E:$E,E1888,'inventory ledger'!$A:$A,"&lt;="&amp;B1888+TIME(23,59,59)))</f>
        <v/>
      </c>
      <c r="G1888" s="3">
        <f>IFERROR(__xludf.DUMMYFUNCTION("IF(F1888&lt;=0,0,IFERROR(ROUNDUP(F1888/INDEX(FILTER('warehouse config'!$D:$D,('warehouse config'!$B:$B=C1888)*('warehouse config'!$C:$C=D1888)*('warehouse config'!$G:$G&lt;=B1888)*(('warehouse config'!$H:$H&gt;=B1888)+ISBLANK('warehouse config'!$H:$H))),1)),0))"),0.0)</f>
        <v>0</v>
      </c>
      <c r="H1888" s="3">
        <f>IFERROR(__xludf.DUMMYFUNCTION("IFERROR(INDEX(FILTER('cost master'!$E:$E,('cost master'!$B:$B=C1888)*('cost master'!$D:$D=""Storage cost per pallet / week"")*('cost master'!$G:$G&lt;=B1888)*(('cost master'!$H:$H&gt;=B1888)+ISBLANK('cost master'!$H:$H))),1),0)"),0.0)</f>
        <v>0</v>
      </c>
      <c r="I1888" s="3">
        <f t="shared" si="4"/>
        <v>0</v>
      </c>
      <c r="J1888" s="27">
        <f t="shared" si="5"/>
        <v>693947</v>
      </c>
      <c r="K1888" s="27">
        <f t="shared" si="6"/>
        <v>693977</v>
      </c>
    </row>
    <row r="1889" hidden="1">
      <c r="A1889" s="3" t="str">
        <f t="shared" si="3"/>
        <v/>
      </c>
      <c r="B1889" s="2" t="str">
        <f t="array" ref="B1889">INDEX(helper!$A$3:$A3996,ROUNDUP((ROW()-1)/COUNTA(helper!$D$3:$D3996),0))</f>
        <v/>
      </c>
      <c r="C1889" s="5" t="str">
        <f t="array" ref="C1889">IF(B1889="","",INDEX(helper!$D$3:$D3996,MOD(ROW()-2,COUNTA(helper!$D$3:$D3996))+1))</f>
        <v/>
      </c>
      <c r="D1889" s="3" t="str">
        <f t="array" ref="D1889">IF(B1889="","",INDEX(helper!$E$3:$E3996,MOD(ROW()-2,COUNTA(helper!$D$3:$D3996))+1))</f>
        <v/>
      </c>
      <c r="E1889" s="3" t="str">
        <f t="array" ref="E1889">IF(B1889="","",INDEX(helper!$F$3:$F3996,MOD(ROW()-2,COUNTA(helper!$D$3:$D3996))+1))</f>
        <v/>
      </c>
      <c r="F1889" s="3" t="str">
        <f>IF(B1889="","",SUMIFS('inventory ledger'!$H:$H,'inventory ledger'!$C:$C,C1889,'inventory ledger'!$D:$D,D1889,'inventory ledger'!$E:$E,E1889,'inventory ledger'!$A:$A,"&lt;="&amp;B1889+TIME(23,59,59))-SUMIFS('inventory ledger'!$I:$I,'inventory ledger'!$C:$C,C1889,'inventory ledger'!$D:$D,D1889,'inventory ledger'!$E:$E,E1889,'inventory ledger'!$A:$A,"&lt;="&amp;B1889+TIME(23,59,59)))</f>
        <v/>
      </c>
      <c r="G1889" s="3">
        <f>IFERROR(__xludf.DUMMYFUNCTION("IF(F1889&lt;=0,0,IFERROR(ROUNDUP(F1889/INDEX(FILTER('warehouse config'!$D:$D,('warehouse config'!$B:$B=C1889)*('warehouse config'!$C:$C=D1889)*('warehouse config'!$G:$G&lt;=B1889)*(('warehouse config'!$H:$H&gt;=B1889)+ISBLANK('warehouse config'!$H:$H))),1)),0))"),0.0)</f>
        <v>0</v>
      </c>
      <c r="H1889" s="3">
        <f>IFERROR(__xludf.DUMMYFUNCTION("IFERROR(INDEX(FILTER('cost master'!$E:$E,('cost master'!$B:$B=C1889)*('cost master'!$D:$D=""Storage cost per pallet / week"")*('cost master'!$G:$G&lt;=B1889)*(('cost master'!$H:$H&gt;=B1889)+ISBLANK('cost master'!$H:$H))),1),0)"),0.0)</f>
        <v>0</v>
      </c>
      <c r="I1889" s="3">
        <f t="shared" si="4"/>
        <v>0</v>
      </c>
      <c r="J1889" s="27">
        <f t="shared" si="5"/>
        <v>693947</v>
      </c>
      <c r="K1889" s="27">
        <f t="shared" si="6"/>
        <v>693977</v>
      </c>
    </row>
    <row r="1890" hidden="1">
      <c r="A1890" s="3" t="str">
        <f t="shared" si="3"/>
        <v/>
      </c>
      <c r="B1890" s="2" t="str">
        <f t="array" ref="B1890">INDEX(helper!$A$3:$A3996,ROUNDUP((ROW()-1)/COUNTA(helper!$D$3:$D3996),0))</f>
        <v/>
      </c>
      <c r="C1890" s="5" t="str">
        <f t="array" ref="C1890">IF(B1890="","",INDEX(helper!$D$3:$D3996,MOD(ROW()-2,COUNTA(helper!$D$3:$D3996))+1))</f>
        <v/>
      </c>
      <c r="D1890" s="3" t="str">
        <f t="array" ref="D1890">IF(B1890="","",INDEX(helper!$E$3:$E3996,MOD(ROW()-2,COUNTA(helper!$D$3:$D3996))+1))</f>
        <v/>
      </c>
      <c r="E1890" s="3" t="str">
        <f t="array" ref="E1890">IF(B1890="","",INDEX(helper!$F$3:$F3996,MOD(ROW()-2,COUNTA(helper!$D$3:$D3996))+1))</f>
        <v/>
      </c>
      <c r="F1890" s="3" t="str">
        <f>IF(B1890="","",SUMIFS('inventory ledger'!$H:$H,'inventory ledger'!$C:$C,C1890,'inventory ledger'!$D:$D,D1890,'inventory ledger'!$E:$E,E1890,'inventory ledger'!$A:$A,"&lt;="&amp;B1890+TIME(23,59,59))-SUMIFS('inventory ledger'!$I:$I,'inventory ledger'!$C:$C,C1890,'inventory ledger'!$D:$D,D1890,'inventory ledger'!$E:$E,E1890,'inventory ledger'!$A:$A,"&lt;="&amp;B1890+TIME(23,59,59)))</f>
        <v/>
      </c>
      <c r="G1890" s="3">
        <f>IFERROR(__xludf.DUMMYFUNCTION("IF(F1890&lt;=0,0,IFERROR(ROUNDUP(F1890/INDEX(FILTER('warehouse config'!$D:$D,('warehouse config'!$B:$B=C1890)*('warehouse config'!$C:$C=D1890)*('warehouse config'!$G:$G&lt;=B1890)*(('warehouse config'!$H:$H&gt;=B1890)+ISBLANK('warehouse config'!$H:$H))),1)),0))"),0.0)</f>
        <v>0</v>
      </c>
      <c r="H1890" s="3">
        <f>IFERROR(__xludf.DUMMYFUNCTION("IFERROR(INDEX(FILTER('cost master'!$E:$E,('cost master'!$B:$B=C1890)*('cost master'!$D:$D=""Storage cost per pallet / week"")*('cost master'!$G:$G&lt;=B1890)*(('cost master'!$H:$H&gt;=B1890)+ISBLANK('cost master'!$H:$H))),1),0)"),0.0)</f>
        <v>0</v>
      </c>
      <c r="I1890" s="3">
        <f t="shared" si="4"/>
        <v>0</v>
      </c>
      <c r="J1890" s="27">
        <f t="shared" si="5"/>
        <v>693947</v>
      </c>
      <c r="K1890" s="27">
        <f t="shared" si="6"/>
        <v>693977</v>
      </c>
    </row>
    <row r="1891" hidden="1">
      <c r="A1891" s="3" t="str">
        <f t="shared" si="3"/>
        <v/>
      </c>
      <c r="B1891" s="2" t="str">
        <f t="array" ref="B1891">INDEX(helper!$A$3:$A3996,ROUNDUP((ROW()-1)/COUNTA(helper!$D$3:$D3996),0))</f>
        <v/>
      </c>
      <c r="C1891" s="5" t="str">
        <f t="array" ref="C1891">IF(B1891="","",INDEX(helper!$D$3:$D3996,MOD(ROW()-2,COUNTA(helper!$D$3:$D3996))+1))</f>
        <v/>
      </c>
      <c r="D1891" s="3" t="str">
        <f t="array" ref="D1891">IF(B1891="","",INDEX(helper!$E$3:$E3996,MOD(ROW()-2,COUNTA(helper!$D$3:$D3996))+1))</f>
        <v/>
      </c>
      <c r="E1891" s="3" t="str">
        <f t="array" ref="E1891">IF(B1891="","",INDEX(helper!$F$3:$F3996,MOD(ROW()-2,COUNTA(helper!$D$3:$D3996))+1))</f>
        <v/>
      </c>
      <c r="F1891" s="3" t="str">
        <f>IF(B1891="","",SUMIFS('inventory ledger'!$H:$H,'inventory ledger'!$C:$C,C1891,'inventory ledger'!$D:$D,D1891,'inventory ledger'!$E:$E,E1891,'inventory ledger'!$A:$A,"&lt;="&amp;B1891+TIME(23,59,59))-SUMIFS('inventory ledger'!$I:$I,'inventory ledger'!$C:$C,C1891,'inventory ledger'!$D:$D,D1891,'inventory ledger'!$E:$E,E1891,'inventory ledger'!$A:$A,"&lt;="&amp;B1891+TIME(23,59,59)))</f>
        <v/>
      </c>
      <c r="G1891" s="3">
        <f>IFERROR(__xludf.DUMMYFUNCTION("IF(F1891&lt;=0,0,IFERROR(ROUNDUP(F1891/INDEX(FILTER('warehouse config'!$D:$D,('warehouse config'!$B:$B=C1891)*('warehouse config'!$C:$C=D1891)*('warehouse config'!$G:$G&lt;=B1891)*(('warehouse config'!$H:$H&gt;=B1891)+ISBLANK('warehouse config'!$H:$H))),1)),0))"),0.0)</f>
        <v>0</v>
      </c>
      <c r="H1891" s="3">
        <f>IFERROR(__xludf.DUMMYFUNCTION("IFERROR(INDEX(FILTER('cost master'!$E:$E,('cost master'!$B:$B=C1891)*('cost master'!$D:$D=""Storage cost per pallet / week"")*('cost master'!$G:$G&lt;=B1891)*(('cost master'!$H:$H&gt;=B1891)+ISBLANK('cost master'!$H:$H))),1),0)"),0.0)</f>
        <v>0</v>
      </c>
      <c r="I1891" s="3">
        <f t="shared" si="4"/>
        <v>0</v>
      </c>
      <c r="J1891" s="27">
        <f t="shared" si="5"/>
        <v>693947</v>
      </c>
      <c r="K1891" s="27">
        <f t="shared" si="6"/>
        <v>693977</v>
      </c>
    </row>
    <row r="1892" hidden="1">
      <c r="A1892" s="3" t="str">
        <f t="shared" si="3"/>
        <v/>
      </c>
      <c r="B1892" s="2" t="str">
        <f t="array" ref="B1892">INDEX(helper!$A$3:$A3996,ROUNDUP((ROW()-1)/COUNTA(helper!$D$3:$D3996),0))</f>
        <v/>
      </c>
      <c r="C1892" s="5" t="str">
        <f t="array" ref="C1892">IF(B1892="","",INDEX(helper!$D$3:$D3996,MOD(ROW()-2,COUNTA(helper!$D$3:$D3996))+1))</f>
        <v/>
      </c>
      <c r="D1892" s="3" t="str">
        <f t="array" ref="D1892">IF(B1892="","",INDEX(helper!$E$3:$E3996,MOD(ROW()-2,COUNTA(helper!$D$3:$D3996))+1))</f>
        <v/>
      </c>
      <c r="E1892" s="3" t="str">
        <f t="array" ref="E1892">IF(B1892="","",INDEX(helper!$F$3:$F3996,MOD(ROW()-2,COUNTA(helper!$D$3:$D3996))+1))</f>
        <v/>
      </c>
      <c r="F1892" s="3" t="str">
        <f>IF(B1892="","",SUMIFS('inventory ledger'!$H:$H,'inventory ledger'!$C:$C,C1892,'inventory ledger'!$D:$D,D1892,'inventory ledger'!$E:$E,E1892,'inventory ledger'!$A:$A,"&lt;="&amp;B1892+TIME(23,59,59))-SUMIFS('inventory ledger'!$I:$I,'inventory ledger'!$C:$C,C1892,'inventory ledger'!$D:$D,D1892,'inventory ledger'!$E:$E,E1892,'inventory ledger'!$A:$A,"&lt;="&amp;B1892+TIME(23,59,59)))</f>
        <v/>
      </c>
      <c r="G1892" s="3">
        <f>IFERROR(__xludf.DUMMYFUNCTION("IF(F1892&lt;=0,0,IFERROR(ROUNDUP(F1892/INDEX(FILTER('warehouse config'!$D:$D,('warehouse config'!$B:$B=C1892)*('warehouse config'!$C:$C=D1892)*('warehouse config'!$G:$G&lt;=B1892)*(('warehouse config'!$H:$H&gt;=B1892)+ISBLANK('warehouse config'!$H:$H))),1)),0))"),0.0)</f>
        <v>0</v>
      </c>
      <c r="H1892" s="3">
        <f>IFERROR(__xludf.DUMMYFUNCTION("IFERROR(INDEX(FILTER('cost master'!$E:$E,('cost master'!$B:$B=C1892)*('cost master'!$D:$D=""Storage cost per pallet / week"")*('cost master'!$G:$G&lt;=B1892)*(('cost master'!$H:$H&gt;=B1892)+ISBLANK('cost master'!$H:$H))),1),0)"),0.0)</f>
        <v>0</v>
      </c>
      <c r="I1892" s="3">
        <f t="shared" si="4"/>
        <v>0</v>
      </c>
      <c r="J1892" s="27">
        <f t="shared" si="5"/>
        <v>693947</v>
      </c>
      <c r="K1892" s="27">
        <f t="shared" si="6"/>
        <v>693977</v>
      </c>
    </row>
    <row r="1893" hidden="1">
      <c r="A1893" s="3" t="str">
        <f t="shared" si="3"/>
        <v/>
      </c>
      <c r="B1893" s="2" t="str">
        <f t="array" ref="B1893">INDEX(helper!$A$3:$A3996,ROUNDUP((ROW()-1)/COUNTA(helper!$D$3:$D3996),0))</f>
        <v/>
      </c>
      <c r="C1893" s="5" t="str">
        <f t="array" ref="C1893">IF(B1893="","",INDEX(helper!$D$3:$D3996,MOD(ROW()-2,COUNTA(helper!$D$3:$D3996))+1))</f>
        <v/>
      </c>
      <c r="D1893" s="3" t="str">
        <f t="array" ref="D1893">IF(B1893="","",INDEX(helper!$E$3:$E3996,MOD(ROW()-2,COUNTA(helper!$D$3:$D3996))+1))</f>
        <v/>
      </c>
      <c r="E1893" s="3" t="str">
        <f t="array" ref="E1893">IF(B1893="","",INDEX(helper!$F$3:$F3996,MOD(ROW()-2,COUNTA(helper!$D$3:$D3996))+1))</f>
        <v/>
      </c>
      <c r="F1893" s="3" t="str">
        <f>IF(B1893="","",SUMIFS('inventory ledger'!$H:$H,'inventory ledger'!$C:$C,C1893,'inventory ledger'!$D:$D,D1893,'inventory ledger'!$E:$E,E1893,'inventory ledger'!$A:$A,"&lt;="&amp;B1893+TIME(23,59,59))-SUMIFS('inventory ledger'!$I:$I,'inventory ledger'!$C:$C,C1893,'inventory ledger'!$D:$D,D1893,'inventory ledger'!$E:$E,E1893,'inventory ledger'!$A:$A,"&lt;="&amp;B1893+TIME(23,59,59)))</f>
        <v/>
      </c>
      <c r="G1893" s="3">
        <f>IFERROR(__xludf.DUMMYFUNCTION("IF(F1893&lt;=0,0,IFERROR(ROUNDUP(F1893/INDEX(FILTER('warehouse config'!$D:$D,('warehouse config'!$B:$B=C1893)*('warehouse config'!$C:$C=D1893)*('warehouse config'!$G:$G&lt;=B1893)*(('warehouse config'!$H:$H&gt;=B1893)+ISBLANK('warehouse config'!$H:$H))),1)),0))"),0.0)</f>
        <v>0</v>
      </c>
      <c r="H1893" s="3">
        <f>IFERROR(__xludf.DUMMYFUNCTION("IFERROR(INDEX(FILTER('cost master'!$E:$E,('cost master'!$B:$B=C1893)*('cost master'!$D:$D=""Storage cost per pallet / week"")*('cost master'!$G:$G&lt;=B1893)*(('cost master'!$H:$H&gt;=B1893)+ISBLANK('cost master'!$H:$H))),1),0)"),0.0)</f>
        <v>0</v>
      </c>
      <c r="I1893" s="3">
        <f t="shared" si="4"/>
        <v>0</v>
      </c>
      <c r="J1893" s="27">
        <f t="shared" si="5"/>
        <v>693947</v>
      </c>
      <c r="K1893" s="27">
        <f t="shared" si="6"/>
        <v>693977</v>
      </c>
    </row>
    <row r="1894" hidden="1">
      <c r="A1894" s="3" t="str">
        <f t="shared" si="3"/>
        <v/>
      </c>
      <c r="B1894" s="2" t="str">
        <f t="array" ref="B1894">INDEX(helper!$A$3:$A3996,ROUNDUP((ROW()-1)/COUNTA(helper!$D$3:$D3996),0))</f>
        <v/>
      </c>
      <c r="C1894" s="5" t="str">
        <f t="array" ref="C1894">IF(B1894="","",INDEX(helper!$D$3:$D3996,MOD(ROW()-2,COUNTA(helper!$D$3:$D3996))+1))</f>
        <v/>
      </c>
      <c r="D1894" s="3" t="str">
        <f t="array" ref="D1894">IF(B1894="","",INDEX(helper!$E$3:$E3996,MOD(ROW()-2,COUNTA(helper!$D$3:$D3996))+1))</f>
        <v/>
      </c>
      <c r="E1894" s="3" t="str">
        <f t="array" ref="E1894">IF(B1894="","",INDEX(helper!$F$3:$F3996,MOD(ROW()-2,COUNTA(helper!$D$3:$D3996))+1))</f>
        <v/>
      </c>
      <c r="F1894" s="3" t="str">
        <f>IF(B1894="","",SUMIFS('inventory ledger'!$H:$H,'inventory ledger'!$C:$C,C1894,'inventory ledger'!$D:$D,D1894,'inventory ledger'!$E:$E,E1894,'inventory ledger'!$A:$A,"&lt;="&amp;B1894+TIME(23,59,59))-SUMIFS('inventory ledger'!$I:$I,'inventory ledger'!$C:$C,C1894,'inventory ledger'!$D:$D,D1894,'inventory ledger'!$E:$E,E1894,'inventory ledger'!$A:$A,"&lt;="&amp;B1894+TIME(23,59,59)))</f>
        <v/>
      </c>
      <c r="G1894" s="3">
        <f>IFERROR(__xludf.DUMMYFUNCTION("IF(F1894&lt;=0,0,IFERROR(ROUNDUP(F1894/INDEX(FILTER('warehouse config'!$D:$D,('warehouse config'!$B:$B=C1894)*('warehouse config'!$C:$C=D1894)*('warehouse config'!$G:$G&lt;=B1894)*(('warehouse config'!$H:$H&gt;=B1894)+ISBLANK('warehouse config'!$H:$H))),1)),0))"),0.0)</f>
        <v>0</v>
      </c>
      <c r="H1894" s="3">
        <f>IFERROR(__xludf.DUMMYFUNCTION("IFERROR(INDEX(FILTER('cost master'!$E:$E,('cost master'!$B:$B=C1894)*('cost master'!$D:$D=""Storage cost per pallet / week"")*('cost master'!$G:$G&lt;=B1894)*(('cost master'!$H:$H&gt;=B1894)+ISBLANK('cost master'!$H:$H))),1),0)"),0.0)</f>
        <v>0</v>
      </c>
      <c r="I1894" s="3">
        <f t="shared" si="4"/>
        <v>0</v>
      </c>
      <c r="J1894" s="27">
        <f t="shared" si="5"/>
        <v>693947</v>
      </c>
      <c r="K1894" s="27">
        <f t="shared" si="6"/>
        <v>693977</v>
      </c>
    </row>
    <row r="1895" hidden="1">
      <c r="A1895" s="3" t="str">
        <f t="shared" si="3"/>
        <v/>
      </c>
      <c r="B1895" s="2" t="str">
        <f t="array" ref="B1895">INDEX(helper!$A$3:$A3996,ROUNDUP((ROW()-1)/COUNTA(helper!$D$3:$D3996),0))</f>
        <v/>
      </c>
      <c r="C1895" s="5" t="str">
        <f t="array" ref="C1895">IF(B1895="","",INDEX(helper!$D$3:$D3996,MOD(ROW()-2,COUNTA(helper!$D$3:$D3996))+1))</f>
        <v/>
      </c>
      <c r="D1895" s="3" t="str">
        <f t="array" ref="D1895">IF(B1895="","",INDEX(helper!$E$3:$E3996,MOD(ROW()-2,COUNTA(helper!$D$3:$D3996))+1))</f>
        <v/>
      </c>
      <c r="E1895" s="3" t="str">
        <f t="array" ref="E1895">IF(B1895="","",INDEX(helper!$F$3:$F3996,MOD(ROW()-2,COUNTA(helper!$D$3:$D3996))+1))</f>
        <v/>
      </c>
      <c r="F1895" s="3" t="str">
        <f>IF(B1895="","",SUMIFS('inventory ledger'!$H:$H,'inventory ledger'!$C:$C,C1895,'inventory ledger'!$D:$D,D1895,'inventory ledger'!$E:$E,E1895,'inventory ledger'!$A:$A,"&lt;="&amp;B1895+TIME(23,59,59))-SUMIFS('inventory ledger'!$I:$I,'inventory ledger'!$C:$C,C1895,'inventory ledger'!$D:$D,D1895,'inventory ledger'!$E:$E,E1895,'inventory ledger'!$A:$A,"&lt;="&amp;B1895+TIME(23,59,59)))</f>
        <v/>
      </c>
      <c r="G1895" s="3">
        <f>IFERROR(__xludf.DUMMYFUNCTION("IF(F1895&lt;=0,0,IFERROR(ROUNDUP(F1895/INDEX(FILTER('warehouse config'!$D:$D,('warehouse config'!$B:$B=C1895)*('warehouse config'!$C:$C=D1895)*('warehouse config'!$G:$G&lt;=B1895)*(('warehouse config'!$H:$H&gt;=B1895)+ISBLANK('warehouse config'!$H:$H))),1)),0))"),0.0)</f>
        <v>0</v>
      </c>
      <c r="H1895" s="3">
        <f>IFERROR(__xludf.DUMMYFUNCTION("IFERROR(INDEX(FILTER('cost master'!$E:$E,('cost master'!$B:$B=C1895)*('cost master'!$D:$D=""Storage cost per pallet / week"")*('cost master'!$G:$G&lt;=B1895)*(('cost master'!$H:$H&gt;=B1895)+ISBLANK('cost master'!$H:$H))),1),0)"),0.0)</f>
        <v>0</v>
      </c>
      <c r="I1895" s="3">
        <f t="shared" si="4"/>
        <v>0</v>
      </c>
      <c r="J1895" s="27">
        <f t="shared" si="5"/>
        <v>693947</v>
      </c>
      <c r="K1895" s="27">
        <f t="shared" si="6"/>
        <v>693977</v>
      </c>
    </row>
    <row r="1896" hidden="1">
      <c r="A1896" s="3" t="str">
        <f t="shared" si="3"/>
        <v/>
      </c>
      <c r="B1896" s="2" t="str">
        <f t="array" ref="B1896">INDEX(helper!$A$3:$A3996,ROUNDUP((ROW()-1)/COUNTA(helper!$D$3:$D3996),0))</f>
        <v/>
      </c>
      <c r="C1896" s="5" t="str">
        <f t="array" ref="C1896">IF(B1896="","",INDEX(helper!$D$3:$D3996,MOD(ROW()-2,COUNTA(helper!$D$3:$D3996))+1))</f>
        <v/>
      </c>
      <c r="D1896" s="3" t="str">
        <f t="array" ref="D1896">IF(B1896="","",INDEX(helper!$E$3:$E3996,MOD(ROW()-2,COUNTA(helper!$D$3:$D3996))+1))</f>
        <v/>
      </c>
      <c r="E1896" s="3" t="str">
        <f t="array" ref="E1896">IF(B1896="","",INDEX(helper!$F$3:$F3996,MOD(ROW()-2,COUNTA(helper!$D$3:$D3996))+1))</f>
        <v/>
      </c>
      <c r="F1896" s="3" t="str">
        <f>IF(B1896="","",SUMIFS('inventory ledger'!$H:$H,'inventory ledger'!$C:$C,C1896,'inventory ledger'!$D:$D,D1896,'inventory ledger'!$E:$E,E1896,'inventory ledger'!$A:$A,"&lt;="&amp;B1896+TIME(23,59,59))-SUMIFS('inventory ledger'!$I:$I,'inventory ledger'!$C:$C,C1896,'inventory ledger'!$D:$D,D1896,'inventory ledger'!$E:$E,E1896,'inventory ledger'!$A:$A,"&lt;="&amp;B1896+TIME(23,59,59)))</f>
        <v/>
      </c>
      <c r="G1896" s="3">
        <f>IFERROR(__xludf.DUMMYFUNCTION("IF(F1896&lt;=0,0,IFERROR(ROUNDUP(F1896/INDEX(FILTER('warehouse config'!$D:$D,('warehouse config'!$B:$B=C1896)*('warehouse config'!$C:$C=D1896)*('warehouse config'!$G:$G&lt;=B1896)*(('warehouse config'!$H:$H&gt;=B1896)+ISBLANK('warehouse config'!$H:$H))),1)),0))"),0.0)</f>
        <v>0</v>
      </c>
      <c r="H1896" s="3">
        <f>IFERROR(__xludf.DUMMYFUNCTION("IFERROR(INDEX(FILTER('cost master'!$E:$E,('cost master'!$B:$B=C1896)*('cost master'!$D:$D=""Storage cost per pallet / week"")*('cost master'!$G:$G&lt;=B1896)*(('cost master'!$H:$H&gt;=B1896)+ISBLANK('cost master'!$H:$H))),1),0)"),0.0)</f>
        <v>0</v>
      </c>
      <c r="I1896" s="3">
        <f t="shared" si="4"/>
        <v>0</v>
      </c>
      <c r="J1896" s="27">
        <f t="shared" si="5"/>
        <v>693947</v>
      </c>
      <c r="K1896" s="27">
        <f t="shared" si="6"/>
        <v>693977</v>
      </c>
    </row>
    <row r="1897" hidden="1">
      <c r="A1897" s="3" t="str">
        <f t="shared" si="3"/>
        <v/>
      </c>
      <c r="B1897" s="2" t="str">
        <f t="array" ref="B1897">INDEX(helper!$A$3:$A3996,ROUNDUP((ROW()-1)/COUNTA(helper!$D$3:$D3996),0))</f>
        <v/>
      </c>
      <c r="C1897" s="5" t="str">
        <f t="array" ref="C1897">IF(B1897="","",INDEX(helper!$D$3:$D3996,MOD(ROW()-2,COUNTA(helper!$D$3:$D3996))+1))</f>
        <v/>
      </c>
      <c r="D1897" s="3" t="str">
        <f t="array" ref="D1897">IF(B1897="","",INDEX(helper!$E$3:$E3996,MOD(ROW()-2,COUNTA(helper!$D$3:$D3996))+1))</f>
        <v/>
      </c>
      <c r="E1897" s="3" t="str">
        <f t="array" ref="E1897">IF(B1897="","",INDEX(helper!$F$3:$F3996,MOD(ROW()-2,COUNTA(helper!$D$3:$D3996))+1))</f>
        <v/>
      </c>
      <c r="F1897" s="3" t="str">
        <f>IF(B1897="","",SUMIFS('inventory ledger'!$H:$H,'inventory ledger'!$C:$C,C1897,'inventory ledger'!$D:$D,D1897,'inventory ledger'!$E:$E,E1897,'inventory ledger'!$A:$A,"&lt;="&amp;B1897+TIME(23,59,59))-SUMIFS('inventory ledger'!$I:$I,'inventory ledger'!$C:$C,C1897,'inventory ledger'!$D:$D,D1897,'inventory ledger'!$E:$E,E1897,'inventory ledger'!$A:$A,"&lt;="&amp;B1897+TIME(23,59,59)))</f>
        <v/>
      </c>
      <c r="G1897" s="3">
        <f>IFERROR(__xludf.DUMMYFUNCTION("IF(F1897&lt;=0,0,IFERROR(ROUNDUP(F1897/INDEX(FILTER('warehouse config'!$D:$D,('warehouse config'!$B:$B=C1897)*('warehouse config'!$C:$C=D1897)*('warehouse config'!$G:$G&lt;=B1897)*(('warehouse config'!$H:$H&gt;=B1897)+ISBLANK('warehouse config'!$H:$H))),1)),0))"),0.0)</f>
        <v>0</v>
      </c>
      <c r="H1897" s="3">
        <f>IFERROR(__xludf.DUMMYFUNCTION("IFERROR(INDEX(FILTER('cost master'!$E:$E,('cost master'!$B:$B=C1897)*('cost master'!$D:$D=""Storage cost per pallet / week"")*('cost master'!$G:$G&lt;=B1897)*(('cost master'!$H:$H&gt;=B1897)+ISBLANK('cost master'!$H:$H))),1),0)"),0.0)</f>
        <v>0</v>
      </c>
      <c r="I1897" s="3">
        <f t="shared" si="4"/>
        <v>0</v>
      </c>
      <c r="J1897" s="27">
        <f t="shared" si="5"/>
        <v>693947</v>
      </c>
      <c r="K1897" s="27">
        <f t="shared" si="6"/>
        <v>693977</v>
      </c>
    </row>
    <row r="1898" hidden="1">
      <c r="A1898" s="3" t="str">
        <f t="shared" si="3"/>
        <v/>
      </c>
      <c r="B1898" s="2" t="str">
        <f t="array" ref="B1898">INDEX(helper!$A$3:$A3996,ROUNDUP((ROW()-1)/COUNTA(helper!$D$3:$D3996),0))</f>
        <v/>
      </c>
      <c r="C1898" s="5" t="str">
        <f t="array" ref="C1898">IF(B1898="","",INDEX(helper!$D$3:$D3996,MOD(ROW()-2,COUNTA(helper!$D$3:$D3996))+1))</f>
        <v/>
      </c>
      <c r="D1898" s="3" t="str">
        <f t="array" ref="D1898">IF(B1898="","",INDEX(helper!$E$3:$E3996,MOD(ROW()-2,COUNTA(helper!$D$3:$D3996))+1))</f>
        <v/>
      </c>
      <c r="E1898" s="3" t="str">
        <f t="array" ref="E1898">IF(B1898="","",INDEX(helper!$F$3:$F3996,MOD(ROW()-2,COUNTA(helper!$D$3:$D3996))+1))</f>
        <v/>
      </c>
      <c r="F1898" s="3" t="str">
        <f>IF(B1898="","",SUMIFS('inventory ledger'!$H:$H,'inventory ledger'!$C:$C,C1898,'inventory ledger'!$D:$D,D1898,'inventory ledger'!$E:$E,E1898,'inventory ledger'!$A:$A,"&lt;="&amp;B1898+TIME(23,59,59))-SUMIFS('inventory ledger'!$I:$I,'inventory ledger'!$C:$C,C1898,'inventory ledger'!$D:$D,D1898,'inventory ledger'!$E:$E,E1898,'inventory ledger'!$A:$A,"&lt;="&amp;B1898+TIME(23,59,59)))</f>
        <v/>
      </c>
      <c r="G1898" s="3">
        <f>IFERROR(__xludf.DUMMYFUNCTION("IF(F1898&lt;=0,0,IFERROR(ROUNDUP(F1898/INDEX(FILTER('warehouse config'!$D:$D,('warehouse config'!$B:$B=C1898)*('warehouse config'!$C:$C=D1898)*('warehouse config'!$G:$G&lt;=B1898)*(('warehouse config'!$H:$H&gt;=B1898)+ISBLANK('warehouse config'!$H:$H))),1)),0))"),0.0)</f>
        <v>0</v>
      </c>
      <c r="H1898" s="3">
        <f>IFERROR(__xludf.DUMMYFUNCTION("IFERROR(INDEX(FILTER('cost master'!$E:$E,('cost master'!$B:$B=C1898)*('cost master'!$D:$D=""Storage cost per pallet / week"")*('cost master'!$G:$G&lt;=B1898)*(('cost master'!$H:$H&gt;=B1898)+ISBLANK('cost master'!$H:$H))),1),0)"),0.0)</f>
        <v>0</v>
      </c>
      <c r="I1898" s="3">
        <f t="shared" si="4"/>
        <v>0</v>
      </c>
      <c r="J1898" s="27">
        <f t="shared" si="5"/>
        <v>693947</v>
      </c>
      <c r="K1898" s="27">
        <f t="shared" si="6"/>
        <v>693977</v>
      </c>
    </row>
    <row r="1899" hidden="1">
      <c r="A1899" s="3" t="str">
        <f t="shared" si="3"/>
        <v/>
      </c>
      <c r="B1899" s="2" t="str">
        <f t="array" ref="B1899">INDEX(helper!$A$3:$A3996,ROUNDUP((ROW()-1)/COUNTA(helper!$D$3:$D3996),0))</f>
        <v/>
      </c>
      <c r="C1899" s="5" t="str">
        <f t="array" ref="C1899">IF(B1899="","",INDEX(helper!$D$3:$D3996,MOD(ROW()-2,COUNTA(helper!$D$3:$D3996))+1))</f>
        <v/>
      </c>
      <c r="D1899" s="3" t="str">
        <f t="array" ref="D1899">IF(B1899="","",INDEX(helper!$E$3:$E3996,MOD(ROW()-2,COUNTA(helper!$D$3:$D3996))+1))</f>
        <v/>
      </c>
      <c r="E1899" s="3" t="str">
        <f t="array" ref="E1899">IF(B1899="","",INDEX(helper!$F$3:$F3996,MOD(ROW()-2,COUNTA(helper!$D$3:$D3996))+1))</f>
        <v/>
      </c>
      <c r="F1899" s="3" t="str">
        <f>IF(B1899="","",SUMIFS('inventory ledger'!$H:$H,'inventory ledger'!$C:$C,C1899,'inventory ledger'!$D:$D,D1899,'inventory ledger'!$E:$E,E1899,'inventory ledger'!$A:$A,"&lt;="&amp;B1899+TIME(23,59,59))-SUMIFS('inventory ledger'!$I:$I,'inventory ledger'!$C:$C,C1899,'inventory ledger'!$D:$D,D1899,'inventory ledger'!$E:$E,E1899,'inventory ledger'!$A:$A,"&lt;="&amp;B1899+TIME(23,59,59)))</f>
        <v/>
      </c>
      <c r="G1899" s="3">
        <f>IFERROR(__xludf.DUMMYFUNCTION("IF(F1899&lt;=0,0,IFERROR(ROUNDUP(F1899/INDEX(FILTER('warehouse config'!$D:$D,('warehouse config'!$B:$B=C1899)*('warehouse config'!$C:$C=D1899)*('warehouse config'!$G:$G&lt;=B1899)*(('warehouse config'!$H:$H&gt;=B1899)+ISBLANK('warehouse config'!$H:$H))),1)),0))"),0.0)</f>
        <v>0</v>
      </c>
      <c r="H1899" s="3">
        <f>IFERROR(__xludf.DUMMYFUNCTION("IFERROR(INDEX(FILTER('cost master'!$E:$E,('cost master'!$B:$B=C1899)*('cost master'!$D:$D=""Storage cost per pallet / week"")*('cost master'!$G:$G&lt;=B1899)*(('cost master'!$H:$H&gt;=B1899)+ISBLANK('cost master'!$H:$H))),1),0)"),0.0)</f>
        <v>0</v>
      </c>
      <c r="I1899" s="3">
        <f t="shared" si="4"/>
        <v>0</v>
      </c>
      <c r="J1899" s="27">
        <f t="shared" si="5"/>
        <v>693947</v>
      </c>
      <c r="K1899" s="27">
        <f t="shared" si="6"/>
        <v>693977</v>
      </c>
    </row>
    <row r="1900" hidden="1">
      <c r="A1900" s="3" t="str">
        <f t="shared" si="3"/>
        <v/>
      </c>
      <c r="B1900" s="2" t="str">
        <f t="array" ref="B1900">INDEX(helper!$A$3:$A3996,ROUNDUP((ROW()-1)/COUNTA(helper!$D$3:$D3996),0))</f>
        <v/>
      </c>
      <c r="C1900" s="5" t="str">
        <f t="array" ref="C1900">IF(B1900="","",INDEX(helper!$D$3:$D3996,MOD(ROW()-2,COUNTA(helper!$D$3:$D3996))+1))</f>
        <v/>
      </c>
      <c r="D1900" s="3" t="str">
        <f t="array" ref="D1900">IF(B1900="","",INDEX(helper!$E$3:$E3996,MOD(ROW()-2,COUNTA(helper!$D$3:$D3996))+1))</f>
        <v/>
      </c>
      <c r="E1900" s="3" t="str">
        <f t="array" ref="E1900">IF(B1900="","",INDEX(helper!$F$3:$F3996,MOD(ROW()-2,COUNTA(helper!$D$3:$D3996))+1))</f>
        <v/>
      </c>
      <c r="F1900" s="3" t="str">
        <f>IF(B1900="","",SUMIFS('inventory ledger'!$H:$H,'inventory ledger'!$C:$C,C1900,'inventory ledger'!$D:$D,D1900,'inventory ledger'!$E:$E,E1900,'inventory ledger'!$A:$A,"&lt;="&amp;B1900+TIME(23,59,59))-SUMIFS('inventory ledger'!$I:$I,'inventory ledger'!$C:$C,C1900,'inventory ledger'!$D:$D,D1900,'inventory ledger'!$E:$E,E1900,'inventory ledger'!$A:$A,"&lt;="&amp;B1900+TIME(23,59,59)))</f>
        <v/>
      </c>
      <c r="G1900" s="3">
        <f>IFERROR(__xludf.DUMMYFUNCTION("IF(F1900&lt;=0,0,IFERROR(ROUNDUP(F1900/INDEX(FILTER('warehouse config'!$D:$D,('warehouse config'!$B:$B=C1900)*('warehouse config'!$C:$C=D1900)*('warehouse config'!$G:$G&lt;=B1900)*(('warehouse config'!$H:$H&gt;=B1900)+ISBLANK('warehouse config'!$H:$H))),1)),0))"),0.0)</f>
        <v>0</v>
      </c>
      <c r="H1900" s="3">
        <f>IFERROR(__xludf.DUMMYFUNCTION("IFERROR(INDEX(FILTER('cost master'!$E:$E,('cost master'!$B:$B=C1900)*('cost master'!$D:$D=""Storage cost per pallet / week"")*('cost master'!$G:$G&lt;=B1900)*(('cost master'!$H:$H&gt;=B1900)+ISBLANK('cost master'!$H:$H))),1),0)"),0.0)</f>
        <v>0</v>
      </c>
      <c r="I1900" s="3">
        <f t="shared" si="4"/>
        <v>0</v>
      </c>
      <c r="J1900" s="27">
        <f t="shared" si="5"/>
        <v>693947</v>
      </c>
      <c r="K1900" s="27">
        <f t="shared" si="6"/>
        <v>693977</v>
      </c>
    </row>
    <row r="1901" hidden="1">
      <c r="A1901" s="3" t="str">
        <f t="shared" si="3"/>
        <v/>
      </c>
      <c r="B1901" s="2" t="str">
        <f t="array" ref="B1901">INDEX(helper!$A$3:$A3996,ROUNDUP((ROW()-1)/COUNTA(helper!$D$3:$D3996),0))</f>
        <v/>
      </c>
      <c r="C1901" s="5" t="str">
        <f t="array" ref="C1901">IF(B1901="","",INDEX(helper!$D$3:$D3996,MOD(ROW()-2,COUNTA(helper!$D$3:$D3996))+1))</f>
        <v/>
      </c>
      <c r="D1901" s="3" t="str">
        <f t="array" ref="D1901">IF(B1901="","",INDEX(helper!$E$3:$E3996,MOD(ROW()-2,COUNTA(helper!$D$3:$D3996))+1))</f>
        <v/>
      </c>
      <c r="E1901" s="3" t="str">
        <f t="array" ref="E1901">IF(B1901="","",INDEX(helper!$F$3:$F3996,MOD(ROW()-2,COUNTA(helper!$D$3:$D3996))+1))</f>
        <v/>
      </c>
      <c r="F1901" s="3" t="str">
        <f>IF(B1901="","",SUMIFS('inventory ledger'!$H:$H,'inventory ledger'!$C:$C,C1901,'inventory ledger'!$D:$D,D1901,'inventory ledger'!$E:$E,E1901,'inventory ledger'!$A:$A,"&lt;="&amp;B1901+TIME(23,59,59))-SUMIFS('inventory ledger'!$I:$I,'inventory ledger'!$C:$C,C1901,'inventory ledger'!$D:$D,D1901,'inventory ledger'!$E:$E,E1901,'inventory ledger'!$A:$A,"&lt;="&amp;B1901+TIME(23,59,59)))</f>
        <v/>
      </c>
      <c r="G1901" s="3">
        <f>IFERROR(__xludf.DUMMYFUNCTION("IF(F1901&lt;=0,0,IFERROR(ROUNDUP(F1901/INDEX(FILTER('warehouse config'!$D:$D,('warehouse config'!$B:$B=C1901)*('warehouse config'!$C:$C=D1901)*('warehouse config'!$G:$G&lt;=B1901)*(('warehouse config'!$H:$H&gt;=B1901)+ISBLANK('warehouse config'!$H:$H))),1)),0))"),0.0)</f>
        <v>0</v>
      </c>
      <c r="H1901" s="3">
        <f>IFERROR(__xludf.DUMMYFUNCTION("IFERROR(INDEX(FILTER('cost master'!$E:$E,('cost master'!$B:$B=C1901)*('cost master'!$D:$D=""Storage cost per pallet / week"")*('cost master'!$G:$G&lt;=B1901)*(('cost master'!$H:$H&gt;=B1901)+ISBLANK('cost master'!$H:$H))),1),0)"),0.0)</f>
        <v>0</v>
      </c>
      <c r="I1901" s="3">
        <f t="shared" si="4"/>
        <v>0</v>
      </c>
      <c r="J1901" s="27">
        <f t="shared" si="5"/>
        <v>693947</v>
      </c>
      <c r="K1901" s="27">
        <f t="shared" si="6"/>
        <v>693977</v>
      </c>
    </row>
    <row r="1902" hidden="1">
      <c r="A1902" s="3" t="str">
        <f t="shared" si="3"/>
        <v/>
      </c>
      <c r="B1902" s="2" t="str">
        <f t="array" ref="B1902">INDEX(helper!$A$3:$A3996,ROUNDUP((ROW()-1)/COUNTA(helper!$D$3:$D3996),0))</f>
        <v/>
      </c>
      <c r="C1902" s="5" t="str">
        <f t="array" ref="C1902">IF(B1902="","",INDEX(helper!$D$3:$D3996,MOD(ROW()-2,COUNTA(helper!$D$3:$D3996))+1))</f>
        <v/>
      </c>
      <c r="D1902" s="3" t="str">
        <f t="array" ref="D1902">IF(B1902="","",INDEX(helper!$E$3:$E3996,MOD(ROW()-2,COUNTA(helper!$D$3:$D3996))+1))</f>
        <v/>
      </c>
      <c r="E1902" s="3" t="str">
        <f t="array" ref="E1902">IF(B1902="","",INDEX(helper!$F$3:$F3996,MOD(ROW()-2,COUNTA(helper!$D$3:$D3996))+1))</f>
        <v/>
      </c>
      <c r="F1902" s="3" t="str">
        <f>IF(B1902="","",SUMIFS('inventory ledger'!$H:$H,'inventory ledger'!$C:$C,C1902,'inventory ledger'!$D:$D,D1902,'inventory ledger'!$E:$E,E1902,'inventory ledger'!$A:$A,"&lt;="&amp;B1902+TIME(23,59,59))-SUMIFS('inventory ledger'!$I:$I,'inventory ledger'!$C:$C,C1902,'inventory ledger'!$D:$D,D1902,'inventory ledger'!$E:$E,E1902,'inventory ledger'!$A:$A,"&lt;="&amp;B1902+TIME(23,59,59)))</f>
        <v/>
      </c>
      <c r="G1902" s="3">
        <f>IFERROR(__xludf.DUMMYFUNCTION("IF(F1902&lt;=0,0,IFERROR(ROUNDUP(F1902/INDEX(FILTER('warehouse config'!$D:$D,('warehouse config'!$B:$B=C1902)*('warehouse config'!$C:$C=D1902)*('warehouse config'!$G:$G&lt;=B1902)*(('warehouse config'!$H:$H&gt;=B1902)+ISBLANK('warehouse config'!$H:$H))),1)),0))"),0.0)</f>
        <v>0</v>
      </c>
      <c r="H1902" s="3">
        <f>IFERROR(__xludf.DUMMYFUNCTION("IFERROR(INDEX(FILTER('cost master'!$E:$E,('cost master'!$B:$B=C1902)*('cost master'!$D:$D=""Storage cost per pallet / week"")*('cost master'!$G:$G&lt;=B1902)*(('cost master'!$H:$H&gt;=B1902)+ISBLANK('cost master'!$H:$H))),1),0)"),0.0)</f>
        <v>0</v>
      </c>
      <c r="I1902" s="3">
        <f t="shared" si="4"/>
        <v>0</v>
      </c>
      <c r="J1902" s="27">
        <f t="shared" si="5"/>
        <v>693947</v>
      </c>
      <c r="K1902" s="27">
        <f t="shared" si="6"/>
        <v>693977</v>
      </c>
    </row>
    <row r="1903" hidden="1">
      <c r="A1903" s="3" t="str">
        <f t="shared" si="3"/>
        <v/>
      </c>
      <c r="B1903" s="2" t="str">
        <f t="array" ref="B1903">INDEX(helper!$A$3:$A3996,ROUNDUP((ROW()-1)/COUNTA(helper!$D$3:$D3996),0))</f>
        <v/>
      </c>
      <c r="C1903" s="5" t="str">
        <f t="array" ref="C1903">IF(B1903="","",INDEX(helper!$D$3:$D3996,MOD(ROW()-2,COUNTA(helper!$D$3:$D3996))+1))</f>
        <v/>
      </c>
      <c r="D1903" s="3" t="str">
        <f t="array" ref="D1903">IF(B1903="","",INDEX(helper!$E$3:$E3996,MOD(ROW()-2,COUNTA(helper!$D$3:$D3996))+1))</f>
        <v/>
      </c>
      <c r="E1903" s="3" t="str">
        <f t="array" ref="E1903">IF(B1903="","",INDEX(helper!$F$3:$F3996,MOD(ROW()-2,COUNTA(helper!$D$3:$D3996))+1))</f>
        <v/>
      </c>
      <c r="F1903" s="3" t="str">
        <f>IF(B1903="","",SUMIFS('inventory ledger'!$H:$H,'inventory ledger'!$C:$C,C1903,'inventory ledger'!$D:$D,D1903,'inventory ledger'!$E:$E,E1903,'inventory ledger'!$A:$A,"&lt;="&amp;B1903+TIME(23,59,59))-SUMIFS('inventory ledger'!$I:$I,'inventory ledger'!$C:$C,C1903,'inventory ledger'!$D:$D,D1903,'inventory ledger'!$E:$E,E1903,'inventory ledger'!$A:$A,"&lt;="&amp;B1903+TIME(23,59,59)))</f>
        <v/>
      </c>
      <c r="G1903" s="3">
        <f>IFERROR(__xludf.DUMMYFUNCTION("IF(F1903&lt;=0,0,IFERROR(ROUNDUP(F1903/INDEX(FILTER('warehouse config'!$D:$D,('warehouse config'!$B:$B=C1903)*('warehouse config'!$C:$C=D1903)*('warehouse config'!$G:$G&lt;=B1903)*(('warehouse config'!$H:$H&gt;=B1903)+ISBLANK('warehouse config'!$H:$H))),1)),0))"),0.0)</f>
        <v>0</v>
      </c>
      <c r="H1903" s="3">
        <f>IFERROR(__xludf.DUMMYFUNCTION("IFERROR(INDEX(FILTER('cost master'!$E:$E,('cost master'!$B:$B=C1903)*('cost master'!$D:$D=""Storage cost per pallet / week"")*('cost master'!$G:$G&lt;=B1903)*(('cost master'!$H:$H&gt;=B1903)+ISBLANK('cost master'!$H:$H))),1),0)"),0.0)</f>
        <v>0</v>
      </c>
      <c r="I1903" s="3">
        <f t="shared" si="4"/>
        <v>0</v>
      </c>
      <c r="J1903" s="27">
        <f t="shared" si="5"/>
        <v>693947</v>
      </c>
      <c r="K1903" s="27">
        <f t="shared" si="6"/>
        <v>693977</v>
      </c>
    </row>
    <row r="1904" hidden="1">
      <c r="A1904" s="3" t="str">
        <f t="shared" si="3"/>
        <v/>
      </c>
      <c r="B1904" s="2" t="str">
        <f t="array" ref="B1904">INDEX(helper!$A$3:$A3996,ROUNDUP((ROW()-1)/COUNTA(helper!$D$3:$D3996),0))</f>
        <v/>
      </c>
      <c r="C1904" s="5" t="str">
        <f t="array" ref="C1904">IF(B1904="","",INDEX(helper!$D$3:$D3996,MOD(ROW()-2,COUNTA(helper!$D$3:$D3996))+1))</f>
        <v/>
      </c>
      <c r="D1904" s="3" t="str">
        <f t="array" ref="D1904">IF(B1904="","",INDEX(helper!$E$3:$E3996,MOD(ROW()-2,COUNTA(helper!$D$3:$D3996))+1))</f>
        <v/>
      </c>
      <c r="E1904" s="3" t="str">
        <f t="array" ref="E1904">IF(B1904="","",INDEX(helper!$F$3:$F3996,MOD(ROW()-2,COUNTA(helper!$D$3:$D3996))+1))</f>
        <v/>
      </c>
      <c r="F1904" s="3" t="str">
        <f>IF(B1904="","",SUMIFS('inventory ledger'!$H:$H,'inventory ledger'!$C:$C,C1904,'inventory ledger'!$D:$D,D1904,'inventory ledger'!$E:$E,E1904,'inventory ledger'!$A:$A,"&lt;="&amp;B1904+TIME(23,59,59))-SUMIFS('inventory ledger'!$I:$I,'inventory ledger'!$C:$C,C1904,'inventory ledger'!$D:$D,D1904,'inventory ledger'!$E:$E,E1904,'inventory ledger'!$A:$A,"&lt;="&amp;B1904+TIME(23,59,59)))</f>
        <v/>
      </c>
      <c r="G1904" s="3">
        <f>IFERROR(__xludf.DUMMYFUNCTION("IF(F1904&lt;=0,0,IFERROR(ROUNDUP(F1904/INDEX(FILTER('warehouse config'!$D:$D,('warehouse config'!$B:$B=C1904)*('warehouse config'!$C:$C=D1904)*('warehouse config'!$G:$G&lt;=B1904)*(('warehouse config'!$H:$H&gt;=B1904)+ISBLANK('warehouse config'!$H:$H))),1)),0))"),0.0)</f>
        <v>0</v>
      </c>
      <c r="H1904" s="3">
        <f>IFERROR(__xludf.DUMMYFUNCTION("IFERROR(INDEX(FILTER('cost master'!$E:$E,('cost master'!$B:$B=C1904)*('cost master'!$D:$D=""Storage cost per pallet / week"")*('cost master'!$G:$G&lt;=B1904)*(('cost master'!$H:$H&gt;=B1904)+ISBLANK('cost master'!$H:$H))),1),0)"),0.0)</f>
        <v>0</v>
      </c>
      <c r="I1904" s="3">
        <f t="shared" si="4"/>
        <v>0</v>
      </c>
      <c r="J1904" s="27">
        <f t="shared" si="5"/>
        <v>693947</v>
      </c>
      <c r="K1904" s="27">
        <f t="shared" si="6"/>
        <v>693977</v>
      </c>
    </row>
    <row r="1905" hidden="1">
      <c r="A1905" s="3" t="str">
        <f t="shared" si="3"/>
        <v/>
      </c>
      <c r="B1905" s="2" t="str">
        <f t="array" ref="B1905">INDEX(helper!$A$3:$A3996,ROUNDUP((ROW()-1)/COUNTA(helper!$D$3:$D3996),0))</f>
        <v/>
      </c>
      <c r="C1905" s="5" t="str">
        <f t="array" ref="C1905">IF(B1905="","",INDEX(helper!$D$3:$D3996,MOD(ROW()-2,COUNTA(helper!$D$3:$D3996))+1))</f>
        <v/>
      </c>
      <c r="D1905" s="3" t="str">
        <f t="array" ref="D1905">IF(B1905="","",INDEX(helper!$E$3:$E3996,MOD(ROW()-2,COUNTA(helper!$D$3:$D3996))+1))</f>
        <v/>
      </c>
      <c r="E1905" s="3" t="str">
        <f t="array" ref="E1905">IF(B1905="","",INDEX(helper!$F$3:$F3996,MOD(ROW()-2,COUNTA(helper!$D$3:$D3996))+1))</f>
        <v/>
      </c>
      <c r="F1905" s="3" t="str">
        <f>IF(B1905="","",SUMIFS('inventory ledger'!$H:$H,'inventory ledger'!$C:$C,C1905,'inventory ledger'!$D:$D,D1905,'inventory ledger'!$E:$E,E1905,'inventory ledger'!$A:$A,"&lt;="&amp;B1905+TIME(23,59,59))-SUMIFS('inventory ledger'!$I:$I,'inventory ledger'!$C:$C,C1905,'inventory ledger'!$D:$D,D1905,'inventory ledger'!$E:$E,E1905,'inventory ledger'!$A:$A,"&lt;="&amp;B1905+TIME(23,59,59)))</f>
        <v/>
      </c>
      <c r="G1905" s="3">
        <f>IFERROR(__xludf.DUMMYFUNCTION("IF(F1905&lt;=0,0,IFERROR(ROUNDUP(F1905/INDEX(FILTER('warehouse config'!$D:$D,('warehouse config'!$B:$B=C1905)*('warehouse config'!$C:$C=D1905)*('warehouse config'!$G:$G&lt;=B1905)*(('warehouse config'!$H:$H&gt;=B1905)+ISBLANK('warehouse config'!$H:$H))),1)),0))"),0.0)</f>
        <v>0</v>
      </c>
      <c r="H1905" s="3">
        <f>IFERROR(__xludf.DUMMYFUNCTION("IFERROR(INDEX(FILTER('cost master'!$E:$E,('cost master'!$B:$B=C1905)*('cost master'!$D:$D=""Storage cost per pallet / week"")*('cost master'!$G:$G&lt;=B1905)*(('cost master'!$H:$H&gt;=B1905)+ISBLANK('cost master'!$H:$H))),1),0)"),0.0)</f>
        <v>0</v>
      </c>
      <c r="I1905" s="3">
        <f t="shared" si="4"/>
        <v>0</v>
      </c>
      <c r="J1905" s="27">
        <f t="shared" si="5"/>
        <v>693947</v>
      </c>
      <c r="K1905" s="27">
        <f t="shared" si="6"/>
        <v>693977</v>
      </c>
    </row>
    <row r="1906" hidden="1">
      <c r="A1906" s="3" t="str">
        <f t="shared" si="3"/>
        <v/>
      </c>
      <c r="B1906" s="2" t="str">
        <f t="array" ref="B1906">INDEX(helper!$A$3:$A3996,ROUNDUP((ROW()-1)/COUNTA(helper!$D$3:$D3996),0))</f>
        <v/>
      </c>
      <c r="C1906" s="5" t="str">
        <f t="array" ref="C1906">IF(B1906="","",INDEX(helper!$D$3:$D3996,MOD(ROW()-2,COUNTA(helper!$D$3:$D3996))+1))</f>
        <v/>
      </c>
      <c r="D1906" s="3" t="str">
        <f t="array" ref="D1906">IF(B1906="","",INDEX(helper!$E$3:$E3996,MOD(ROW()-2,COUNTA(helper!$D$3:$D3996))+1))</f>
        <v/>
      </c>
      <c r="E1906" s="3" t="str">
        <f t="array" ref="E1906">IF(B1906="","",INDEX(helper!$F$3:$F3996,MOD(ROW()-2,COUNTA(helper!$D$3:$D3996))+1))</f>
        <v/>
      </c>
      <c r="F1906" s="3" t="str">
        <f>IF(B1906="","",SUMIFS('inventory ledger'!$H:$H,'inventory ledger'!$C:$C,C1906,'inventory ledger'!$D:$D,D1906,'inventory ledger'!$E:$E,E1906,'inventory ledger'!$A:$A,"&lt;="&amp;B1906+TIME(23,59,59))-SUMIFS('inventory ledger'!$I:$I,'inventory ledger'!$C:$C,C1906,'inventory ledger'!$D:$D,D1906,'inventory ledger'!$E:$E,E1906,'inventory ledger'!$A:$A,"&lt;="&amp;B1906+TIME(23,59,59)))</f>
        <v/>
      </c>
      <c r="G1906" s="3">
        <f>IFERROR(__xludf.DUMMYFUNCTION("IF(F1906&lt;=0,0,IFERROR(ROUNDUP(F1906/INDEX(FILTER('warehouse config'!$D:$D,('warehouse config'!$B:$B=C1906)*('warehouse config'!$C:$C=D1906)*('warehouse config'!$G:$G&lt;=B1906)*(('warehouse config'!$H:$H&gt;=B1906)+ISBLANK('warehouse config'!$H:$H))),1)),0))"),0.0)</f>
        <v>0</v>
      </c>
      <c r="H1906" s="3">
        <f>IFERROR(__xludf.DUMMYFUNCTION("IFERROR(INDEX(FILTER('cost master'!$E:$E,('cost master'!$B:$B=C1906)*('cost master'!$D:$D=""Storage cost per pallet / week"")*('cost master'!$G:$G&lt;=B1906)*(('cost master'!$H:$H&gt;=B1906)+ISBLANK('cost master'!$H:$H))),1),0)"),0.0)</f>
        <v>0</v>
      </c>
      <c r="I1906" s="3">
        <f t="shared" si="4"/>
        <v>0</v>
      </c>
      <c r="J1906" s="27">
        <f t="shared" si="5"/>
        <v>693947</v>
      </c>
      <c r="K1906" s="27">
        <f t="shared" si="6"/>
        <v>693977</v>
      </c>
    </row>
    <row r="1907" hidden="1">
      <c r="A1907" s="3" t="str">
        <f t="shared" si="3"/>
        <v/>
      </c>
      <c r="B1907" s="2" t="str">
        <f t="array" ref="B1907">INDEX(helper!$A$3:$A3996,ROUNDUP((ROW()-1)/COUNTA(helper!$D$3:$D3996),0))</f>
        <v/>
      </c>
      <c r="C1907" s="5" t="str">
        <f t="array" ref="C1907">IF(B1907="","",INDEX(helper!$D$3:$D3996,MOD(ROW()-2,COUNTA(helper!$D$3:$D3996))+1))</f>
        <v/>
      </c>
      <c r="D1907" s="3" t="str">
        <f t="array" ref="D1907">IF(B1907="","",INDEX(helper!$E$3:$E3996,MOD(ROW()-2,COUNTA(helper!$D$3:$D3996))+1))</f>
        <v/>
      </c>
      <c r="E1907" s="3" t="str">
        <f t="array" ref="E1907">IF(B1907="","",INDEX(helper!$F$3:$F3996,MOD(ROW()-2,COUNTA(helper!$D$3:$D3996))+1))</f>
        <v/>
      </c>
      <c r="F1907" s="3" t="str">
        <f>IF(B1907="","",SUMIFS('inventory ledger'!$H:$H,'inventory ledger'!$C:$C,C1907,'inventory ledger'!$D:$D,D1907,'inventory ledger'!$E:$E,E1907,'inventory ledger'!$A:$A,"&lt;="&amp;B1907+TIME(23,59,59))-SUMIFS('inventory ledger'!$I:$I,'inventory ledger'!$C:$C,C1907,'inventory ledger'!$D:$D,D1907,'inventory ledger'!$E:$E,E1907,'inventory ledger'!$A:$A,"&lt;="&amp;B1907+TIME(23,59,59)))</f>
        <v/>
      </c>
      <c r="G1907" s="3">
        <f>IFERROR(__xludf.DUMMYFUNCTION("IF(F1907&lt;=0,0,IFERROR(ROUNDUP(F1907/INDEX(FILTER('warehouse config'!$D:$D,('warehouse config'!$B:$B=C1907)*('warehouse config'!$C:$C=D1907)*('warehouse config'!$G:$G&lt;=B1907)*(('warehouse config'!$H:$H&gt;=B1907)+ISBLANK('warehouse config'!$H:$H))),1)),0))"),0.0)</f>
        <v>0</v>
      </c>
      <c r="H1907" s="3">
        <f>IFERROR(__xludf.DUMMYFUNCTION("IFERROR(INDEX(FILTER('cost master'!$E:$E,('cost master'!$B:$B=C1907)*('cost master'!$D:$D=""Storage cost per pallet / week"")*('cost master'!$G:$G&lt;=B1907)*(('cost master'!$H:$H&gt;=B1907)+ISBLANK('cost master'!$H:$H))),1),0)"),0.0)</f>
        <v>0</v>
      </c>
      <c r="I1907" s="3">
        <f t="shared" si="4"/>
        <v>0</v>
      </c>
      <c r="J1907" s="27">
        <f t="shared" si="5"/>
        <v>693947</v>
      </c>
      <c r="K1907" s="27">
        <f t="shared" si="6"/>
        <v>693977</v>
      </c>
    </row>
    <row r="1908" hidden="1">
      <c r="A1908" s="3" t="str">
        <f t="shared" si="3"/>
        <v/>
      </c>
      <c r="B1908" s="2" t="str">
        <f t="array" ref="B1908">INDEX(helper!$A$3:$A3996,ROUNDUP((ROW()-1)/COUNTA(helper!$D$3:$D3996),0))</f>
        <v/>
      </c>
      <c r="C1908" s="5" t="str">
        <f t="array" ref="C1908">IF(B1908="","",INDEX(helper!$D$3:$D3996,MOD(ROW()-2,COUNTA(helper!$D$3:$D3996))+1))</f>
        <v/>
      </c>
      <c r="D1908" s="3" t="str">
        <f t="array" ref="D1908">IF(B1908="","",INDEX(helper!$E$3:$E3996,MOD(ROW()-2,COUNTA(helper!$D$3:$D3996))+1))</f>
        <v/>
      </c>
      <c r="E1908" s="3" t="str">
        <f t="array" ref="E1908">IF(B1908="","",INDEX(helper!$F$3:$F3996,MOD(ROW()-2,COUNTA(helper!$D$3:$D3996))+1))</f>
        <v/>
      </c>
      <c r="F1908" s="3" t="str">
        <f>IF(B1908="","",SUMIFS('inventory ledger'!$H:$H,'inventory ledger'!$C:$C,C1908,'inventory ledger'!$D:$D,D1908,'inventory ledger'!$E:$E,E1908,'inventory ledger'!$A:$A,"&lt;="&amp;B1908+TIME(23,59,59))-SUMIFS('inventory ledger'!$I:$I,'inventory ledger'!$C:$C,C1908,'inventory ledger'!$D:$D,D1908,'inventory ledger'!$E:$E,E1908,'inventory ledger'!$A:$A,"&lt;="&amp;B1908+TIME(23,59,59)))</f>
        <v/>
      </c>
      <c r="G1908" s="3">
        <f>IFERROR(__xludf.DUMMYFUNCTION("IF(F1908&lt;=0,0,IFERROR(ROUNDUP(F1908/INDEX(FILTER('warehouse config'!$D:$D,('warehouse config'!$B:$B=C1908)*('warehouse config'!$C:$C=D1908)*('warehouse config'!$G:$G&lt;=B1908)*(('warehouse config'!$H:$H&gt;=B1908)+ISBLANK('warehouse config'!$H:$H))),1)),0))"),0.0)</f>
        <v>0</v>
      </c>
      <c r="H1908" s="3">
        <f>IFERROR(__xludf.DUMMYFUNCTION("IFERROR(INDEX(FILTER('cost master'!$E:$E,('cost master'!$B:$B=C1908)*('cost master'!$D:$D=""Storage cost per pallet / week"")*('cost master'!$G:$G&lt;=B1908)*(('cost master'!$H:$H&gt;=B1908)+ISBLANK('cost master'!$H:$H))),1),0)"),0.0)</f>
        <v>0</v>
      </c>
      <c r="I1908" s="3">
        <f t="shared" si="4"/>
        <v>0</v>
      </c>
      <c r="J1908" s="27">
        <f t="shared" si="5"/>
        <v>693947</v>
      </c>
      <c r="K1908" s="27">
        <f t="shared" si="6"/>
        <v>693977</v>
      </c>
    </row>
    <row r="1909" hidden="1">
      <c r="A1909" s="3" t="str">
        <f t="shared" si="3"/>
        <v/>
      </c>
      <c r="B1909" s="2" t="str">
        <f t="array" ref="B1909">INDEX(helper!$A$3:$A3996,ROUNDUP((ROW()-1)/COUNTA(helper!$D$3:$D3996),0))</f>
        <v/>
      </c>
      <c r="C1909" s="5" t="str">
        <f t="array" ref="C1909">IF(B1909="","",INDEX(helper!$D$3:$D3996,MOD(ROW()-2,COUNTA(helper!$D$3:$D3996))+1))</f>
        <v/>
      </c>
      <c r="D1909" s="3" t="str">
        <f t="array" ref="D1909">IF(B1909="","",INDEX(helper!$E$3:$E3996,MOD(ROW()-2,COUNTA(helper!$D$3:$D3996))+1))</f>
        <v/>
      </c>
      <c r="E1909" s="3" t="str">
        <f t="array" ref="E1909">IF(B1909="","",INDEX(helper!$F$3:$F3996,MOD(ROW()-2,COUNTA(helper!$D$3:$D3996))+1))</f>
        <v/>
      </c>
      <c r="F1909" s="3" t="str">
        <f>IF(B1909="","",SUMIFS('inventory ledger'!$H:$H,'inventory ledger'!$C:$C,C1909,'inventory ledger'!$D:$D,D1909,'inventory ledger'!$E:$E,E1909,'inventory ledger'!$A:$A,"&lt;="&amp;B1909+TIME(23,59,59))-SUMIFS('inventory ledger'!$I:$I,'inventory ledger'!$C:$C,C1909,'inventory ledger'!$D:$D,D1909,'inventory ledger'!$E:$E,E1909,'inventory ledger'!$A:$A,"&lt;="&amp;B1909+TIME(23,59,59)))</f>
        <v/>
      </c>
      <c r="G1909" s="3">
        <f>IFERROR(__xludf.DUMMYFUNCTION("IF(F1909&lt;=0,0,IFERROR(ROUNDUP(F1909/INDEX(FILTER('warehouse config'!$D:$D,('warehouse config'!$B:$B=C1909)*('warehouse config'!$C:$C=D1909)*('warehouse config'!$G:$G&lt;=B1909)*(('warehouse config'!$H:$H&gt;=B1909)+ISBLANK('warehouse config'!$H:$H))),1)),0))"),0.0)</f>
        <v>0</v>
      </c>
      <c r="H1909" s="3">
        <f>IFERROR(__xludf.DUMMYFUNCTION("IFERROR(INDEX(FILTER('cost master'!$E:$E,('cost master'!$B:$B=C1909)*('cost master'!$D:$D=""Storage cost per pallet / week"")*('cost master'!$G:$G&lt;=B1909)*(('cost master'!$H:$H&gt;=B1909)+ISBLANK('cost master'!$H:$H))),1),0)"),0.0)</f>
        <v>0</v>
      </c>
      <c r="I1909" s="3">
        <f t="shared" si="4"/>
        <v>0</v>
      </c>
      <c r="J1909" s="27">
        <f t="shared" si="5"/>
        <v>693947</v>
      </c>
      <c r="K1909" s="27">
        <f t="shared" si="6"/>
        <v>693977</v>
      </c>
    </row>
    <row r="1910" hidden="1">
      <c r="A1910" s="3" t="str">
        <f t="shared" si="3"/>
        <v/>
      </c>
      <c r="B1910" s="2" t="str">
        <f t="array" ref="B1910">INDEX(helper!$A$3:$A3996,ROUNDUP((ROW()-1)/COUNTA(helper!$D$3:$D3996),0))</f>
        <v/>
      </c>
      <c r="C1910" s="5" t="str">
        <f t="array" ref="C1910">IF(B1910="","",INDEX(helper!$D$3:$D3996,MOD(ROW()-2,COUNTA(helper!$D$3:$D3996))+1))</f>
        <v/>
      </c>
      <c r="D1910" s="3" t="str">
        <f t="array" ref="D1910">IF(B1910="","",INDEX(helper!$E$3:$E3996,MOD(ROW()-2,COUNTA(helper!$D$3:$D3996))+1))</f>
        <v/>
      </c>
      <c r="E1910" s="3" t="str">
        <f t="array" ref="E1910">IF(B1910="","",INDEX(helper!$F$3:$F3996,MOD(ROW()-2,COUNTA(helper!$D$3:$D3996))+1))</f>
        <v/>
      </c>
      <c r="F1910" s="3" t="str">
        <f>IF(B1910="","",SUMIFS('inventory ledger'!$H:$H,'inventory ledger'!$C:$C,C1910,'inventory ledger'!$D:$D,D1910,'inventory ledger'!$E:$E,E1910,'inventory ledger'!$A:$A,"&lt;="&amp;B1910+TIME(23,59,59))-SUMIFS('inventory ledger'!$I:$I,'inventory ledger'!$C:$C,C1910,'inventory ledger'!$D:$D,D1910,'inventory ledger'!$E:$E,E1910,'inventory ledger'!$A:$A,"&lt;="&amp;B1910+TIME(23,59,59)))</f>
        <v/>
      </c>
      <c r="G1910" s="3">
        <f>IFERROR(__xludf.DUMMYFUNCTION("IF(F1910&lt;=0,0,IFERROR(ROUNDUP(F1910/INDEX(FILTER('warehouse config'!$D:$D,('warehouse config'!$B:$B=C1910)*('warehouse config'!$C:$C=D1910)*('warehouse config'!$G:$G&lt;=B1910)*(('warehouse config'!$H:$H&gt;=B1910)+ISBLANK('warehouse config'!$H:$H))),1)),0))"),0.0)</f>
        <v>0</v>
      </c>
      <c r="H1910" s="3">
        <f>IFERROR(__xludf.DUMMYFUNCTION("IFERROR(INDEX(FILTER('cost master'!$E:$E,('cost master'!$B:$B=C1910)*('cost master'!$D:$D=""Storage cost per pallet / week"")*('cost master'!$G:$G&lt;=B1910)*(('cost master'!$H:$H&gt;=B1910)+ISBLANK('cost master'!$H:$H))),1),0)"),0.0)</f>
        <v>0</v>
      </c>
      <c r="I1910" s="3">
        <f t="shared" si="4"/>
        <v>0</v>
      </c>
      <c r="J1910" s="27">
        <f t="shared" si="5"/>
        <v>693947</v>
      </c>
      <c r="K1910" s="27">
        <f t="shared" si="6"/>
        <v>693977</v>
      </c>
    </row>
    <row r="1911" hidden="1">
      <c r="A1911" s="3" t="str">
        <f t="shared" si="3"/>
        <v/>
      </c>
      <c r="B1911" s="2" t="str">
        <f t="array" ref="B1911">INDEX(helper!$A$3:$A3996,ROUNDUP((ROW()-1)/COUNTA(helper!$D$3:$D3996),0))</f>
        <v/>
      </c>
      <c r="C1911" s="5" t="str">
        <f t="array" ref="C1911">IF(B1911="","",INDEX(helper!$D$3:$D3996,MOD(ROW()-2,COUNTA(helper!$D$3:$D3996))+1))</f>
        <v/>
      </c>
      <c r="D1911" s="3" t="str">
        <f t="array" ref="D1911">IF(B1911="","",INDEX(helper!$E$3:$E3996,MOD(ROW()-2,COUNTA(helper!$D$3:$D3996))+1))</f>
        <v/>
      </c>
      <c r="E1911" s="3" t="str">
        <f t="array" ref="E1911">IF(B1911="","",INDEX(helper!$F$3:$F3996,MOD(ROW()-2,COUNTA(helper!$D$3:$D3996))+1))</f>
        <v/>
      </c>
      <c r="F1911" s="3" t="str">
        <f>IF(B1911="","",SUMIFS('inventory ledger'!$H:$H,'inventory ledger'!$C:$C,C1911,'inventory ledger'!$D:$D,D1911,'inventory ledger'!$E:$E,E1911,'inventory ledger'!$A:$A,"&lt;="&amp;B1911+TIME(23,59,59))-SUMIFS('inventory ledger'!$I:$I,'inventory ledger'!$C:$C,C1911,'inventory ledger'!$D:$D,D1911,'inventory ledger'!$E:$E,E1911,'inventory ledger'!$A:$A,"&lt;="&amp;B1911+TIME(23,59,59)))</f>
        <v/>
      </c>
      <c r="G1911" s="3">
        <f>IFERROR(__xludf.DUMMYFUNCTION("IF(F1911&lt;=0,0,IFERROR(ROUNDUP(F1911/INDEX(FILTER('warehouse config'!$D:$D,('warehouse config'!$B:$B=C1911)*('warehouse config'!$C:$C=D1911)*('warehouse config'!$G:$G&lt;=B1911)*(('warehouse config'!$H:$H&gt;=B1911)+ISBLANK('warehouse config'!$H:$H))),1)),0))"),0.0)</f>
        <v>0</v>
      </c>
      <c r="H1911" s="3">
        <f>IFERROR(__xludf.DUMMYFUNCTION("IFERROR(INDEX(FILTER('cost master'!$E:$E,('cost master'!$B:$B=C1911)*('cost master'!$D:$D=""Storage cost per pallet / week"")*('cost master'!$G:$G&lt;=B1911)*(('cost master'!$H:$H&gt;=B1911)+ISBLANK('cost master'!$H:$H))),1),0)"),0.0)</f>
        <v>0</v>
      </c>
      <c r="I1911" s="3">
        <f t="shared" si="4"/>
        <v>0</v>
      </c>
      <c r="J1911" s="27">
        <f t="shared" si="5"/>
        <v>693947</v>
      </c>
      <c r="K1911" s="27">
        <f t="shared" si="6"/>
        <v>693977</v>
      </c>
    </row>
    <row r="1912" hidden="1">
      <c r="A1912" s="3" t="str">
        <f t="shared" si="3"/>
        <v/>
      </c>
      <c r="B1912" s="2" t="str">
        <f t="array" ref="B1912">INDEX(helper!$A$3:$A3996,ROUNDUP((ROW()-1)/COUNTA(helper!$D$3:$D3996),0))</f>
        <v/>
      </c>
      <c r="C1912" s="5" t="str">
        <f t="array" ref="C1912">IF(B1912="","",INDEX(helper!$D$3:$D3996,MOD(ROW()-2,COUNTA(helper!$D$3:$D3996))+1))</f>
        <v/>
      </c>
      <c r="D1912" s="3" t="str">
        <f t="array" ref="D1912">IF(B1912="","",INDEX(helper!$E$3:$E3996,MOD(ROW()-2,COUNTA(helper!$D$3:$D3996))+1))</f>
        <v/>
      </c>
      <c r="E1912" s="3" t="str">
        <f t="array" ref="E1912">IF(B1912="","",INDEX(helper!$F$3:$F3996,MOD(ROW()-2,COUNTA(helper!$D$3:$D3996))+1))</f>
        <v/>
      </c>
      <c r="F1912" s="3" t="str">
        <f>IF(B1912="","",SUMIFS('inventory ledger'!$H:$H,'inventory ledger'!$C:$C,C1912,'inventory ledger'!$D:$D,D1912,'inventory ledger'!$E:$E,E1912,'inventory ledger'!$A:$A,"&lt;="&amp;B1912+TIME(23,59,59))-SUMIFS('inventory ledger'!$I:$I,'inventory ledger'!$C:$C,C1912,'inventory ledger'!$D:$D,D1912,'inventory ledger'!$E:$E,E1912,'inventory ledger'!$A:$A,"&lt;="&amp;B1912+TIME(23,59,59)))</f>
        <v/>
      </c>
      <c r="G1912" s="3">
        <f>IFERROR(__xludf.DUMMYFUNCTION("IF(F1912&lt;=0,0,IFERROR(ROUNDUP(F1912/INDEX(FILTER('warehouse config'!$D:$D,('warehouse config'!$B:$B=C1912)*('warehouse config'!$C:$C=D1912)*('warehouse config'!$G:$G&lt;=B1912)*(('warehouse config'!$H:$H&gt;=B1912)+ISBLANK('warehouse config'!$H:$H))),1)),0))"),0.0)</f>
        <v>0</v>
      </c>
      <c r="H1912" s="3">
        <f>IFERROR(__xludf.DUMMYFUNCTION("IFERROR(INDEX(FILTER('cost master'!$E:$E,('cost master'!$B:$B=C1912)*('cost master'!$D:$D=""Storage cost per pallet / week"")*('cost master'!$G:$G&lt;=B1912)*(('cost master'!$H:$H&gt;=B1912)+ISBLANK('cost master'!$H:$H))),1),0)"),0.0)</f>
        <v>0</v>
      </c>
      <c r="I1912" s="3">
        <f t="shared" si="4"/>
        <v>0</v>
      </c>
      <c r="J1912" s="27">
        <f t="shared" si="5"/>
        <v>693947</v>
      </c>
      <c r="K1912" s="27">
        <f t="shared" si="6"/>
        <v>693977</v>
      </c>
    </row>
    <row r="1913" hidden="1">
      <c r="A1913" s="3" t="str">
        <f t="shared" si="3"/>
        <v/>
      </c>
      <c r="B1913" s="2" t="str">
        <f t="array" ref="B1913">INDEX(helper!$A$3:$A3996,ROUNDUP((ROW()-1)/COUNTA(helper!$D$3:$D3996),0))</f>
        <v/>
      </c>
      <c r="C1913" s="5" t="str">
        <f t="array" ref="C1913">IF(B1913="","",INDEX(helper!$D$3:$D3996,MOD(ROW()-2,COUNTA(helper!$D$3:$D3996))+1))</f>
        <v/>
      </c>
      <c r="D1913" s="3" t="str">
        <f t="array" ref="D1913">IF(B1913="","",INDEX(helper!$E$3:$E3996,MOD(ROW()-2,COUNTA(helper!$D$3:$D3996))+1))</f>
        <v/>
      </c>
      <c r="E1913" s="3" t="str">
        <f t="array" ref="E1913">IF(B1913="","",INDEX(helper!$F$3:$F3996,MOD(ROW()-2,COUNTA(helper!$D$3:$D3996))+1))</f>
        <v/>
      </c>
      <c r="F1913" s="3" t="str">
        <f>IF(B1913="","",SUMIFS('inventory ledger'!$H:$H,'inventory ledger'!$C:$C,C1913,'inventory ledger'!$D:$D,D1913,'inventory ledger'!$E:$E,E1913,'inventory ledger'!$A:$A,"&lt;="&amp;B1913+TIME(23,59,59))-SUMIFS('inventory ledger'!$I:$I,'inventory ledger'!$C:$C,C1913,'inventory ledger'!$D:$D,D1913,'inventory ledger'!$E:$E,E1913,'inventory ledger'!$A:$A,"&lt;="&amp;B1913+TIME(23,59,59)))</f>
        <v/>
      </c>
      <c r="G1913" s="3">
        <f>IFERROR(__xludf.DUMMYFUNCTION("IF(F1913&lt;=0,0,IFERROR(ROUNDUP(F1913/INDEX(FILTER('warehouse config'!$D:$D,('warehouse config'!$B:$B=C1913)*('warehouse config'!$C:$C=D1913)*('warehouse config'!$G:$G&lt;=B1913)*(('warehouse config'!$H:$H&gt;=B1913)+ISBLANK('warehouse config'!$H:$H))),1)),0))"),0.0)</f>
        <v>0</v>
      </c>
      <c r="H1913" s="3">
        <f>IFERROR(__xludf.DUMMYFUNCTION("IFERROR(INDEX(FILTER('cost master'!$E:$E,('cost master'!$B:$B=C1913)*('cost master'!$D:$D=""Storage cost per pallet / week"")*('cost master'!$G:$G&lt;=B1913)*(('cost master'!$H:$H&gt;=B1913)+ISBLANK('cost master'!$H:$H))),1),0)"),0.0)</f>
        <v>0</v>
      </c>
      <c r="I1913" s="3">
        <f t="shared" si="4"/>
        <v>0</v>
      </c>
      <c r="J1913" s="27">
        <f t="shared" si="5"/>
        <v>693947</v>
      </c>
      <c r="K1913" s="27">
        <f t="shared" si="6"/>
        <v>693977</v>
      </c>
    </row>
    <row r="1914" hidden="1">
      <c r="A1914" s="3" t="str">
        <f t="shared" si="3"/>
        <v/>
      </c>
      <c r="B1914" s="2" t="str">
        <f t="array" ref="B1914">INDEX(helper!$A$3:$A3996,ROUNDUP((ROW()-1)/COUNTA(helper!$D$3:$D3996),0))</f>
        <v/>
      </c>
      <c r="C1914" s="5" t="str">
        <f t="array" ref="C1914">IF(B1914="","",INDEX(helper!$D$3:$D3996,MOD(ROW()-2,COUNTA(helper!$D$3:$D3996))+1))</f>
        <v/>
      </c>
      <c r="D1914" s="3" t="str">
        <f t="array" ref="D1914">IF(B1914="","",INDEX(helper!$E$3:$E3996,MOD(ROW()-2,COUNTA(helper!$D$3:$D3996))+1))</f>
        <v/>
      </c>
      <c r="E1914" s="3" t="str">
        <f t="array" ref="E1914">IF(B1914="","",INDEX(helper!$F$3:$F3996,MOD(ROW()-2,COUNTA(helper!$D$3:$D3996))+1))</f>
        <v/>
      </c>
      <c r="F1914" s="3" t="str">
        <f>IF(B1914="","",SUMIFS('inventory ledger'!$H:$H,'inventory ledger'!$C:$C,C1914,'inventory ledger'!$D:$D,D1914,'inventory ledger'!$E:$E,E1914,'inventory ledger'!$A:$A,"&lt;="&amp;B1914+TIME(23,59,59))-SUMIFS('inventory ledger'!$I:$I,'inventory ledger'!$C:$C,C1914,'inventory ledger'!$D:$D,D1914,'inventory ledger'!$E:$E,E1914,'inventory ledger'!$A:$A,"&lt;="&amp;B1914+TIME(23,59,59)))</f>
        <v/>
      </c>
      <c r="G1914" s="3">
        <f>IFERROR(__xludf.DUMMYFUNCTION("IF(F1914&lt;=0,0,IFERROR(ROUNDUP(F1914/INDEX(FILTER('warehouse config'!$D:$D,('warehouse config'!$B:$B=C1914)*('warehouse config'!$C:$C=D1914)*('warehouse config'!$G:$G&lt;=B1914)*(('warehouse config'!$H:$H&gt;=B1914)+ISBLANK('warehouse config'!$H:$H))),1)),0))"),0.0)</f>
        <v>0</v>
      </c>
      <c r="H1914" s="3">
        <f>IFERROR(__xludf.DUMMYFUNCTION("IFERROR(INDEX(FILTER('cost master'!$E:$E,('cost master'!$B:$B=C1914)*('cost master'!$D:$D=""Storage cost per pallet / week"")*('cost master'!$G:$G&lt;=B1914)*(('cost master'!$H:$H&gt;=B1914)+ISBLANK('cost master'!$H:$H))),1),0)"),0.0)</f>
        <v>0</v>
      </c>
      <c r="I1914" s="3">
        <f t="shared" si="4"/>
        <v>0</v>
      </c>
      <c r="J1914" s="27">
        <f t="shared" si="5"/>
        <v>693947</v>
      </c>
      <c r="K1914" s="27">
        <f t="shared" si="6"/>
        <v>693977</v>
      </c>
    </row>
    <row r="1915" hidden="1">
      <c r="A1915" s="3" t="str">
        <f t="shared" si="3"/>
        <v/>
      </c>
      <c r="B1915" s="2" t="str">
        <f t="array" ref="B1915">INDEX(helper!$A$3:$A3996,ROUNDUP((ROW()-1)/COUNTA(helper!$D$3:$D3996),0))</f>
        <v/>
      </c>
      <c r="C1915" s="5" t="str">
        <f t="array" ref="C1915">IF(B1915="","",INDEX(helper!$D$3:$D3996,MOD(ROW()-2,COUNTA(helper!$D$3:$D3996))+1))</f>
        <v/>
      </c>
      <c r="D1915" s="3" t="str">
        <f t="array" ref="D1915">IF(B1915="","",INDEX(helper!$E$3:$E3996,MOD(ROW()-2,COUNTA(helper!$D$3:$D3996))+1))</f>
        <v/>
      </c>
      <c r="E1915" s="3" t="str">
        <f t="array" ref="E1915">IF(B1915="","",INDEX(helper!$F$3:$F3996,MOD(ROW()-2,COUNTA(helper!$D$3:$D3996))+1))</f>
        <v/>
      </c>
      <c r="F1915" s="3" t="str">
        <f>IF(B1915="","",SUMIFS('inventory ledger'!$H:$H,'inventory ledger'!$C:$C,C1915,'inventory ledger'!$D:$D,D1915,'inventory ledger'!$E:$E,E1915,'inventory ledger'!$A:$A,"&lt;="&amp;B1915+TIME(23,59,59))-SUMIFS('inventory ledger'!$I:$I,'inventory ledger'!$C:$C,C1915,'inventory ledger'!$D:$D,D1915,'inventory ledger'!$E:$E,E1915,'inventory ledger'!$A:$A,"&lt;="&amp;B1915+TIME(23,59,59)))</f>
        <v/>
      </c>
      <c r="G1915" s="3">
        <f>IFERROR(__xludf.DUMMYFUNCTION("IF(F1915&lt;=0,0,IFERROR(ROUNDUP(F1915/INDEX(FILTER('warehouse config'!$D:$D,('warehouse config'!$B:$B=C1915)*('warehouse config'!$C:$C=D1915)*('warehouse config'!$G:$G&lt;=B1915)*(('warehouse config'!$H:$H&gt;=B1915)+ISBLANK('warehouse config'!$H:$H))),1)),0))"),0.0)</f>
        <v>0</v>
      </c>
      <c r="H1915" s="3">
        <f>IFERROR(__xludf.DUMMYFUNCTION("IFERROR(INDEX(FILTER('cost master'!$E:$E,('cost master'!$B:$B=C1915)*('cost master'!$D:$D=""Storage cost per pallet / week"")*('cost master'!$G:$G&lt;=B1915)*(('cost master'!$H:$H&gt;=B1915)+ISBLANK('cost master'!$H:$H))),1),0)"),0.0)</f>
        <v>0</v>
      </c>
      <c r="I1915" s="3">
        <f t="shared" si="4"/>
        <v>0</v>
      </c>
      <c r="J1915" s="27">
        <f t="shared" si="5"/>
        <v>693947</v>
      </c>
      <c r="K1915" s="27">
        <f t="shared" si="6"/>
        <v>693977</v>
      </c>
    </row>
    <row r="1916" hidden="1">
      <c r="A1916" s="3" t="str">
        <f t="shared" si="3"/>
        <v/>
      </c>
      <c r="B1916" s="2" t="str">
        <f t="array" ref="B1916">INDEX(helper!$A$3:$A3996,ROUNDUP((ROW()-1)/COUNTA(helper!$D$3:$D3996),0))</f>
        <v/>
      </c>
      <c r="C1916" s="5" t="str">
        <f t="array" ref="C1916">IF(B1916="","",INDEX(helper!$D$3:$D3996,MOD(ROW()-2,COUNTA(helper!$D$3:$D3996))+1))</f>
        <v/>
      </c>
      <c r="D1916" s="3" t="str">
        <f t="array" ref="D1916">IF(B1916="","",INDEX(helper!$E$3:$E3996,MOD(ROW()-2,COUNTA(helper!$D$3:$D3996))+1))</f>
        <v/>
      </c>
      <c r="E1916" s="3" t="str">
        <f t="array" ref="E1916">IF(B1916="","",INDEX(helper!$F$3:$F3996,MOD(ROW()-2,COUNTA(helper!$D$3:$D3996))+1))</f>
        <v/>
      </c>
      <c r="F1916" s="3" t="str">
        <f>IF(B1916="","",SUMIFS('inventory ledger'!$H:$H,'inventory ledger'!$C:$C,C1916,'inventory ledger'!$D:$D,D1916,'inventory ledger'!$E:$E,E1916,'inventory ledger'!$A:$A,"&lt;="&amp;B1916+TIME(23,59,59))-SUMIFS('inventory ledger'!$I:$I,'inventory ledger'!$C:$C,C1916,'inventory ledger'!$D:$D,D1916,'inventory ledger'!$E:$E,E1916,'inventory ledger'!$A:$A,"&lt;="&amp;B1916+TIME(23,59,59)))</f>
        <v/>
      </c>
      <c r="G1916" s="3">
        <f>IFERROR(__xludf.DUMMYFUNCTION("IF(F1916&lt;=0,0,IFERROR(ROUNDUP(F1916/INDEX(FILTER('warehouse config'!$D:$D,('warehouse config'!$B:$B=C1916)*('warehouse config'!$C:$C=D1916)*('warehouse config'!$G:$G&lt;=B1916)*(('warehouse config'!$H:$H&gt;=B1916)+ISBLANK('warehouse config'!$H:$H))),1)),0))"),0.0)</f>
        <v>0</v>
      </c>
      <c r="H1916" s="3">
        <f>IFERROR(__xludf.DUMMYFUNCTION("IFERROR(INDEX(FILTER('cost master'!$E:$E,('cost master'!$B:$B=C1916)*('cost master'!$D:$D=""Storage cost per pallet / week"")*('cost master'!$G:$G&lt;=B1916)*(('cost master'!$H:$H&gt;=B1916)+ISBLANK('cost master'!$H:$H))),1),0)"),0.0)</f>
        <v>0</v>
      </c>
      <c r="I1916" s="3">
        <f t="shared" si="4"/>
        <v>0</v>
      </c>
      <c r="J1916" s="27">
        <f t="shared" si="5"/>
        <v>693947</v>
      </c>
      <c r="K1916" s="27">
        <f t="shared" si="6"/>
        <v>693977</v>
      </c>
    </row>
    <row r="1917" hidden="1">
      <c r="A1917" s="3" t="str">
        <f t="shared" si="3"/>
        <v/>
      </c>
      <c r="B1917" s="2" t="str">
        <f t="array" ref="B1917">INDEX(helper!$A$3:$A3996,ROUNDUP((ROW()-1)/COUNTA(helper!$D$3:$D3996),0))</f>
        <v/>
      </c>
      <c r="C1917" s="5" t="str">
        <f t="array" ref="C1917">IF(B1917="","",INDEX(helper!$D$3:$D3996,MOD(ROW()-2,COUNTA(helper!$D$3:$D3996))+1))</f>
        <v/>
      </c>
      <c r="D1917" s="3" t="str">
        <f t="array" ref="D1917">IF(B1917="","",INDEX(helper!$E$3:$E3996,MOD(ROW()-2,COUNTA(helper!$D$3:$D3996))+1))</f>
        <v/>
      </c>
      <c r="E1917" s="3" t="str">
        <f t="array" ref="E1917">IF(B1917="","",INDEX(helper!$F$3:$F3996,MOD(ROW()-2,COUNTA(helper!$D$3:$D3996))+1))</f>
        <v/>
      </c>
      <c r="F1917" s="3" t="str">
        <f>IF(B1917="","",SUMIFS('inventory ledger'!$H:$H,'inventory ledger'!$C:$C,C1917,'inventory ledger'!$D:$D,D1917,'inventory ledger'!$E:$E,E1917,'inventory ledger'!$A:$A,"&lt;="&amp;B1917+TIME(23,59,59))-SUMIFS('inventory ledger'!$I:$I,'inventory ledger'!$C:$C,C1917,'inventory ledger'!$D:$D,D1917,'inventory ledger'!$E:$E,E1917,'inventory ledger'!$A:$A,"&lt;="&amp;B1917+TIME(23,59,59)))</f>
        <v/>
      </c>
      <c r="G1917" s="3">
        <f>IFERROR(__xludf.DUMMYFUNCTION("IF(F1917&lt;=0,0,IFERROR(ROUNDUP(F1917/INDEX(FILTER('warehouse config'!$D:$D,('warehouse config'!$B:$B=C1917)*('warehouse config'!$C:$C=D1917)*('warehouse config'!$G:$G&lt;=B1917)*(('warehouse config'!$H:$H&gt;=B1917)+ISBLANK('warehouse config'!$H:$H))),1)),0))"),0.0)</f>
        <v>0</v>
      </c>
      <c r="H1917" s="3">
        <f>IFERROR(__xludf.DUMMYFUNCTION("IFERROR(INDEX(FILTER('cost master'!$E:$E,('cost master'!$B:$B=C1917)*('cost master'!$D:$D=""Storage cost per pallet / week"")*('cost master'!$G:$G&lt;=B1917)*(('cost master'!$H:$H&gt;=B1917)+ISBLANK('cost master'!$H:$H))),1),0)"),0.0)</f>
        <v>0</v>
      </c>
      <c r="I1917" s="3">
        <f t="shared" si="4"/>
        <v>0</v>
      </c>
      <c r="J1917" s="27">
        <f t="shared" si="5"/>
        <v>693947</v>
      </c>
      <c r="K1917" s="27">
        <f t="shared" si="6"/>
        <v>693977</v>
      </c>
    </row>
    <row r="1918" hidden="1">
      <c r="A1918" s="3" t="str">
        <f t="shared" si="3"/>
        <v/>
      </c>
      <c r="B1918" s="2" t="str">
        <f t="array" ref="B1918">INDEX(helper!$A$3:$A3996,ROUNDUP((ROW()-1)/COUNTA(helper!$D$3:$D3996),0))</f>
        <v/>
      </c>
      <c r="C1918" s="5" t="str">
        <f t="array" ref="C1918">IF(B1918="","",INDEX(helper!$D$3:$D3996,MOD(ROW()-2,COUNTA(helper!$D$3:$D3996))+1))</f>
        <v/>
      </c>
      <c r="D1918" s="3" t="str">
        <f t="array" ref="D1918">IF(B1918="","",INDEX(helper!$E$3:$E3996,MOD(ROW()-2,COUNTA(helper!$D$3:$D3996))+1))</f>
        <v/>
      </c>
      <c r="E1918" s="3" t="str">
        <f t="array" ref="E1918">IF(B1918="","",INDEX(helper!$F$3:$F3996,MOD(ROW()-2,COUNTA(helper!$D$3:$D3996))+1))</f>
        <v/>
      </c>
      <c r="F1918" s="3" t="str">
        <f>IF(B1918="","",SUMIFS('inventory ledger'!$H:$H,'inventory ledger'!$C:$C,C1918,'inventory ledger'!$D:$D,D1918,'inventory ledger'!$E:$E,E1918,'inventory ledger'!$A:$A,"&lt;="&amp;B1918+TIME(23,59,59))-SUMIFS('inventory ledger'!$I:$I,'inventory ledger'!$C:$C,C1918,'inventory ledger'!$D:$D,D1918,'inventory ledger'!$E:$E,E1918,'inventory ledger'!$A:$A,"&lt;="&amp;B1918+TIME(23,59,59)))</f>
        <v/>
      </c>
      <c r="G1918" s="3">
        <f>IFERROR(__xludf.DUMMYFUNCTION("IF(F1918&lt;=0,0,IFERROR(ROUNDUP(F1918/INDEX(FILTER('warehouse config'!$D:$D,('warehouse config'!$B:$B=C1918)*('warehouse config'!$C:$C=D1918)*('warehouse config'!$G:$G&lt;=B1918)*(('warehouse config'!$H:$H&gt;=B1918)+ISBLANK('warehouse config'!$H:$H))),1)),0))"),0.0)</f>
        <v>0</v>
      </c>
      <c r="H1918" s="3">
        <f>IFERROR(__xludf.DUMMYFUNCTION("IFERROR(INDEX(FILTER('cost master'!$E:$E,('cost master'!$B:$B=C1918)*('cost master'!$D:$D=""Storage cost per pallet / week"")*('cost master'!$G:$G&lt;=B1918)*(('cost master'!$H:$H&gt;=B1918)+ISBLANK('cost master'!$H:$H))),1),0)"),0.0)</f>
        <v>0</v>
      </c>
      <c r="I1918" s="3">
        <f t="shared" si="4"/>
        <v>0</v>
      </c>
      <c r="J1918" s="27">
        <f t="shared" si="5"/>
        <v>693947</v>
      </c>
      <c r="K1918" s="27">
        <f t="shared" si="6"/>
        <v>693977</v>
      </c>
    </row>
    <row r="1919" hidden="1">
      <c r="A1919" s="3" t="str">
        <f t="shared" si="3"/>
        <v/>
      </c>
      <c r="B1919" s="2" t="str">
        <f t="array" ref="B1919">INDEX(helper!$A$3:$A3996,ROUNDUP((ROW()-1)/COUNTA(helper!$D$3:$D3996),0))</f>
        <v/>
      </c>
      <c r="C1919" s="5" t="str">
        <f t="array" ref="C1919">IF(B1919="","",INDEX(helper!$D$3:$D3996,MOD(ROW()-2,COUNTA(helper!$D$3:$D3996))+1))</f>
        <v/>
      </c>
      <c r="D1919" s="3" t="str">
        <f t="array" ref="D1919">IF(B1919="","",INDEX(helper!$E$3:$E3996,MOD(ROW()-2,COUNTA(helper!$D$3:$D3996))+1))</f>
        <v/>
      </c>
      <c r="E1919" s="3" t="str">
        <f t="array" ref="E1919">IF(B1919="","",INDEX(helper!$F$3:$F3996,MOD(ROW()-2,COUNTA(helper!$D$3:$D3996))+1))</f>
        <v/>
      </c>
      <c r="F1919" s="3" t="str">
        <f>IF(B1919="","",SUMIFS('inventory ledger'!$H:$H,'inventory ledger'!$C:$C,C1919,'inventory ledger'!$D:$D,D1919,'inventory ledger'!$E:$E,E1919,'inventory ledger'!$A:$A,"&lt;="&amp;B1919+TIME(23,59,59))-SUMIFS('inventory ledger'!$I:$I,'inventory ledger'!$C:$C,C1919,'inventory ledger'!$D:$D,D1919,'inventory ledger'!$E:$E,E1919,'inventory ledger'!$A:$A,"&lt;="&amp;B1919+TIME(23,59,59)))</f>
        <v/>
      </c>
      <c r="G1919" s="3">
        <f>IFERROR(__xludf.DUMMYFUNCTION("IF(F1919&lt;=0,0,IFERROR(ROUNDUP(F1919/INDEX(FILTER('warehouse config'!$D:$D,('warehouse config'!$B:$B=C1919)*('warehouse config'!$C:$C=D1919)*('warehouse config'!$G:$G&lt;=B1919)*(('warehouse config'!$H:$H&gt;=B1919)+ISBLANK('warehouse config'!$H:$H))),1)),0))"),0.0)</f>
        <v>0</v>
      </c>
      <c r="H1919" s="3">
        <f>IFERROR(__xludf.DUMMYFUNCTION("IFERROR(INDEX(FILTER('cost master'!$E:$E,('cost master'!$B:$B=C1919)*('cost master'!$D:$D=""Storage cost per pallet / week"")*('cost master'!$G:$G&lt;=B1919)*(('cost master'!$H:$H&gt;=B1919)+ISBLANK('cost master'!$H:$H))),1),0)"),0.0)</f>
        <v>0</v>
      </c>
      <c r="I1919" s="3">
        <f t="shared" si="4"/>
        <v>0</v>
      </c>
      <c r="J1919" s="27">
        <f t="shared" si="5"/>
        <v>693947</v>
      </c>
      <c r="K1919" s="27">
        <f t="shared" si="6"/>
        <v>693977</v>
      </c>
    </row>
    <row r="1920" hidden="1">
      <c r="A1920" s="3" t="str">
        <f t="shared" si="3"/>
        <v/>
      </c>
      <c r="B1920" s="2" t="str">
        <f t="array" ref="B1920">INDEX(helper!$A$3:$A3996,ROUNDUP((ROW()-1)/COUNTA(helper!$D$3:$D3996),0))</f>
        <v/>
      </c>
      <c r="C1920" s="5" t="str">
        <f t="array" ref="C1920">IF(B1920="","",INDEX(helper!$D$3:$D3996,MOD(ROW()-2,COUNTA(helper!$D$3:$D3996))+1))</f>
        <v/>
      </c>
      <c r="D1920" s="3" t="str">
        <f t="array" ref="D1920">IF(B1920="","",INDEX(helper!$E$3:$E3996,MOD(ROW()-2,COUNTA(helper!$D$3:$D3996))+1))</f>
        <v/>
      </c>
      <c r="E1920" s="3" t="str">
        <f t="array" ref="E1920">IF(B1920="","",INDEX(helper!$F$3:$F3996,MOD(ROW()-2,COUNTA(helper!$D$3:$D3996))+1))</f>
        <v/>
      </c>
      <c r="F1920" s="3" t="str">
        <f>IF(B1920="","",SUMIFS('inventory ledger'!$H:$H,'inventory ledger'!$C:$C,C1920,'inventory ledger'!$D:$D,D1920,'inventory ledger'!$E:$E,E1920,'inventory ledger'!$A:$A,"&lt;="&amp;B1920+TIME(23,59,59))-SUMIFS('inventory ledger'!$I:$I,'inventory ledger'!$C:$C,C1920,'inventory ledger'!$D:$D,D1920,'inventory ledger'!$E:$E,E1920,'inventory ledger'!$A:$A,"&lt;="&amp;B1920+TIME(23,59,59)))</f>
        <v/>
      </c>
      <c r="G1920" s="3">
        <f>IFERROR(__xludf.DUMMYFUNCTION("IF(F1920&lt;=0,0,IFERROR(ROUNDUP(F1920/INDEX(FILTER('warehouse config'!$D:$D,('warehouse config'!$B:$B=C1920)*('warehouse config'!$C:$C=D1920)*('warehouse config'!$G:$G&lt;=B1920)*(('warehouse config'!$H:$H&gt;=B1920)+ISBLANK('warehouse config'!$H:$H))),1)),0))"),0.0)</f>
        <v>0</v>
      </c>
      <c r="H1920" s="3">
        <f>IFERROR(__xludf.DUMMYFUNCTION("IFERROR(INDEX(FILTER('cost master'!$E:$E,('cost master'!$B:$B=C1920)*('cost master'!$D:$D=""Storage cost per pallet / week"")*('cost master'!$G:$G&lt;=B1920)*(('cost master'!$H:$H&gt;=B1920)+ISBLANK('cost master'!$H:$H))),1),0)"),0.0)</f>
        <v>0</v>
      </c>
      <c r="I1920" s="3">
        <f t="shared" si="4"/>
        <v>0</v>
      </c>
      <c r="J1920" s="27">
        <f t="shared" si="5"/>
        <v>693947</v>
      </c>
      <c r="K1920" s="27">
        <f t="shared" si="6"/>
        <v>693977</v>
      </c>
    </row>
    <row r="1921" hidden="1">
      <c r="A1921" s="3" t="str">
        <f t="shared" si="3"/>
        <v/>
      </c>
      <c r="B1921" s="2" t="str">
        <f t="array" ref="B1921">INDEX(helper!$A$3:$A3996,ROUNDUP((ROW()-1)/COUNTA(helper!$D$3:$D3996),0))</f>
        <v/>
      </c>
      <c r="C1921" s="5" t="str">
        <f t="array" ref="C1921">IF(B1921="","",INDEX(helper!$D$3:$D3996,MOD(ROW()-2,COUNTA(helper!$D$3:$D3996))+1))</f>
        <v/>
      </c>
      <c r="D1921" s="3" t="str">
        <f t="array" ref="D1921">IF(B1921="","",INDEX(helper!$E$3:$E3996,MOD(ROW()-2,COUNTA(helper!$D$3:$D3996))+1))</f>
        <v/>
      </c>
      <c r="E1921" s="3" t="str">
        <f t="array" ref="E1921">IF(B1921="","",INDEX(helper!$F$3:$F3996,MOD(ROW()-2,COUNTA(helper!$D$3:$D3996))+1))</f>
        <v/>
      </c>
      <c r="F1921" s="3" t="str">
        <f>IF(B1921="","",SUMIFS('inventory ledger'!$H:$H,'inventory ledger'!$C:$C,C1921,'inventory ledger'!$D:$D,D1921,'inventory ledger'!$E:$E,E1921,'inventory ledger'!$A:$A,"&lt;="&amp;B1921+TIME(23,59,59))-SUMIFS('inventory ledger'!$I:$I,'inventory ledger'!$C:$C,C1921,'inventory ledger'!$D:$D,D1921,'inventory ledger'!$E:$E,E1921,'inventory ledger'!$A:$A,"&lt;="&amp;B1921+TIME(23,59,59)))</f>
        <v/>
      </c>
      <c r="G1921" s="3">
        <f>IFERROR(__xludf.DUMMYFUNCTION("IF(F1921&lt;=0,0,IFERROR(ROUNDUP(F1921/INDEX(FILTER('warehouse config'!$D:$D,('warehouse config'!$B:$B=C1921)*('warehouse config'!$C:$C=D1921)*('warehouse config'!$G:$G&lt;=B1921)*(('warehouse config'!$H:$H&gt;=B1921)+ISBLANK('warehouse config'!$H:$H))),1)),0))"),0.0)</f>
        <v>0</v>
      </c>
      <c r="H1921" s="3">
        <f>IFERROR(__xludf.DUMMYFUNCTION("IFERROR(INDEX(FILTER('cost master'!$E:$E,('cost master'!$B:$B=C1921)*('cost master'!$D:$D=""Storage cost per pallet / week"")*('cost master'!$G:$G&lt;=B1921)*(('cost master'!$H:$H&gt;=B1921)+ISBLANK('cost master'!$H:$H))),1),0)"),0.0)</f>
        <v>0</v>
      </c>
      <c r="I1921" s="3">
        <f t="shared" si="4"/>
        <v>0</v>
      </c>
      <c r="J1921" s="27">
        <f t="shared" si="5"/>
        <v>693947</v>
      </c>
      <c r="K1921" s="27">
        <f t="shared" si="6"/>
        <v>693977</v>
      </c>
    </row>
    <row r="1922" hidden="1">
      <c r="A1922" s="3" t="str">
        <f t="shared" si="3"/>
        <v/>
      </c>
      <c r="B1922" s="2" t="str">
        <f t="array" ref="B1922">INDEX(helper!$A$3:$A3996,ROUNDUP((ROW()-1)/COUNTA(helper!$D$3:$D3996),0))</f>
        <v/>
      </c>
      <c r="C1922" s="5" t="str">
        <f t="array" ref="C1922">IF(B1922="","",INDEX(helper!$D$3:$D3996,MOD(ROW()-2,COUNTA(helper!$D$3:$D3996))+1))</f>
        <v/>
      </c>
      <c r="D1922" s="3" t="str">
        <f t="array" ref="D1922">IF(B1922="","",INDEX(helper!$E$3:$E3996,MOD(ROW()-2,COUNTA(helper!$D$3:$D3996))+1))</f>
        <v/>
      </c>
      <c r="E1922" s="3" t="str">
        <f t="array" ref="E1922">IF(B1922="","",INDEX(helper!$F$3:$F3996,MOD(ROW()-2,COUNTA(helper!$D$3:$D3996))+1))</f>
        <v/>
      </c>
      <c r="F1922" s="3" t="str">
        <f>IF(B1922="","",SUMIFS('inventory ledger'!$H:$H,'inventory ledger'!$C:$C,C1922,'inventory ledger'!$D:$D,D1922,'inventory ledger'!$E:$E,E1922,'inventory ledger'!$A:$A,"&lt;="&amp;B1922+TIME(23,59,59))-SUMIFS('inventory ledger'!$I:$I,'inventory ledger'!$C:$C,C1922,'inventory ledger'!$D:$D,D1922,'inventory ledger'!$E:$E,E1922,'inventory ledger'!$A:$A,"&lt;="&amp;B1922+TIME(23,59,59)))</f>
        <v/>
      </c>
      <c r="G1922" s="3">
        <f>IFERROR(__xludf.DUMMYFUNCTION("IF(F1922&lt;=0,0,IFERROR(ROUNDUP(F1922/INDEX(FILTER('warehouse config'!$D:$D,('warehouse config'!$B:$B=C1922)*('warehouse config'!$C:$C=D1922)*('warehouse config'!$G:$G&lt;=B1922)*(('warehouse config'!$H:$H&gt;=B1922)+ISBLANK('warehouse config'!$H:$H))),1)),0))"),0.0)</f>
        <v>0</v>
      </c>
      <c r="H1922" s="3">
        <f>IFERROR(__xludf.DUMMYFUNCTION("IFERROR(INDEX(FILTER('cost master'!$E:$E,('cost master'!$B:$B=C1922)*('cost master'!$D:$D=""Storage cost per pallet / week"")*('cost master'!$G:$G&lt;=B1922)*(('cost master'!$H:$H&gt;=B1922)+ISBLANK('cost master'!$H:$H))),1),0)"),0.0)</f>
        <v>0</v>
      </c>
      <c r="I1922" s="3">
        <f t="shared" si="4"/>
        <v>0</v>
      </c>
      <c r="J1922" s="27">
        <f t="shared" si="5"/>
        <v>693947</v>
      </c>
      <c r="K1922" s="27">
        <f t="shared" si="6"/>
        <v>693977</v>
      </c>
    </row>
    <row r="1923" hidden="1">
      <c r="A1923" s="3" t="str">
        <f t="shared" si="3"/>
        <v/>
      </c>
      <c r="B1923" s="2" t="str">
        <f t="array" ref="B1923">INDEX(helper!$A$3:$A3996,ROUNDUP((ROW()-1)/COUNTA(helper!$D$3:$D3996),0))</f>
        <v/>
      </c>
      <c r="C1923" s="5" t="str">
        <f t="array" ref="C1923">IF(B1923="","",INDEX(helper!$D$3:$D3996,MOD(ROW()-2,COUNTA(helper!$D$3:$D3996))+1))</f>
        <v/>
      </c>
      <c r="D1923" s="3" t="str">
        <f t="array" ref="D1923">IF(B1923="","",INDEX(helper!$E$3:$E3996,MOD(ROW()-2,COUNTA(helper!$D$3:$D3996))+1))</f>
        <v/>
      </c>
      <c r="E1923" s="3" t="str">
        <f t="array" ref="E1923">IF(B1923="","",INDEX(helper!$F$3:$F3996,MOD(ROW()-2,COUNTA(helper!$D$3:$D3996))+1))</f>
        <v/>
      </c>
      <c r="F1923" s="3" t="str">
        <f>IF(B1923="","",SUMIFS('inventory ledger'!$H:$H,'inventory ledger'!$C:$C,C1923,'inventory ledger'!$D:$D,D1923,'inventory ledger'!$E:$E,E1923,'inventory ledger'!$A:$A,"&lt;="&amp;B1923+TIME(23,59,59))-SUMIFS('inventory ledger'!$I:$I,'inventory ledger'!$C:$C,C1923,'inventory ledger'!$D:$D,D1923,'inventory ledger'!$E:$E,E1923,'inventory ledger'!$A:$A,"&lt;="&amp;B1923+TIME(23,59,59)))</f>
        <v/>
      </c>
      <c r="G1923" s="3">
        <f>IFERROR(__xludf.DUMMYFUNCTION("IF(F1923&lt;=0,0,IFERROR(ROUNDUP(F1923/INDEX(FILTER('warehouse config'!$D:$D,('warehouse config'!$B:$B=C1923)*('warehouse config'!$C:$C=D1923)*('warehouse config'!$G:$G&lt;=B1923)*(('warehouse config'!$H:$H&gt;=B1923)+ISBLANK('warehouse config'!$H:$H))),1)),0))"),0.0)</f>
        <v>0</v>
      </c>
      <c r="H1923" s="3">
        <f>IFERROR(__xludf.DUMMYFUNCTION("IFERROR(INDEX(FILTER('cost master'!$E:$E,('cost master'!$B:$B=C1923)*('cost master'!$D:$D=""Storage cost per pallet / week"")*('cost master'!$G:$G&lt;=B1923)*(('cost master'!$H:$H&gt;=B1923)+ISBLANK('cost master'!$H:$H))),1),0)"),0.0)</f>
        <v>0</v>
      </c>
      <c r="I1923" s="3">
        <f t="shared" si="4"/>
        <v>0</v>
      </c>
      <c r="J1923" s="27">
        <f t="shared" si="5"/>
        <v>693947</v>
      </c>
      <c r="K1923" s="27">
        <f t="shared" si="6"/>
        <v>693977</v>
      </c>
    </row>
    <row r="1924" hidden="1">
      <c r="A1924" s="3" t="str">
        <f t="shared" si="3"/>
        <v/>
      </c>
      <c r="B1924" s="2" t="str">
        <f t="array" ref="B1924">INDEX(helper!$A$3:$A3996,ROUNDUP((ROW()-1)/COUNTA(helper!$D$3:$D3996),0))</f>
        <v/>
      </c>
      <c r="C1924" s="5" t="str">
        <f t="array" ref="C1924">IF(B1924="","",INDEX(helper!$D$3:$D3996,MOD(ROW()-2,COUNTA(helper!$D$3:$D3996))+1))</f>
        <v/>
      </c>
      <c r="D1924" s="3" t="str">
        <f t="array" ref="D1924">IF(B1924="","",INDEX(helper!$E$3:$E3996,MOD(ROW()-2,COUNTA(helper!$D$3:$D3996))+1))</f>
        <v/>
      </c>
      <c r="E1924" s="3" t="str">
        <f t="array" ref="E1924">IF(B1924="","",INDEX(helper!$F$3:$F3996,MOD(ROW()-2,COUNTA(helper!$D$3:$D3996))+1))</f>
        <v/>
      </c>
      <c r="F1924" s="3" t="str">
        <f>IF(B1924="","",SUMIFS('inventory ledger'!$H:$H,'inventory ledger'!$C:$C,C1924,'inventory ledger'!$D:$D,D1924,'inventory ledger'!$E:$E,E1924,'inventory ledger'!$A:$A,"&lt;="&amp;B1924+TIME(23,59,59))-SUMIFS('inventory ledger'!$I:$I,'inventory ledger'!$C:$C,C1924,'inventory ledger'!$D:$D,D1924,'inventory ledger'!$E:$E,E1924,'inventory ledger'!$A:$A,"&lt;="&amp;B1924+TIME(23,59,59)))</f>
        <v/>
      </c>
      <c r="G1924" s="3">
        <f>IFERROR(__xludf.DUMMYFUNCTION("IF(F1924&lt;=0,0,IFERROR(ROUNDUP(F1924/INDEX(FILTER('warehouse config'!$D:$D,('warehouse config'!$B:$B=C1924)*('warehouse config'!$C:$C=D1924)*('warehouse config'!$G:$G&lt;=B1924)*(('warehouse config'!$H:$H&gt;=B1924)+ISBLANK('warehouse config'!$H:$H))),1)),0))"),0.0)</f>
        <v>0</v>
      </c>
      <c r="H1924" s="3">
        <f>IFERROR(__xludf.DUMMYFUNCTION("IFERROR(INDEX(FILTER('cost master'!$E:$E,('cost master'!$B:$B=C1924)*('cost master'!$D:$D=""Storage cost per pallet / week"")*('cost master'!$G:$G&lt;=B1924)*(('cost master'!$H:$H&gt;=B1924)+ISBLANK('cost master'!$H:$H))),1),0)"),0.0)</f>
        <v>0</v>
      </c>
      <c r="I1924" s="3">
        <f t="shared" si="4"/>
        <v>0</v>
      </c>
      <c r="J1924" s="27">
        <f t="shared" si="5"/>
        <v>693947</v>
      </c>
      <c r="K1924" s="27">
        <f t="shared" si="6"/>
        <v>693977</v>
      </c>
    </row>
    <row r="1925" hidden="1">
      <c r="A1925" s="3" t="str">
        <f t="shared" si="3"/>
        <v/>
      </c>
      <c r="B1925" s="2" t="str">
        <f t="array" ref="B1925">INDEX(helper!$A$3:$A3996,ROUNDUP((ROW()-1)/COUNTA(helper!$D$3:$D3996),0))</f>
        <v/>
      </c>
      <c r="C1925" s="5" t="str">
        <f t="array" ref="C1925">IF(B1925="","",INDEX(helper!$D$3:$D3996,MOD(ROW()-2,COUNTA(helper!$D$3:$D3996))+1))</f>
        <v/>
      </c>
      <c r="D1925" s="3" t="str">
        <f t="array" ref="D1925">IF(B1925="","",INDEX(helper!$E$3:$E3996,MOD(ROW()-2,COUNTA(helper!$D$3:$D3996))+1))</f>
        <v/>
      </c>
      <c r="E1925" s="3" t="str">
        <f t="array" ref="E1925">IF(B1925="","",INDEX(helper!$F$3:$F3996,MOD(ROW()-2,COUNTA(helper!$D$3:$D3996))+1))</f>
        <v/>
      </c>
      <c r="F1925" s="3" t="str">
        <f>IF(B1925="","",SUMIFS('inventory ledger'!$H:$H,'inventory ledger'!$C:$C,C1925,'inventory ledger'!$D:$D,D1925,'inventory ledger'!$E:$E,E1925,'inventory ledger'!$A:$A,"&lt;="&amp;B1925+TIME(23,59,59))-SUMIFS('inventory ledger'!$I:$I,'inventory ledger'!$C:$C,C1925,'inventory ledger'!$D:$D,D1925,'inventory ledger'!$E:$E,E1925,'inventory ledger'!$A:$A,"&lt;="&amp;B1925+TIME(23,59,59)))</f>
        <v/>
      </c>
      <c r="G1925" s="3">
        <f>IFERROR(__xludf.DUMMYFUNCTION("IF(F1925&lt;=0,0,IFERROR(ROUNDUP(F1925/INDEX(FILTER('warehouse config'!$D:$D,('warehouse config'!$B:$B=C1925)*('warehouse config'!$C:$C=D1925)*('warehouse config'!$G:$G&lt;=B1925)*(('warehouse config'!$H:$H&gt;=B1925)+ISBLANK('warehouse config'!$H:$H))),1)),0))"),0.0)</f>
        <v>0</v>
      </c>
      <c r="H1925" s="3">
        <f>IFERROR(__xludf.DUMMYFUNCTION("IFERROR(INDEX(FILTER('cost master'!$E:$E,('cost master'!$B:$B=C1925)*('cost master'!$D:$D=""Storage cost per pallet / week"")*('cost master'!$G:$G&lt;=B1925)*(('cost master'!$H:$H&gt;=B1925)+ISBLANK('cost master'!$H:$H))),1),0)"),0.0)</f>
        <v>0</v>
      </c>
      <c r="I1925" s="3">
        <f t="shared" si="4"/>
        <v>0</v>
      </c>
      <c r="J1925" s="27">
        <f t="shared" si="5"/>
        <v>693947</v>
      </c>
      <c r="K1925" s="27">
        <f t="shared" si="6"/>
        <v>693977</v>
      </c>
    </row>
    <row r="1926" hidden="1">
      <c r="A1926" s="3" t="str">
        <f t="shared" si="3"/>
        <v/>
      </c>
      <c r="B1926" s="2" t="str">
        <f t="array" ref="B1926">INDEX(helper!$A$3:$A3996,ROUNDUP((ROW()-1)/COUNTA(helper!$D$3:$D3996),0))</f>
        <v/>
      </c>
      <c r="C1926" s="5" t="str">
        <f t="array" ref="C1926">IF(B1926="","",INDEX(helper!$D$3:$D3996,MOD(ROW()-2,COUNTA(helper!$D$3:$D3996))+1))</f>
        <v/>
      </c>
      <c r="D1926" s="3" t="str">
        <f t="array" ref="D1926">IF(B1926="","",INDEX(helper!$E$3:$E3996,MOD(ROW()-2,COUNTA(helper!$D$3:$D3996))+1))</f>
        <v/>
      </c>
      <c r="E1926" s="3" t="str">
        <f t="array" ref="E1926">IF(B1926="","",INDEX(helper!$F$3:$F3996,MOD(ROW()-2,COUNTA(helper!$D$3:$D3996))+1))</f>
        <v/>
      </c>
      <c r="F1926" s="3" t="str">
        <f>IF(B1926="","",SUMIFS('inventory ledger'!$H:$H,'inventory ledger'!$C:$C,C1926,'inventory ledger'!$D:$D,D1926,'inventory ledger'!$E:$E,E1926,'inventory ledger'!$A:$A,"&lt;="&amp;B1926+TIME(23,59,59))-SUMIFS('inventory ledger'!$I:$I,'inventory ledger'!$C:$C,C1926,'inventory ledger'!$D:$D,D1926,'inventory ledger'!$E:$E,E1926,'inventory ledger'!$A:$A,"&lt;="&amp;B1926+TIME(23,59,59)))</f>
        <v/>
      </c>
      <c r="G1926" s="3">
        <f>IFERROR(__xludf.DUMMYFUNCTION("IF(F1926&lt;=0,0,IFERROR(ROUNDUP(F1926/INDEX(FILTER('warehouse config'!$D:$D,('warehouse config'!$B:$B=C1926)*('warehouse config'!$C:$C=D1926)*('warehouse config'!$G:$G&lt;=B1926)*(('warehouse config'!$H:$H&gt;=B1926)+ISBLANK('warehouse config'!$H:$H))),1)),0))"),0.0)</f>
        <v>0</v>
      </c>
      <c r="H1926" s="3">
        <f>IFERROR(__xludf.DUMMYFUNCTION("IFERROR(INDEX(FILTER('cost master'!$E:$E,('cost master'!$B:$B=C1926)*('cost master'!$D:$D=""Storage cost per pallet / week"")*('cost master'!$G:$G&lt;=B1926)*(('cost master'!$H:$H&gt;=B1926)+ISBLANK('cost master'!$H:$H))),1),0)"),0.0)</f>
        <v>0</v>
      </c>
      <c r="I1926" s="3">
        <f t="shared" si="4"/>
        <v>0</v>
      </c>
      <c r="J1926" s="27">
        <f t="shared" si="5"/>
        <v>693947</v>
      </c>
      <c r="K1926" s="27">
        <f t="shared" si="6"/>
        <v>693977</v>
      </c>
    </row>
    <row r="1927" hidden="1">
      <c r="A1927" s="3" t="str">
        <f t="shared" si="3"/>
        <v/>
      </c>
      <c r="B1927" s="2" t="str">
        <f t="array" ref="B1927">INDEX(helper!$A$3:$A3996,ROUNDUP((ROW()-1)/COUNTA(helper!$D$3:$D3996),0))</f>
        <v/>
      </c>
      <c r="C1927" s="5" t="str">
        <f t="array" ref="C1927">IF(B1927="","",INDEX(helper!$D$3:$D3996,MOD(ROW()-2,COUNTA(helper!$D$3:$D3996))+1))</f>
        <v/>
      </c>
      <c r="D1927" s="3" t="str">
        <f t="array" ref="D1927">IF(B1927="","",INDEX(helper!$E$3:$E3996,MOD(ROW()-2,COUNTA(helper!$D$3:$D3996))+1))</f>
        <v/>
      </c>
      <c r="E1927" s="3" t="str">
        <f t="array" ref="E1927">IF(B1927="","",INDEX(helper!$F$3:$F3996,MOD(ROW()-2,COUNTA(helper!$D$3:$D3996))+1))</f>
        <v/>
      </c>
      <c r="F1927" s="3" t="str">
        <f>IF(B1927="","",SUMIFS('inventory ledger'!$H:$H,'inventory ledger'!$C:$C,C1927,'inventory ledger'!$D:$D,D1927,'inventory ledger'!$E:$E,E1927,'inventory ledger'!$A:$A,"&lt;="&amp;B1927+TIME(23,59,59))-SUMIFS('inventory ledger'!$I:$I,'inventory ledger'!$C:$C,C1927,'inventory ledger'!$D:$D,D1927,'inventory ledger'!$E:$E,E1927,'inventory ledger'!$A:$A,"&lt;="&amp;B1927+TIME(23,59,59)))</f>
        <v/>
      </c>
      <c r="G1927" s="3">
        <f>IFERROR(__xludf.DUMMYFUNCTION("IF(F1927&lt;=0,0,IFERROR(ROUNDUP(F1927/INDEX(FILTER('warehouse config'!$D:$D,('warehouse config'!$B:$B=C1927)*('warehouse config'!$C:$C=D1927)*('warehouse config'!$G:$G&lt;=B1927)*(('warehouse config'!$H:$H&gt;=B1927)+ISBLANK('warehouse config'!$H:$H))),1)),0))"),0.0)</f>
        <v>0</v>
      </c>
      <c r="H1927" s="3">
        <f>IFERROR(__xludf.DUMMYFUNCTION("IFERROR(INDEX(FILTER('cost master'!$E:$E,('cost master'!$B:$B=C1927)*('cost master'!$D:$D=""Storage cost per pallet / week"")*('cost master'!$G:$G&lt;=B1927)*(('cost master'!$H:$H&gt;=B1927)+ISBLANK('cost master'!$H:$H))),1),0)"),0.0)</f>
        <v>0</v>
      </c>
      <c r="I1927" s="3">
        <f t="shared" si="4"/>
        <v>0</v>
      </c>
      <c r="J1927" s="27">
        <f t="shared" si="5"/>
        <v>693947</v>
      </c>
      <c r="K1927" s="27">
        <f t="shared" si="6"/>
        <v>693977</v>
      </c>
    </row>
    <row r="1928" hidden="1">
      <c r="A1928" s="3" t="str">
        <f t="shared" si="3"/>
        <v/>
      </c>
      <c r="B1928" s="2" t="str">
        <f t="array" ref="B1928">INDEX(helper!$A$3:$A3996,ROUNDUP((ROW()-1)/COUNTA(helper!$D$3:$D3996),0))</f>
        <v/>
      </c>
      <c r="C1928" s="5" t="str">
        <f t="array" ref="C1928">IF(B1928="","",INDEX(helper!$D$3:$D3996,MOD(ROW()-2,COUNTA(helper!$D$3:$D3996))+1))</f>
        <v/>
      </c>
      <c r="D1928" s="3" t="str">
        <f t="array" ref="D1928">IF(B1928="","",INDEX(helper!$E$3:$E3996,MOD(ROW()-2,COUNTA(helper!$D$3:$D3996))+1))</f>
        <v/>
      </c>
      <c r="E1928" s="3" t="str">
        <f t="array" ref="E1928">IF(B1928="","",INDEX(helper!$F$3:$F3996,MOD(ROW()-2,COUNTA(helper!$D$3:$D3996))+1))</f>
        <v/>
      </c>
      <c r="F1928" s="3" t="str">
        <f>IF(B1928="","",SUMIFS('inventory ledger'!$H:$H,'inventory ledger'!$C:$C,C1928,'inventory ledger'!$D:$D,D1928,'inventory ledger'!$E:$E,E1928,'inventory ledger'!$A:$A,"&lt;="&amp;B1928+TIME(23,59,59))-SUMIFS('inventory ledger'!$I:$I,'inventory ledger'!$C:$C,C1928,'inventory ledger'!$D:$D,D1928,'inventory ledger'!$E:$E,E1928,'inventory ledger'!$A:$A,"&lt;="&amp;B1928+TIME(23,59,59)))</f>
        <v/>
      </c>
      <c r="G1928" s="3">
        <f>IFERROR(__xludf.DUMMYFUNCTION("IF(F1928&lt;=0,0,IFERROR(ROUNDUP(F1928/INDEX(FILTER('warehouse config'!$D:$D,('warehouse config'!$B:$B=C1928)*('warehouse config'!$C:$C=D1928)*('warehouse config'!$G:$G&lt;=B1928)*(('warehouse config'!$H:$H&gt;=B1928)+ISBLANK('warehouse config'!$H:$H))),1)),0))"),0.0)</f>
        <v>0</v>
      </c>
      <c r="H1928" s="3">
        <f>IFERROR(__xludf.DUMMYFUNCTION("IFERROR(INDEX(FILTER('cost master'!$E:$E,('cost master'!$B:$B=C1928)*('cost master'!$D:$D=""Storage cost per pallet / week"")*('cost master'!$G:$G&lt;=B1928)*(('cost master'!$H:$H&gt;=B1928)+ISBLANK('cost master'!$H:$H))),1),0)"),0.0)</f>
        <v>0</v>
      </c>
      <c r="I1928" s="3">
        <f t="shared" si="4"/>
        <v>0</v>
      </c>
      <c r="J1928" s="27">
        <f t="shared" si="5"/>
        <v>693947</v>
      </c>
      <c r="K1928" s="27">
        <f t="shared" si="6"/>
        <v>693977</v>
      </c>
    </row>
    <row r="1929" hidden="1">
      <c r="A1929" s="3" t="str">
        <f t="shared" si="3"/>
        <v/>
      </c>
      <c r="B1929" s="2" t="str">
        <f t="array" ref="B1929">INDEX(helper!$A$3:$A3996,ROUNDUP((ROW()-1)/COUNTA(helper!$D$3:$D3996),0))</f>
        <v/>
      </c>
      <c r="C1929" s="5" t="str">
        <f t="array" ref="C1929">IF(B1929="","",INDEX(helper!$D$3:$D3996,MOD(ROW()-2,COUNTA(helper!$D$3:$D3996))+1))</f>
        <v/>
      </c>
      <c r="D1929" s="3" t="str">
        <f t="array" ref="D1929">IF(B1929="","",INDEX(helper!$E$3:$E3996,MOD(ROW()-2,COUNTA(helper!$D$3:$D3996))+1))</f>
        <v/>
      </c>
      <c r="E1929" s="3" t="str">
        <f t="array" ref="E1929">IF(B1929="","",INDEX(helper!$F$3:$F3996,MOD(ROW()-2,COUNTA(helper!$D$3:$D3996))+1))</f>
        <v/>
      </c>
      <c r="F1929" s="3" t="str">
        <f>IF(B1929="","",SUMIFS('inventory ledger'!$H:$H,'inventory ledger'!$C:$C,C1929,'inventory ledger'!$D:$D,D1929,'inventory ledger'!$E:$E,E1929,'inventory ledger'!$A:$A,"&lt;="&amp;B1929+TIME(23,59,59))-SUMIFS('inventory ledger'!$I:$I,'inventory ledger'!$C:$C,C1929,'inventory ledger'!$D:$D,D1929,'inventory ledger'!$E:$E,E1929,'inventory ledger'!$A:$A,"&lt;="&amp;B1929+TIME(23,59,59)))</f>
        <v/>
      </c>
      <c r="G1929" s="3">
        <f>IFERROR(__xludf.DUMMYFUNCTION("IF(F1929&lt;=0,0,IFERROR(ROUNDUP(F1929/INDEX(FILTER('warehouse config'!$D:$D,('warehouse config'!$B:$B=C1929)*('warehouse config'!$C:$C=D1929)*('warehouse config'!$G:$G&lt;=B1929)*(('warehouse config'!$H:$H&gt;=B1929)+ISBLANK('warehouse config'!$H:$H))),1)),0))"),0.0)</f>
        <v>0</v>
      </c>
      <c r="H1929" s="3">
        <f>IFERROR(__xludf.DUMMYFUNCTION("IFERROR(INDEX(FILTER('cost master'!$E:$E,('cost master'!$B:$B=C1929)*('cost master'!$D:$D=""Storage cost per pallet / week"")*('cost master'!$G:$G&lt;=B1929)*(('cost master'!$H:$H&gt;=B1929)+ISBLANK('cost master'!$H:$H))),1),0)"),0.0)</f>
        <v>0</v>
      </c>
      <c r="I1929" s="3">
        <f t="shared" si="4"/>
        <v>0</v>
      </c>
      <c r="J1929" s="27">
        <f t="shared" si="5"/>
        <v>693947</v>
      </c>
      <c r="K1929" s="27">
        <f t="shared" si="6"/>
        <v>693977</v>
      </c>
    </row>
    <row r="1930" hidden="1">
      <c r="A1930" s="3" t="str">
        <f t="shared" si="3"/>
        <v/>
      </c>
      <c r="B1930" s="2" t="str">
        <f t="array" ref="B1930">INDEX(helper!$A$3:$A3996,ROUNDUP((ROW()-1)/COUNTA(helper!$D$3:$D3996),0))</f>
        <v/>
      </c>
      <c r="C1930" s="5" t="str">
        <f t="array" ref="C1930">IF(B1930="","",INDEX(helper!$D$3:$D3996,MOD(ROW()-2,COUNTA(helper!$D$3:$D3996))+1))</f>
        <v/>
      </c>
      <c r="D1930" s="3" t="str">
        <f t="array" ref="D1930">IF(B1930="","",INDEX(helper!$E$3:$E3996,MOD(ROW()-2,COUNTA(helper!$D$3:$D3996))+1))</f>
        <v/>
      </c>
      <c r="E1930" s="3" t="str">
        <f t="array" ref="E1930">IF(B1930="","",INDEX(helper!$F$3:$F3996,MOD(ROW()-2,COUNTA(helper!$D$3:$D3996))+1))</f>
        <v/>
      </c>
      <c r="F1930" s="3" t="str">
        <f>IF(B1930="","",SUMIFS('inventory ledger'!$H:$H,'inventory ledger'!$C:$C,C1930,'inventory ledger'!$D:$D,D1930,'inventory ledger'!$E:$E,E1930,'inventory ledger'!$A:$A,"&lt;="&amp;B1930+TIME(23,59,59))-SUMIFS('inventory ledger'!$I:$I,'inventory ledger'!$C:$C,C1930,'inventory ledger'!$D:$D,D1930,'inventory ledger'!$E:$E,E1930,'inventory ledger'!$A:$A,"&lt;="&amp;B1930+TIME(23,59,59)))</f>
        <v/>
      </c>
      <c r="G1930" s="3">
        <f>IFERROR(__xludf.DUMMYFUNCTION("IF(F1930&lt;=0,0,IFERROR(ROUNDUP(F1930/INDEX(FILTER('warehouse config'!$D:$D,('warehouse config'!$B:$B=C1930)*('warehouse config'!$C:$C=D1930)*('warehouse config'!$G:$G&lt;=B1930)*(('warehouse config'!$H:$H&gt;=B1930)+ISBLANK('warehouse config'!$H:$H))),1)),0))"),0.0)</f>
        <v>0</v>
      </c>
      <c r="H1930" s="3">
        <f>IFERROR(__xludf.DUMMYFUNCTION("IFERROR(INDEX(FILTER('cost master'!$E:$E,('cost master'!$B:$B=C1930)*('cost master'!$D:$D=""Storage cost per pallet / week"")*('cost master'!$G:$G&lt;=B1930)*(('cost master'!$H:$H&gt;=B1930)+ISBLANK('cost master'!$H:$H))),1),0)"),0.0)</f>
        <v>0</v>
      </c>
      <c r="I1930" s="3">
        <f t="shared" si="4"/>
        <v>0</v>
      </c>
      <c r="J1930" s="27">
        <f t="shared" si="5"/>
        <v>693947</v>
      </c>
      <c r="K1930" s="27">
        <f t="shared" si="6"/>
        <v>693977</v>
      </c>
    </row>
    <row r="1931" hidden="1">
      <c r="A1931" s="3" t="str">
        <f t="shared" si="3"/>
        <v/>
      </c>
      <c r="B1931" s="2" t="str">
        <f t="array" ref="B1931">INDEX(helper!$A$3:$A3996,ROUNDUP((ROW()-1)/COUNTA(helper!$D$3:$D3996),0))</f>
        <v/>
      </c>
      <c r="C1931" s="5" t="str">
        <f t="array" ref="C1931">IF(B1931="","",INDEX(helper!$D$3:$D3996,MOD(ROW()-2,COUNTA(helper!$D$3:$D3996))+1))</f>
        <v/>
      </c>
      <c r="D1931" s="3" t="str">
        <f t="array" ref="D1931">IF(B1931="","",INDEX(helper!$E$3:$E3996,MOD(ROW()-2,COUNTA(helper!$D$3:$D3996))+1))</f>
        <v/>
      </c>
      <c r="E1931" s="3" t="str">
        <f t="array" ref="E1931">IF(B1931="","",INDEX(helper!$F$3:$F3996,MOD(ROW()-2,COUNTA(helper!$D$3:$D3996))+1))</f>
        <v/>
      </c>
      <c r="F1931" s="3" t="str">
        <f>IF(B1931="","",SUMIFS('inventory ledger'!$H:$H,'inventory ledger'!$C:$C,C1931,'inventory ledger'!$D:$D,D1931,'inventory ledger'!$E:$E,E1931,'inventory ledger'!$A:$A,"&lt;="&amp;B1931+TIME(23,59,59))-SUMIFS('inventory ledger'!$I:$I,'inventory ledger'!$C:$C,C1931,'inventory ledger'!$D:$D,D1931,'inventory ledger'!$E:$E,E1931,'inventory ledger'!$A:$A,"&lt;="&amp;B1931+TIME(23,59,59)))</f>
        <v/>
      </c>
      <c r="G1931" s="3">
        <f>IFERROR(__xludf.DUMMYFUNCTION("IF(F1931&lt;=0,0,IFERROR(ROUNDUP(F1931/INDEX(FILTER('warehouse config'!$D:$D,('warehouse config'!$B:$B=C1931)*('warehouse config'!$C:$C=D1931)*('warehouse config'!$G:$G&lt;=B1931)*(('warehouse config'!$H:$H&gt;=B1931)+ISBLANK('warehouse config'!$H:$H))),1)),0))"),0.0)</f>
        <v>0</v>
      </c>
      <c r="H1931" s="3">
        <f>IFERROR(__xludf.DUMMYFUNCTION("IFERROR(INDEX(FILTER('cost master'!$E:$E,('cost master'!$B:$B=C1931)*('cost master'!$D:$D=""Storage cost per pallet / week"")*('cost master'!$G:$G&lt;=B1931)*(('cost master'!$H:$H&gt;=B1931)+ISBLANK('cost master'!$H:$H))),1),0)"),0.0)</f>
        <v>0</v>
      </c>
      <c r="I1931" s="3">
        <f t="shared" si="4"/>
        <v>0</v>
      </c>
      <c r="J1931" s="27">
        <f t="shared" si="5"/>
        <v>693947</v>
      </c>
      <c r="K1931" s="27">
        <f t="shared" si="6"/>
        <v>693977</v>
      </c>
    </row>
    <row r="1932" hidden="1">
      <c r="A1932" s="3" t="str">
        <f t="shared" si="3"/>
        <v/>
      </c>
      <c r="B1932" s="2" t="str">
        <f t="array" ref="B1932">INDEX(helper!$A$3:$A3996,ROUNDUP((ROW()-1)/COUNTA(helper!$D$3:$D3996),0))</f>
        <v/>
      </c>
      <c r="C1932" s="5" t="str">
        <f t="array" ref="C1932">IF(B1932="","",INDEX(helper!$D$3:$D3996,MOD(ROW()-2,COUNTA(helper!$D$3:$D3996))+1))</f>
        <v/>
      </c>
      <c r="D1932" s="3" t="str">
        <f t="array" ref="D1932">IF(B1932="","",INDEX(helper!$E$3:$E3996,MOD(ROW()-2,COUNTA(helper!$D$3:$D3996))+1))</f>
        <v/>
      </c>
      <c r="E1932" s="3" t="str">
        <f t="array" ref="E1932">IF(B1932="","",INDEX(helper!$F$3:$F3996,MOD(ROW()-2,COUNTA(helper!$D$3:$D3996))+1))</f>
        <v/>
      </c>
      <c r="F1932" s="3" t="str">
        <f>IF(B1932="","",SUMIFS('inventory ledger'!$H:$H,'inventory ledger'!$C:$C,C1932,'inventory ledger'!$D:$D,D1932,'inventory ledger'!$E:$E,E1932,'inventory ledger'!$A:$A,"&lt;="&amp;B1932+TIME(23,59,59))-SUMIFS('inventory ledger'!$I:$I,'inventory ledger'!$C:$C,C1932,'inventory ledger'!$D:$D,D1932,'inventory ledger'!$E:$E,E1932,'inventory ledger'!$A:$A,"&lt;="&amp;B1932+TIME(23,59,59)))</f>
        <v/>
      </c>
      <c r="G1932" s="3">
        <f>IFERROR(__xludf.DUMMYFUNCTION("IF(F1932&lt;=0,0,IFERROR(ROUNDUP(F1932/INDEX(FILTER('warehouse config'!$D:$D,('warehouse config'!$B:$B=C1932)*('warehouse config'!$C:$C=D1932)*('warehouse config'!$G:$G&lt;=B1932)*(('warehouse config'!$H:$H&gt;=B1932)+ISBLANK('warehouse config'!$H:$H))),1)),0))"),0.0)</f>
        <v>0</v>
      </c>
      <c r="H1932" s="3">
        <f>IFERROR(__xludf.DUMMYFUNCTION("IFERROR(INDEX(FILTER('cost master'!$E:$E,('cost master'!$B:$B=C1932)*('cost master'!$D:$D=""Storage cost per pallet / week"")*('cost master'!$G:$G&lt;=B1932)*(('cost master'!$H:$H&gt;=B1932)+ISBLANK('cost master'!$H:$H))),1),0)"),0.0)</f>
        <v>0</v>
      </c>
      <c r="I1932" s="3">
        <f t="shared" si="4"/>
        <v>0</v>
      </c>
      <c r="J1932" s="27">
        <f t="shared" si="5"/>
        <v>693947</v>
      </c>
      <c r="K1932" s="27">
        <f t="shared" si="6"/>
        <v>693977</v>
      </c>
    </row>
    <row r="1933" hidden="1">
      <c r="A1933" s="3" t="str">
        <f t="shared" si="3"/>
        <v/>
      </c>
      <c r="B1933" s="2" t="str">
        <f t="array" ref="B1933">INDEX(helper!$A$3:$A3996,ROUNDUP((ROW()-1)/COUNTA(helper!$D$3:$D3996),0))</f>
        <v/>
      </c>
      <c r="C1933" s="5" t="str">
        <f t="array" ref="C1933">IF(B1933="","",INDEX(helper!$D$3:$D3996,MOD(ROW()-2,COUNTA(helper!$D$3:$D3996))+1))</f>
        <v/>
      </c>
      <c r="D1933" s="3" t="str">
        <f t="array" ref="D1933">IF(B1933="","",INDEX(helper!$E$3:$E3996,MOD(ROW()-2,COUNTA(helper!$D$3:$D3996))+1))</f>
        <v/>
      </c>
      <c r="E1933" s="3" t="str">
        <f t="array" ref="E1933">IF(B1933="","",INDEX(helper!$F$3:$F3996,MOD(ROW()-2,COUNTA(helper!$D$3:$D3996))+1))</f>
        <v/>
      </c>
      <c r="F1933" s="3" t="str">
        <f>IF(B1933="","",SUMIFS('inventory ledger'!$H:$H,'inventory ledger'!$C:$C,C1933,'inventory ledger'!$D:$D,D1933,'inventory ledger'!$E:$E,E1933,'inventory ledger'!$A:$A,"&lt;="&amp;B1933+TIME(23,59,59))-SUMIFS('inventory ledger'!$I:$I,'inventory ledger'!$C:$C,C1933,'inventory ledger'!$D:$D,D1933,'inventory ledger'!$E:$E,E1933,'inventory ledger'!$A:$A,"&lt;="&amp;B1933+TIME(23,59,59)))</f>
        <v/>
      </c>
      <c r="G1933" s="3">
        <f>IFERROR(__xludf.DUMMYFUNCTION("IF(F1933&lt;=0,0,IFERROR(ROUNDUP(F1933/INDEX(FILTER('warehouse config'!$D:$D,('warehouse config'!$B:$B=C1933)*('warehouse config'!$C:$C=D1933)*('warehouse config'!$G:$G&lt;=B1933)*(('warehouse config'!$H:$H&gt;=B1933)+ISBLANK('warehouse config'!$H:$H))),1)),0))"),0.0)</f>
        <v>0</v>
      </c>
      <c r="H1933" s="3">
        <f>IFERROR(__xludf.DUMMYFUNCTION("IFERROR(INDEX(FILTER('cost master'!$E:$E,('cost master'!$B:$B=C1933)*('cost master'!$D:$D=""Storage cost per pallet / week"")*('cost master'!$G:$G&lt;=B1933)*(('cost master'!$H:$H&gt;=B1933)+ISBLANK('cost master'!$H:$H))),1),0)"),0.0)</f>
        <v>0</v>
      </c>
      <c r="I1933" s="3">
        <f t="shared" si="4"/>
        <v>0</v>
      </c>
      <c r="J1933" s="27">
        <f t="shared" si="5"/>
        <v>693947</v>
      </c>
      <c r="K1933" s="27">
        <f t="shared" si="6"/>
        <v>693977</v>
      </c>
    </row>
    <row r="1934" hidden="1">
      <c r="A1934" s="3" t="str">
        <f t="shared" si="3"/>
        <v/>
      </c>
      <c r="B1934" s="2" t="str">
        <f t="array" ref="B1934">INDEX(helper!$A$3:$A3996,ROUNDUP((ROW()-1)/COUNTA(helper!$D$3:$D3996),0))</f>
        <v/>
      </c>
      <c r="C1934" s="5" t="str">
        <f t="array" ref="C1934">IF(B1934="","",INDEX(helper!$D$3:$D3996,MOD(ROW()-2,COUNTA(helper!$D$3:$D3996))+1))</f>
        <v/>
      </c>
      <c r="D1934" s="3" t="str">
        <f t="array" ref="D1934">IF(B1934="","",INDEX(helper!$E$3:$E3996,MOD(ROW()-2,COUNTA(helper!$D$3:$D3996))+1))</f>
        <v/>
      </c>
      <c r="E1934" s="3" t="str">
        <f t="array" ref="E1934">IF(B1934="","",INDEX(helper!$F$3:$F3996,MOD(ROW()-2,COUNTA(helper!$D$3:$D3996))+1))</f>
        <v/>
      </c>
      <c r="F1934" s="3" t="str">
        <f>IF(B1934="","",SUMIFS('inventory ledger'!$H:$H,'inventory ledger'!$C:$C,C1934,'inventory ledger'!$D:$D,D1934,'inventory ledger'!$E:$E,E1934,'inventory ledger'!$A:$A,"&lt;="&amp;B1934+TIME(23,59,59))-SUMIFS('inventory ledger'!$I:$I,'inventory ledger'!$C:$C,C1934,'inventory ledger'!$D:$D,D1934,'inventory ledger'!$E:$E,E1934,'inventory ledger'!$A:$A,"&lt;="&amp;B1934+TIME(23,59,59)))</f>
        <v/>
      </c>
      <c r="G1934" s="3">
        <f>IFERROR(__xludf.DUMMYFUNCTION("IF(F1934&lt;=0,0,IFERROR(ROUNDUP(F1934/INDEX(FILTER('warehouse config'!$D:$D,('warehouse config'!$B:$B=C1934)*('warehouse config'!$C:$C=D1934)*('warehouse config'!$G:$G&lt;=B1934)*(('warehouse config'!$H:$H&gt;=B1934)+ISBLANK('warehouse config'!$H:$H))),1)),0))"),0.0)</f>
        <v>0</v>
      </c>
      <c r="H1934" s="3">
        <f>IFERROR(__xludf.DUMMYFUNCTION("IFERROR(INDEX(FILTER('cost master'!$E:$E,('cost master'!$B:$B=C1934)*('cost master'!$D:$D=""Storage cost per pallet / week"")*('cost master'!$G:$G&lt;=B1934)*(('cost master'!$H:$H&gt;=B1934)+ISBLANK('cost master'!$H:$H))),1),0)"),0.0)</f>
        <v>0</v>
      </c>
      <c r="I1934" s="3">
        <f t="shared" si="4"/>
        <v>0</v>
      </c>
      <c r="J1934" s="27">
        <f t="shared" si="5"/>
        <v>693947</v>
      </c>
      <c r="K1934" s="27">
        <f t="shared" si="6"/>
        <v>693977</v>
      </c>
    </row>
    <row r="1935" hidden="1">
      <c r="A1935" s="3" t="str">
        <f t="shared" si="3"/>
        <v/>
      </c>
      <c r="B1935" s="2" t="str">
        <f t="array" ref="B1935">INDEX(helper!$A$3:$A3996,ROUNDUP((ROW()-1)/COUNTA(helper!$D$3:$D3996),0))</f>
        <v/>
      </c>
      <c r="C1935" s="5" t="str">
        <f t="array" ref="C1935">IF(B1935="","",INDEX(helper!$D$3:$D3996,MOD(ROW()-2,COUNTA(helper!$D$3:$D3996))+1))</f>
        <v/>
      </c>
      <c r="D1935" s="3" t="str">
        <f t="array" ref="D1935">IF(B1935="","",INDEX(helper!$E$3:$E3996,MOD(ROW()-2,COUNTA(helper!$D$3:$D3996))+1))</f>
        <v/>
      </c>
      <c r="E1935" s="3" t="str">
        <f t="array" ref="E1935">IF(B1935="","",INDEX(helper!$F$3:$F3996,MOD(ROW()-2,COUNTA(helper!$D$3:$D3996))+1))</f>
        <v/>
      </c>
      <c r="F1935" s="3" t="str">
        <f>IF(B1935="","",SUMIFS('inventory ledger'!$H:$H,'inventory ledger'!$C:$C,C1935,'inventory ledger'!$D:$D,D1935,'inventory ledger'!$E:$E,E1935,'inventory ledger'!$A:$A,"&lt;="&amp;B1935+TIME(23,59,59))-SUMIFS('inventory ledger'!$I:$I,'inventory ledger'!$C:$C,C1935,'inventory ledger'!$D:$D,D1935,'inventory ledger'!$E:$E,E1935,'inventory ledger'!$A:$A,"&lt;="&amp;B1935+TIME(23,59,59)))</f>
        <v/>
      </c>
      <c r="G1935" s="3">
        <f>IFERROR(__xludf.DUMMYFUNCTION("IF(F1935&lt;=0,0,IFERROR(ROUNDUP(F1935/INDEX(FILTER('warehouse config'!$D:$D,('warehouse config'!$B:$B=C1935)*('warehouse config'!$C:$C=D1935)*('warehouse config'!$G:$G&lt;=B1935)*(('warehouse config'!$H:$H&gt;=B1935)+ISBLANK('warehouse config'!$H:$H))),1)),0))"),0.0)</f>
        <v>0</v>
      </c>
      <c r="H1935" s="3">
        <f>IFERROR(__xludf.DUMMYFUNCTION("IFERROR(INDEX(FILTER('cost master'!$E:$E,('cost master'!$B:$B=C1935)*('cost master'!$D:$D=""Storage cost per pallet / week"")*('cost master'!$G:$G&lt;=B1935)*(('cost master'!$H:$H&gt;=B1935)+ISBLANK('cost master'!$H:$H))),1),0)"),0.0)</f>
        <v>0</v>
      </c>
      <c r="I1935" s="3">
        <f t="shared" si="4"/>
        <v>0</v>
      </c>
      <c r="J1935" s="27">
        <f t="shared" si="5"/>
        <v>693947</v>
      </c>
      <c r="K1935" s="27">
        <f t="shared" si="6"/>
        <v>693977</v>
      </c>
    </row>
    <row r="1936" hidden="1">
      <c r="A1936" s="3" t="str">
        <f t="shared" si="3"/>
        <v/>
      </c>
      <c r="B1936" s="2" t="str">
        <f t="array" ref="B1936">INDEX(helper!$A$3:$A3996,ROUNDUP((ROW()-1)/COUNTA(helper!$D$3:$D3996),0))</f>
        <v/>
      </c>
      <c r="C1936" s="5" t="str">
        <f t="array" ref="C1936">IF(B1936="","",INDEX(helper!$D$3:$D3996,MOD(ROW()-2,COUNTA(helper!$D$3:$D3996))+1))</f>
        <v/>
      </c>
      <c r="D1936" s="3" t="str">
        <f t="array" ref="D1936">IF(B1936="","",INDEX(helper!$E$3:$E3996,MOD(ROW()-2,COUNTA(helper!$D$3:$D3996))+1))</f>
        <v/>
      </c>
      <c r="E1936" s="3" t="str">
        <f t="array" ref="E1936">IF(B1936="","",INDEX(helper!$F$3:$F3996,MOD(ROW()-2,COUNTA(helper!$D$3:$D3996))+1))</f>
        <v/>
      </c>
      <c r="F1936" s="3" t="str">
        <f>IF(B1936="","",SUMIFS('inventory ledger'!$H:$H,'inventory ledger'!$C:$C,C1936,'inventory ledger'!$D:$D,D1936,'inventory ledger'!$E:$E,E1936,'inventory ledger'!$A:$A,"&lt;="&amp;B1936+TIME(23,59,59))-SUMIFS('inventory ledger'!$I:$I,'inventory ledger'!$C:$C,C1936,'inventory ledger'!$D:$D,D1936,'inventory ledger'!$E:$E,E1936,'inventory ledger'!$A:$A,"&lt;="&amp;B1936+TIME(23,59,59)))</f>
        <v/>
      </c>
      <c r="G1936" s="3">
        <f>IFERROR(__xludf.DUMMYFUNCTION("IF(F1936&lt;=0,0,IFERROR(ROUNDUP(F1936/INDEX(FILTER('warehouse config'!$D:$D,('warehouse config'!$B:$B=C1936)*('warehouse config'!$C:$C=D1936)*('warehouse config'!$G:$G&lt;=B1936)*(('warehouse config'!$H:$H&gt;=B1936)+ISBLANK('warehouse config'!$H:$H))),1)),0))"),0.0)</f>
        <v>0</v>
      </c>
      <c r="H1936" s="3">
        <f>IFERROR(__xludf.DUMMYFUNCTION("IFERROR(INDEX(FILTER('cost master'!$E:$E,('cost master'!$B:$B=C1936)*('cost master'!$D:$D=""Storage cost per pallet / week"")*('cost master'!$G:$G&lt;=B1936)*(('cost master'!$H:$H&gt;=B1936)+ISBLANK('cost master'!$H:$H))),1),0)"),0.0)</f>
        <v>0</v>
      </c>
      <c r="I1936" s="3">
        <f t="shared" si="4"/>
        <v>0</v>
      </c>
      <c r="J1936" s="27">
        <f t="shared" si="5"/>
        <v>693947</v>
      </c>
      <c r="K1936" s="27">
        <f t="shared" si="6"/>
        <v>693977</v>
      </c>
    </row>
    <row r="1937" hidden="1">
      <c r="A1937" s="3" t="str">
        <f t="shared" si="3"/>
        <v/>
      </c>
      <c r="B1937" s="2" t="str">
        <f t="array" ref="B1937">INDEX(helper!$A$3:$A3996,ROUNDUP((ROW()-1)/COUNTA(helper!$D$3:$D3996),0))</f>
        <v/>
      </c>
      <c r="C1937" s="5" t="str">
        <f t="array" ref="C1937">IF(B1937="","",INDEX(helper!$D$3:$D3996,MOD(ROW()-2,COUNTA(helper!$D$3:$D3996))+1))</f>
        <v/>
      </c>
      <c r="D1937" s="3" t="str">
        <f t="array" ref="D1937">IF(B1937="","",INDEX(helper!$E$3:$E3996,MOD(ROW()-2,COUNTA(helper!$D$3:$D3996))+1))</f>
        <v/>
      </c>
      <c r="E1937" s="3" t="str">
        <f t="array" ref="E1937">IF(B1937="","",INDEX(helper!$F$3:$F3996,MOD(ROW()-2,COUNTA(helper!$D$3:$D3996))+1))</f>
        <v/>
      </c>
      <c r="F1937" s="3" t="str">
        <f>IF(B1937="","",SUMIFS('inventory ledger'!$H:$H,'inventory ledger'!$C:$C,C1937,'inventory ledger'!$D:$D,D1937,'inventory ledger'!$E:$E,E1937,'inventory ledger'!$A:$A,"&lt;="&amp;B1937+TIME(23,59,59))-SUMIFS('inventory ledger'!$I:$I,'inventory ledger'!$C:$C,C1937,'inventory ledger'!$D:$D,D1937,'inventory ledger'!$E:$E,E1937,'inventory ledger'!$A:$A,"&lt;="&amp;B1937+TIME(23,59,59)))</f>
        <v/>
      </c>
      <c r="G1937" s="3">
        <f>IFERROR(__xludf.DUMMYFUNCTION("IF(F1937&lt;=0,0,IFERROR(ROUNDUP(F1937/INDEX(FILTER('warehouse config'!$D:$D,('warehouse config'!$B:$B=C1937)*('warehouse config'!$C:$C=D1937)*('warehouse config'!$G:$G&lt;=B1937)*(('warehouse config'!$H:$H&gt;=B1937)+ISBLANK('warehouse config'!$H:$H))),1)),0))"),0.0)</f>
        <v>0</v>
      </c>
      <c r="H1937" s="3">
        <f>IFERROR(__xludf.DUMMYFUNCTION("IFERROR(INDEX(FILTER('cost master'!$E:$E,('cost master'!$B:$B=C1937)*('cost master'!$D:$D=""Storage cost per pallet / week"")*('cost master'!$G:$G&lt;=B1937)*(('cost master'!$H:$H&gt;=B1937)+ISBLANK('cost master'!$H:$H))),1),0)"),0.0)</f>
        <v>0</v>
      </c>
      <c r="I1937" s="3">
        <f t="shared" si="4"/>
        <v>0</v>
      </c>
      <c r="J1937" s="27">
        <f t="shared" si="5"/>
        <v>693947</v>
      </c>
      <c r="K1937" s="27">
        <f t="shared" si="6"/>
        <v>693977</v>
      </c>
    </row>
    <row r="1938" hidden="1">
      <c r="A1938" s="3" t="str">
        <f t="shared" si="3"/>
        <v/>
      </c>
      <c r="B1938" s="2" t="str">
        <f t="array" ref="B1938">INDEX(helper!$A$3:$A3996,ROUNDUP((ROW()-1)/COUNTA(helper!$D$3:$D3996),0))</f>
        <v/>
      </c>
      <c r="C1938" s="5" t="str">
        <f t="array" ref="C1938">IF(B1938="","",INDEX(helper!$D$3:$D3996,MOD(ROW()-2,COUNTA(helper!$D$3:$D3996))+1))</f>
        <v/>
      </c>
      <c r="D1938" s="3" t="str">
        <f t="array" ref="D1938">IF(B1938="","",INDEX(helper!$E$3:$E3996,MOD(ROW()-2,COUNTA(helper!$D$3:$D3996))+1))</f>
        <v/>
      </c>
      <c r="E1938" s="3" t="str">
        <f t="array" ref="E1938">IF(B1938="","",INDEX(helper!$F$3:$F3996,MOD(ROW()-2,COUNTA(helper!$D$3:$D3996))+1))</f>
        <v/>
      </c>
      <c r="F1938" s="3" t="str">
        <f>IF(B1938="","",SUMIFS('inventory ledger'!$H:$H,'inventory ledger'!$C:$C,C1938,'inventory ledger'!$D:$D,D1938,'inventory ledger'!$E:$E,E1938,'inventory ledger'!$A:$A,"&lt;="&amp;B1938+TIME(23,59,59))-SUMIFS('inventory ledger'!$I:$I,'inventory ledger'!$C:$C,C1938,'inventory ledger'!$D:$D,D1938,'inventory ledger'!$E:$E,E1938,'inventory ledger'!$A:$A,"&lt;="&amp;B1938+TIME(23,59,59)))</f>
        <v/>
      </c>
      <c r="G1938" s="3">
        <f>IFERROR(__xludf.DUMMYFUNCTION("IF(F1938&lt;=0,0,IFERROR(ROUNDUP(F1938/INDEX(FILTER('warehouse config'!$D:$D,('warehouse config'!$B:$B=C1938)*('warehouse config'!$C:$C=D1938)*('warehouse config'!$G:$G&lt;=B1938)*(('warehouse config'!$H:$H&gt;=B1938)+ISBLANK('warehouse config'!$H:$H))),1)),0))"),0.0)</f>
        <v>0</v>
      </c>
      <c r="H1938" s="3">
        <f>IFERROR(__xludf.DUMMYFUNCTION("IFERROR(INDEX(FILTER('cost master'!$E:$E,('cost master'!$B:$B=C1938)*('cost master'!$D:$D=""Storage cost per pallet / week"")*('cost master'!$G:$G&lt;=B1938)*(('cost master'!$H:$H&gt;=B1938)+ISBLANK('cost master'!$H:$H))),1),0)"),0.0)</f>
        <v>0</v>
      </c>
      <c r="I1938" s="3">
        <f t="shared" si="4"/>
        <v>0</v>
      </c>
      <c r="J1938" s="27">
        <f t="shared" si="5"/>
        <v>693947</v>
      </c>
      <c r="K1938" s="27">
        <f t="shared" si="6"/>
        <v>693977</v>
      </c>
    </row>
    <row r="1939" hidden="1">
      <c r="A1939" s="3" t="str">
        <f t="shared" si="3"/>
        <v/>
      </c>
      <c r="B1939" s="2" t="str">
        <f t="array" ref="B1939">INDEX(helper!$A$3:$A3996,ROUNDUP((ROW()-1)/COUNTA(helper!$D$3:$D3996),0))</f>
        <v/>
      </c>
      <c r="C1939" s="5" t="str">
        <f t="array" ref="C1939">IF(B1939="","",INDEX(helper!$D$3:$D3996,MOD(ROW()-2,COUNTA(helper!$D$3:$D3996))+1))</f>
        <v/>
      </c>
      <c r="D1939" s="3" t="str">
        <f t="array" ref="D1939">IF(B1939="","",INDEX(helper!$E$3:$E3996,MOD(ROW()-2,COUNTA(helper!$D$3:$D3996))+1))</f>
        <v/>
      </c>
      <c r="E1939" s="3" t="str">
        <f t="array" ref="E1939">IF(B1939="","",INDEX(helper!$F$3:$F3996,MOD(ROW()-2,COUNTA(helper!$D$3:$D3996))+1))</f>
        <v/>
      </c>
      <c r="F1939" s="3" t="str">
        <f>IF(B1939="","",SUMIFS('inventory ledger'!$H:$H,'inventory ledger'!$C:$C,C1939,'inventory ledger'!$D:$D,D1939,'inventory ledger'!$E:$E,E1939,'inventory ledger'!$A:$A,"&lt;="&amp;B1939+TIME(23,59,59))-SUMIFS('inventory ledger'!$I:$I,'inventory ledger'!$C:$C,C1939,'inventory ledger'!$D:$D,D1939,'inventory ledger'!$E:$E,E1939,'inventory ledger'!$A:$A,"&lt;="&amp;B1939+TIME(23,59,59)))</f>
        <v/>
      </c>
      <c r="G1939" s="3">
        <f>IFERROR(__xludf.DUMMYFUNCTION("IF(F1939&lt;=0,0,IFERROR(ROUNDUP(F1939/INDEX(FILTER('warehouse config'!$D:$D,('warehouse config'!$B:$B=C1939)*('warehouse config'!$C:$C=D1939)*('warehouse config'!$G:$G&lt;=B1939)*(('warehouse config'!$H:$H&gt;=B1939)+ISBLANK('warehouse config'!$H:$H))),1)),0))"),0.0)</f>
        <v>0</v>
      </c>
      <c r="H1939" s="3">
        <f>IFERROR(__xludf.DUMMYFUNCTION("IFERROR(INDEX(FILTER('cost master'!$E:$E,('cost master'!$B:$B=C1939)*('cost master'!$D:$D=""Storage cost per pallet / week"")*('cost master'!$G:$G&lt;=B1939)*(('cost master'!$H:$H&gt;=B1939)+ISBLANK('cost master'!$H:$H))),1),0)"),0.0)</f>
        <v>0</v>
      </c>
      <c r="I1939" s="3">
        <f t="shared" si="4"/>
        <v>0</v>
      </c>
      <c r="J1939" s="27">
        <f t="shared" si="5"/>
        <v>693947</v>
      </c>
      <c r="K1939" s="27">
        <f t="shared" si="6"/>
        <v>693977</v>
      </c>
    </row>
    <row r="1940" hidden="1">
      <c r="A1940" s="3" t="str">
        <f t="shared" si="3"/>
        <v/>
      </c>
      <c r="B1940" s="2" t="str">
        <f t="array" ref="B1940">INDEX(helper!$A$3:$A3996,ROUNDUP((ROW()-1)/COUNTA(helper!$D$3:$D3996),0))</f>
        <v/>
      </c>
      <c r="C1940" s="5" t="str">
        <f t="array" ref="C1940">IF(B1940="","",INDEX(helper!$D$3:$D3996,MOD(ROW()-2,COUNTA(helper!$D$3:$D3996))+1))</f>
        <v/>
      </c>
      <c r="D1940" s="3" t="str">
        <f t="array" ref="D1940">IF(B1940="","",INDEX(helper!$E$3:$E3996,MOD(ROW()-2,COUNTA(helper!$D$3:$D3996))+1))</f>
        <v/>
      </c>
      <c r="E1940" s="3" t="str">
        <f t="array" ref="E1940">IF(B1940="","",INDEX(helper!$F$3:$F3996,MOD(ROW()-2,COUNTA(helper!$D$3:$D3996))+1))</f>
        <v/>
      </c>
      <c r="F1940" s="3" t="str">
        <f>IF(B1940="","",SUMIFS('inventory ledger'!$H:$H,'inventory ledger'!$C:$C,C1940,'inventory ledger'!$D:$D,D1940,'inventory ledger'!$E:$E,E1940,'inventory ledger'!$A:$A,"&lt;="&amp;B1940+TIME(23,59,59))-SUMIFS('inventory ledger'!$I:$I,'inventory ledger'!$C:$C,C1940,'inventory ledger'!$D:$D,D1940,'inventory ledger'!$E:$E,E1940,'inventory ledger'!$A:$A,"&lt;="&amp;B1940+TIME(23,59,59)))</f>
        <v/>
      </c>
      <c r="G1940" s="3">
        <f>IFERROR(__xludf.DUMMYFUNCTION("IF(F1940&lt;=0,0,IFERROR(ROUNDUP(F1940/INDEX(FILTER('warehouse config'!$D:$D,('warehouse config'!$B:$B=C1940)*('warehouse config'!$C:$C=D1940)*('warehouse config'!$G:$G&lt;=B1940)*(('warehouse config'!$H:$H&gt;=B1940)+ISBLANK('warehouse config'!$H:$H))),1)),0))"),0.0)</f>
        <v>0</v>
      </c>
      <c r="H1940" s="3">
        <f>IFERROR(__xludf.DUMMYFUNCTION("IFERROR(INDEX(FILTER('cost master'!$E:$E,('cost master'!$B:$B=C1940)*('cost master'!$D:$D=""Storage cost per pallet / week"")*('cost master'!$G:$G&lt;=B1940)*(('cost master'!$H:$H&gt;=B1940)+ISBLANK('cost master'!$H:$H))),1),0)"),0.0)</f>
        <v>0</v>
      </c>
      <c r="I1940" s="3">
        <f t="shared" si="4"/>
        <v>0</v>
      </c>
      <c r="J1940" s="27">
        <f t="shared" si="5"/>
        <v>693947</v>
      </c>
      <c r="K1940" s="27">
        <f t="shared" si="6"/>
        <v>693977</v>
      </c>
    </row>
    <row r="1941" hidden="1">
      <c r="A1941" s="3" t="str">
        <f t="shared" si="3"/>
        <v/>
      </c>
      <c r="B1941" s="2" t="str">
        <f t="array" ref="B1941">INDEX(helper!$A$3:$A3996,ROUNDUP((ROW()-1)/COUNTA(helper!$D$3:$D3996),0))</f>
        <v/>
      </c>
      <c r="C1941" s="5" t="str">
        <f t="array" ref="C1941">IF(B1941="","",INDEX(helper!$D$3:$D3996,MOD(ROW()-2,COUNTA(helper!$D$3:$D3996))+1))</f>
        <v/>
      </c>
      <c r="D1941" s="3" t="str">
        <f t="array" ref="D1941">IF(B1941="","",INDEX(helper!$E$3:$E3996,MOD(ROW()-2,COUNTA(helper!$D$3:$D3996))+1))</f>
        <v/>
      </c>
      <c r="E1941" s="3" t="str">
        <f t="array" ref="E1941">IF(B1941="","",INDEX(helper!$F$3:$F3996,MOD(ROW()-2,COUNTA(helper!$D$3:$D3996))+1))</f>
        <v/>
      </c>
      <c r="F1941" s="3" t="str">
        <f>IF(B1941="","",SUMIFS('inventory ledger'!$H:$H,'inventory ledger'!$C:$C,C1941,'inventory ledger'!$D:$D,D1941,'inventory ledger'!$E:$E,E1941,'inventory ledger'!$A:$A,"&lt;="&amp;B1941+TIME(23,59,59))-SUMIFS('inventory ledger'!$I:$I,'inventory ledger'!$C:$C,C1941,'inventory ledger'!$D:$D,D1941,'inventory ledger'!$E:$E,E1941,'inventory ledger'!$A:$A,"&lt;="&amp;B1941+TIME(23,59,59)))</f>
        <v/>
      </c>
      <c r="G1941" s="3">
        <f>IFERROR(__xludf.DUMMYFUNCTION("IF(F1941&lt;=0,0,IFERROR(ROUNDUP(F1941/INDEX(FILTER('warehouse config'!$D:$D,('warehouse config'!$B:$B=C1941)*('warehouse config'!$C:$C=D1941)*('warehouse config'!$G:$G&lt;=B1941)*(('warehouse config'!$H:$H&gt;=B1941)+ISBLANK('warehouse config'!$H:$H))),1)),0))"),0.0)</f>
        <v>0</v>
      </c>
      <c r="H1941" s="3">
        <f>IFERROR(__xludf.DUMMYFUNCTION("IFERROR(INDEX(FILTER('cost master'!$E:$E,('cost master'!$B:$B=C1941)*('cost master'!$D:$D=""Storage cost per pallet / week"")*('cost master'!$G:$G&lt;=B1941)*(('cost master'!$H:$H&gt;=B1941)+ISBLANK('cost master'!$H:$H))),1),0)"),0.0)</f>
        <v>0</v>
      </c>
      <c r="I1941" s="3">
        <f t="shared" si="4"/>
        <v>0</v>
      </c>
      <c r="J1941" s="27">
        <f t="shared" si="5"/>
        <v>693947</v>
      </c>
      <c r="K1941" s="27">
        <f t="shared" si="6"/>
        <v>693977</v>
      </c>
    </row>
    <row r="1942" hidden="1">
      <c r="A1942" s="3" t="str">
        <f t="shared" si="3"/>
        <v/>
      </c>
      <c r="B1942" s="2" t="str">
        <f t="array" ref="B1942">INDEX(helper!$A$3:$A3996,ROUNDUP((ROW()-1)/COUNTA(helper!$D$3:$D3996),0))</f>
        <v/>
      </c>
      <c r="C1942" s="5" t="str">
        <f t="array" ref="C1942">IF(B1942="","",INDEX(helper!$D$3:$D3996,MOD(ROW()-2,COUNTA(helper!$D$3:$D3996))+1))</f>
        <v/>
      </c>
      <c r="D1942" s="3" t="str">
        <f t="array" ref="D1942">IF(B1942="","",INDEX(helper!$E$3:$E3996,MOD(ROW()-2,COUNTA(helper!$D$3:$D3996))+1))</f>
        <v/>
      </c>
      <c r="E1942" s="3" t="str">
        <f t="array" ref="E1942">IF(B1942="","",INDEX(helper!$F$3:$F3996,MOD(ROW()-2,COUNTA(helper!$D$3:$D3996))+1))</f>
        <v/>
      </c>
      <c r="F1942" s="3" t="str">
        <f>IF(B1942="","",SUMIFS('inventory ledger'!$H:$H,'inventory ledger'!$C:$C,C1942,'inventory ledger'!$D:$D,D1942,'inventory ledger'!$E:$E,E1942,'inventory ledger'!$A:$A,"&lt;="&amp;B1942+TIME(23,59,59))-SUMIFS('inventory ledger'!$I:$I,'inventory ledger'!$C:$C,C1942,'inventory ledger'!$D:$D,D1942,'inventory ledger'!$E:$E,E1942,'inventory ledger'!$A:$A,"&lt;="&amp;B1942+TIME(23,59,59)))</f>
        <v/>
      </c>
      <c r="G1942" s="3">
        <f>IFERROR(__xludf.DUMMYFUNCTION("IF(F1942&lt;=0,0,IFERROR(ROUNDUP(F1942/INDEX(FILTER('warehouse config'!$D:$D,('warehouse config'!$B:$B=C1942)*('warehouse config'!$C:$C=D1942)*('warehouse config'!$G:$G&lt;=B1942)*(('warehouse config'!$H:$H&gt;=B1942)+ISBLANK('warehouse config'!$H:$H))),1)),0))"),0.0)</f>
        <v>0</v>
      </c>
      <c r="H1942" s="3">
        <f>IFERROR(__xludf.DUMMYFUNCTION("IFERROR(INDEX(FILTER('cost master'!$E:$E,('cost master'!$B:$B=C1942)*('cost master'!$D:$D=""Storage cost per pallet / week"")*('cost master'!$G:$G&lt;=B1942)*(('cost master'!$H:$H&gt;=B1942)+ISBLANK('cost master'!$H:$H))),1),0)"),0.0)</f>
        <v>0</v>
      </c>
      <c r="I1942" s="3">
        <f t="shared" si="4"/>
        <v>0</v>
      </c>
      <c r="J1942" s="27">
        <f t="shared" si="5"/>
        <v>693947</v>
      </c>
      <c r="K1942" s="27">
        <f t="shared" si="6"/>
        <v>693977</v>
      </c>
    </row>
    <row r="1943" hidden="1">
      <c r="A1943" s="3" t="str">
        <f t="shared" si="3"/>
        <v/>
      </c>
      <c r="B1943" s="2" t="str">
        <f t="array" ref="B1943">INDEX(helper!$A$3:$A3996,ROUNDUP((ROW()-1)/COUNTA(helper!$D$3:$D3996),0))</f>
        <v/>
      </c>
      <c r="C1943" s="5" t="str">
        <f t="array" ref="C1943">IF(B1943="","",INDEX(helper!$D$3:$D3996,MOD(ROW()-2,COUNTA(helper!$D$3:$D3996))+1))</f>
        <v/>
      </c>
      <c r="D1943" s="3" t="str">
        <f t="array" ref="D1943">IF(B1943="","",INDEX(helper!$E$3:$E3996,MOD(ROW()-2,COUNTA(helper!$D$3:$D3996))+1))</f>
        <v/>
      </c>
      <c r="E1943" s="3" t="str">
        <f t="array" ref="E1943">IF(B1943="","",INDEX(helper!$F$3:$F3996,MOD(ROW()-2,COUNTA(helper!$D$3:$D3996))+1))</f>
        <v/>
      </c>
      <c r="F1943" s="3" t="str">
        <f>IF(B1943="","",SUMIFS('inventory ledger'!$H:$H,'inventory ledger'!$C:$C,C1943,'inventory ledger'!$D:$D,D1943,'inventory ledger'!$E:$E,E1943,'inventory ledger'!$A:$A,"&lt;="&amp;B1943+TIME(23,59,59))-SUMIFS('inventory ledger'!$I:$I,'inventory ledger'!$C:$C,C1943,'inventory ledger'!$D:$D,D1943,'inventory ledger'!$E:$E,E1943,'inventory ledger'!$A:$A,"&lt;="&amp;B1943+TIME(23,59,59)))</f>
        <v/>
      </c>
      <c r="G1943" s="3">
        <f>IFERROR(__xludf.DUMMYFUNCTION("IF(F1943&lt;=0,0,IFERROR(ROUNDUP(F1943/INDEX(FILTER('warehouse config'!$D:$D,('warehouse config'!$B:$B=C1943)*('warehouse config'!$C:$C=D1943)*('warehouse config'!$G:$G&lt;=B1943)*(('warehouse config'!$H:$H&gt;=B1943)+ISBLANK('warehouse config'!$H:$H))),1)),0))"),0.0)</f>
        <v>0</v>
      </c>
      <c r="H1943" s="3">
        <f>IFERROR(__xludf.DUMMYFUNCTION("IFERROR(INDEX(FILTER('cost master'!$E:$E,('cost master'!$B:$B=C1943)*('cost master'!$D:$D=""Storage cost per pallet / week"")*('cost master'!$G:$G&lt;=B1943)*(('cost master'!$H:$H&gt;=B1943)+ISBLANK('cost master'!$H:$H))),1),0)"),0.0)</f>
        <v>0</v>
      </c>
      <c r="I1943" s="3">
        <f t="shared" si="4"/>
        <v>0</v>
      </c>
      <c r="J1943" s="27">
        <f t="shared" si="5"/>
        <v>693947</v>
      </c>
      <c r="K1943" s="27">
        <f t="shared" si="6"/>
        <v>693977</v>
      </c>
    </row>
    <row r="1944" hidden="1">
      <c r="A1944" s="3" t="str">
        <f t="shared" si="3"/>
        <v/>
      </c>
      <c r="B1944" s="2" t="str">
        <f t="array" ref="B1944">INDEX(helper!$A$3:$A3996,ROUNDUP((ROW()-1)/COUNTA(helper!$D$3:$D3996),0))</f>
        <v/>
      </c>
      <c r="C1944" s="5" t="str">
        <f t="array" ref="C1944">IF(B1944="","",INDEX(helper!$D$3:$D3996,MOD(ROW()-2,COUNTA(helper!$D$3:$D3996))+1))</f>
        <v/>
      </c>
      <c r="D1944" s="3" t="str">
        <f t="array" ref="D1944">IF(B1944="","",INDEX(helper!$E$3:$E3996,MOD(ROW()-2,COUNTA(helper!$D$3:$D3996))+1))</f>
        <v/>
      </c>
      <c r="E1944" s="3" t="str">
        <f t="array" ref="E1944">IF(B1944="","",INDEX(helper!$F$3:$F3996,MOD(ROW()-2,COUNTA(helper!$D$3:$D3996))+1))</f>
        <v/>
      </c>
      <c r="F1944" s="3" t="str">
        <f>IF(B1944="","",SUMIFS('inventory ledger'!$H:$H,'inventory ledger'!$C:$C,C1944,'inventory ledger'!$D:$D,D1944,'inventory ledger'!$E:$E,E1944,'inventory ledger'!$A:$A,"&lt;="&amp;B1944+TIME(23,59,59))-SUMIFS('inventory ledger'!$I:$I,'inventory ledger'!$C:$C,C1944,'inventory ledger'!$D:$D,D1944,'inventory ledger'!$E:$E,E1944,'inventory ledger'!$A:$A,"&lt;="&amp;B1944+TIME(23,59,59)))</f>
        <v/>
      </c>
      <c r="G1944" s="3">
        <f>IFERROR(__xludf.DUMMYFUNCTION("IF(F1944&lt;=0,0,IFERROR(ROUNDUP(F1944/INDEX(FILTER('warehouse config'!$D:$D,('warehouse config'!$B:$B=C1944)*('warehouse config'!$C:$C=D1944)*('warehouse config'!$G:$G&lt;=B1944)*(('warehouse config'!$H:$H&gt;=B1944)+ISBLANK('warehouse config'!$H:$H))),1)),0))"),0.0)</f>
        <v>0</v>
      </c>
      <c r="H1944" s="3">
        <f>IFERROR(__xludf.DUMMYFUNCTION("IFERROR(INDEX(FILTER('cost master'!$E:$E,('cost master'!$B:$B=C1944)*('cost master'!$D:$D=""Storage cost per pallet / week"")*('cost master'!$G:$G&lt;=B1944)*(('cost master'!$H:$H&gt;=B1944)+ISBLANK('cost master'!$H:$H))),1),0)"),0.0)</f>
        <v>0</v>
      </c>
      <c r="I1944" s="3">
        <f t="shared" si="4"/>
        <v>0</v>
      </c>
      <c r="J1944" s="27">
        <f t="shared" si="5"/>
        <v>693947</v>
      </c>
      <c r="K1944" s="27">
        <f t="shared" si="6"/>
        <v>693977</v>
      </c>
    </row>
    <row r="1945" hidden="1">
      <c r="A1945" s="3" t="str">
        <f t="shared" si="3"/>
        <v/>
      </c>
      <c r="B1945" s="2" t="str">
        <f t="array" ref="B1945">INDEX(helper!$A$3:$A3996,ROUNDUP((ROW()-1)/COUNTA(helper!$D$3:$D3996),0))</f>
        <v/>
      </c>
      <c r="C1945" s="5" t="str">
        <f t="array" ref="C1945">IF(B1945="","",INDEX(helper!$D$3:$D3996,MOD(ROW()-2,COUNTA(helper!$D$3:$D3996))+1))</f>
        <v/>
      </c>
      <c r="D1945" s="3" t="str">
        <f t="array" ref="D1945">IF(B1945="","",INDEX(helper!$E$3:$E3996,MOD(ROW()-2,COUNTA(helper!$D$3:$D3996))+1))</f>
        <v/>
      </c>
      <c r="E1945" s="3" t="str">
        <f t="array" ref="E1945">IF(B1945="","",INDEX(helper!$F$3:$F3996,MOD(ROW()-2,COUNTA(helper!$D$3:$D3996))+1))</f>
        <v/>
      </c>
      <c r="F1945" s="3" t="str">
        <f>IF(B1945="","",SUMIFS('inventory ledger'!$H:$H,'inventory ledger'!$C:$C,C1945,'inventory ledger'!$D:$D,D1945,'inventory ledger'!$E:$E,E1945,'inventory ledger'!$A:$A,"&lt;="&amp;B1945+TIME(23,59,59))-SUMIFS('inventory ledger'!$I:$I,'inventory ledger'!$C:$C,C1945,'inventory ledger'!$D:$D,D1945,'inventory ledger'!$E:$E,E1945,'inventory ledger'!$A:$A,"&lt;="&amp;B1945+TIME(23,59,59)))</f>
        <v/>
      </c>
      <c r="G1945" s="3">
        <f>IFERROR(__xludf.DUMMYFUNCTION("IF(F1945&lt;=0,0,IFERROR(ROUNDUP(F1945/INDEX(FILTER('warehouse config'!$D:$D,('warehouse config'!$B:$B=C1945)*('warehouse config'!$C:$C=D1945)*('warehouse config'!$G:$G&lt;=B1945)*(('warehouse config'!$H:$H&gt;=B1945)+ISBLANK('warehouse config'!$H:$H))),1)),0))"),0.0)</f>
        <v>0</v>
      </c>
      <c r="H1945" s="3">
        <f>IFERROR(__xludf.DUMMYFUNCTION("IFERROR(INDEX(FILTER('cost master'!$E:$E,('cost master'!$B:$B=C1945)*('cost master'!$D:$D=""Storage cost per pallet / week"")*('cost master'!$G:$G&lt;=B1945)*(('cost master'!$H:$H&gt;=B1945)+ISBLANK('cost master'!$H:$H))),1),0)"),0.0)</f>
        <v>0</v>
      </c>
      <c r="I1945" s="3">
        <f t="shared" si="4"/>
        <v>0</v>
      </c>
      <c r="J1945" s="27">
        <f t="shared" si="5"/>
        <v>693947</v>
      </c>
      <c r="K1945" s="27">
        <f t="shared" si="6"/>
        <v>693977</v>
      </c>
    </row>
    <row r="1946" hidden="1">
      <c r="A1946" s="3" t="str">
        <f t="shared" si="3"/>
        <v/>
      </c>
      <c r="B1946" s="2" t="str">
        <f t="array" ref="B1946">INDEX(helper!$A$3:$A3996,ROUNDUP((ROW()-1)/COUNTA(helper!$D$3:$D3996),0))</f>
        <v/>
      </c>
      <c r="C1946" s="5" t="str">
        <f t="array" ref="C1946">IF(B1946="","",INDEX(helper!$D$3:$D3996,MOD(ROW()-2,COUNTA(helper!$D$3:$D3996))+1))</f>
        <v/>
      </c>
      <c r="D1946" s="3" t="str">
        <f t="array" ref="D1946">IF(B1946="","",INDEX(helper!$E$3:$E3996,MOD(ROW()-2,COUNTA(helper!$D$3:$D3996))+1))</f>
        <v/>
      </c>
      <c r="E1946" s="3" t="str">
        <f t="array" ref="E1946">IF(B1946="","",INDEX(helper!$F$3:$F3996,MOD(ROW()-2,COUNTA(helper!$D$3:$D3996))+1))</f>
        <v/>
      </c>
      <c r="F1946" s="3" t="str">
        <f>IF(B1946="","",SUMIFS('inventory ledger'!$H:$H,'inventory ledger'!$C:$C,C1946,'inventory ledger'!$D:$D,D1946,'inventory ledger'!$E:$E,E1946,'inventory ledger'!$A:$A,"&lt;="&amp;B1946+TIME(23,59,59))-SUMIFS('inventory ledger'!$I:$I,'inventory ledger'!$C:$C,C1946,'inventory ledger'!$D:$D,D1946,'inventory ledger'!$E:$E,E1946,'inventory ledger'!$A:$A,"&lt;="&amp;B1946+TIME(23,59,59)))</f>
        <v/>
      </c>
      <c r="G1946" s="3">
        <f>IFERROR(__xludf.DUMMYFUNCTION("IF(F1946&lt;=0,0,IFERROR(ROUNDUP(F1946/INDEX(FILTER('warehouse config'!$D:$D,('warehouse config'!$B:$B=C1946)*('warehouse config'!$C:$C=D1946)*('warehouse config'!$G:$G&lt;=B1946)*(('warehouse config'!$H:$H&gt;=B1946)+ISBLANK('warehouse config'!$H:$H))),1)),0))"),0.0)</f>
        <v>0</v>
      </c>
      <c r="H1946" s="3">
        <f>IFERROR(__xludf.DUMMYFUNCTION("IFERROR(INDEX(FILTER('cost master'!$E:$E,('cost master'!$B:$B=C1946)*('cost master'!$D:$D=""Storage cost per pallet / week"")*('cost master'!$G:$G&lt;=B1946)*(('cost master'!$H:$H&gt;=B1946)+ISBLANK('cost master'!$H:$H))),1),0)"),0.0)</f>
        <v>0</v>
      </c>
      <c r="I1946" s="3">
        <f t="shared" si="4"/>
        <v>0</v>
      </c>
      <c r="J1946" s="27">
        <f t="shared" si="5"/>
        <v>693947</v>
      </c>
      <c r="K1946" s="27">
        <f t="shared" si="6"/>
        <v>693977</v>
      </c>
    </row>
    <row r="1947" hidden="1">
      <c r="A1947" s="3" t="str">
        <f t="shared" si="3"/>
        <v/>
      </c>
      <c r="B1947" s="2" t="str">
        <f t="array" ref="B1947">INDEX(helper!$A$3:$A3996,ROUNDUP((ROW()-1)/COUNTA(helper!$D$3:$D3996),0))</f>
        <v/>
      </c>
      <c r="C1947" s="5" t="str">
        <f t="array" ref="C1947">IF(B1947="","",INDEX(helper!$D$3:$D3996,MOD(ROW()-2,COUNTA(helper!$D$3:$D3996))+1))</f>
        <v/>
      </c>
      <c r="D1947" s="3" t="str">
        <f t="array" ref="D1947">IF(B1947="","",INDEX(helper!$E$3:$E3996,MOD(ROW()-2,COUNTA(helper!$D$3:$D3996))+1))</f>
        <v/>
      </c>
      <c r="E1947" s="3" t="str">
        <f t="array" ref="E1947">IF(B1947="","",INDEX(helper!$F$3:$F3996,MOD(ROW()-2,COUNTA(helper!$D$3:$D3996))+1))</f>
        <v/>
      </c>
      <c r="F1947" s="3" t="str">
        <f>IF(B1947="","",SUMIFS('inventory ledger'!$H:$H,'inventory ledger'!$C:$C,C1947,'inventory ledger'!$D:$D,D1947,'inventory ledger'!$E:$E,E1947,'inventory ledger'!$A:$A,"&lt;="&amp;B1947+TIME(23,59,59))-SUMIFS('inventory ledger'!$I:$I,'inventory ledger'!$C:$C,C1947,'inventory ledger'!$D:$D,D1947,'inventory ledger'!$E:$E,E1947,'inventory ledger'!$A:$A,"&lt;="&amp;B1947+TIME(23,59,59)))</f>
        <v/>
      </c>
      <c r="G1947" s="3">
        <f>IFERROR(__xludf.DUMMYFUNCTION("IF(F1947&lt;=0,0,IFERROR(ROUNDUP(F1947/INDEX(FILTER('warehouse config'!$D:$D,('warehouse config'!$B:$B=C1947)*('warehouse config'!$C:$C=D1947)*('warehouse config'!$G:$G&lt;=B1947)*(('warehouse config'!$H:$H&gt;=B1947)+ISBLANK('warehouse config'!$H:$H))),1)),0))"),0.0)</f>
        <v>0</v>
      </c>
      <c r="H1947" s="3">
        <f>IFERROR(__xludf.DUMMYFUNCTION("IFERROR(INDEX(FILTER('cost master'!$E:$E,('cost master'!$B:$B=C1947)*('cost master'!$D:$D=""Storage cost per pallet / week"")*('cost master'!$G:$G&lt;=B1947)*(('cost master'!$H:$H&gt;=B1947)+ISBLANK('cost master'!$H:$H))),1),0)"),0.0)</f>
        <v>0</v>
      </c>
      <c r="I1947" s="3">
        <f t="shared" si="4"/>
        <v>0</v>
      </c>
      <c r="J1947" s="27">
        <f t="shared" si="5"/>
        <v>693947</v>
      </c>
      <c r="K1947" s="27">
        <f t="shared" si="6"/>
        <v>693977</v>
      </c>
    </row>
    <row r="1948" hidden="1">
      <c r="A1948" s="3" t="str">
        <f t="shared" si="3"/>
        <v/>
      </c>
      <c r="B1948" s="2" t="str">
        <f t="array" ref="B1948">INDEX(helper!$A$3:$A3996,ROUNDUP((ROW()-1)/COUNTA(helper!$D$3:$D3996),0))</f>
        <v/>
      </c>
      <c r="C1948" s="5" t="str">
        <f t="array" ref="C1948">IF(B1948="","",INDEX(helper!$D$3:$D3996,MOD(ROW()-2,COUNTA(helper!$D$3:$D3996))+1))</f>
        <v/>
      </c>
      <c r="D1948" s="3" t="str">
        <f t="array" ref="D1948">IF(B1948="","",INDEX(helper!$E$3:$E3996,MOD(ROW()-2,COUNTA(helper!$D$3:$D3996))+1))</f>
        <v/>
      </c>
      <c r="E1948" s="3" t="str">
        <f t="array" ref="E1948">IF(B1948="","",INDEX(helper!$F$3:$F3996,MOD(ROW()-2,COUNTA(helper!$D$3:$D3996))+1))</f>
        <v/>
      </c>
      <c r="F1948" s="3" t="str">
        <f>IF(B1948="","",SUMIFS('inventory ledger'!$H:$H,'inventory ledger'!$C:$C,C1948,'inventory ledger'!$D:$D,D1948,'inventory ledger'!$E:$E,E1948,'inventory ledger'!$A:$A,"&lt;="&amp;B1948+TIME(23,59,59))-SUMIFS('inventory ledger'!$I:$I,'inventory ledger'!$C:$C,C1948,'inventory ledger'!$D:$D,D1948,'inventory ledger'!$E:$E,E1948,'inventory ledger'!$A:$A,"&lt;="&amp;B1948+TIME(23,59,59)))</f>
        <v/>
      </c>
      <c r="G1948" s="3">
        <f>IFERROR(__xludf.DUMMYFUNCTION("IF(F1948&lt;=0,0,IFERROR(ROUNDUP(F1948/INDEX(FILTER('warehouse config'!$D:$D,('warehouse config'!$B:$B=C1948)*('warehouse config'!$C:$C=D1948)*('warehouse config'!$G:$G&lt;=B1948)*(('warehouse config'!$H:$H&gt;=B1948)+ISBLANK('warehouse config'!$H:$H))),1)),0))"),0.0)</f>
        <v>0</v>
      </c>
      <c r="H1948" s="3">
        <f>IFERROR(__xludf.DUMMYFUNCTION("IFERROR(INDEX(FILTER('cost master'!$E:$E,('cost master'!$B:$B=C1948)*('cost master'!$D:$D=""Storage cost per pallet / week"")*('cost master'!$G:$G&lt;=B1948)*(('cost master'!$H:$H&gt;=B1948)+ISBLANK('cost master'!$H:$H))),1),0)"),0.0)</f>
        <v>0</v>
      </c>
      <c r="I1948" s="3">
        <f t="shared" si="4"/>
        <v>0</v>
      </c>
      <c r="J1948" s="27">
        <f t="shared" si="5"/>
        <v>693947</v>
      </c>
      <c r="K1948" s="27">
        <f t="shared" si="6"/>
        <v>693977</v>
      </c>
    </row>
    <row r="1949" hidden="1">
      <c r="A1949" s="3" t="str">
        <f t="shared" si="3"/>
        <v/>
      </c>
      <c r="B1949" s="2" t="str">
        <f t="array" ref="B1949">INDEX(helper!$A$3:$A3996,ROUNDUP((ROW()-1)/COUNTA(helper!$D$3:$D3996),0))</f>
        <v/>
      </c>
      <c r="C1949" s="5" t="str">
        <f t="array" ref="C1949">IF(B1949="","",INDEX(helper!$D$3:$D3996,MOD(ROW()-2,COUNTA(helper!$D$3:$D3996))+1))</f>
        <v/>
      </c>
      <c r="D1949" s="3" t="str">
        <f t="array" ref="D1949">IF(B1949="","",INDEX(helper!$E$3:$E3996,MOD(ROW()-2,COUNTA(helper!$D$3:$D3996))+1))</f>
        <v/>
      </c>
      <c r="E1949" s="3" t="str">
        <f t="array" ref="E1949">IF(B1949="","",INDEX(helper!$F$3:$F3996,MOD(ROW()-2,COUNTA(helper!$D$3:$D3996))+1))</f>
        <v/>
      </c>
      <c r="F1949" s="3" t="str">
        <f>IF(B1949="","",SUMIFS('inventory ledger'!$H:$H,'inventory ledger'!$C:$C,C1949,'inventory ledger'!$D:$D,D1949,'inventory ledger'!$E:$E,E1949,'inventory ledger'!$A:$A,"&lt;="&amp;B1949+TIME(23,59,59))-SUMIFS('inventory ledger'!$I:$I,'inventory ledger'!$C:$C,C1949,'inventory ledger'!$D:$D,D1949,'inventory ledger'!$E:$E,E1949,'inventory ledger'!$A:$A,"&lt;="&amp;B1949+TIME(23,59,59)))</f>
        <v/>
      </c>
      <c r="G1949" s="3">
        <f>IFERROR(__xludf.DUMMYFUNCTION("IF(F1949&lt;=0,0,IFERROR(ROUNDUP(F1949/INDEX(FILTER('warehouse config'!$D:$D,('warehouse config'!$B:$B=C1949)*('warehouse config'!$C:$C=D1949)*('warehouse config'!$G:$G&lt;=B1949)*(('warehouse config'!$H:$H&gt;=B1949)+ISBLANK('warehouse config'!$H:$H))),1)),0))"),0.0)</f>
        <v>0</v>
      </c>
      <c r="H1949" s="3">
        <f>IFERROR(__xludf.DUMMYFUNCTION("IFERROR(INDEX(FILTER('cost master'!$E:$E,('cost master'!$B:$B=C1949)*('cost master'!$D:$D=""Storage cost per pallet / week"")*('cost master'!$G:$G&lt;=B1949)*(('cost master'!$H:$H&gt;=B1949)+ISBLANK('cost master'!$H:$H))),1),0)"),0.0)</f>
        <v>0</v>
      </c>
      <c r="I1949" s="3">
        <f t="shared" si="4"/>
        <v>0</v>
      </c>
      <c r="J1949" s="27">
        <f t="shared" si="5"/>
        <v>693947</v>
      </c>
      <c r="K1949" s="27">
        <f t="shared" si="6"/>
        <v>693977</v>
      </c>
    </row>
    <row r="1950" hidden="1">
      <c r="A1950" s="3" t="str">
        <f t="shared" si="3"/>
        <v/>
      </c>
      <c r="B1950" s="2" t="str">
        <f t="array" ref="B1950">INDEX(helper!$A$3:$A3996,ROUNDUP((ROW()-1)/COUNTA(helper!$D$3:$D3996),0))</f>
        <v/>
      </c>
      <c r="C1950" s="5" t="str">
        <f t="array" ref="C1950">IF(B1950="","",INDEX(helper!$D$3:$D3996,MOD(ROW()-2,COUNTA(helper!$D$3:$D3996))+1))</f>
        <v/>
      </c>
      <c r="D1950" s="3" t="str">
        <f t="array" ref="D1950">IF(B1950="","",INDEX(helper!$E$3:$E3996,MOD(ROW()-2,COUNTA(helper!$D$3:$D3996))+1))</f>
        <v/>
      </c>
      <c r="E1950" s="3" t="str">
        <f t="array" ref="E1950">IF(B1950="","",INDEX(helper!$F$3:$F3996,MOD(ROW()-2,COUNTA(helper!$D$3:$D3996))+1))</f>
        <v/>
      </c>
      <c r="F1950" s="3" t="str">
        <f>IF(B1950="","",SUMIFS('inventory ledger'!$H:$H,'inventory ledger'!$C:$C,C1950,'inventory ledger'!$D:$D,D1950,'inventory ledger'!$E:$E,E1950,'inventory ledger'!$A:$A,"&lt;="&amp;B1950+TIME(23,59,59))-SUMIFS('inventory ledger'!$I:$I,'inventory ledger'!$C:$C,C1950,'inventory ledger'!$D:$D,D1950,'inventory ledger'!$E:$E,E1950,'inventory ledger'!$A:$A,"&lt;="&amp;B1950+TIME(23,59,59)))</f>
        <v/>
      </c>
      <c r="G1950" s="3">
        <f>IFERROR(__xludf.DUMMYFUNCTION("IF(F1950&lt;=0,0,IFERROR(ROUNDUP(F1950/INDEX(FILTER('warehouse config'!$D:$D,('warehouse config'!$B:$B=C1950)*('warehouse config'!$C:$C=D1950)*('warehouse config'!$G:$G&lt;=B1950)*(('warehouse config'!$H:$H&gt;=B1950)+ISBLANK('warehouse config'!$H:$H))),1)),0))"),0.0)</f>
        <v>0</v>
      </c>
      <c r="H1950" s="3">
        <f>IFERROR(__xludf.DUMMYFUNCTION("IFERROR(INDEX(FILTER('cost master'!$E:$E,('cost master'!$B:$B=C1950)*('cost master'!$D:$D=""Storage cost per pallet / week"")*('cost master'!$G:$G&lt;=B1950)*(('cost master'!$H:$H&gt;=B1950)+ISBLANK('cost master'!$H:$H))),1),0)"),0.0)</f>
        <v>0</v>
      </c>
      <c r="I1950" s="3">
        <f t="shared" si="4"/>
        <v>0</v>
      </c>
      <c r="J1950" s="27">
        <f t="shared" si="5"/>
        <v>693947</v>
      </c>
      <c r="K1950" s="27">
        <f t="shared" si="6"/>
        <v>693977</v>
      </c>
    </row>
    <row r="1951" hidden="1">
      <c r="A1951" s="3" t="str">
        <f t="shared" si="3"/>
        <v/>
      </c>
      <c r="B1951" s="2" t="str">
        <f t="array" ref="B1951">INDEX(helper!$A$3:$A3996,ROUNDUP((ROW()-1)/COUNTA(helper!$D$3:$D3996),0))</f>
        <v/>
      </c>
      <c r="C1951" s="5" t="str">
        <f t="array" ref="C1951">IF(B1951="","",INDEX(helper!$D$3:$D3996,MOD(ROW()-2,COUNTA(helper!$D$3:$D3996))+1))</f>
        <v/>
      </c>
      <c r="D1951" s="3" t="str">
        <f t="array" ref="D1951">IF(B1951="","",INDEX(helper!$E$3:$E3996,MOD(ROW()-2,COUNTA(helper!$D$3:$D3996))+1))</f>
        <v/>
      </c>
      <c r="E1951" s="3" t="str">
        <f t="array" ref="E1951">IF(B1951="","",INDEX(helper!$F$3:$F3996,MOD(ROW()-2,COUNTA(helper!$D$3:$D3996))+1))</f>
        <v/>
      </c>
      <c r="F1951" s="3" t="str">
        <f>IF(B1951="","",SUMIFS('inventory ledger'!$H:$H,'inventory ledger'!$C:$C,C1951,'inventory ledger'!$D:$D,D1951,'inventory ledger'!$E:$E,E1951,'inventory ledger'!$A:$A,"&lt;="&amp;B1951+TIME(23,59,59))-SUMIFS('inventory ledger'!$I:$I,'inventory ledger'!$C:$C,C1951,'inventory ledger'!$D:$D,D1951,'inventory ledger'!$E:$E,E1951,'inventory ledger'!$A:$A,"&lt;="&amp;B1951+TIME(23,59,59)))</f>
        <v/>
      </c>
      <c r="G1951" s="3">
        <f>IFERROR(__xludf.DUMMYFUNCTION("IF(F1951&lt;=0,0,IFERROR(ROUNDUP(F1951/INDEX(FILTER('warehouse config'!$D:$D,('warehouse config'!$B:$B=C1951)*('warehouse config'!$C:$C=D1951)*('warehouse config'!$G:$G&lt;=B1951)*(('warehouse config'!$H:$H&gt;=B1951)+ISBLANK('warehouse config'!$H:$H))),1)),0))"),0.0)</f>
        <v>0</v>
      </c>
      <c r="H1951" s="3">
        <f>IFERROR(__xludf.DUMMYFUNCTION("IFERROR(INDEX(FILTER('cost master'!$E:$E,('cost master'!$B:$B=C1951)*('cost master'!$D:$D=""Storage cost per pallet / week"")*('cost master'!$G:$G&lt;=B1951)*(('cost master'!$H:$H&gt;=B1951)+ISBLANK('cost master'!$H:$H))),1),0)"),0.0)</f>
        <v>0</v>
      </c>
      <c r="I1951" s="3">
        <f t="shared" si="4"/>
        <v>0</v>
      </c>
      <c r="J1951" s="27">
        <f t="shared" si="5"/>
        <v>693947</v>
      </c>
      <c r="K1951" s="27">
        <f t="shared" si="6"/>
        <v>693977</v>
      </c>
    </row>
    <row r="1952" hidden="1">
      <c r="A1952" s="3" t="str">
        <f t="shared" si="3"/>
        <v/>
      </c>
      <c r="B1952" s="2" t="str">
        <f t="array" ref="B1952">INDEX(helper!$A$3:$A3996,ROUNDUP((ROW()-1)/COUNTA(helper!$D$3:$D3996),0))</f>
        <v/>
      </c>
      <c r="C1952" s="5" t="str">
        <f t="array" ref="C1952">IF(B1952="","",INDEX(helper!$D$3:$D3996,MOD(ROW()-2,COUNTA(helper!$D$3:$D3996))+1))</f>
        <v/>
      </c>
      <c r="D1952" s="3" t="str">
        <f t="array" ref="D1952">IF(B1952="","",INDEX(helper!$E$3:$E3996,MOD(ROW()-2,COUNTA(helper!$D$3:$D3996))+1))</f>
        <v/>
      </c>
      <c r="E1952" s="3" t="str">
        <f t="array" ref="E1952">IF(B1952="","",INDEX(helper!$F$3:$F3996,MOD(ROW()-2,COUNTA(helper!$D$3:$D3996))+1))</f>
        <v/>
      </c>
      <c r="F1952" s="3" t="str">
        <f>IF(B1952="","",SUMIFS('inventory ledger'!$H:$H,'inventory ledger'!$C:$C,C1952,'inventory ledger'!$D:$D,D1952,'inventory ledger'!$E:$E,E1952,'inventory ledger'!$A:$A,"&lt;="&amp;B1952+TIME(23,59,59))-SUMIFS('inventory ledger'!$I:$I,'inventory ledger'!$C:$C,C1952,'inventory ledger'!$D:$D,D1952,'inventory ledger'!$E:$E,E1952,'inventory ledger'!$A:$A,"&lt;="&amp;B1952+TIME(23,59,59)))</f>
        <v/>
      </c>
      <c r="G1952" s="3">
        <f>IFERROR(__xludf.DUMMYFUNCTION("IF(F1952&lt;=0,0,IFERROR(ROUNDUP(F1952/INDEX(FILTER('warehouse config'!$D:$D,('warehouse config'!$B:$B=C1952)*('warehouse config'!$C:$C=D1952)*('warehouse config'!$G:$G&lt;=B1952)*(('warehouse config'!$H:$H&gt;=B1952)+ISBLANK('warehouse config'!$H:$H))),1)),0))"),0.0)</f>
        <v>0</v>
      </c>
      <c r="H1952" s="3">
        <f>IFERROR(__xludf.DUMMYFUNCTION("IFERROR(INDEX(FILTER('cost master'!$E:$E,('cost master'!$B:$B=C1952)*('cost master'!$D:$D=""Storage cost per pallet / week"")*('cost master'!$G:$G&lt;=B1952)*(('cost master'!$H:$H&gt;=B1952)+ISBLANK('cost master'!$H:$H))),1),0)"),0.0)</f>
        <v>0</v>
      </c>
      <c r="I1952" s="3">
        <f t="shared" si="4"/>
        <v>0</v>
      </c>
      <c r="J1952" s="27">
        <f t="shared" si="5"/>
        <v>693947</v>
      </c>
      <c r="K1952" s="27">
        <f t="shared" si="6"/>
        <v>693977</v>
      </c>
    </row>
    <row r="1953" hidden="1">
      <c r="A1953" s="3" t="str">
        <f t="shared" si="3"/>
        <v/>
      </c>
      <c r="B1953" s="2" t="str">
        <f t="array" ref="B1953">INDEX(helper!$A$3:$A3996,ROUNDUP((ROW()-1)/COUNTA(helper!$D$3:$D3996),0))</f>
        <v/>
      </c>
      <c r="C1953" s="5" t="str">
        <f t="array" ref="C1953">IF(B1953="","",INDEX(helper!$D$3:$D3996,MOD(ROW()-2,COUNTA(helper!$D$3:$D3996))+1))</f>
        <v/>
      </c>
      <c r="D1953" s="3" t="str">
        <f t="array" ref="D1953">IF(B1953="","",INDEX(helper!$E$3:$E3996,MOD(ROW()-2,COUNTA(helper!$D$3:$D3996))+1))</f>
        <v/>
      </c>
      <c r="E1953" s="3" t="str">
        <f t="array" ref="E1953">IF(B1953="","",INDEX(helper!$F$3:$F3996,MOD(ROW()-2,COUNTA(helper!$D$3:$D3996))+1))</f>
        <v/>
      </c>
      <c r="F1953" s="3" t="str">
        <f>IF(B1953="","",SUMIFS('inventory ledger'!$H:$H,'inventory ledger'!$C:$C,C1953,'inventory ledger'!$D:$D,D1953,'inventory ledger'!$E:$E,E1953,'inventory ledger'!$A:$A,"&lt;="&amp;B1953+TIME(23,59,59))-SUMIFS('inventory ledger'!$I:$I,'inventory ledger'!$C:$C,C1953,'inventory ledger'!$D:$D,D1953,'inventory ledger'!$E:$E,E1953,'inventory ledger'!$A:$A,"&lt;="&amp;B1953+TIME(23,59,59)))</f>
        <v/>
      </c>
      <c r="G1953" s="3">
        <f>IFERROR(__xludf.DUMMYFUNCTION("IF(F1953&lt;=0,0,IFERROR(ROUNDUP(F1953/INDEX(FILTER('warehouse config'!$D:$D,('warehouse config'!$B:$B=C1953)*('warehouse config'!$C:$C=D1953)*('warehouse config'!$G:$G&lt;=B1953)*(('warehouse config'!$H:$H&gt;=B1953)+ISBLANK('warehouse config'!$H:$H))),1)),0))"),0.0)</f>
        <v>0</v>
      </c>
      <c r="H1953" s="3">
        <f>IFERROR(__xludf.DUMMYFUNCTION("IFERROR(INDEX(FILTER('cost master'!$E:$E,('cost master'!$B:$B=C1953)*('cost master'!$D:$D=""Storage cost per pallet / week"")*('cost master'!$G:$G&lt;=B1953)*(('cost master'!$H:$H&gt;=B1953)+ISBLANK('cost master'!$H:$H))),1),0)"),0.0)</f>
        <v>0</v>
      </c>
      <c r="I1953" s="3">
        <f t="shared" si="4"/>
        <v>0</v>
      </c>
      <c r="J1953" s="27">
        <f t="shared" si="5"/>
        <v>693947</v>
      </c>
      <c r="K1953" s="27">
        <f t="shared" si="6"/>
        <v>693977</v>
      </c>
    </row>
    <row r="1954" hidden="1">
      <c r="A1954" s="3" t="str">
        <f t="shared" si="3"/>
        <v/>
      </c>
      <c r="B1954" s="2" t="str">
        <f t="array" ref="B1954">INDEX(helper!$A$3:$A3996,ROUNDUP((ROW()-1)/COUNTA(helper!$D$3:$D3996),0))</f>
        <v/>
      </c>
      <c r="C1954" s="5" t="str">
        <f t="array" ref="C1954">IF(B1954="","",INDEX(helper!$D$3:$D3996,MOD(ROW()-2,COUNTA(helper!$D$3:$D3996))+1))</f>
        <v/>
      </c>
      <c r="D1954" s="3" t="str">
        <f t="array" ref="D1954">IF(B1954="","",INDEX(helper!$E$3:$E3996,MOD(ROW()-2,COUNTA(helper!$D$3:$D3996))+1))</f>
        <v/>
      </c>
      <c r="E1954" s="3" t="str">
        <f t="array" ref="E1954">IF(B1954="","",INDEX(helper!$F$3:$F3996,MOD(ROW()-2,COUNTA(helper!$D$3:$D3996))+1))</f>
        <v/>
      </c>
      <c r="F1954" s="3" t="str">
        <f>IF(B1954="","",SUMIFS('inventory ledger'!$H:$H,'inventory ledger'!$C:$C,C1954,'inventory ledger'!$D:$D,D1954,'inventory ledger'!$E:$E,E1954,'inventory ledger'!$A:$A,"&lt;="&amp;B1954+TIME(23,59,59))-SUMIFS('inventory ledger'!$I:$I,'inventory ledger'!$C:$C,C1954,'inventory ledger'!$D:$D,D1954,'inventory ledger'!$E:$E,E1954,'inventory ledger'!$A:$A,"&lt;="&amp;B1954+TIME(23,59,59)))</f>
        <v/>
      </c>
      <c r="G1954" s="3">
        <f>IFERROR(__xludf.DUMMYFUNCTION("IF(F1954&lt;=0,0,IFERROR(ROUNDUP(F1954/INDEX(FILTER('warehouse config'!$D:$D,('warehouse config'!$B:$B=C1954)*('warehouse config'!$C:$C=D1954)*('warehouse config'!$G:$G&lt;=B1954)*(('warehouse config'!$H:$H&gt;=B1954)+ISBLANK('warehouse config'!$H:$H))),1)),0))"),0.0)</f>
        <v>0</v>
      </c>
      <c r="H1954" s="3">
        <f>IFERROR(__xludf.DUMMYFUNCTION("IFERROR(INDEX(FILTER('cost master'!$E:$E,('cost master'!$B:$B=C1954)*('cost master'!$D:$D=""Storage cost per pallet / week"")*('cost master'!$G:$G&lt;=B1954)*(('cost master'!$H:$H&gt;=B1954)+ISBLANK('cost master'!$H:$H))),1),0)"),0.0)</f>
        <v>0</v>
      </c>
      <c r="I1954" s="3">
        <f t="shared" si="4"/>
        <v>0</v>
      </c>
      <c r="J1954" s="27">
        <f t="shared" si="5"/>
        <v>693947</v>
      </c>
      <c r="K1954" s="27">
        <f t="shared" si="6"/>
        <v>693977</v>
      </c>
    </row>
    <row r="1955" hidden="1">
      <c r="A1955" s="3" t="str">
        <f t="shared" si="3"/>
        <v/>
      </c>
      <c r="B1955" s="2" t="str">
        <f t="array" ref="B1955">INDEX(helper!$A$3:$A3996,ROUNDUP((ROW()-1)/COUNTA(helper!$D$3:$D3996),0))</f>
        <v/>
      </c>
      <c r="C1955" s="5" t="str">
        <f t="array" ref="C1955">IF(B1955="","",INDEX(helper!$D$3:$D3996,MOD(ROW()-2,COUNTA(helper!$D$3:$D3996))+1))</f>
        <v/>
      </c>
      <c r="D1955" s="3" t="str">
        <f t="array" ref="D1955">IF(B1955="","",INDEX(helper!$E$3:$E3996,MOD(ROW()-2,COUNTA(helper!$D$3:$D3996))+1))</f>
        <v/>
      </c>
      <c r="E1955" s="3" t="str">
        <f t="array" ref="E1955">IF(B1955="","",INDEX(helper!$F$3:$F3996,MOD(ROW()-2,COUNTA(helper!$D$3:$D3996))+1))</f>
        <v/>
      </c>
      <c r="F1955" s="3" t="str">
        <f>IF(B1955="","",SUMIFS('inventory ledger'!$H:$H,'inventory ledger'!$C:$C,C1955,'inventory ledger'!$D:$D,D1955,'inventory ledger'!$E:$E,E1955,'inventory ledger'!$A:$A,"&lt;="&amp;B1955+TIME(23,59,59))-SUMIFS('inventory ledger'!$I:$I,'inventory ledger'!$C:$C,C1955,'inventory ledger'!$D:$D,D1955,'inventory ledger'!$E:$E,E1955,'inventory ledger'!$A:$A,"&lt;="&amp;B1955+TIME(23,59,59)))</f>
        <v/>
      </c>
      <c r="G1955" s="3">
        <f>IFERROR(__xludf.DUMMYFUNCTION("IF(F1955&lt;=0,0,IFERROR(ROUNDUP(F1955/INDEX(FILTER('warehouse config'!$D:$D,('warehouse config'!$B:$B=C1955)*('warehouse config'!$C:$C=D1955)*('warehouse config'!$G:$G&lt;=B1955)*(('warehouse config'!$H:$H&gt;=B1955)+ISBLANK('warehouse config'!$H:$H))),1)),0))"),0.0)</f>
        <v>0</v>
      </c>
      <c r="H1955" s="3">
        <f>IFERROR(__xludf.DUMMYFUNCTION("IFERROR(INDEX(FILTER('cost master'!$E:$E,('cost master'!$B:$B=C1955)*('cost master'!$D:$D=""Storage cost per pallet / week"")*('cost master'!$G:$G&lt;=B1955)*(('cost master'!$H:$H&gt;=B1955)+ISBLANK('cost master'!$H:$H))),1),0)"),0.0)</f>
        <v>0</v>
      </c>
      <c r="I1955" s="3">
        <f t="shared" si="4"/>
        <v>0</v>
      </c>
      <c r="J1955" s="27">
        <f t="shared" si="5"/>
        <v>693947</v>
      </c>
      <c r="K1955" s="27">
        <f t="shared" si="6"/>
        <v>693977</v>
      </c>
    </row>
    <row r="1956" hidden="1">
      <c r="A1956" s="3" t="str">
        <f t="shared" si="3"/>
        <v/>
      </c>
      <c r="B1956" s="2" t="str">
        <f t="array" ref="B1956">INDEX(helper!$A$3:$A3996,ROUNDUP((ROW()-1)/COUNTA(helper!$D$3:$D3996),0))</f>
        <v/>
      </c>
      <c r="C1956" s="5" t="str">
        <f t="array" ref="C1956">IF(B1956="","",INDEX(helper!$D$3:$D3996,MOD(ROW()-2,COUNTA(helper!$D$3:$D3996))+1))</f>
        <v/>
      </c>
      <c r="D1956" s="3" t="str">
        <f t="array" ref="D1956">IF(B1956="","",INDEX(helper!$E$3:$E3996,MOD(ROW()-2,COUNTA(helper!$D$3:$D3996))+1))</f>
        <v/>
      </c>
      <c r="E1956" s="3" t="str">
        <f t="array" ref="E1956">IF(B1956="","",INDEX(helper!$F$3:$F3996,MOD(ROW()-2,COUNTA(helper!$D$3:$D3996))+1))</f>
        <v/>
      </c>
      <c r="F1956" s="3" t="str">
        <f>IF(B1956="","",SUMIFS('inventory ledger'!$H:$H,'inventory ledger'!$C:$C,C1956,'inventory ledger'!$D:$D,D1956,'inventory ledger'!$E:$E,E1956,'inventory ledger'!$A:$A,"&lt;="&amp;B1956+TIME(23,59,59))-SUMIFS('inventory ledger'!$I:$I,'inventory ledger'!$C:$C,C1956,'inventory ledger'!$D:$D,D1956,'inventory ledger'!$E:$E,E1956,'inventory ledger'!$A:$A,"&lt;="&amp;B1956+TIME(23,59,59)))</f>
        <v/>
      </c>
      <c r="G1956" s="3">
        <f>IFERROR(__xludf.DUMMYFUNCTION("IF(F1956&lt;=0,0,IFERROR(ROUNDUP(F1956/INDEX(FILTER('warehouse config'!$D:$D,('warehouse config'!$B:$B=C1956)*('warehouse config'!$C:$C=D1956)*('warehouse config'!$G:$G&lt;=B1956)*(('warehouse config'!$H:$H&gt;=B1956)+ISBLANK('warehouse config'!$H:$H))),1)),0))"),0.0)</f>
        <v>0</v>
      </c>
      <c r="H1956" s="3">
        <f>IFERROR(__xludf.DUMMYFUNCTION("IFERROR(INDEX(FILTER('cost master'!$E:$E,('cost master'!$B:$B=C1956)*('cost master'!$D:$D=""Storage cost per pallet / week"")*('cost master'!$G:$G&lt;=B1956)*(('cost master'!$H:$H&gt;=B1956)+ISBLANK('cost master'!$H:$H))),1),0)"),0.0)</f>
        <v>0</v>
      </c>
      <c r="I1956" s="3">
        <f t="shared" si="4"/>
        <v>0</v>
      </c>
      <c r="J1956" s="27">
        <f t="shared" si="5"/>
        <v>693947</v>
      </c>
      <c r="K1956" s="27">
        <f t="shared" si="6"/>
        <v>693977</v>
      </c>
    </row>
    <row r="1957" hidden="1">
      <c r="A1957" s="3" t="str">
        <f t="shared" si="3"/>
        <v/>
      </c>
      <c r="B1957" s="2" t="str">
        <f t="array" ref="B1957">INDEX(helper!$A$3:$A3996,ROUNDUP((ROW()-1)/COUNTA(helper!$D$3:$D3996),0))</f>
        <v/>
      </c>
      <c r="C1957" s="5" t="str">
        <f t="array" ref="C1957">IF(B1957="","",INDEX(helper!$D$3:$D3996,MOD(ROW()-2,COUNTA(helper!$D$3:$D3996))+1))</f>
        <v/>
      </c>
      <c r="D1957" s="3" t="str">
        <f t="array" ref="D1957">IF(B1957="","",INDEX(helper!$E$3:$E3996,MOD(ROW()-2,COUNTA(helper!$D$3:$D3996))+1))</f>
        <v/>
      </c>
      <c r="E1957" s="3" t="str">
        <f t="array" ref="E1957">IF(B1957="","",INDEX(helper!$F$3:$F3996,MOD(ROW()-2,COUNTA(helper!$D$3:$D3996))+1))</f>
        <v/>
      </c>
      <c r="F1957" s="3" t="str">
        <f>IF(B1957="","",SUMIFS('inventory ledger'!$H:$H,'inventory ledger'!$C:$C,C1957,'inventory ledger'!$D:$D,D1957,'inventory ledger'!$E:$E,E1957,'inventory ledger'!$A:$A,"&lt;="&amp;B1957+TIME(23,59,59))-SUMIFS('inventory ledger'!$I:$I,'inventory ledger'!$C:$C,C1957,'inventory ledger'!$D:$D,D1957,'inventory ledger'!$E:$E,E1957,'inventory ledger'!$A:$A,"&lt;="&amp;B1957+TIME(23,59,59)))</f>
        <v/>
      </c>
      <c r="G1957" s="3">
        <f>IFERROR(__xludf.DUMMYFUNCTION("IF(F1957&lt;=0,0,IFERROR(ROUNDUP(F1957/INDEX(FILTER('warehouse config'!$D:$D,('warehouse config'!$B:$B=C1957)*('warehouse config'!$C:$C=D1957)*('warehouse config'!$G:$G&lt;=B1957)*(('warehouse config'!$H:$H&gt;=B1957)+ISBLANK('warehouse config'!$H:$H))),1)),0))"),0.0)</f>
        <v>0</v>
      </c>
      <c r="H1957" s="3">
        <f>IFERROR(__xludf.DUMMYFUNCTION("IFERROR(INDEX(FILTER('cost master'!$E:$E,('cost master'!$B:$B=C1957)*('cost master'!$D:$D=""Storage cost per pallet / week"")*('cost master'!$G:$G&lt;=B1957)*(('cost master'!$H:$H&gt;=B1957)+ISBLANK('cost master'!$H:$H))),1),0)"),0.0)</f>
        <v>0</v>
      </c>
      <c r="I1957" s="3">
        <f t="shared" si="4"/>
        <v>0</v>
      </c>
      <c r="J1957" s="27">
        <f t="shared" si="5"/>
        <v>693947</v>
      </c>
      <c r="K1957" s="27">
        <f t="shared" si="6"/>
        <v>693977</v>
      </c>
    </row>
    <row r="1958" hidden="1">
      <c r="A1958" s="3" t="str">
        <f t="shared" si="3"/>
        <v/>
      </c>
      <c r="B1958" s="2" t="str">
        <f t="array" ref="B1958">INDEX(helper!$A$3:$A3996,ROUNDUP((ROW()-1)/COUNTA(helper!$D$3:$D3996),0))</f>
        <v/>
      </c>
      <c r="C1958" s="5" t="str">
        <f t="array" ref="C1958">IF(B1958="","",INDEX(helper!$D$3:$D3996,MOD(ROW()-2,COUNTA(helper!$D$3:$D3996))+1))</f>
        <v/>
      </c>
      <c r="D1958" s="3" t="str">
        <f t="array" ref="D1958">IF(B1958="","",INDEX(helper!$E$3:$E3996,MOD(ROW()-2,COUNTA(helper!$D$3:$D3996))+1))</f>
        <v/>
      </c>
      <c r="E1958" s="3" t="str">
        <f t="array" ref="E1958">IF(B1958="","",INDEX(helper!$F$3:$F3996,MOD(ROW()-2,COUNTA(helper!$D$3:$D3996))+1))</f>
        <v/>
      </c>
      <c r="F1958" s="3" t="str">
        <f>IF(B1958="","",SUMIFS('inventory ledger'!$H:$H,'inventory ledger'!$C:$C,C1958,'inventory ledger'!$D:$D,D1958,'inventory ledger'!$E:$E,E1958,'inventory ledger'!$A:$A,"&lt;="&amp;B1958+TIME(23,59,59))-SUMIFS('inventory ledger'!$I:$I,'inventory ledger'!$C:$C,C1958,'inventory ledger'!$D:$D,D1958,'inventory ledger'!$E:$E,E1958,'inventory ledger'!$A:$A,"&lt;="&amp;B1958+TIME(23,59,59)))</f>
        <v/>
      </c>
      <c r="G1958" s="3">
        <f>IFERROR(__xludf.DUMMYFUNCTION("IF(F1958&lt;=0,0,IFERROR(ROUNDUP(F1958/INDEX(FILTER('warehouse config'!$D:$D,('warehouse config'!$B:$B=C1958)*('warehouse config'!$C:$C=D1958)*('warehouse config'!$G:$G&lt;=B1958)*(('warehouse config'!$H:$H&gt;=B1958)+ISBLANK('warehouse config'!$H:$H))),1)),0))"),0.0)</f>
        <v>0</v>
      </c>
      <c r="H1958" s="3">
        <f>IFERROR(__xludf.DUMMYFUNCTION("IFERROR(INDEX(FILTER('cost master'!$E:$E,('cost master'!$B:$B=C1958)*('cost master'!$D:$D=""Storage cost per pallet / week"")*('cost master'!$G:$G&lt;=B1958)*(('cost master'!$H:$H&gt;=B1958)+ISBLANK('cost master'!$H:$H))),1),0)"),0.0)</f>
        <v>0</v>
      </c>
      <c r="I1958" s="3">
        <f t="shared" si="4"/>
        <v>0</v>
      </c>
      <c r="J1958" s="27">
        <f t="shared" si="5"/>
        <v>693947</v>
      </c>
      <c r="K1958" s="27">
        <f t="shared" si="6"/>
        <v>693977</v>
      </c>
    </row>
    <row r="1959" hidden="1">
      <c r="A1959" s="3" t="str">
        <f t="shared" si="3"/>
        <v/>
      </c>
      <c r="B1959" s="2" t="str">
        <f t="array" ref="B1959">INDEX(helper!$A$3:$A3996,ROUNDUP((ROW()-1)/COUNTA(helper!$D$3:$D3996),0))</f>
        <v/>
      </c>
      <c r="C1959" s="5" t="str">
        <f t="array" ref="C1959">IF(B1959="","",INDEX(helper!$D$3:$D3996,MOD(ROW()-2,COUNTA(helper!$D$3:$D3996))+1))</f>
        <v/>
      </c>
      <c r="D1959" s="3" t="str">
        <f t="array" ref="D1959">IF(B1959="","",INDEX(helper!$E$3:$E3996,MOD(ROW()-2,COUNTA(helper!$D$3:$D3996))+1))</f>
        <v/>
      </c>
      <c r="E1959" s="3" t="str">
        <f t="array" ref="E1959">IF(B1959="","",INDEX(helper!$F$3:$F3996,MOD(ROW()-2,COUNTA(helper!$D$3:$D3996))+1))</f>
        <v/>
      </c>
      <c r="F1959" s="3" t="str">
        <f>IF(B1959="","",SUMIFS('inventory ledger'!$H:$H,'inventory ledger'!$C:$C,C1959,'inventory ledger'!$D:$D,D1959,'inventory ledger'!$E:$E,E1959,'inventory ledger'!$A:$A,"&lt;="&amp;B1959+TIME(23,59,59))-SUMIFS('inventory ledger'!$I:$I,'inventory ledger'!$C:$C,C1959,'inventory ledger'!$D:$D,D1959,'inventory ledger'!$E:$E,E1959,'inventory ledger'!$A:$A,"&lt;="&amp;B1959+TIME(23,59,59)))</f>
        <v/>
      </c>
      <c r="G1959" s="3">
        <f>IFERROR(__xludf.DUMMYFUNCTION("IF(F1959&lt;=0,0,IFERROR(ROUNDUP(F1959/INDEX(FILTER('warehouse config'!$D:$D,('warehouse config'!$B:$B=C1959)*('warehouse config'!$C:$C=D1959)*('warehouse config'!$G:$G&lt;=B1959)*(('warehouse config'!$H:$H&gt;=B1959)+ISBLANK('warehouse config'!$H:$H))),1)),0))"),0.0)</f>
        <v>0</v>
      </c>
      <c r="H1959" s="3">
        <f>IFERROR(__xludf.DUMMYFUNCTION("IFERROR(INDEX(FILTER('cost master'!$E:$E,('cost master'!$B:$B=C1959)*('cost master'!$D:$D=""Storage cost per pallet / week"")*('cost master'!$G:$G&lt;=B1959)*(('cost master'!$H:$H&gt;=B1959)+ISBLANK('cost master'!$H:$H))),1),0)"),0.0)</f>
        <v>0</v>
      </c>
      <c r="I1959" s="3">
        <f t="shared" si="4"/>
        <v>0</v>
      </c>
      <c r="J1959" s="27">
        <f t="shared" si="5"/>
        <v>693947</v>
      </c>
      <c r="K1959" s="27">
        <f t="shared" si="6"/>
        <v>693977</v>
      </c>
    </row>
    <row r="1960" hidden="1">
      <c r="A1960" s="3" t="str">
        <f t="shared" si="3"/>
        <v/>
      </c>
      <c r="B1960" s="2" t="str">
        <f t="array" ref="B1960">INDEX(helper!$A$3:$A3996,ROUNDUP((ROW()-1)/COUNTA(helper!$D$3:$D3996),0))</f>
        <v/>
      </c>
      <c r="C1960" s="5" t="str">
        <f t="array" ref="C1960">IF(B1960="","",INDEX(helper!$D$3:$D3996,MOD(ROW()-2,COUNTA(helper!$D$3:$D3996))+1))</f>
        <v/>
      </c>
      <c r="D1960" s="3" t="str">
        <f t="array" ref="D1960">IF(B1960="","",INDEX(helper!$E$3:$E3996,MOD(ROW()-2,COUNTA(helper!$D$3:$D3996))+1))</f>
        <v/>
      </c>
      <c r="E1960" s="3" t="str">
        <f t="array" ref="E1960">IF(B1960="","",INDEX(helper!$F$3:$F3996,MOD(ROW()-2,COUNTA(helper!$D$3:$D3996))+1))</f>
        <v/>
      </c>
      <c r="F1960" s="3" t="str">
        <f>IF(B1960="","",SUMIFS('inventory ledger'!$H:$H,'inventory ledger'!$C:$C,C1960,'inventory ledger'!$D:$D,D1960,'inventory ledger'!$E:$E,E1960,'inventory ledger'!$A:$A,"&lt;="&amp;B1960+TIME(23,59,59))-SUMIFS('inventory ledger'!$I:$I,'inventory ledger'!$C:$C,C1960,'inventory ledger'!$D:$D,D1960,'inventory ledger'!$E:$E,E1960,'inventory ledger'!$A:$A,"&lt;="&amp;B1960+TIME(23,59,59)))</f>
        <v/>
      </c>
      <c r="G1960" s="3">
        <f>IFERROR(__xludf.DUMMYFUNCTION("IF(F1960&lt;=0,0,IFERROR(ROUNDUP(F1960/INDEX(FILTER('warehouse config'!$D:$D,('warehouse config'!$B:$B=C1960)*('warehouse config'!$C:$C=D1960)*('warehouse config'!$G:$G&lt;=B1960)*(('warehouse config'!$H:$H&gt;=B1960)+ISBLANK('warehouse config'!$H:$H))),1)),0))"),0.0)</f>
        <v>0</v>
      </c>
      <c r="H1960" s="3">
        <f>IFERROR(__xludf.DUMMYFUNCTION("IFERROR(INDEX(FILTER('cost master'!$E:$E,('cost master'!$B:$B=C1960)*('cost master'!$D:$D=""Storage cost per pallet / week"")*('cost master'!$G:$G&lt;=B1960)*(('cost master'!$H:$H&gt;=B1960)+ISBLANK('cost master'!$H:$H))),1),0)"),0.0)</f>
        <v>0</v>
      </c>
      <c r="I1960" s="3">
        <f t="shared" si="4"/>
        <v>0</v>
      </c>
      <c r="J1960" s="27">
        <f t="shared" si="5"/>
        <v>693947</v>
      </c>
      <c r="K1960" s="27">
        <f t="shared" si="6"/>
        <v>693977</v>
      </c>
    </row>
    <row r="1961" hidden="1">
      <c r="A1961" s="3" t="str">
        <f t="shared" si="3"/>
        <v/>
      </c>
      <c r="B1961" s="2" t="str">
        <f t="array" ref="B1961">INDEX(helper!$A$3:$A3996,ROUNDUP((ROW()-1)/COUNTA(helper!$D$3:$D3996),0))</f>
        <v/>
      </c>
      <c r="C1961" s="5" t="str">
        <f t="array" ref="C1961">IF(B1961="","",INDEX(helper!$D$3:$D3996,MOD(ROW()-2,COUNTA(helper!$D$3:$D3996))+1))</f>
        <v/>
      </c>
      <c r="D1961" s="3" t="str">
        <f t="array" ref="D1961">IF(B1961="","",INDEX(helper!$E$3:$E3996,MOD(ROW()-2,COUNTA(helper!$D$3:$D3996))+1))</f>
        <v/>
      </c>
      <c r="E1961" s="3" t="str">
        <f t="array" ref="E1961">IF(B1961="","",INDEX(helper!$F$3:$F3996,MOD(ROW()-2,COUNTA(helper!$D$3:$D3996))+1))</f>
        <v/>
      </c>
      <c r="F1961" s="3" t="str">
        <f>IF(B1961="","",SUMIFS('inventory ledger'!$H:$H,'inventory ledger'!$C:$C,C1961,'inventory ledger'!$D:$D,D1961,'inventory ledger'!$E:$E,E1961,'inventory ledger'!$A:$A,"&lt;="&amp;B1961+TIME(23,59,59))-SUMIFS('inventory ledger'!$I:$I,'inventory ledger'!$C:$C,C1961,'inventory ledger'!$D:$D,D1961,'inventory ledger'!$E:$E,E1961,'inventory ledger'!$A:$A,"&lt;="&amp;B1961+TIME(23,59,59)))</f>
        <v/>
      </c>
      <c r="G1961" s="3">
        <f>IFERROR(__xludf.DUMMYFUNCTION("IF(F1961&lt;=0,0,IFERROR(ROUNDUP(F1961/INDEX(FILTER('warehouse config'!$D:$D,('warehouse config'!$B:$B=C1961)*('warehouse config'!$C:$C=D1961)*('warehouse config'!$G:$G&lt;=B1961)*(('warehouse config'!$H:$H&gt;=B1961)+ISBLANK('warehouse config'!$H:$H))),1)),0))"),0.0)</f>
        <v>0</v>
      </c>
      <c r="H1961" s="3">
        <f>IFERROR(__xludf.DUMMYFUNCTION("IFERROR(INDEX(FILTER('cost master'!$E:$E,('cost master'!$B:$B=C1961)*('cost master'!$D:$D=""Storage cost per pallet / week"")*('cost master'!$G:$G&lt;=B1961)*(('cost master'!$H:$H&gt;=B1961)+ISBLANK('cost master'!$H:$H))),1),0)"),0.0)</f>
        <v>0</v>
      </c>
      <c r="I1961" s="3">
        <f t="shared" si="4"/>
        <v>0</v>
      </c>
      <c r="J1961" s="27">
        <f t="shared" si="5"/>
        <v>693947</v>
      </c>
      <c r="K1961" s="27">
        <f t="shared" si="6"/>
        <v>693977</v>
      </c>
    </row>
    <row r="1962" hidden="1">
      <c r="A1962" s="3" t="str">
        <f t="shared" si="3"/>
        <v/>
      </c>
      <c r="B1962" s="2" t="str">
        <f t="array" ref="B1962">INDEX(helper!$A$3:$A3996,ROUNDUP((ROW()-1)/COUNTA(helper!$D$3:$D3996),0))</f>
        <v/>
      </c>
      <c r="C1962" s="5" t="str">
        <f t="array" ref="C1962">IF(B1962="","",INDEX(helper!$D$3:$D3996,MOD(ROW()-2,COUNTA(helper!$D$3:$D3996))+1))</f>
        <v/>
      </c>
      <c r="D1962" s="3" t="str">
        <f t="array" ref="D1962">IF(B1962="","",INDEX(helper!$E$3:$E3996,MOD(ROW()-2,COUNTA(helper!$D$3:$D3996))+1))</f>
        <v/>
      </c>
      <c r="E1962" s="3" t="str">
        <f t="array" ref="E1962">IF(B1962="","",INDEX(helper!$F$3:$F3996,MOD(ROW()-2,COUNTA(helper!$D$3:$D3996))+1))</f>
        <v/>
      </c>
      <c r="F1962" s="3" t="str">
        <f>IF(B1962="","",SUMIFS('inventory ledger'!$H:$H,'inventory ledger'!$C:$C,C1962,'inventory ledger'!$D:$D,D1962,'inventory ledger'!$E:$E,E1962,'inventory ledger'!$A:$A,"&lt;="&amp;B1962+TIME(23,59,59))-SUMIFS('inventory ledger'!$I:$I,'inventory ledger'!$C:$C,C1962,'inventory ledger'!$D:$D,D1962,'inventory ledger'!$E:$E,E1962,'inventory ledger'!$A:$A,"&lt;="&amp;B1962+TIME(23,59,59)))</f>
        <v/>
      </c>
      <c r="G1962" s="3">
        <f>IFERROR(__xludf.DUMMYFUNCTION("IF(F1962&lt;=0,0,IFERROR(ROUNDUP(F1962/INDEX(FILTER('warehouse config'!$D:$D,('warehouse config'!$B:$B=C1962)*('warehouse config'!$C:$C=D1962)*('warehouse config'!$G:$G&lt;=B1962)*(('warehouse config'!$H:$H&gt;=B1962)+ISBLANK('warehouse config'!$H:$H))),1)),0))"),0.0)</f>
        <v>0</v>
      </c>
      <c r="H1962" s="3">
        <f>IFERROR(__xludf.DUMMYFUNCTION("IFERROR(INDEX(FILTER('cost master'!$E:$E,('cost master'!$B:$B=C1962)*('cost master'!$D:$D=""Storage cost per pallet / week"")*('cost master'!$G:$G&lt;=B1962)*(('cost master'!$H:$H&gt;=B1962)+ISBLANK('cost master'!$H:$H))),1),0)"),0.0)</f>
        <v>0</v>
      </c>
      <c r="I1962" s="3">
        <f t="shared" si="4"/>
        <v>0</v>
      </c>
      <c r="J1962" s="27">
        <f t="shared" si="5"/>
        <v>693947</v>
      </c>
      <c r="K1962" s="27">
        <f t="shared" si="6"/>
        <v>693977</v>
      </c>
    </row>
    <row r="1963" hidden="1">
      <c r="A1963" s="3" t="str">
        <f t="shared" si="3"/>
        <v/>
      </c>
      <c r="B1963" s="2" t="str">
        <f t="array" ref="B1963">INDEX(helper!$A$3:$A3996,ROUNDUP((ROW()-1)/COUNTA(helper!$D$3:$D3996),0))</f>
        <v/>
      </c>
      <c r="C1963" s="5" t="str">
        <f t="array" ref="C1963">IF(B1963="","",INDEX(helper!$D$3:$D3996,MOD(ROW()-2,COUNTA(helper!$D$3:$D3996))+1))</f>
        <v/>
      </c>
      <c r="D1963" s="3" t="str">
        <f t="array" ref="D1963">IF(B1963="","",INDEX(helper!$E$3:$E3996,MOD(ROW()-2,COUNTA(helper!$D$3:$D3996))+1))</f>
        <v/>
      </c>
      <c r="E1963" s="3" t="str">
        <f t="array" ref="E1963">IF(B1963="","",INDEX(helper!$F$3:$F3996,MOD(ROW()-2,COUNTA(helper!$D$3:$D3996))+1))</f>
        <v/>
      </c>
      <c r="F1963" s="3" t="str">
        <f>IF(B1963="","",SUMIFS('inventory ledger'!$H:$H,'inventory ledger'!$C:$C,C1963,'inventory ledger'!$D:$D,D1963,'inventory ledger'!$E:$E,E1963,'inventory ledger'!$A:$A,"&lt;="&amp;B1963+TIME(23,59,59))-SUMIFS('inventory ledger'!$I:$I,'inventory ledger'!$C:$C,C1963,'inventory ledger'!$D:$D,D1963,'inventory ledger'!$E:$E,E1963,'inventory ledger'!$A:$A,"&lt;="&amp;B1963+TIME(23,59,59)))</f>
        <v/>
      </c>
      <c r="G1963" s="3">
        <f>IFERROR(__xludf.DUMMYFUNCTION("IF(F1963&lt;=0,0,IFERROR(ROUNDUP(F1963/INDEX(FILTER('warehouse config'!$D:$D,('warehouse config'!$B:$B=C1963)*('warehouse config'!$C:$C=D1963)*('warehouse config'!$G:$G&lt;=B1963)*(('warehouse config'!$H:$H&gt;=B1963)+ISBLANK('warehouse config'!$H:$H))),1)),0))"),0.0)</f>
        <v>0</v>
      </c>
      <c r="H1963" s="3">
        <f>IFERROR(__xludf.DUMMYFUNCTION("IFERROR(INDEX(FILTER('cost master'!$E:$E,('cost master'!$B:$B=C1963)*('cost master'!$D:$D=""Storage cost per pallet / week"")*('cost master'!$G:$G&lt;=B1963)*(('cost master'!$H:$H&gt;=B1963)+ISBLANK('cost master'!$H:$H))),1),0)"),0.0)</f>
        <v>0</v>
      </c>
      <c r="I1963" s="3">
        <f t="shared" si="4"/>
        <v>0</v>
      </c>
      <c r="J1963" s="27">
        <f t="shared" si="5"/>
        <v>693947</v>
      </c>
      <c r="K1963" s="27">
        <f t="shared" si="6"/>
        <v>693977</v>
      </c>
    </row>
    <row r="1964" hidden="1">
      <c r="A1964" s="3" t="str">
        <f t="shared" si="3"/>
        <v/>
      </c>
      <c r="B1964" s="2" t="str">
        <f t="array" ref="B1964">INDEX(helper!$A$3:$A3996,ROUNDUP((ROW()-1)/COUNTA(helper!$D$3:$D3996),0))</f>
        <v/>
      </c>
      <c r="C1964" s="5" t="str">
        <f t="array" ref="C1964">IF(B1964="","",INDEX(helper!$D$3:$D3996,MOD(ROW()-2,COUNTA(helper!$D$3:$D3996))+1))</f>
        <v/>
      </c>
      <c r="D1964" s="3" t="str">
        <f t="array" ref="D1964">IF(B1964="","",INDEX(helper!$E$3:$E3996,MOD(ROW()-2,COUNTA(helper!$D$3:$D3996))+1))</f>
        <v/>
      </c>
      <c r="E1964" s="3" t="str">
        <f t="array" ref="E1964">IF(B1964="","",INDEX(helper!$F$3:$F3996,MOD(ROW()-2,COUNTA(helper!$D$3:$D3996))+1))</f>
        <v/>
      </c>
      <c r="F1964" s="3" t="str">
        <f>IF(B1964="","",SUMIFS('inventory ledger'!$H:$H,'inventory ledger'!$C:$C,C1964,'inventory ledger'!$D:$D,D1964,'inventory ledger'!$E:$E,E1964,'inventory ledger'!$A:$A,"&lt;="&amp;B1964+TIME(23,59,59))-SUMIFS('inventory ledger'!$I:$I,'inventory ledger'!$C:$C,C1964,'inventory ledger'!$D:$D,D1964,'inventory ledger'!$E:$E,E1964,'inventory ledger'!$A:$A,"&lt;="&amp;B1964+TIME(23,59,59)))</f>
        <v/>
      </c>
      <c r="G1964" s="3">
        <f>IFERROR(__xludf.DUMMYFUNCTION("IF(F1964&lt;=0,0,IFERROR(ROUNDUP(F1964/INDEX(FILTER('warehouse config'!$D:$D,('warehouse config'!$B:$B=C1964)*('warehouse config'!$C:$C=D1964)*('warehouse config'!$G:$G&lt;=B1964)*(('warehouse config'!$H:$H&gt;=B1964)+ISBLANK('warehouse config'!$H:$H))),1)),0))"),0.0)</f>
        <v>0</v>
      </c>
      <c r="H1964" s="3">
        <f>IFERROR(__xludf.DUMMYFUNCTION("IFERROR(INDEX(FILTER('cost master'!$E:$E,('cost master'!$B:$B=C1964)*('cost master'!$D:$D=""Storage cost per pallet / week"")*('cost master'!$G:$G&lt;=B1964)*(('cost master'!$H:$H&gt;=B1964)+ISBLANK('cost master'!$H:$H))),1),0)"),0.0)</f>
        <v>0</v>
      </c>
      <c r="I1964" s="3">
        <f t="shared" si="4"/>
        <v>0</v>
      </c>
      <c r="J1964" s="27">
        <f t="shared" si="5"/>
        <v>693947</v>
      </c>
      <c r="K1964" s="27">
        <f t="shared" si="6"/>
        <v>693977</v>
      </c>
    </row>
    <row r="1965" hidden="1">
      <c r="A1965" s="3" t="str">
        <f t="shared" si="3"/>
        <v/>
      </c>
      <c r="B1965" s="2" t="str">
        <f t="array" ref="B1965">INDEX(helper!$A$3:$A3996,ROUNDUP((ROW()-1)/COUNTA(helper!$D$3:$D3996),0))</f>
        <v/>
      </c>
      <c r="C1965" s="5" t="str">
        <f t="array" ref="C1965">IF(B1965="","",INDEX(helper!$D$3:$D3996,MOD(ROW()-2,COUNTA(helper!$D$3:$D3996))+1))</f>
        <v/>
      </c>
      <c r="D1965" s="3" t="str">
        <f t="array" ref="D1965">IF(B1965="","",INDEX(helper!$E$3:$E3996,MOD(ROW()-2,COUNTA(helper!$D$3:$D3996))+1))</f>
        <v/>
      </c>
      <c r="E1965" s="3" t="str">
        <f t="array" ref="E1965">IF(B1965="","",INDEX(helper!$F$3:$F3996,MOD(ROW()-2,COUNTA(helper!$D$3:$D3996))+1))</f>
        <v/>
      </c>
      <c r="F1965" s="3" t="str">
        <f>IF(B1965="","",SUMIFS('inventory ledger'!$H:$H,'inventory ledger'!$C:$C,C1965,'inventory ledger'!$D:$D,D1965,'inventory ledger'!$E:$E,E1965,'inventory ledger'!$A:$A,"&lt;="&amp;B1965+TIME(23,59,59))-SUMIFS('inventory ledger'!$I:$I,'inventory ledger'!$C:$C,C1965,'inventory ledger'!$D:$D,D1965,'inventory ledger'!$E:$E,E1965,'inventory ledger'!$A:$A,"&lt;="&amp;B1965+TIME(23,59,59)))</f>
        <v/>
      </c>
      <c r="G1965" s="3">
        <f>IFERROR(__xludf.DUMMYFUNCTION("IF(F1965&lt;=0,0,IFERROR(ROUNDUP(F1965/INDEX(FILTER('warehouse config'!$D:$D,('warehouse config'!$B:$B=C1965)*('warehouse config'!$C:$C=D1965)*('warehouse config'!$G:$G&lt;=B1965)*(('warehouse config'!$H:$H&gt;=B1965)+ISBLANK('warehouse config'!$H:$H))),1)),0))"),0.0)</f>
        <v>0</v>
      </c>
      <c r="H1965" s="3">
        <f>IFERROR(__xludf.DUMMYFUNCTION("IFERROR(INDEX(FILTER('cost master'!$E:$E,('cost master'!$B:$B=C1965)*('cost master'!$D:$D=""Storage cost per pallet / week"")*('cost master'!$G:$G&lt;=B1965)*(('cost master'!$H:$H&gt;=B1965)+ISBLANK('cost master'!$H:$H))),1),0)"),0.0)</f>
        <v>0</v>
      </c>
      <c r="I1965" s="3">
        <f t="shared" si="4"/>
        <v>0</v>
      </c>
      <c r="J1965" s="27">
        <f t="shared" si="5"/>
        <v>693947</v>
      </c>
      <c r="K1965" s="27">
        <f t="shared" si="6"/>
        <v>693977</v>
      </c>
    </row>
    <row r="1966" hidden="1">
      <c r="A1966" s="3" t="str">
        <f t="shared" si="3"/>
        <v/>
      </c>
      <c r="B1966" s="2" t="str">
        <f t="array" ref="B1966">INDEX(helper!$A$3:$A3996,ROUNDUP((ROW()-1)/COUNTA(helper!$D$3:$D3996),0))</f>
        <v/>
      </c>
      <c r="C1966" s="5" t="str">
        <f t="array" ref="C1966">IF(B1966="","",INDEX(helper!$D$3:$D3996,MOD(ROW()-2,COUNTA(helper!$D$3:$D3996))+1))</f>
        <v/>
      </c>
      <c r="D1966" s="3" t="str">
        <f t="array" ref="D1966">IF(B1966="","",INDEX(helper!$E$3:$E3996,MOD(ROW()-2,COUNTA(helper!$D$3:$D3996))+1))</f>
        <v/>
      </c>
      <c r="E1966" s="3" t="str">
        <f t="array" ref="E1966">IF(B1966="","",INDEX(helper!$F$3:$F3996,MOD(ROW()-2,COUNTA(helper!$D$3:$D3996))+1))</f>
        <v/>
      </c>
      <c r="F1966" s="3" t="str">
        <f>IF(B1966="","",SUMIFS('inventory ledger'!$H:$H,'inventory ledger'!$C:$C,C1966,'inventory ledger'!$D:$D,D1966,'inventory ledger'!$E:$E,E1966,'inventory ledger'!$A:$A,"&lt;="&amp;B1966+TIME(23,59,59))-SUMIFS('inventory ledger'!$I:$I,'inventory ledger'!$C:$C,C1966,'inventory ledger'!$D:$D,D1966,'inventory ledger'!$E:$E,E1966,'inventory ledger'!$A:$A,"&lt;="&amp;B1966+TIME(23,59,59)))</f>
        <v/>
      </c>
      <c r="G1966" s="3">
        <f>IFERROR(__xludf.DUMMYFUNCTION("IF(F1966&lt;=0,0,IFERROR(ROUNDUP(F1966/INDEX(FILTER('warehouse config'!$D:$D,('warehouse config'!$B:$B=C1966)*('warehouse config'!$C:$C=D1966)*('warehouse config'!$G:$G&lt;=B1966)*(('warehouse config'!$H:$H&gt;=B1966)+ISBLANK('warehouse config'!$H:$H))),1)),0))"),0.0)</f>
        <v>0</v>
      </c>
      <c r="H1966" s="3">
        <f>IFERROR(__xludf.DUMMYFUNCTION("IFERROR(INDEX(FILTER('cost master'!$E:$E,('cost master'!$B:$B=C1966)*('cost master'!$D:$D=""Storage cost per pallet / week"")*('cost master'!$G:$G&lt;=B1966)*(('cost master'!$H:$H&gt;=B1966)+ISBLANK('cost master'!$H:$H))),1),0)"),0.0)</f>
        <v>0</v>
      </c>
      <c r="I1966" s="3">
        <f t="shared" si="4"/>
        <v>0</v>
      </c>
      <c r="J1966" s="27">
        <f t="shared" si="5"/>
        <v>693947</v>
      </c>
      <c r="K1966" s="27">
        <f t="shared" si="6"/>
        <v>693977</v>
      </c>
    </row>
    <row r="1967" hidden="1">
      <c r="A1967" s="3" t="str">
        <f t="shared" si="3"/>
        <v/>
      </c>
      <c r="B1967" s="2" t="str">
        <f t="array" ref="B1967">INDEX(helper!$A$3:$A3996,ROUNDUP((ROW()-1)/COUNTA(helper!$D$3:$D3996),0))</f>
        <v/>
      </c>
      <c r="C1967" s="5" t="str">
        <f t="array" ref="C1967">IF(B1967="","",INDEX(helper!$D$3:$D3996,MOD(ROW()-2,COUNTA(helper!$D$3:$D3996))+1))</f>
        <v/>
      </c>
      <c r="D1967" s="3" t="str">
        <f t="array" ref="D1967">IF(B1967="","",INDEX(helper!$E$3:$E3996,MOD(ROW()-2,COUNTA(helper!$D$3:$D3996))+1))</f>
        <v/>
      </c>
      <c r="E1967" s="3" t="str">
        <f t="array" ref="E1967">IF(B1967="","",INDEX(helper!$F$3:$F3996,MOD(ROW()-2,COUNTA(helper!$D$3:$D3996))+1))</f>
        <v/>
      </c>
      <c r="F1967" s="3" t="str">
        <f>IF(B1967="","",SUMIFS('inventory ledger'!$H:$H,'inventory ledger'!$C:$C,C1967,'inventory ledger'!$D:$D,D1967,'inventory ledger'!$E:$E,E1967,'inventory ledger'!$A:$A,"&lt;="&amp;B1967+TIME(23,59,59))-SUMIFS('inventory ledger'!$I:$I,'inventory ledger'!$C:$C,C1967,'inventory ledger'!$D:$D,D1967,'inventory ledger'!$E:$E,E1967,'inventory ledger'!$A:$A,"&lt;="&amp;B1967+TIME(23,59,59)))</f>
        <v/>
      </c>
      <c r="G1967" s="3">
        <f>IFERROR(__xludf.DUMMYFUNCTION("IF(F1967&lt;=0,0,IFERROR(ROUNDUP(F1967/INDEX(FILTER('warehouse config'!$D:$D,('warehouse config'!$B:$B=C1967)*('warehouse config'!$C:$C=D1967)*('warehouse config'!$G:$G&lt;=B1967)*(('warehouse config'!$H:$H&gt;=B1967)+ISBLANK('warehouse config'!$H:$H))),1)),0))"),0.0)</f>
        <v>0</v>
      </c>
      <c r="H1967" s="3">
        <f>IFERROR(__xludf.DUMMYFUNCTION("IFERROR(INDEX(FILTER('cost master'!$E:$E,('cost master'!$B:$B=C1967)*('cost master'!$D:$D=""Storage cost per pallet / week"")*('cost master'!$G:$G&lt;=B1967)*(('cost master'!$H:$H&gt;=B1967)+ISBLANK('cost master'!$H:$H))),1),0)"),0.0)</f>
        <v>0</v>
      </c>
      <c r="I1967" s="3">
        <f t="shared" si="4"/>
        <v>0</v>
      </c>
      <c r="J1967" s="27">
        <f t="shared" si="5"/>
        <v>693947</v>
      </c>
      <c r="K1967" s="27">
        <f t="shared" si="6"/>
        <v>693977</v>
      </c>
    </row>
    <row r="1968" hidden="1">
      <c r="A1968" s="3" t="str">
        <f t="shared" si="3"/>
        <v/>
      </c>
      <c r="B1968" s="2" t="str">
        <f t="array" ref="B1968">INDEX(helper!$A$3:$A3996,ROUNDUP((ROW()-1)/COUNTA(helper!$D$3:$D3996),0))</f>
        <v/>
      </c>
      <c r="C1968" s="5" t="str">
        <f t="array" ref="C1968">IF(B1968="","",INDEX(helper!$D$3:$D3996,MOD(ROW()-2,COUNTA(helper!$D$3:$D3996))+1))</f>
        <v/>
      </c>
      <c r="D1968" s="3" t="str">
        <f t="array" ref="D1968">IF(B1968="","",INDEX(helper!$E$3:$E3996,MOD(ROW()-2,COUNTA(helper!$D$3:$D3996))+1))</f>
        <v/>
      </c>
      <c r="E1968" s="3" t="str">
        <f t="array" ref="E1968">IF(B1968="","",INDEX(helper!$F$3:$F3996,MOD(ROW()-2,COUNTA(helper!$D$3:$D3996))+1))</f>
        <v/>
      </c>
      <c r="F1968" s="3" t="str">
        <f>IF(B1968="","",SUMIFS('inventory ledger'!$H:$H,'inventory ledger'!$C:$C,C1968,'inventory ledger'!$D:$D,D1968,'inventory ledger'!$E:$E,E1968,'inventory ledger'!$A:$A,"&lt;="&amp;B1968+TIME(23,59,59))-SUMIFS('inventory ledger'!$I:$I,'inventory ledger'!$C:$C,C1968,'inventory ledger'!$D:$D,D1968,'inventory ledger'!$E:$E,E1968,'inventory ledger'!$A:$A,"&lt;="&amp;B1968+TIME(23,59,59)))</f>
        <v/>
      </c>
      <c r="G1968" s="3">
        <f>IFERROR(__xludf.DUMMYFUNCTION("IF(F1968&lt;=0,0,IFERROR(ROUNDUP(F1968/INDEX(FILTER('warehouse config'!$D:$D,('warehouse config'!$B:$B=C1968)*('warehouse config'!$C:$C=D1968)*('warehouse config'!$G:$G&lt;=B1968)*(('warehouse config'!$H:$H&gt;=B1968)+ISBLANK('warehouse config'!$H:$H))),1)),0))"),0.0)</f>
        <v>0</v>
      </c>
      <c r="H1968" s="3">
        <f>IFERROR(__xludf.DUMMYFUNCTION("IFERROR(INDEX(FILTER('cost master'!$E:$E,('cost master'!$B:$B=C1968)*('cost master'!$D:$D=""Storage cost per pallet / week"")*('cost master'!$G:$G&lt;=B1968)*(('cost master'!$H:$H&gt;=B1968)+ISBLANK('cost master'!$H:$H))),1),0)"),0.0)</f>
        <v>0</v>
      </c>
      <c r="I1968" s="3">
        <f t="shared" si="4"/>
        <v>0</v>
      </c>
      <c r="J1968" s="27">
        <f t="shared" si="5"/>
        <v>693947</v>
      </c>
      <c r="K1968" s="27">
        <f t="shared" si="6"/>
        <v>693977</v>
      </c>
    </row>
    <row r="1969" hidden="1">
      <c r="A1969" s="3" t="str">
        <f t="shared" si="3"/>
        <v/>
      </c>
      <c r="B1969" s="2" t="str">
        <f t="array" ref="B1969">INDEX(helper!$A$3:$A3996,ROUNDUP((ROW()-1)/COUNTA(helper!$D$3:$D3996),0))</f>
        <v/>
      </c>
      <c r="C1969" s="5" t="str">
        <f t="array" ref="C1969">IF(B1969="","",INDEX(helper!$D$3:$D3996,MOD(ROW()-2,COUNTA(helper!$D$3:$D3996))+1))</f>
        <v/>
      </c>
      <c r="D1969" s="3" t="str">
        <f t="array" ref="D1969">IF(B1969="","",INDEX(helper!$E$3:$E3996,MOD(ROW()-2,COUNTA(helper!$D$3:$D3996))+1))</f>
        <v/>
      </c>
      <c r="E1969" s="3" t="str">
        <f t="array" ref="E1969">IF(B1969="","",INDEX(helper!$F$3:$F3996,MOD(ROW()-2,COUNTA(helper!$D$3:$D3996))+1))</f>
        <v/>
      </c>
      <c r="F1969" s="3" t="str">
        <f>IF(B1969="","",SUMIFS('inventory ledger'!$H:$H,'inventory ledger'!$C:$C,C1969,'inventory ledger'!$D:$D,D1969,'inventory ledger'!$E:$E,E1969,'inventory ledger'!$A:$A,"&lt;="&amp;B1969+TIME(23,59,59))-SUMIFS('inventory ledger'!$I:$I,'inventory ledger'!$C:$C,C1969,'inventory ledger'!$D:$D,D1969,'inventory ledger'!$E:$E,E1969,'inventory ledger'!$A:$A,"&lt;="&amp;B1969+TIME(23,59,59)))</f>
        <v/>
      </c>
      <c r="G1969" s="3">
        <f>IFERROR(__xludf.DUMMYFUNCTION("IF(F1969&lt;=0,0,IFERROR(ROUNDUP(F1969/INDEX(FILTER('warehouse config'!$D:$D,('warehouse config'!$B:$B=C1969)*('warehouse config'!$C:$C=D1969)*('warehouse config'!$G:$G&lt;=B1969)*(('warehouse config'!$H:$H&gt;=B1969)+ISBLANK('warehouse config'!$H:$H))),1)),0))"),0.0)</f>
        <v>0</v>
      </c>
      <c r="H1969" s="3">
        <f>IFERROR(__xludf.DUMMYFUNCTION("IFERROR(INDEX(FILTER('cost master'!$E:$E,('cost master'!$B:$B=C1969)*('cost master'!$D:$D=""Storage cost per pallet / week"")*('cost master'!$G:$G&lt;=B1969)*(('cost master'!$H:$H&gt;=B1969)+ISBLANK('cost master'!$H:$H))),1),0)"),0.0)</f>
        <v>0</v>
      </c>
      <c r="I1969" s="3">
        <f t="shared" si="4"/>
        <v>0</v>
      </c>
      <c r="J1969" s="27">
        <f t="shared" si="5"/>
        <v>693947</v>
      </c>
      <c r="K1969" s="27">
        <f t="shared" si="6"/>
        <v>693977</v>
      </c>
    </row>
    <row r="1970" hidden="1">
      <c r="A1970" s="3" t="str">
        <f t="shared" si="3"/>
        <v/>
      </c>
      <c r="B1970" s="2" t="str">
        <f t="array" ref="B1970">INDEX(helper!$A$3:$A3996,ROUNDUP((ROW()-1)/COUNTA(helper!$D$3:$D3996),0))</f>
        <v/>
      </c>
      <c r="C1970" s="5" t="str">
        <f t="array" ref="C1970">IF(B1970="","",INDEX(helper!$D$3:$D3996,MOD(ROW()-2,COUNTA(helper!$D$3:$D3996))+1))</f>
        <v/>
      </c>
      <c r="D1970" s="3" t="str">
        <f t="array" ref="D1970">IF(B1970="","",INDEX(helper!$E$3:$E3996,MOD(ROW()-2,COUNTA(helper!$D$3:$D3996))+1))</f>
        <v/>
      </c>
      <c r="E1970" s="3" t="str">
        <f t="array" ref="E1970">IF(B1970="","",INDEX(helper!$F$3:$F3996,MOD(ROW()-2,COUNTA(helper!$D$3:$D3996))+1))</f>
        <v/>
      </c>
      <c r="F1970" s="3" t="str">
        <f>IF(B1970="","",SUMIFS('inventory ledger'!$H:$H,'inventory ledger'!$C:$C,C1970,'inventory ledger'!$D:$D,D1970,'inventory ledger'!$E:$E,E1970,'inventory ledger'!$A:$A,"&lt;="&amp;B1970+TIME(23,59,59))-SUMIFS('inventory ledger'!$I:$I,'inventory ledger'!$C:$C,C1970,'inventory ledger'!$D:$D,D1970,'inventory ledger'!$E:$E,E1970,'inventory ledger'!$A:$A,"&lt;="&amp;B1970+TIME(23,59,59)))</f>
        <v/>
      </c>
      <c r="G1970" s="3">
        <f>IFERROR(__xludf.DUMMYFUNCTION("IF(F1970&lt;=0,0,IFERROR(ROUNDUP(F1970/INDEX(FILTER('warehouse config'!$D:$D,('warehouse config'!$B:$B=C1970)*('warehouse config'!$C:$C=D1970)*('warehouse config'!$G:$G&lt;=B1970)*(('warehouse config'!$H:$H&gt;=B1970)+ISBLANK('warehouse config'!$H:$H))),1)),0))"),0.0)</f>
        <v>0</v>
      </c>
      <c r="H1970" s="3">
        <f>IFERROR(__xludf.DUMMYFUNCTION("IFERROR(INDEX(FILTER('cost master'!$E:$E,('cost master'!$B:$B=C1970)*('cost master'!$D:$D=""Storage cost per pallet / week"")*('cost master'!$G:$G&lt;=B1970)*(('cost master'!$H:$H&gt;=B1970)+ISBLANK('cost master'!$H:$H))),1),0)"),0.0)</f>
        <v>0</v>
      </c>
      <c r="I1970" s="3">
        <f t="shared" si="4"/>
        <v>0</v>
      </c>
      <c r="J1970" s="27">
        <f t="shared" si="5"/>
        <v>693947</v>
      </c>
      <c r="K1970" s="27">
        <f t="shared" si="6"/>
        <v>693977</v>
      </c>
    </row>
    <row r="1971" hidden="1">
      <c r="A1971" s="3" t="str">
        <f t="shared" si="3"/>
        <v/>
      </c>
      <c r="B1971" s="2" t="str">
        <f t="array" ref="B1971">INDEX(helper!$A$3:$A3996,ROUNDUP((ROW()-1)/COUNTA(helper!$D$3:$D3996),0))</f>
        <v/>
      </c>
      <c r="C1971" s="5" t="str">
        <f t="array" ref="C1971">IF(B1971="","",INDEX(helper!$D$3:$D3996,MOD(ROW()-2,COUNTA(helper!$D$3:$D3996))+1))</f>
        <v/>
      </c>
      <c r="D1971" s="3" t="str">
        <f t="array" ref="D1971">IF(B1971="","",INDEX(helper!$E$3:$E3996,MOD(ROW()-2,COUNTA(helper!$D$3:$D3996))+1))</f>
        <v/>
      </c>
      <c r="E1971" s="3" t="str">
        <f t="array" ref="E1971">IF(B1971="","",INDEX(helper!$F$3:$F3996,MOD(ROW()-2,COUNTA(helper!$D$3:$D3996))+1))</f>
        <v/>
      </c>
      <c r="F1971" s="3" t="str">
        <f>IF(B1971="","",SUMIFS('inventory ledger'!$H:$H,'inventory ledger'!$C:$C,C1971,'inventory ledger'!$D:$D,D1971,'inventory ledger'!$E:$E,E1971,'inventory ledger'!$A:$A,"&lt;="&amp;B1971+TIME(23,59,59))-SUMIFS('inventory ledger'!$I:$I,'inventory ledger'!$C:$C,C1971,'inventory ledger'!$D:$D,D1971,'inventory ledger'!$E:$E,E1971,'inventory ledger'!$A:$A,"&lt;="&amp;B1971+TIME(23,59,59)))</f>
        <v/>
      </c>
      <c r="G1971" s="3">
        <f>IFERROR(__xludf.DUMMYFUNCTION("IF(F1971&lt;=0,0,IFERROR(ROUNDUP(F1971/INDEX(FILTER('warehouse config'!$D:$D,('warehouse config'!$B:$B=C1971)*('warehouse config'!$C:$C=D1971)*('warehouse config'!$G:$G&lt;=B1971)*(('warehouse config'!$H:$H&gt;=B1971)+ISBLANK('warehouse config'!$H:$H))),1)),0))"),0.0)</f>
        <v>0</v>
      </c>
      <c r="H1971" s="3">
        <f>IFERROR(__xludf.DUMMYFUNCTION("IFERROR(INDEX(FILTER('cost master'!$E:$E,('cost master'!$B:$B=C1971)*('cost master'!$D:$D=""Storage cost per pallet / week"")*('cost master'!$G:$G&lt;=B1971)*(('cost master'!$H:$H&gt;=B1971)+ISBLANK('cost master'!$H:$H))),1),0)"),0.0)</f>
        <v>0</v>
      </c>
      <c r="I1971" s="3">
        <f t="shared" si="4"/>
        <v>0</v>
      </c>
      <c r="J1971" s="27">
        <f t="shared" si="5"/>
        <v>693947</v>
      </c>
      <c r="K1971" s="27">
        <f t="shared" si="6"/>
        <v>693977</v>
      </c>
    </row>
    <row r="1972" hidden="1">
      <c r="A1972" s="3" t="str">
        <f t="shared" si="3"/>
        <v/>
      </c>
      <c r="B1972" s="2" t="str">
        <f t="array" ref="B1972">INDEX(helper!$A$3:$A3996,ROUNDUP((ROW()-1)/COUNTA(helper!$D$3:$D3996),0))</f>
        <v/>
      </c>
      <c r="C1972" s="5" t="str">
        <f t="array" ref="C1972">IF(B1972="","",INDEX(helper!$D$3:$D3996,MOD(ROW()-2,COUNTA(helper!$D$3:$D3996))+1))</f>
        <v/>
      </c>
      <c r="D1972" s="3" t="str">
        <f t="array" ref="D1972">IF(B1972="","",INDEX(helper!$E$3:$E3996,MOD(ROW()-2,COUNTA(helper!$D$3:$D3996))+1))</f>
        <v/>
      </c>
      <c r="E1972" s="3" t="str">
        <f t="array" ref="E1972">IF(B1972="","",INDEX(helper!$F$3:$F3996,MOD(ROW()-2,COUNTA(helper!$D$3:$D3996))+1))</f>
        <v/>
      </c>
      <c r="F1972" s="3" t="str">
        <f>IF(B1972="","",SUMIFS('inventory ledger'!$H:$H,'inventory ledger'!$C:$C,C1972,'inventory ledger'!$D:$D,D1972,'inventory ledger'!$E:$E,E1972,'inventory ledger'!$A:$A,"&lt;="&amp;B1972+TIME(23,59,59))-SUMIFS('inventory ledger'!$I:$I,'inventory ledger'!$C:$C,C1972,'inventory ledger'!$D:$D,D1972,'inventory ledger'!$E:$E,E1972,'inventory ledger'!$A:$A,"&lt;="&amp;B1972+TIME(23,59,59)))</f>
        <v/>
      </c>
      <c r="G1972" s="3">
        <f>IFERROR(__xludf.DUMMYFUNCTION("IF(F1972&lt;=0,0,IFERROR(ROUNDUP(F1972/INDEX(FILTER('warehouse config'!$D:$D,('warehouse config'!$B:$B=C1972)*('warehouse config'!$C:$C=D1972)*('warehouse config'!$G:$G&lt;=B1972)*(('warehouse config'!$H:$H&gt;=B1972)+ISBLANK('warehouse config'!$H:$H))),1)),0))"),0.0)</f>
        <v>0</v>
      </c>
      <c r="H1972" s="3">
        <f>IFERROR(__xludf.DUMMYFUNCTION("IFERROR(INDEX(FILTER('cost master'!$E:$E,('cost master'!$B:$B=C1972)*('cost master'!$D:$D=""Storage cost per pallet / week"")*('cost master'!$G:$G&lt;=B1972)*(('cost master'!$H:$H&gt;=B1972)+ISBLANK('cost master'!$H:$H))),1),0)"),0.0)</f>
        <v>0</v>
      </c>
      <c r="I1972" s="3">
        <f t="shared" si="4"/>
        <v>0</v>
      </c>
      <c r="J1972" s="27">
        <f t="shared" si="5"/>
        <v>693947</v>
      </c>
      <c r="K1972" s="27">
        <f t="shared" si="6"/>
        <v>693977</v>
      </c>
    </row>
    <row r="1973" hidden="1">
      <c r="A1973" s="3" t="str">
        <f t="shared" si="3"/>
        <v/>
      </c>
      <c r="B1973" s="2" t="str">
        <f t="array" ref="B1973">INDEX(helper!$A$3:$A3996,ROUNDUP((ROW()-1)/COUNTA(helper!$D$3:$D3996),0))</f>
        <v/>
      </c>
      <c r="C1973" s="5" t="str">
        <f t="array" ref="C1973">IF(B1973="","",INDEX(helper!$D$3:$D3996,MOD(ROW()-2,COUNTA(helper!$D$3:$D3996))+1))</f>
        <v/>
      </c>
      <c r="D1973" s="3" t="str">
        <f t="array" ref="D1973">IF(B1973="","",INDEX(helper!$E$3:$E3996,MOD(ROW()-2,COUNTA(helper!$D$3:$D3996))+1))</f>
        <v/>
      </c>
      <c r="E1973" s="3" t="str">
        <f t="array" ref="E1973">IF(B1973="","",INDEX(helper!$F$3:$F3996,MOD(ROW()-2,COUNTA(helper!$D$3:$D3996))+1))</f>
        <v/>
      </c>
      <c r="F1973" s="3" t="str">
        <f>IF(B1973="","",SUMIFS('inventory ledger'!$H:$H,'inventory ledger'!$C:$C,C1973,'inventory ledger'!$D:$D,D1973,'inventory ledger'!$E:$E,E1973,'inventory ledger'!$A:$A,"&lt;="&amp;B1973+TIME(23,59,59))-SUMIFS('inventory ledger'!$I:$I,'inventory ledger'!$C:$C,C1973,'inventory ledger'!$D:$D,D1973,'inventory ledger'!$E:$E,E1973,'inventory ledger'!$A:$A,"&lt;="&amp;B1973+TIME(23,59,59)))</f>
        <v/>
      </c>
      <c r="G1973" s="3">
        <f>IFERROR(__xludf.DUMMYFUNCTION("IF(F1973&lt;=0,0,IFERROR(ROUNDUP(F1973/INDEX(FILTER('warehouse config'!$D:$D,('warehouse config'!$B:$B=C1973)*('warehouse config'!$C:$C=D1973)*('warehouse config'!$G:$G&lt;=B1973)*(('warehouse config'!$H:$H&gt;=B1973)+ISBLANK('warehouse config'!$H:$H))),1)),0))"),0.0)</f>
        <v>0</v>
      </c>
      <c r="H1973" s="3">
        <f>IFERROR(__xludf.DUMMYFUNCTION("IFERROR(INDEX(FILTER('cost master'!$E:$E,('cost master'!$B:$B=C1973)*('cost master'!$D:$D=""Storage cost per pallet / week"")*('cost master'!$G:$G&lt;=B1973)*(('cost master'!$H:$H&gt;=B1973)+ISBLANK('cost master'!$H:$H))),1),0)"),0.0)</f>
        <v>0</v>
      </c>
      <c r="I1973" s="3">
        <f t="shared" si="4"/>
        <v>0</v>
      </c>
      <c r="J1973" s="27">
        <f t="shared" si="5"/>
        <v>693947</v>
      </c>
      <c r="K1973" s="27">
        <f t="shared" si="6"/>
        <v>693977</v>
      </c>
    </row>
    <row r="1974" hidden="1">
      <c r="A1974" s="3" t="str">
        <f t="shared" si="3"/>
        <v/>
      </c>
      <c r="B1974" s="2" t="str">
        <f t="array" ref="B1974">INDEX(helper!$A$3:$A3996,ROUNDUP((ROW()-1)/COUNTA(helper!$D$3:$D3996),0))</f>
        <v/>
      </c>
      <c r="C1974" s="5" t="str">
        <f t="array" ref="C1974">IF(B1974="","",INDEX(helper!$D$3:$D3996,MOD(ROW()-2,COUNTA(helper!$D$3:$D3996))+1))</f>
        <v/>
      </c>
      <c r="D1974" s="3" t="str">
        <f t="array" ref="D1974">IF(B1974="","",INDEX(helper!$E$3:$E3996,MOD(ROW()-2,COUNTA(helper!$D$3:$D3996))+1))</f>
        <v/>
      </c>
      <c r="E1974" s="3" t="str">
        <f t="array" ref="E1974">IF(B1974="","",INDEX(helper!$F$3:$F3996,MOD(ROW()-2,COUNTA(helper!$D$3:$D3996))+1))</f>
        <v/>
      </c>
      <c r="F1974" s="3" t="str">
        <f>IF(B1974="","",SUMIFS('inventory ledger'!$H:$H,'inventory ledger'!$C:$C,C1974,'inventory ledger'!$D:$D,D1974,'inventory ledger'!$E:$E,E1974,'inventory ledger'!$A:$A,"&lt;="&amp;B1974+TIME(23,59,59))-SUMIFS('inventory ledger'!$I:$I,'inventory ledger'!$C:$C,C1974,'inventory ledger'!$D:$D,D1974,'inventory ledger'!$E:$E,E1974,'inventory ledger'!$A:$A,"&lt;="&amp;B1974+TIME(23,59,59)))</f>
        <v/>
      </c>
      <c r="G1974" s="3">
        <f>IFERROR(__xludf.DUMMYFUNCTION("IF(F1974&lt;=0,0,IFERROR(ROUNDUP(F1974/INDEX(FILTER('warehouse config'!$D:$D,('warehouse config'!$B:$B=C1974)*('warehouse config'!$C:$C=D1974)*('warehouse config'!$G:$G&lt;=B1974)*(('warehouse config'!$H:$H&gt;=B1974)+ISBLANK('warehouse config'!$H:$H))),1)),0))"),0.0)</f>
        <v>0</v>
      </c>
      <c r="H1974" s="3">
        <f>IFERROR(__xludf.DUMMYFUNCTION("IFERROR(INDEX(FILTER('cost master'!$E:$E,('cost master'!$B:$B=C1974)*('cost master'!$D:$D=""Storage cost per pallet / week"")*('cost master'!$G:$G&lt;=B1974)*(('cost master'!$H:$H&gt;=B1974)+ISBLANK('cost master'!$H:$H))),1),0)"),0.0)</f>
        <v>0</v>
      </c>
      <c r="I1974" s="3">
        <f t="shared" si="4"/>
        <v>0</v>
      </c>
      <c r="J1974" s="27">
        <f t="shared" si="5"/>
        <v>693947</v>
      </c>
      <c r="K1974" s="27">
        <f t="shared" si="6"/>
        <v>693977</v>
      </c>
    </row>
    <row r="1975" hidden="1">
      <c r="A1975" s="3" t="str">
        <f t="shared" si="3"/>
        <v/>
      </c>
      <c r="B1975" s="2" t="str">
        <f t="array" ref="B1975">INDEX(helper!$A$3:$A3996,ROUNDUP((ROW()-1)/COUNTA(helper!$D$3:$D3996),0))</f>
        <v/>
      </c>
      <c r="C1975" s="5" t="str">
        <f t="array" ref="C1975">IF(B1975="","",INDEX(helper!$D$3:$D3996,MOD(ROW()-2,COUNTA(helper!$D$3:$D3996))+1))</f>
        <v/>
      </c>
      <c r="D1975" s="3" t="str">
        <f t="array" ref="D1975">IF(B1975="","",INDEX(helper!$E$3:$E3996,MOD(ROW()-2,COUNTA(helper!$D$3:$D3996))+1))</f>
        <v/>
      </c>
      <c r="E1975" s="3" t="str">
        <f t="array" ref="E1975">IF(B1975="","",INDEX(helper!$F$3:$F3996,MOD(ROW()-2,COUNTA(helper!$D$3:$D3996))+1))</f>
        <v/>
      </c>
      <c r="F1975" s="3" t="str">
        <f>IF(B1975="","",SUMIFS('inventory ledger'!$H:$H,'inventory ledger'!$C:$C,C1975,'inventory ledger'!$D:$D,D1975,'inventory ledger'!$E:$E,E1975,'inventory ledger'!$A:$A,"&lt;="&amp;B1975+TIME(23,59,59))-SUMIFS('inventory ledger'!$I:$I,'inventory ledger'!$C:$C,C1975,'inventory ledger'!$D:$D,D1975,'inventory ledger'!$E:$E,E1975,'inventory ledger'!$A:$A,"&lt;="&amp;B1975+TIME(23,59,59)))</f>
        <v/>
      </c>
      <c r="G1975" s="3">
        <f>IFERROR(__xludf.DUMMYFUNCTION("IF(F1975&lt;=0,0,IFERROR(ROUNDUP(F1975/INDEX(FILTER('warehouse config'!$D:$D,('warehouse config'!$B:$B=C1975)*('warehouse config'!$C:$C=D1975)*('warehouse config'!$G:$G&lt;=B1975)*(('warehouse config'!$H:$H&gt;=B1975)+ISBLANK('warehouse config'!$H:$H))),1)),0))"),0.0)</f>
        <v>0</v>
      </c>
      <c r="H1975" s="3">
        <f>IFERROR(__xludf.DUMMYFUNCTION("IFERROR(INDEX(FILTER('cost master'!$E:$E,('cost master'!$B:$B=C1975)*('cost master'!$D:$D=""Storage cost per pallet / week"")*('cost master'!$G:$G&lt;=B1975)*(('cost master'!$H:$H&gt;=B1975)+ISBLANK('cost master'!$H:$H))),1),0)"),0.0)</f>
        <v>0</v>
      </c>
      <c r="I1975" s="3">
        <f t="shared" si="4"/>
        <v>0</v>
      </c>
      <c r="J1975" s="27">
        <f t="shared" si="5"/>
        <v>693947</v>
      </c>
      <c r="K1975" s="27">
        <f t="shared" si="6"/>
        <v>693977</v>
      </c>
    </row>
    <row r="1976" hidden="1">
      <c r="A1976" s="3" t="str">
        <f t="shared" si="3"/>
        <v/>
      </c>
      <c r="B1976" s="2" t="str">
        <f t="array" ref="B1976">INDEX(helper!$A$3:$A3996,ROUNDUP((ROW()-1)/COUNTA(helper!$D$3:$D3996),0))</f>
        <v/>
      </c>
      <c r="C1976" s="5" t="str">
        <f t="array" ref="C1976">IF(B1976="","",INDEX(helper!$D$3:$D3996,MOD(ROW()-2,COUNTA(helper!$D$3:$D3996))+1))</f>
        <v/>
      </c>
      <c r="D1976" s="3" t="str">
        <f t="array" ref="D1976">IF(B1976="","",INDEX(helper!$E$3:$E3996,MOD(ROW()-2,COUNTA(helper!$D$3:$D3996))+1))</f>
        <v/>
      </c>
      <c r="E1976" s="3" t="str">
        <f t="array" ref="E1976">IF(B1976="","",INDEX(helper!$F$3:$F3996,MOD(ROW()-2,COUNTA(helper!$D$3:$D3996))+1))</f>
        <v/>
      </c>
      <c r="F1976" s="3" t="str">
        <f>IF(B1976="","",SUMIFS('inventory ledger'!$H:$H,'inventory ledger'!$C:$C,C1976,'inventory ledger'!$D:$D,D1976,'inventory ledger'!$E:$E,E1976,'inventory ledger'!$A:$A,"&lt;="&amp;B1976+TIME(23,59,59))-SUMIFS('inventory ledger'!$I:$I,'inventory ledger'!$C:$C,C1976,'inventory ledger'!$D:$D,D1976,'inventory ledger'!$E:$E,E1976,'inventory ledger'!$A:$A,"&lt;="&amp;B1976+TIME(23,59,59)))</f>
        <v/>
      </c>
      <c r="G1976" s="3">
        <f>IFERROR(__xludf.DUMMYFUNCTION("IF(F1976&lt;=0,0,IFERROR(ROUNDUP(F1976/INDEX(FILTER('warehouse config'!$D:$D,('warehouse config'!$B:$B=C1976)*('warehouse config'!$C:$C=D1976)*('warehouse config'!$G:$G&lt;=B1976)*(('warehouse config'!$H:$H&gt;=B1976)+ISBLANK('warehouse config'!$H:$H))),1)),0))"),0.0)</f>
        <v>0</v>
      </c>
      <c r="H1976" s="3">
        <f>IFERROR(__xludf.DUMMYFUNCTION("IFERROR(INDEX(FILTER('cost master'!$E:$E,('cost master'!$B:$B=C1976)*('cost master'!$D:$D=""Storage cost per pallet / week"")*('cost master'!$G:$G&lt;=B1976)*(('cost master'!$H:$H&gt;=B1976)+ISBLANK('cost master'!$H:$H))),1),0)"),0.0)</f>
        <v>0</v>
      </c>
      <c r="I1976" s="3">
        <f t="shared" si="4"/>
        <v>0</v>
      </c>
      <c r="J1976" s="27">
        <f t="shared" si="5"/>
        <v>693947</v>
      </c>
      <c r="K1976" s="27">
        <f t="shared" si="6"/>
        <v>693977</v>
      </c>
    </row>
    <row r="1977" hidden="1">
      <c r="A1977" s="3" t="str">
        <f t="shared" si="3"/>
        <v/>
      </c>
      <c r="B1977" s="2" t="str">
        <f t="array" ref="B1977">INDEX(helper!$A$3:$A3996,ROUNDUP((ROW()-1)/COUNTA(helper!$D$3:$D3996),0))</f>
        <v/>
      </c>
      <c r="C1977" s="5" t="str">
        <f t="array" ref="C1977">IF(B1977="","",INDEX(helper!$D$3:$D3996,MOD(ROW()-2,COUNTA(helper!$D$3:$D3996))+1))</f>
        <v/>
      </c>
      <c r="D1977" s="3" t="str">
        <f t="array" ref="D1977">IF(B1977="","",INDEX(helper!$E$3:$E3996,MOD(ROW()-2,COUNTA(helper!$D$3:$D3996))+1))</f>
        <v/>
      </c>
      <c r="E1977" s="3" t="str">
        <f t="array" ref="E1977">IF(B1977="","",INDEX(helper!$F$3:$F3996,MOD(ROW()-2,COUNTA(helper!$D$3:$D3996))+1))</f>
        <v/>
      </c>
      <c r="F1977" s="3" t="str">
        <f>IF(B1977="","",SUMIFS('inventory ledger'!$H:$H,'inventory ledger'!$C:$C,C1977,'inventory ledger'!$D:$D,D1977,'inventory ledger'!$E:$E,E1977,'inventory ledger'!$A:$A,"&lt;="&amp;B1977+TIME(23,59,59))-SUMIFS('inventory ledger'!$I:$I,'inventory ledger'!$C:$C,C1977,'inventory ledger'!$D:$D,D1977,'inventory ledger'!$E:$E,E1977,'inventory ledger'!$A:$A,"&lt;="&amp;B1977+TIME(23,59,59)))</f>
        <v/>
      </c>
      <c r="G1977" s="3">
        <f>IFERROR(__xludf.DUMMYFUNCTION("IF(F1977&lt;=0,0,IFERROR(ROUNDUP(F1977/INDEX(FILTER('warehouse config'!$D:$D,('warehouse config'!$B:$B=C1977)*('warehouse config'!$C:$C=D1977)*('warehouse config'!$G:$G&lt;=B1977)*(('warehouse config'!$H:$H&gt;=B1977)+ISBLANK('warehouse config'!$H:$H))),1)),0))"),0.0)</f>
        <v>0</v>
      </c>
      <c r="H1977" s="3">
        <f>IFERROR(__xludf.DUMMYFUNCTION("IFERROR(INDEX(FILTER('cost master'!$E:$E,('cost master'!$B:$B=C1977)*('cost master'!$D:$D=""Storage cost per pallet / week"")*('cost master'!$G:$G&lt;=B1977)*(('cost master'!$H:$H&gt;=B1977)+ISBLANK('cost master'!$H:$H))),1),0)"),0.0)</f>
        <v>0</v>
      </c>
      <c r="I1977" s="3">
        <f t="shared" si="4"/>
        <v>0</v>
      </c>
      <c r="J1977" s="27">
        <f t="shared" si="5"/>
        <v>693947</v>
      </c>
      <c r="K1977" s="27">
        <f t="shared" si="6"/>
        <v>693977</v>
      </c>
    </row>
    <row r="1978" hidden="1">
      <c r="A1978" s="3" t="str">
        <f t="shared" si="3"/>
        <v/>
      </c>
      <c r="B1978" s="2" t="str">
        <f t="array" ref="B1978">INDEX(helper!$A$3:$A3996,ROUNDUP((ROW()-1)/COUNTA(helper!$D$3:$D3996),0))</f>
        <v/>
      </c>
      <c r="C1978" s="5" t="str">
        <f t="array" ref="C1978">IF(B1978="","",INDEX(helper!$D$3:$D3996,MOD(ROW()-2,COUNTA(helper!$D$3:$D3996))+1))</f>
        <v/>
      </c>
      <c r="D1978" s="3" t="str">
        <f t="array" ref="D1978">IF(B1978="","",INDEX(helper!$E$3:$E3996,MOD(ROW()-2,COUNTA(helper!$D$3:$D3996))+1))</f>
        <v/>
      </c>
      <c r="E1978" s="3" t="str">
        <f t="array" ref="E1978">IF(B1978="","",INDEX(helper!$F$3:$F3996,MOD(ROW()-2,COUNTA(helper!$D$3:$D3996))+1))</f>
        <v/>
      </c>
      <c r="F1978" s="3" t="str">
        <f>IF(B1978="","",SUMIFS('inventory ledger'!$H:$H,'inventory ledger'!$C:$C,C1978,'inventory ledger'!$D:$D,D1978,'inventory ledger'!$E:$E,E1978,'inventory ledger'!$A:$A,"&lt;="&amp;B1978+TIME(23,59,59))-SUMIFS('inventory ledger'!$I:$I,'inventory ledger'!$C:$C,C1978,'inventory ledger'!$D:$D,D1978,'inventory ledger'!$E:$E,E1978,'inventory ledger'!$A:$A,"&lt;="&amp;B1978+TIME(23,59,59)))</f>
        <v/>
      </c>
      <c r="G1978" s="3">
        <f>IFERROR(__xludf.DUMMYFUNCTION("IF(F1978&lt;=0,0,IFERROR(ROUNDUP(F1978/INDEX(FILTER('warehouse config'!$D:$D,('warehouse config'!$B:$B=C1978)*('warehouse config'!$C:$C=D1978)*('warehouse config'!$G:$G&lt;=B1978)*(('warehouse config'!$H:$H&gt;=B1978)+ISBLANK('warehouse config'!$H:$H))),1)),0))"),0.0)</f>
        <v>0</v>
      </c>
      <c r="H1978" s="3">
        <f>IFERROR(__xludf.DUMMYFUNCTION("IFERROR(INDEX(FILTER('cost master'!$E:$E,('cost master'!$B:$B=C1978)*('cost master'!$D:$D=""Storage cost per pallet / week"")*('cost master'!$G:$G&lt;=B1978)*(('cost master'!$H:$H&gt;=B1978)+ISBLANK('cost master'!$H:$H))),1),0)"),0.0)</f>
        <v>0</v>
      </c>
      <c r="I1978" s="3">
        <f t="shared" si="4"/>
        <v>0</v>
      </c>
      <c r="J1978" s="27">
        <f t="shared" si="5"/>
        <v>693947</v>
      </c>
      <c r="K1978" s="27">
        <f t="shared" si="6"/>
        <v>693977</v>
      </c>
    </row>
    <row r="1979" hidden="1">
      <c r="A1979" s="3" t="str">
        <f t="shared" si="3"/>
        <v/>
      </c>
      <c r="B1979" s="2" t="str">
        <f t="array" ref="B1979">INDEX(helper!$A$3:$A3996,ROUNDUP((ROW()-1)/COUNTA(helper!$D$3:$D3996),0))</f>
        <v/>
      </c>
      <c r="C1979" s="5" t="str">
        <f t="array" ref="C1979">IF(B1979="","",INDEX(helper!$D$3:$D3996,MOD(ROW()-2,COUNTA(helper!$D$3:$D3996))+1))</f>
        <v/>
      </c>
      <c r="D1979" s="3" t="str">
        <f t="array" ref="D1979">IF(B1979="","",INDEX(helper!$E$3:$E3996,MOD(ROW()-2,COUNTA(helper!$D$3:$D3996))+1))</f>
        <v/>
      </c>
      <c r="E1979" s="3" t="str">
        <f t="array" ref="E1979">IF(B1979="","",INDEX(helper!$F$3:$F3996,MOD(ROW()-2,COUNTA(helper!$D$3:$D3996))+1))</f>
        <v/>
      </c>
      <c r="F1979" s="3" t="str">
        <f>IF(B1979="","",SUMIFS('inventory ledger'!$H:$H,'inventory ledger'!$C:$C,C1979,'inventory ledger'!$D:$D,D1979,'inventory ledger'!$E:$E,E1979,'inventory ledger'!$A:$A,"&lt;="&amp;B1979+TIME(23,59,59))-SUMIFS('inventory ledger'!$I:$I,'inventory ledger'!$C:$C,C1979,'inventory ledger'!$D:$D,D1979,'inventory ledger'!$E:$E,E1979,'inventory ledger'!$A:$A,"&lt;="&amp;B1979+TIME(23,59,59)))</f>
        <v/>
      </c>
      <c r="G1979" s="3">
        <f>IFERROR(__xludf.DUMMYFUNCTION("IF(F1979&lt;=0,0,IFERROR(ROUNDUP(F1979/INDEX(FILTER('warehouse config'!$D:$D,('warehouse config'!$B:$B=C1979)*('warehouse config'!$C:$C=D1979)*('warehouse config'!$G:$G&lt;=B1979)*(('warehouse config'!$H:$H&gt;=B1979)+ISBLANK('warehouse config'!$H:$H))),1)),0))"),0.0)</f>
        <v>0</v>
      </c>
      <c r="H1979" s="3">
        <f>IFERROR(__xludf.DUMMYFUNCTION("IFERROR(INDEX(FILTER('cost master'!$E:$E,('cost master'!$B:$B=C1979)*('cost master'!$D:$D=""Storage cost per pallet / week"")*('cost master'!$G:$G&lt;=B1979)*(('cost master'!$H:$H&gt;=B1979)+ISBLANK('cost master'!$H:$H))),1),0)"),0.0)</f>
        <v>0</v>
      </c>
      <c r="I1979" s="3">
        <f t="shared" si="4"/>
        <v>0</v>
      </c>
      <c r="J1979" s="27">
        <f t="shared" si="5"/>
        <v>693947</v>
      </c>
      <c r="K1979" s="27">
        <f t="shared" si="6"/>
        <v>693977</v>
      </c>
    </row>
    <row r="1980" hidden="1">
      <c r="A1980" s="3" t="str">
        <f t="shared" si="3"/>
        <v/>
      </c>
      <c r="B1980" s="2" t="str">
        <f t="array" ref="B1980">INDEX(helper!$A$3:$A3996,ROUNDUP((ROW()-1)/COUNTA(helper!$D$3:$D3996),0))</f>
        <v/>
      </c>
      <c r="C1980" s="5" t="str">
        <f t="array" ref="C1980">IF(B1980="","",INDEX(helper!$D$3:$D3996,MOD(ROW()-2,COUNTA(helper!$D$3:$D3996))+1))</f>
        <v/>
      </c>
      <c r="D1980" s="3" t="str">
        <f t="array" ref="D1980">IF(B1980="","",INDEX(helper!$E$3:$E3996,MOD(ROW()-2,COUNTA(helper!$D$3:$D3996))+1))</f>
        <v/>
      </c>
      <c r="E1980" s="3" t="str">
        <f t="array" ref="E1980">IF(B1980="","",INDEX(helper!$F$3:$F3996,MOD(ROW()-2,COUNTA(helper!$D$3:$D3996))+1))</f>
        <v/>
      </c>
      <c r="F1980" s="3" t="str">
        <f>IF(B1980="","",SUMIFS('inventory ledger'!$H:$H,'inventory ledger'!$C:$C,C1980,'inventory ledger'!$D:$D,D1980,'inventory ledger'!$E:$E,E1980,'inventory ledger'!$A:$A,"&lt;="&amp;B1980+TIME(23,59,59))-SUMIFS('inventory ledger'!$I:$I,'inventory ledger'!$C:$C,C1980,'inventory ledger'!$D:$D,D1980,'inventory ledger'!$E:$E,E1980,'inventory ledger'!$A:$A,"&lt;="&amp;B1980+TIME(23,59,59)))</f>
        <v/>
      </c>
      <c r="G1980" s="3">
        <f>IFERROR(__xludf.DUMMYFUNCTION("IF(F1980&lt;=0,0,IFERROR(ROUNDUP(F1980/INDEX(FILTER('warehouse config'!$D:$D,('warehouse config'!$B:$B=C1980)*('warehouse config'!$C:$C=D1980)*('warehouse config'!$G:$G&lt;=B1980)*(('warehouse config'!$H:$H&gt;=B1980)+ISBLANK('warehouse config'!$H:$H))),1)),0))"),0.0)</f>
        <v>0</v>
      </c>
      <c r="H1980" s="3">
        <f>IFERROR(__xludf.DUMMYFUNCTION("IFERROR(INDEX(FILTER('cost master'!$E:$E,('cost master'!$B:$B=C1980)*('cost master'!$D:$D=""Storage cost per pallet / week"")*('cost master'!$G:$G&lt;=B1980)*(('cost master'!$H:$H&gt;=B1980)+ISBLANK('cost master'!$H:$H))),1),0)"),0.0)</f>
        <v>0</v>
      </c>
      <c r="I1980" s="3">
        <f t="shared" si="4"/>
        <v>0</v>
      </c>
      <c r="J1980" s="27">
        <f t="shared" si="5"/>
        <v>693947</v>
      </c>
      <c r="K1980" s="27">
        <f t="shared" si="6"/>
        <v>693977</v>
      </c>
    </row>
    <row r="1981" hidden="1">
      <c r="A1981" s="3" t="str">
        <f t="shared" si="3"/>
        <v/>
      </c>
      <c r="B1981" s="2" t="str">
        <f t="array" ref="B1981">INDEX(helper!$A$3:$A3996,ROUNDUP((ROW()-1)/COUNTA(helper!$D$3:$D3996),0))</f>
        <v/>
      </c>
      <c r="C1981" s="5" t="str">
        <f t="array" ref="C1981">IF(B1981="","",INDEX(helper!$D$3:$D3996,MOD(ROW()-2,COUNTA(helper!$D$3:$D3996))+1))</f>
        <v/>
      </c>
      <c r="D1981" s="3" t="str">
        <f t="array" ref="D1981">IF(B1981="","",INDEX(helper!$E$3:$E3996,MOD(ROW()-2,COUNTA(helper!$D$3:$D3996))+1))</f>
        <v/>
      </c>
      <c r="E1981" s="3" t="str">
        <f t="array" ref="E1981">IF(B1981="","",INDEX(helper!$F$3:$F3996,MOD(ROW()-2,COUNTA(helper!$D$3:$D3996))+1))</f>
        <v/>
      </c>
      <c r="F1981" s="3" t="str">
        <f>IF(B1981="","",SUMIFS('inventory ledger'!$H:$H,'inventory ledger'!$C:$C,C1981,'inventory ledger'!$D:$D,D1981,'inventory ledger'!$E:$E,E1981,'inventory ledger'!$A:$A,"&lt;="&amp;B1981+TIME(23,59,59))-SUMIFS('inventory ledger'!$I:$I,'inventory ledger'!$C:$C,C1981,'inventory ledger'!$D:$D,D1981,'inventory ledger'!$E:$E,E1981,'inventory ledger'!$A:$A,"&lt;="&amp;B1981+TIME(23,59,59)))</f>
        <v/>
      </c>
      <c r="G1981" s="3">
        <f>IFERROR(__xludf.DUMMYFUNCTION("IF(F1981&lt;=0,0,IFERROR(ROUNDUP(F1981/INDEX(FILTER('warehouse config'!$D:$D,('warehouse config'!$B:$B=C1981)*('warehouse config'!$C:$C=D1981)*('warehouse config'!$G:$G&lt;=B1981)*(('warehouse config'!$H:$H&gt;=B1981)+ISBLANK('warehouse config'!$H:$H))),1)),0))"),0.0)</f>
        <v>0</v>
      </c>
      <c r="H1981" s="3">
        <f>IFERROR(__xludf.DUMMYFUNCTION("IFERROR(INDEX(FILTER('cost master'!$E:$E,('cost master'!$B:$B=C1981)*('cost master'!$D:$D=""Storage cost per pallet / week"")*('cost master'!$G:$G&lt;=B1981)*(('cost master'!$H:$H&gt;=B1981)+ISBLANK('cost master'!$H:$H))),1),0)"),0.0)</f>
        <v>0</v>
      </c>
      <c r="I1981" s="3">
        <f t="shared" si="4"/>
        <v>0</v>
      </c>
      <c r="J1981" s="27">
        <f t="shared" si="5"/>
        <v>693947</v>
      </c>
      <c r="K1981" s="27">
        <f t="shared" si="6"/>
        <v>693977</v>
      </c>
    </row>
    <row r="1982" hidden="1">
      <c r="A1982" s="3" t="str">
        <f t="shared" si="3"/>
        <v/>
      </c>
      <c r="B1982" s="2" t="str">
        <f t="array" ref="B1982">INDEX(helper!$A$3:$A3996,ROUNDUP((ROW()-1)/COUNTA(helper!$D$3:$D3996),0))</f>
        <v/>
      </c>
      <c r="C1982" s="5" t="str">
        <f t="array" ref="C1982">IF(B1982="","",INDEX(helper!$D$3:$D3996,MOD(ROW()-2,COUNTA(helper!$D$3:$D3996))+1))</f>
        <v/>
      </c>
      <c r="D1982" s="3" t="str">
        <f t="array" ref="D1982">IF(B1982="","",INDEX(helper!$E$3:$E3996,MOD(ROW()-2,COUNTA(helper!$D$3:$D3996))+1))</f>
        <v/>
      </c>
      <c r="E1982" s="3" t="str">
        <f t="array" ref="E1982">IF(B1982="","",INDEX(helper!$F$3:$F3996,MOD(ROW()-2,COUNTA(helper!$D$3:$D3996))+1))</f>
        <v/>
      </c>
      <c r="F1982" s="3" t="str">
        <f>IF(B1982="","",SUMIFS('inventory ledger'!$H:$H,'inventory ledger'!$C:$C,C1982,'inventory ledger'!$D:$D,D1982,'inventory ledger'!$E:$E,E1982,'inventory ledger'!$A:$A,"&lt;="&amp;B1982+TIME(23,59,59))-SUMIFS('inventory ledger'!$I:$I,'inventory ledger'!$C:$C,C1982,'inventory ledger'!$D:$D,D1982,'inventory ledger'!$E:$E,E1982,'inventory ledger'!$A:$A,"&lt;="&amp;B1982+TIME(23,59,59)))</f>
        <v/>
      </c>
      <c r="G1982" s="3">
        <f>IFERROR(__xludf.DUMMYFUNCTION("IF(F1982&lt;=0,0,IFERROR(ROUNDUP(F1982/INDEX(FILTER('warehouse config'!$D:$D,('warehouse config'!$B:$B=C1982)*('warehouse config'!$C:$C=D1982)*('warehouse config'!$G:$G&lt;=B1982)*(('warehouse config'!$H:$H&gt;=B1982)+ISBLANK('warehouse config'!$H:$H))),1)),0))"),0.0)</f>
        <v>0</v>
      </c>
      <c r="H1982" s="3">
        <f>IFERROR(__xludf.DUMMYFUNCTION("IFERROR(INDEX(FILTER('cost master'!$E:$E,('cost master'!$B:$B=C1982)*('cost master'!$D:$D=""Storage cost per pallet / week"")*('cost master'!$G:$G&lt;=B1982)*(('cost master'!$H:$H&gt;=B1982)+ISBLANK('cost master'!$H:$H))),1),0)"),0.0)</f>
        <v>0</v>
      </c>
      <c r="I1982" s="3">
        <f t="shared" si="4"/>
        <v>0</v>
      </c>
      <c r="J1982" s="27">
        <f t="shared" si="5"/>
        <v>693947</v>
      </c>
      <c r="K1982" s="27">
        <f t="shared" si="6"/>
        <v>693977</v>
      </c>
    </row>
    <row r="1983" hidden="1">
      <c r="A1983" s="3" t="str">
        <f t="shared" si="3"/>
        <v/>
      </c>
      <c r="B1983" s="2" t="str">
        <f t="array" ref="B1983">INDEX(helper!$A$3:$A3996,ROUNDUP((ROW()-1)/COUNTA(helper!$D$3:$D3996),0))</f>
        <v/>
      </c>
      <c r="C1983" s="5" t="str">
        <f t="array" ref="C1983">IF(B1983="","",INDEX(helper!$D$3:$D3996,MOD(ROW()-2,COUNTA(helper!$D$3:$D3996))+1))</f>
        <v/>
      </c>
      <c r="D1983" s="3" t="str">
        <f t="array" ref="D1983">IF(B1983="","",INDEX(helper!$E$3:$E3996,MOD(ROW()-2,COUNTA(helper!$D$3:$D3996))+1))</f>
        <v/>
      </c>
      <c r="E1983" s="3" t="str">
        <f t="array" ref="E1983">IF(B1983="","",INDEX(helper!$F$3:$F3996,MOD(ROW()-2,COUNTA(helper!$D$3:$D3996))+1))</f>
        <v/>
      </c>
      <c r="F1983" s="3" t="str">
        <f>IF(B1983="","",SUMIFS('inventory ledger'!$H:$H,'inventory ledger'!$C:$C,C1983,'inventory ledger'!$D:$D,D1983,'inventory ledger'!$E:$E,E1983,'inventory ledger'!$A:$A,"&lt;="&amp;B1983+TIME(23,59,59))-SUMIFS('inventory ledger'!$I:$I,'inventory ledger'!$C:$C,C1983,'inventory ledger'!$D:$D,D1983,'inventory ledger'!$E:$E,E1983,'inventory ledger'!$A:$A,"&lt;="&amp;B1983+TIME(23,59,59)))</f>
        <v/>
      </c>
      <c r="G1983" s="3">
        <f>IFERROR(__xludf.DUMMYFUNCTION("IF(F1983&lt;=0,0,IFERROR(ROUNDUP(F1983/INDEX(FILTER('warehouse config'!$D:$D,('warehouse config'!$B:$B=C1983)*('warehouse config'!$C:$C=D1983)*('warehouse config'!$G:$G&lt;=B1983)*(('warehouse config'!$H:$H&gt;=B1983)+ISBLANK('warehouse config'!$H:$H))),1)),0))"),0.0)</f>
        <v>0</v>
      </c>
      <c r="H1983" s="3">
        <f>IFERROR(__xludf.DUMMYFUNCTION("IFERROR(INDEX(FILTER('cost master'!$E:$E,('cost master'!$B:$B=C1983)*('cost master'!$D:$D=""Storage cost per pallet / week"")*('cost master'!$G:$G&lt;=B1983)*(('cost master'!$H:$H&gt;=B1983)+ISBLANK('cost master'!$H:$H))),1),0)"),0.0)</f>
        <v>0</v>
      </c>
      <c r="I1983" s="3">
        <f t="shared" si="4"/>
        <v>0</v>
      </c>
      <c r="J1983" s="27">
        <f t="shared" si="5"/>
        <v>693947</v>
      </c>
      <c r="K1983" s="27">
        <f t="shared" si="6"/>
        <v>693977</v>
      </c>
    </row>
    <row r="1984" hidden="1">
      <c r="A1984" s="3" t="str">
        <f t="shared" si="3"/>
        <v/>
      </c>
      <c r="B1984" s="2" t="str">
        <f t="array" ref="B1984">INDEX(helper!$A$3:$A3996,ROUNDUP((ROW()-1)/COUNTA(helper!$D$3:$D3996),0))</f>
        <v/>
      </c>
      <c r="C1984" s="5" t="str">
        <f t="array" ref="C1984">IF(B1984="","",INDEX(helper!$D$3:$D3996,MOD(ROW()-2,COUNTA(helper!$D$3:$D3996))+1))</f>
        <v/>
      </c>
      <c r="D1984" s="3" t="str">
        <f t="array" ref="D1984">IF(B1984="","",INDEX(helper!$E$3:$E3996,MOD(ROW()-2,COUNTA(helper!$D$3:$D3996))+1))</f>
        <v/>
      </c>
      <c r="E1984" s="3" t="str">
        <f t="array" ref="E1984">IF(B1984="","",INDEX(helper!$F$3:$F3996,MOD(ROW()-2,COUNTA(helper!$D$3:$D3996))+1))</f>
        <v/>
      </c>
      <c r="F1984" s="3" t="str">
        <f>IF(B1984="","",SUMIFS('inventory ledger'!$H:$H,'inventory ledger'!$C:$C,C1984,'inventory ledger'!$D:$D,D1984,'inventory ledger'!$E:$E,E1984,'inventory ledger'!$A:$A,"&lt;="&amp;B1984+TIME(23,59,59))-SUMIFS('inventory ledger'!$I:$I,'inventory ledger'!$C:$C,C1984,'inventory ledger'!$D:$D,D1984,'inventory ledger'!$E:$E,E1984,'inventory ledger'!$A:$A,"&lt;="&amp;B1984+TIME(23,59,59)))</f>
        <v/>
      </c>
      <c r="G1984" s="3">
        <f>IFERROR(__xludf.DUMMYFUNCTION("IF(F1984&lt;=0,0,IFERROR(ROUNDUP(F1984/INDEX(FILTER('warehouse config'!$D:$D,('warehouse config'!$B:$B=C1984)*('warehouse config'!$C:$C=D1984)*('warehouse config'!$G:$G&lt;=B1984)*(('warehouse config'!$H:$H&gt;=B1984)+ISBLANK('warehouse config'!$H:$H))),1)),0))"),0.0)</f>
        <v>0</v>
      </c>
      <c r="H1984" s="3">
        <f>IFERROR(__xludf.DUMMYFUNCTION("IFERROR(INDEX(FILTER('cost master'!$E:$E,('cost master'!$B:$B=C1984)*('cost master'!$D:$D=""Storage cost per pallet / week"")*('cost master'!$G:$G&lt;=B1984)*(('cost master'!$H:$H&gt;=B1984)+ISBLANK('cost master'!$H:$H))),1),0)"),0.0)</f>
        <v>0</v>
      </c>
      <c r="I1984" s="3">
        <f t="shared" si="4"/>
        <v>0</v>
      </c>
      <c r="J1984" s="27">
        <f t="shared" si="5"/>
        <v>693947</v>
      </c>
      <c r="K1984" s="27">
        <f t="shared" si="6"/>
        <v>693977</v>
      </c>
    </row>
    <row r="1985" hidden="1">
      <c r="A1985" s="3" t="str">
        <f t="shared" si="3"/>
        <v/>
      </c>
      <c r="B1985" s="2" t="str">
        <f t="array" ref="B1985">INDEX(helper!$A$3:$A3996,ROUNDUP((ROW()-1)/COUNTA(helper!$D$3:$D3996),0))</f>
        <v/>
      </c>
      <c r="C1985" s="5" t="str">
        <f t="array" ref="C1985">IF(B1985="","",INDEX(helper!$D$3:$D3996,MOD(ROW()-2,COUNTA(helper!$D$3:$D3996))+1))</f>
        <v/>
      </c>
      <c r="D1985" s="3" t="str">
        <f t="array" ref="D1985">IF(B1985="","",INDEX(helper!$E$3:$E3996,MOD(ROW()-2,COUNTA(helper!$D$3:$D3996))+1))</f>
        <v/>
      </c>
      <c r="E1985" s="3" t="str">
        <f t="array" ref="E1985">IF(B1985="","",INDEX(helper!$F$3:$F3996,MOD(ROW()-2,COUNTA(helper!$D$3:$D3996))+1))</f>
        <v/>
      </c>
      <c r="F1985" s="3" t="str">
        <f>IF(B1985="","",SUMIFS('inventory ledger'!$H:$H,'inventory ledger'!$C:$C,C1985,'inventory ledger'!$D:$D,D1985,'inventory ledger'!$E:$E,E1985,'inventory ledger'!$A:$A,"&lt;="&amp;B1985+TIME(23,59,59))-SUMIFS('inventory ledger'!$I:$I,'inventory ledger'!$C:$C,C1985,'inventory ledger'!$D:$D,D1985,'inventory ledger'!$E:$E,E1985,'inventory ledger'!$A:$A,"&lt;="&amp;B1985+TIME(23,59,59)))</f>
        <v/>
      </c>
      <c r="G1985" s="3">
        <f>IFERROR(__xludf.DUMMYFUNCTION("IF(F1985&lt;=0,0,IFERROR(ROUNDUP(F1985/INDEX(FILTER('warehouse config'!$D:$D,('warehouse config'!$B:$B=C1985)*('warehouse config'!$C:$C=D1985)*('warehouse config'!$G:$G&lt;=B1985)*(('warehouse config'!$H:$H&gt;=B1985)+ISBLANK('warehouse config'!$H:$H))),1)),0))"),0.0)</f>
        <v>0</v>
      </c>
      <c r="H1985" s="3">
        <f>IFERROR(__xludf.DUMMYFUNCTION("IFERROR(INDEX(FILTER('cost master'!$E:$E,('cost master'!$B:$B=C1985)*('cost master'!$D:$D=""Storage cost per pallet / week"")*('cost master'!$G:$G&lt;=B1985)*(('cost master'!$H:$H&gt;=B1985)+ISBLANK('cost master'!$H:$H))),1),0)"),0.0)</f>
        <v>0</v>
      </c>
      <c r="I1985" s="3">
        <f t="shared" si="4"/>
        <v>0</v>
      </c>
      <c r="J1985" s="27">
        <f t="shared" si="5"/>
        <v>693947</v>
      </c>
      <c r="K1985" s="27">
        <f t="shared" si="6"/>
        <v>693977</v>
      </c>
    </row>
    <row r="1986" hidden="1">
      <c r="A1986" s="3" t="str">
        <f t="shared" si="3"/>
        <v/>
      </c>
      <c r="B1986" s="2" t="str">
        <f t="array" ref="B1986">INDEX(helper!$A$3:$A3996,ROUNDUP((ROW()-1)/COUNTA(helper!$D$3:$D3996),0))</f>
        <v/>
      </c>
      <c r="C1986" s="5" t="str">
        <f t="array" ref="C1986">IF(B1986="","",INDEX(helper!$D$3:$D3996,MOD(ROW()-2,COUNTA(helper!$D$3:$D3996))+1))</f>
        <v/>
      </c>
      <c r="D1986" s="3" t="str">
        <f t="array" ref="D1986">IF(B1986="","",INDEX(helper!$E$3:$E3996,MOD(ROW()-2,COUNTA(helper!$D$3:$D3996))+1))</f>
        <v/>
      </c>
      <c r="E1986" s="3" t="str">
        <f t="array" ref="E1986">IF(B1986="","",INDEX(helper!$F$3:$F3996,MOD(ROW()-2,COUNTA(helper!$D$3:$D3996))+1))</f>
        <v/>
      </c>
      <c r="F1986" s="3" t="str">
        <f>IF(B1986="","",SUMIFS('inventory ledger'!$H:$H,'inventory ledger'!$C:$C,C1986,'inventory ledger'!$D:$D,D1986,'inventory ledger'!$E:$E,E1986,'inventory ledger'!$A:$A,"&lt;="&amp;B1986+TIME(23,59,59))-SUMIFS('inventory ledger'!$I:$I,'inventory ledger'!$C:$C,C1986,'inventory ledger'!$D:$D,D1986,'inventory ledger'!$E:$E,E1986,'inventory ledger'!$A:$A,"&lt;="&amp;B1986+TIME(23,59,59)))</f>
        <v/>
      </c>
      <c r="G1986" s="3">
        <f>IFERROR(__xludf.DUMMYFUNCTION("IF(F1986&lt;=0,0,IFERROR(ROUNDUP(F1986/INDEX(FILTER('warehouse config'!$D:$D,('warehouse config'!$B:$B=C1986)*('warehouse config'!$C:$C=D1986)*('warehouse config'!$G:$G&lt;=B1986)*(('warehouse config'!$H:$H&gt;=B1986)+ISBLANK('warehouse config'!$H:$H))),1)),0))"),0.0)</f>
        <v>0</v>
      </c>
      <c r="H1986" s="3">
        <f>IFERROR(__xludf.DUMMYFUNCTION("IFERROR(INDEX(FILTER('cost master'!$E:$E,('cost master'!$B:$B=C1986)*('cost master'!$D:$D=""Storage cost per pallet / week"")*('cost master'!$G:$G&lt;=B1986)*(('cost master'!$H:$H&gt;=B1986)+ISBLANK('cost master'!$H:$H))),1),0)"),0.0)</f>
        <v>0</v>
      </c>
      <c r="I1986" s="3">
        <f t="shared" si="4"/>
        <v>0</v>
      </c>
      <c r="J1986" s="27">
        <f t="shared" si="5"/>
        <v>693947</v>
      </c>
      <c r="K1986" s="27">
        <f t="shared" si="6"/>
        <v>693977</v>
      </c>
    </row>
    <row r="1987" hidden="1">
      <c r="A1987" s="3" t="str">
        <f t="shared" si="3"/>
        <v/>
      </c>
      <c r="B1987" s="2" t="str">
        <f t="array" ref="B1987">INDEX(helper!$A$3:$A3996,ROUNDUP((ROW()-1)/COUNTA(helper!$D$3:$D3996),0))</f>
        <v/>
      </c>
      <c r="C1987" s="5" t="str">
        <f t="array" ref="C1987">IF(B1987="","",INDEX(helper!$D$3:$D3996,MOD(ROW()-2,COUNTA(helper!$D$3:$D3996))+1))</f>
        <v/>
      </c>
      <c r="D1987" s="3" t="str">
        <f t="array" ref="D1987">IF(B1987="","",INDEX(helper!$E$3:$E3996,MOD(ROW()-2,COUNTA(helper!$D$3:$D3996))+1))</f>
        <v/>
      </c>
      <c r="E1987" s="3" t="str">
        <f t="array" ref="E1987">IF(B1987="","",INDEX(helper!$F$3:$F3996,MOD(ROW()-2,COUNTA(helper!$D$3:$D3996))+1))</f>
        <v/>
      </c>
      <c r="F1987" s="3" t="str">
        <f>IF(B1987="","",SUMIFS('inventory ledger'!$H:$H,'inventory ledger'!$C:$C,C1987,'inventory ledger'!$D:$D,D1987,'inventory ledger'!$E:$E,E1987,'inventory ledger'!$A:$A,"&lt;="&amp;B1987+TIME(23,59,59))-SUMIFS('inventory ledger'!$I:$I,'inventory ledger'!$C:$C,C1987,'inventory ledger'!$D:$D,D1987,'inventory ledger'!$E:$E,E1987,'inventory ledger'!$A:$A,"&lt;="&amp;B1987+TIME(23,59,59)))</f>
        <v/>
      </c>
      <c r="G1987" s="3">
        <f>IFERROR(__xludf.DUMMYFUNCTION("IF(F1987&lt;=0,0,IFERROR(ROUNDUP(F1987/INDEX(FILTER('warehouse config'!$D:$D,('warehouse config'!$B:$B=C1987)*('warehouse config'!$C:$C=D1987)*('warehouse config'!$G:$G&lt;=B1987)*(('warehouse config'!$H:$H&gt;=B1987)+ISBLANK('warehouse config'!$H:$H))),1)),0))"),0.0)</f>
        <v>0</v>
      </c>
      <c r="H1987" s="3">
        <f>IFERROR(__xludf.DUMMYFUNCTION("IFERROR(INDEX(FILTER('cost master'!$E:$E,('cost master'!$B:$B=C1987)*('cost master'!$D:$D=""Storage cost per pallet / week"")*('cost master'!$G:$G&lt;=B1987)*(('cost master'!$H:$H&gt;=B1987)+ISBLANK('cost master'!$H:$H))),1),0)"),0.0)</f>
        <v>0</v>
      </c>
      <c r="I1987" s="3">
        <f t="shared" si="4"/>
        <v>0</v>
      </c>
      <c r="J1987" s="27">
        <f t="shared" si="5"/>
        <v>693947</v>
      </c>
      <c r="K1987" s="27">
        <f t="shared" si="6"/>
        <v>693977</v>
      </c>
    </row>
    <row r="1988" hidden="1">
      <c r="A1988" s="3" t="str">
        <f t="shared" si="3"/>
        <v/>
      </c>
      <c r="B1988" s="2" t="str">
        <f t="array" ref="B1988">INDEX(helper!$A$3:$A3996,ROUNDUP((ROW()-1)/COUNTA(helper!$D$3:$D3996),0))</f>
        <v/>
      </c>
      <c r="C1988" s="5" t="str">
        <f t="array" ref="C1988">IF(B1988="","",INDEX(helper!$D$3:$D3996,MOD(ROW()-2,COUNTA(helper!$D$3:$D3996))+1))</f>
        <v/>
      </c>
      <c r="D1988" s="3" t="str">
        <f t="array" ref="D1988">IF(B1988="","",INDEX(helper!$E$3:$E3996,MOD(ROW()-2,COUNTA(helper!$D$3:$D3996))+1))</f>
        <v/>
      </c>
      <c r="E1988" s="3" t="str">
        <f t="array" ref="E1988">IF(B1988="","",INDEX(helper!$F$3:$F3996,MOD(ROW()-2,COUNTA(helper!$D$3:$D3996))+1))</f>
        <v/>
      </c>
      <c r="F1988" s="3" t="str">
        <f>IF(B1988="","",SUMIFS('inventory ledger'!$H:$H,'inventory ledger'!$C:$C,C1988,'inventory ledger'!$D:$D,D1988,'inventory ledger'!$E:$E,E1988,'inventory ledger'!$A:$A,"&lt;="&amp;B1988+TIME(23,59,59))-SUMIFS('inventory ledger'!$I:$I,'inventory ledger'!$C:$C,C1988,'inventory ledger'!$D:$D,D1988,'inventory ledger'!$E:$E,E1988,'inventory ledger'!$A:$A,"&lt;="&amp;B1988+TIME(23,59,59)))</f>
        <v/>
      </c>
      <c r="G1988" s="3">
        <f>IFERROR(__xludf.DUMMYFUNCTION("IF(F1988&lt;=0,0,IFERROR(ROUNDUP(F1988/INDEX(FILTER('warehouse config'!$D:$D,('warehouse config'!$B:$B=C1988)*('warehouse config'!$C:$C=D1988)*('warehouse config'!$G:$G&lt;=B1988)*(('warehouse config'!$H:$H&gt;=B1988)+ISBLANK('warehouse config'!$H:$H))),1)),0))"),0.0)</f>
        <v>0</v>
      </c>
      <c r="H1988" s="3">
        <f>IFERROR(__xludf.DUMMYFUNCTION("IFERROR(INDEX(FILTER('cost master'!$E:$E,('cost master'!$B:$B=C1988)*('cost master'!$D:$D=""Storage cost per pallet / week"")*('cost master'!$G:$G&lt;=B1988)*(('cost master'!$H:$H&gt;=B1988)+ISBLANK('cost master'!$H:$H))),1),0)"),0.0)</f>
        <v>0</v>
      </c>
      <c r="I1988" s="3">
        <f t="shared" si="4"/>
        <v>0</v>
      </c>
      <c r="J1988" s="27">
        <f t="shared" si="5"/>
        <v>693947</v>
      </c>
      <c r="K1988" s="27">
        <f t="shared" si="6"/>
        <v>693977</v>
      </c>
    </row>
    <row r="1989" hidden="1">
      <c r="A1989" s="3" t="str">
        <f t="shared" si="3"/>
        <v/>
      </c>
      <c r="B1989" s="2" t="str">
        <f t="array" ref="B1989">INDEX(helper!$A$3:$A3996,ROUNDUP((ROW()-1)/COUNTA(helper!$D$3:$D3996),0))</f>
        <v/>
      </c>
      <c r="C1989" s="5" t="str">
        <f t="array" ref="C1989">IF(B1989="","",INDEX(helper!$D$3:$D3996,MOD(ROW()-2,COUNTA(helper!$D$3:$D3996))+1))</f>
        <v/>
      </c>
      <c r="D1989" s="3" t="str">
        <f t="array" ref="D1989">IF(B1989="","",INDEX(helper!$E$3:$E3996,MOD(ROW()-2,COUNTA(helper!$D$3:$D3996))+1))</f>
        <v/>
      </c>
      <c r="E1989" s="3" t="str">
        <f t="array" ref="E1989">IF(B1989="","",INDEX(helper!$F$3:$F3996,MOD(ROW()-2,COUNTA(helper!$D$3:$D3996))+1))</f>
        <v/>
      </c>
      <c r="F1989" s="3" t="str">
        <f>IF(B1989="","",SUMIFS('inventory ledger'!$H:$H,'inventory ledger'!$C:$C,C1989,'inventory ledger'!$D:$D,D1989,'inventory ledger'!$E:$E,E1989,'inventory ledger'!$A:$A,"&lt;="&amp;B1989+TIME(23,59,59))-SUMIFS('inventory ledger'!$I:$I,'inventory ledger'!$C:$C,C1989,'inventory ledger'!$D:$D,D1989,'inventory ledger'!$E:$E,E1989,'inventory ledger'!$A:$A,"&lt;="&amp;B1989+TIME(23,59,59)))</f>
        <v/>
      </c>
      <c r="G1989" s="3">
        <f>IFERROR(__xludf.DUMMYFUNCTION("IF(F1989&lt;=0,0,IFERROR(ROUNDUP(F1989/INDEX(FILTER('warehouse config'!$D:$D,('warehouse config'!$B:$B=C1989)*('warehouse config'!$C:$C=D1989)*('warehouse config'!$G:$G&lt;=B1989)*(('warehouse config'!$H:$H&gt;=B1989)+ISBLANK('warehouse config'!$H:$H))),1)),0))"),0.0)</f>
        <v>0</v>
      </c>
      <c r="H1989" s="3">
        <f>IFERROR(__xludf.DUMMYFUNCTION("IFERROR(INDEX(FILTER('cost master'!$E:$E,('cost master'!$B:$B=C1989)*('cost master'!$D:$D=""Storage cost per pallet / week"")*('cost master'!$G:$G&lt;=B1989)*(('cost master'!$H:$H&gt;=B1989)+ISBLANK('cost master'!$H:$H))),1),0)"),0.0)</f>
        <v>0</v>
      </c>
      <c r="I1989" s="3">
        <f t="shared" si="4"/>
        <v>0</v>
      </c>
      <c r="J1989" s="27">
        <f t="shared" si="5"/>
        <v>693947</v>
      </c>
      <c r="K1989" s="27">
        <f t="shared" si="6"/>
        <v>693977</v>
      </c>
    </row>
    <row r="1990" hidden="1">
      <c r="A1990" s="3" t="str">
        <f t="shared" si="3"/>
        <v/>
      </c>
      <c r="B1990" s="2" t="str">
        <f t="array" ref="B1990">INDEX(helper!$A$3:$A3996,ROUNDUP((ROW()-1)/COUNTA(helper!$D$3:$D3996),0))</f>
        <v/>
      </c>
      <c r="C1990" s="5" t="str">
        <f t="array" ref="C1990">IF(B1990="","",INDEX(helper!$D$3:$D3996,MOD(ROW()-2,COUNTA(helper!$D$3:$D3996))+1))</f>
        <v/>
      </c>
      <c r="D1990" s="3" t="str">
        <f t="array" ref="D1990">IF(B1990="","",INDEX(helper!$E$3:$E3996,MOD(ROW()-2,COUNTA(helper!$D$3:$D3996))+1))</f>
        <v/>
      </c>
      <c r="E1990" s="3" t="str">
        <f t="array" ref="E1990">IF(B1990="","",INDEX(helper!$F$3:$F3996,MOD(ROW()-2,COUNTA(helper!$D$3:$D3996))+1))</f>
        <v/>
      </c>
      <c r="F1990" s="3" t="str">
        <f>IF(B1990="","",SUMIFS('inventory ledger'!$H:$H,'inventory ledger'!$C:$C,C1990,'inventory ledger'!$D:$D,D1990,'inventory ledger'!$E:$E,E1990,'inventory ledger'!$A:$A,"&lt;="&amp;B1990+TIME(23,59,59))-SUMIFS('inventory ledger'!$I:$I,'inventory ledger'!$C:$C,C1990,'inventory ledger'!$D:$D,D1990,'inventory ledger'!$E:$E,E1990,'inventory ledger'!$A:$A,"&lt;="&amp;B1990+TIME(23,59,59)))</f>
        <v/>
      </c>
      <c r="G1990" s="3">
        <f>IFERROR(__xludf.DUMMYFUNCTION("IF(F1990&lt;=0,0,IFERROR(ROUNDUP(F1990/INDEX(FILTER('warehouse config'!$D:$D,('warehouse config'!$B:$B=C1990)*('warehouse config'!$C:$C=D1990)*('warehouse config'!$G:$G&lt;=B1990)*(('warehouse config'!$H:$H&gt;=B1990)+ISBLANK('warehouse config'!$H:$H))),1)),0))"),0.0)</f>
        <v>0</v>
      </c>
      <c r="H1990" s="3">
        <f>IFERROR(__xludf.DUMMYFUNCTION("IFERROR(INDEX(FILTER('cost master'!$E:$E,('cost master'!$B:$B=C1990)*('cost master'!$D:$D=""Storage cost per pallet / week"")*('cost master'!$G:$G&lt;=B1990)*(('cost master'!$H:$H&gt;=B1990)+ISBLANK('cost master'!$H:$H))),1),0)"),0.0)</f>
        <v>0</v>
      </c>
      <c r="I1990" s="3">
        <f t="shared" si="4"/>
        <v>0</v>
      </c>
      <c r="J1990" s="27">
        <f t="shared" si="5"/>
        <v>693947</v>
      </c>
      <c r="K1990" s="27">
        <f t="shared" si="6"/>
        <v>693977</v>
      </c>
    </row>
    <row r="1991" hidden="1">
      <c r="A1991" s="3" t="str">
        <f t="shared" si="3"/>
        <v/>
      </c>
      <c r="B1991" s="2" t="str">
        <f t="array" ref="B1991">INDEX(helper!$A$3:$A3996,ROUNDUP((ROW()-1)/COUNTA(helper!$D$3:$D3996),0))</f>
        <v/>
      </c>
      <c r="C1991" s="5" t="str">
        <f t="array" ref="C1991">IF(B1991="","",INDEX(helper!$D$3:$D3996,MOD(ROW()-2,COUNTA(helper!$D$3:$D3996))+1))</f>
        <v/>
      </c>
      <c r="D1991" s="3" t="str">
        <f t="array" ref="D1991">IF(B1991="","",INDEX(helper!$E$3:$E3996,MOD(ROW()-2,COUNTA(helper!$D$3:$D3996))+1))</f>
        <v/>
      </c>
      <c r="E1991" s="3" t="str">
        <f t="array" ref="E1991">IF(B1991="","",INDEX(helper!$F$3:$F3996,MOD(ROW()-2,COUNTA(helper!$D$3:$D3996))+1))</f>
        <v/>
      </c>
      <c r="F1991" s="3" t="str">
        <f>IF(B1991="","",SUMIFS('inventory ledger'!$H:$H,'inventory ledger'!$C:$C,C1991,'inventory ledger'!$D:$D,D1991,'inventory ledger'!$E:$E,E1991,'inventory ledger'!$A:$A,"&lt;="&amp;B1991+TIME(23,59,59))-SUMIFS('inventory ledger'!$I:$I,'inventory ledger'!$C:$C,C1991,'inventory ledger'!$D:$D,D1991,'inventory ledger'!$E:$E,E1991,'inventory ledger'!$A:$A,"&lt;="&amp;B1991+TIME(23,59,59)))</f>
        <v/>
      </c>
      <c r="G1991" s="3">
        <f>IFERROR(__xludf.DUMMYFUNCTION("IF(F1991&lt;=0,0,IFERROR(ROUNDUP(F1991/INDEX(FILTER('warehouse config'!$D:$D,('warehouse config'!$B:$B=C1991)*('warehouse config'!$C:$C=D1991)*('warehouse config'!$G:$G&lt;=B1991)*(('warehouse config'!$H:$H&gt;=B1991)+ISBLANK('warehouse config'!$H:$H))),1)),0))"),0.0)</f>
        <v>0</v>
      </c>
      <c r="H1991" s="3">
        <f>IFERROR(__xludf.DUMMYFUNCTION("IFERROR(INDEX(FILTER('cost master'!$E:$E,('cost master'!$B:$B=C1991)*('cost master'!$D:$D=""Storage cost per pallet / week"")*('cost master'!$G:$G&lt;=B1991)*(('cost master'!$H:$H&gt;=B1991)+ISBLANK('cost master'!$H:$H))),1),0)"),0.0)</f>
        <v>0</v>
      </c>
      <c r="I1991" s="3">
        <f t="shared" si="4"/>
        <v>0</v>
      </c>
      <c r="J1991" s="27">
        <f t="shared" si="5"/>
        <v>693947</v>
      </c>
      <c r="K1991" s="27">
        <f t="shared" si="6"/>
        <v>693977</v>
      </c>
    </row>
    <row r="1992" hidden="1">
      <c r="A1992" s="3" t="str">
        <f t="shared" si="3"/>
        <v/>
      </c>
      <c r="B1992" s="2" t="str">
        <f t="array" ref="B1992">INDEX(helper!$A$3:$A3996,ROUNDUP((ROW()-1)/COUNTA(helper!$D$3:$D3996),0))</f>
        <v/>
      </c>
      <c r="C1992" s="5" t="str">
        <f t="array" ref="C1992">IF(B1992="","",INDEX(helper!$D$3:$D3996,MOD(ROW()-2,COUNTA(helper!$D$3:$D3996))+1))</f>
        <v/>
      </c>
      <c r="D1992" s="3" t="str">
        <f t="array" ref="D1992">IF(B1992="","",INDEX(helper!$E$3:$E3996,MOD(ROW()-2,COUNTA(helper!$D$3:$D3996))+1))</f>
        <v/>
      </c>
      <c r="E1992" s="3" t="str">
        <f t="array" ref="E1992">IF(B1992="","",INDEX(helper!$F$3:$F3996,MOD(ROW()-2,COUNTA(helper!$D$3:$D3996))+1))</f>
        <v/>
      </c>
      <c r="F1992" s="3" t="str">
        <f>IF(B1992="","",SUMIFS('inventory ledger'!$H:$H,'inventory ledger'!$C:$C,C1992,'inventory ledger'!$D:$D,D1992,'inventory ledger'!$E:$E,E1992,'inventory ledger'!$A:$A,"&lt;="&amp;B1992+TIME(23,59,59))-SUMIFS('inventory ledger'!$I:$I,'inventory ledger'!$C:$C,C1992,'inventory ledger'!$D:$D,D1992,'inventory ledger'!$E:$E,E1992,'inventory ledger'!$A:$A,"&lt;="&amp;B1992+TIME(23,59,59)))</f>
        <v/>
      </c>
      <c r="G1992" s="3">
        <f>IFERROR(__xludf.DUMMYFUNCTION("IF(F1992&lt;=0,0,IFERROR(ROUNDUP(F1992/INDEX(FILTER('warehouse config'!$D:$D,('warehouse config'!$B:$B=C1992)*('warehouse config'!$C:$C=D1992)*('warehouse config'!$G:$G&lt;=B1992)*(('warehouse config'!$H:$H&gt;=B1992)+ISBLANK('warehouse config'!$H:$H))),1)),0))"),0.0)</f>
        <v>0</v>
      </c>
      <c r="H1992" s="3">
        <f>IFERROR(__xludf.DUMMYFUNCTION("IFERROR(INDEX(FILTER('cost master'!$E:$E,('cost master'!$B:$B=C1992)*('cost master'!$D:$D=""Storage cost per pallet / week"")*('cost master'!$G:$G&lt;=B1992)*(('cost master'!$H:$H&gt;=B1992)+ISBLANK('cost master'!$H:$H))),1),0)"),0.0)</f>
        <v>0</v>
      </c>
      <c r="I1992" s="3">
        <f t="shared" si="4"/>
        <v>0</v>
      </c>
      <c r="J1992" s="27">
        <f t="shared" si="5"/>
        <v>693947</v>
      </c>
      <c r="K1992" s="27">
        <f t="shared" si="6"/>
        <v>693977</v>
      </c>
    </row>
    <row r="1993" hidden="1">
      <c r="A1993" s="3" t="str">
        <f t="shared" si="3"/>
        <v/>
      </c>
      <c r="B1993" s="2" t="str">
        <f t="array" ref="B1993">INDEX(helper!$A$3:$A3996,ROUNDUP((ROW()-1)/COUNTA(helper!$D$3:$D3996),0))</f>
        <v/>
      </c>
      <c r="C1993" s="5" t="str">
        <f t="array" ref="C1993">IF(B1993="","",INDEX(helper!$D$3:$D3996,MOD(ROW()-2,COUNTA(helper!$D$3:$D3996))+1))</f>
        <v/>
      </c>
      <c r="D1993" s="3" t="str">
        <f t="array" ref="D1993">IF(B1993="","",INDEX(helper!$E$3:$E3996,MOD(ROW()-2,COUNTA(helper!$D$3:$D3996))+1))</f>
        <v/>
      </c>
      <c r="E1993" s="3" t="str">
        <f t="array" ref="E1993">IF(B1993="","",INDEX(helper!$F$3:$F3996,MOD(ROW()-2,COUNTA(helper!$D$3:$D3996))+1))</f>
        <v/>
      </c>
      <c r="F1993" s="3" t="str">
        <f>IF(B1993="","",SUMIFS('inventory ledger'!$H:$H,'inventory ledger'!$C:$C,C1993,'inventory ledger'!$D:$D,D1993,'inventory ledger'!$E:$E,E1993,'inventory ledger'!$A:$A,"&lt;="&amp;B1993+TIME(23,59,59))-SUMIFS('inventory ledger'!$I:$I,'inventory ledger'!$C:$C,C1993,'inventory ledger'!$D:$D,D1993,'inventory ledger'!$E:$E,E1993,'inventory ledger'!$A:$A,"&lt;="&amp;B1993+TIME(23,59,59)))</f>
        <v/>
      </c>
      <c r="G1993" s="3">
        <f>IFERROR(__xludf.DUMMYFUNCTION("IF(F1993&lt;=0,0,IFERROR(ROUNDUP(F1993/INDEX(FILTER('warehouse config'!$D:$D,('warehouse config'!$B:$B=C1993)*('warehouse config'!$C:$C=D1993)*('warehouse config'!$G:$G&lt;=B1993)*(('warehouse config'!$H:$H&gt;=B1993)+ISBLANK('warehouse config'!$H:$H))),1)),0))"),0.0)</f>
        <v>0</v>
      </c>
      <c r="H1993" s="3">
        <f>IFERROR(__xludf.DUMMYFUNCTION("IFERROR(INDEX(FILTER('cost master'!$E:$E,('cost master'!$B:$B=C1993)*('cost master'!$D:$D=""Storage cost per pallet / week"")*('cost master'!$G:$G&lt;=B1993)*(('cost master'!$H:$H&gt;=B1993)+ISBLANK('cost master'!$H:$H))),1),0)"),0.0)</f>
        <v>0</v>
      </c>
      <c r="I1993" s="3">
        <f t="shared" si="4"/>
        <v>0</v>
      </c>
      <c r="J1993" s="27">
        <f t="shared" si="5"/>
        <v>693947</v>
      </c>
      <c r="K1993" s="27">
        <f t="shared" si="6"/>
        <v>693977</v>
      </c>
    </row>
    <row r="1994" hidden="1">
      <c r="A1994" s="3" t="str">
        <f t="shared" si="3"/>
        <v/>
      </c>
      <c r="B1994" s="2" t="str">
        <f t="array" ref="B1994">INDEX(helper!$A$3:$A3996,ROUNDUP((ROW()-1)/COUNTA(helper!$D$3:$D3996),0))</f>
        <v/>
      </c>
      <c r="C1994" s="5" t="str">
        <f t="array" ref="C1994">IF(B1994="","",INDEX(helper!$D$3:$D3996,MOD(ROW()-2,COUNTA(helper!$D$3:$D3996))+1))</f>
        <v/>
      </c>
      <c r="D1994" s="3" t="str">
        <f t="array" ref="D1994">IF(B1994="","",INDEX(helper!$E$3:$E3996,MOD(ROW()-2,COUNTA(helper!$D$3:$D3996))+1))</f>
        <v/>
      </c>
      <c r="E1994" s="3" t="str">
        <f t="array" ref="E1994">IF(B1994="","",INDEX(helper!$F$3:$F3996,MOD(ROW()-2,COUNTA(helper!$D$3:$D3996))+1))</f>
        <v/>
      </c>
      <c r="F1994" s="3" t="str">
        <f>IF(B1994="","",SUMIFS('inventory ledger'!$H:$H,'inventory ledger'!$C:$C,C1994,'inventory ledger'!$D:$D,D1994,'inventory ledger'!$E:$E,E1994,'inventory ledger'!$A:$A,"&lt;="&amp;B1994+TIME(23,59,59))-SUMIFS('inventory ledger'!$I:$I,'inventory ledger'!$C:$C,C1994,'inventory ledger'!$D:$D,D1994,'inventory ledger'!$E:$E,E1994,'inventory ledger'!$A:$A,"&lt;="&amp;B1994+TIME(23,59,59)))</f>
        <v/>
      </c>
      <c r="G1994" s="3">
        <f>IFERROR(__xludf.DUMMYFUNCTION("IF(F1994&lt;=0,0,IFERROR(ROUNDUP(F1994/INDEX(FILTER('warehouse config'!$D:$D,('warehouse config'!$B:$B=C1994)*('warehouse config'!$C:$C=D1994)*('warehouse config'!$G:$G&lt;=B1994)*(('warehouse config'!$H:$H&gt;=B1994)+ISBLANK('warehouse config'!$H:$H))),1)),0))"),0.0)</f>
        <v>0</v>
      </c>
      <c r="H1994" s="3">
        <f>IFERROR(__xludf.DUMMYFUNCTION("IFERROR(INDEX(FILTER('cost master'!$E:$E,('cost master'!$B:$B=C1994)*('cost master'!$D:$D=""Storage cost per pallet / week"")*('cost master'!$G:$G&lt;=B1994)*(('cost master'!$H:$H&gt;=B1994)+ISBLANK('cost master'!$H:$H))),1),0)"),0.0)</f>
        <v>0</v>
      </c>
      <c r="I1994" s="3">
        <f t="shared" si="4"/>
        <v>0</v>
      </c>
      <c r="J1994" s="27">
        <f t="shared" si="5"/>
        <v>693947</v>
      </c>
      <c r="K1994" s="27">
        <f t="shared" si="6"/>
        <v>693977</v>
      </c>
    </row>
    <row r="1995" hidden="1">
      <c r="A1995" s="3" t="str">
        <f t="shared" si="3"/>
        <v/>
      </c>
      <c r="B1995" s="2" t="str">
        <f t="array" ref="B1995">INDEX(helper!$A$3:$A3996,ROUNDUP((ROW()-1)/COUNTA(helper!$D$3:$D3996),0))</f>
        <v/>
      </c>
      <c r="C1995" s="5" t="str">
        <f t="array" ref="C1995">IF(B1995="","",INDEX(helper!$D$3:$D3996,MOD(ROW()-2,COUNTA(helper!$D$3:$D3996))+1))</f>
        <v/>
      </c>
      <c r="D1995" s="3" t="str">
        <f t="array" ref="D1995">IF(B1995="","",INDEX(helper!$E$3:$E3996,MOD(ROW()-2,COUNTA(helper!$D$3:$D3996))+1))</f>
        <v/>
      </c>
      <c r="E1995" s="3" t="str">
        <f t="array" ref="E1995">IF(B1995="","",INDEX(helper!$F$3:$F3996,MOD(ROW()-2,COUNTA(helper!$D$3:$D3996))+1))</f>
        <v/>
      </c>
      <c r="F1995" s="3" t="str">
        <f>IF(B1995="","",SUMIFS('inventory ledger'!$H:$H,'inventory ledger'!$C:$C,C1995,'inventory ledger'!$D:$D,D1995,'inventory ledger'!$E:$E,E1995,'inventory ledger'!$A:$A,"&lt;="&amp;B1995+TIME(23,59,59))-SUMIFS('inventory ledger'!$I:$I,'inventory ledger'!$C:$C,C1995,'inventory ledger'!$D:$D,D1995,'inventory ledger'!$E:$E,E1995,'inventory ledger'!$A:$A,"&lt;="&amp;B1995+TIME(23,59,59)))</f>
        <v/>
      </c>
      <c r="G1995" s="3">
        <f>IFERROR(__xludf.DUMMYFUNCTION("IF(F1995&lt;=0,0,IFERROR(ROUNDUP(F1995/INDEX(FILTER('warehouse config'!$D:$D,('warehouse config'!$B:$B=C1995)*('warehouse config'!$C:$C=D1995)*('warehouse config'!$G:$G&lt;=B1995)*(('warehouse config'!$H:$H&gt;=B1995)+ISBLANK('warehouse config'!$H:$H))),1)),0))"),0.0)</f>
        <v>0</v>
      </c>
      <c r="H1995" s="3">
        <f>IFERROR(__xludf.DUMMYFUNCTION("IFERROR(INDEX(FILTER('cost master'!$E:$E,('cost master'!$B:$B=C1995)*('cost master'!$D:$D=""Storage cost per pallet / week"")*('cost master'!$G:$G&lt;=B1995)*(('cost master'!$H:$H&gt;=B1995)+ISBLANK('cost master'!$H:$H))),1),0)"),0.0)</f>
        <v>0</v>
      </c>
      <c r="I1995" s="3">
        <f t="shared" si="4"/>
        <v>0</v>
      </c>
      <c r="J1995" s="27">
        <f t="shared" si="5"/>
        <v>693947</v>
      </c>
      <c r="K1995" s="27">
        <f t="shared" si="6"/>
        <v>693977</v>
      </c>
    </row>
    <row r="1996" hidden="1">
      <c r="A1996" s="3" t="str">
        <f t="shared" si="3"/>
        <v/>
      </c>
      <c r="B1996" s="2" t="str">
        <f t="array" ref="B1996">INDEX(helper!$A$3:$A3996,ROUNDUP((ROW()-1)/COUNTA(helper!$D$3:$D3996),0))</f>
        <v/>
      </c>
      <c r="C1996" s="5" t="str">
        <f t="array" ref="C1996">IF(B1996="","",INDEX(helper!$D$3:$D3996,MOD(ROW()-2,COUNTA(helper!$D$3:$D3996))+1))</f>
        <v/>
      </c>
      <c r="D1996" s="3" t="str">
        <f t="array" ref="D1996">IF(B1996="","",INDEX(helper!$E$3:$E3996,MOD(ROW()-2,COUNTA(helper!$D$3:$D3996))+1))</f>
        <v/>
      </c>
      <c r="E1996" s="3" t="str">
        <f t="array" ref="E1996">IF(B1996="","",INDEX(helper!$F$3:$F3996,MOD(ROW()-2,COUNTA(helper!$D$3:$D3996))+1))</f>
        <v/>
      </c>
      <c r="F1996" s="3" t="str">
        <f>IF(B1996="","",SUMIFS('inventory ledger'!$H:$H,'inventory ledger'!$C:$C,C1996,'inventory ledger'!$D:$D,D1996,'inventory ledger'!$E:$E,E1996,'inventory ledger'!$A:$A,"&lt;="&amp;B1996+TIME(23,59,59))-SUMIFS('inventory ledger'!$I:$I,'inventory ledger'!$C:$C,C1996,'inventory ledger'!$D:$D,D1996,'inventory ledger'!$E:$E,E1996,'inventory ledger'!$A:$A,"&lt;="&amp;B1996+TIME(23,59,59)))</f>
        <v/>
      </c>
      <c r="G1996" s="3">
        <f>IFERROR(__xludf.DUMMYFUNCTION("IF(F1996&lt;=0,0,IFERROR(ROUNDUP(F1996/INDEX(FILTER('warehouse config'!$D:$D,('warehouse config'!$B:$B=C1996)*('warehouse config'!$C:$C=D1996)*('warehouse config'!$G:$G&lt;=B1996)*(('warehouse config'!$H:$H&gt;=B1996)+ISBLANK('warehouse config'!$H:$H))),1)),0))"),0.0)</f>
        <v>0</v>
      </c>
      <c r="H1996" s="3">
        <f>IFERROR(__xludf.DUMMYFUNCTION("IFERROR(INDEX(FILTER('cost master'!$E:$E,('cost master'!$B:$B=C1996)*('cost master'!$D:$D=""Storage cost per pallet / week"")*('cost master'!$G:$G&lt;=B1996)*(('cost master'!$H:$H&gt;=B1996)+ISBLANK('cost master'!$H:$H))),1),0)"),0.0)</f>
        <v>0</v>
      </c>
      <c r="I1996" s="3">
        <f t="shared" si="4"/>
        <v>0</v>
      </c>
      <c r="J1996" s="27">
        <f t="shared" si="5"/>
        <v>693947</v>
      </c>
      <c r="K1996" s="27">
        <f t="shared" si="6"/>
        <v>693977</v>
      </c>
    </row>
    <row r="1997" hidden="1">
      <c r="A1997" s="3" t="str">
        <f t="shared" si="3"/>
        <v/>
      </c>
      <c r="B1997" s="2" t="str">
        <f t="array" ref="B1997">INDEX(helper!$A$3:$A3996,ROUNDUP((ROW()-1)/COUNTA(helper!$D$3:$D3996),0))</f>
        <v/>
      </c>
      <c r="C1997" s="5" t="str">
        <f t="array" ref="C1997">IF(B1997="","",INDEX(helper!$D$3:$D3996,MOD(ROW()-2,COUNTA(helper!$D$3:$D3996))+1))</f>
        <v/>
      </c>
      <c r="D1997" s="3" t="str">
        <f t="array" ref="D1997">IF(B1997="","",INDEX(helper!$E$3:$E3996,MOD(ROW()-2,COUNTA(helper!$D$3:$D3996))+1))</f>
        <v/>
      </c>
      <c r="E1997" s="3" t="str">
        <f t="array" ref="E1997">IF(B1997="","",INDEX(helper!$F$3:$F3996,MOD(ROW()-2,COUNTA(helper!$D$3:$D3996))+1))</f>
        <v/>
      </c>
      <c r="F1997" s="3" t="str">
        <f>IF(B1997="","",SUMIFS('inventory ledger'!$H:$H,'inventory ledger'!$C:$C,C1997,'inventory ledger'!$D:$D,D1997,'inventory ledger'!$E:$E,E1997,'inventory ledger'!$A:$A,"&lt;="&amp;B1997+TIME(23,59,59))-SUMIFS('inventory ledger'!$I:$I,'inventory ledger'!$C:$C,C1997,'inventory ledger'!$D:$D,D1997,'inventory ledger'!$E:$E,E1997,'inventory ledger'!$A:$A,"&lt;="&amp;B1997+TIME(23,59,59)))</f>
        <v/>
      </c>
      <c r="G1997" s="3">
        <f>IFERROR(__xludf.DUMMYFUNCTION("IF(F1997&lt;=0,0,IFERROR(ROUNDUP(F1997/INDEX(FILTER('warehouse config'!$D:$D,('warehouse config'!$B:$B=C1997)*('warehouse config'!$C:$C=D1997)*('warehouse config'!$G:$G&lt;=B1997)*(('warehouse config'!$H:$H&gt;=B1997)+ISBLANK('warehouse config'!$H:$H))),1)),0))"),0.0)</f>
        <v>0</v>
      </c>
      <c r="H1997" s="3">
        <f>IFERROR(__xludf.DUMMYFUNCTION("IFERROR(INDEX(FILTER('cost master'!$E:$E,('cost master'!$B:$B=C1997)*('cost master'!$D:$D=""Storage cost per pallet / week"")*('cost master'!$G:$G&lt;=B1997)*(('cost master'!$H:$H&gt;=B1997)+ISBLANK('cost master'!$H:$H))),1),0)"),0.0)</f>
        <v>0</v>
      </c>
      <c r="I1997" s="3">
        <f t="shared" si="4"/>
        <v>0</v>
      </c>
      <c r="J1997" s="27">
        <f t="shared" si="5"/>
        <v>693947</v>
      </c>
      <c r="K1997" s="27">
        <f t="shared" si="6"/>
        <v>693977</v>
      </c>
    </row>
    <row r="1998" hidden="1">
      <c r="A1998" s="3" t="str">
        <f t="shared" si="3"/>
        <v/>
      </c>
      <c r="B1998" s="2" t="str">
        <f t="array" ref="B1998">INDEX(helper!$A$3:$A3996,ROUNDUP((ROW()-1)/COUNTA(helper!$D$3:$D3996),0))</f>
        <v/>
      </c>
      <c r="C1998" s="5" t="str">
        <f t="array" ref="C1998">IF(B1998="","",INDEX(helper!$D$3:$D3996,MOD(ROW()-2,COUNTA(helper!$D$3:$D3996))+1))</f>
        <v/>
      </c>
      <c r="D1998" s="3" t="str">
        <f t="array" ref="D1998">IF(B1998="","",INDEX(helper!$E$3:$E3996,MOD(ROW()-2,COUNTA(helper!$D$3:$D3996))+1))</f>
        <v/>
      </c>
      <c r="E1998" s="3" t="str">
        <f t="array" ref="E1998">IF(B1998="","",INDEX(helper!$F$3:$F3996,MOD(ROW()-2,COUNTA(helper!$D$3:$D3996))+1))</f>
        <v/>
      </c>
      <c r="F1998" s="3" t="str">
        <f>IF(B1998="","",SUMIFS('inventory ledger'!$H:$H,'inventory ledger'!$C:$C,C1998,'inventory ledger'!$D:$D,D1998,'inventory ledger'!$E:$E,E1998,'inventory ledger'!$A:$A,"&lt;="&amp;B1998+TIME(23,59,59))-SUMIFS('inventory ledger'!$I:$I,'inventory ledger'!$C:$C,C1998,'inventory ledger'!$D:$D,D1998,'inventory ledger'!$E:$E,E1998,'inventory ledger'!$A:$A,"&lt;="&amp;B1998+TIME(23,59,59)))</f>
        <v/>
      </c>
      <c r="G1998" s="3">
        <f>IFERROR(__xludf.DUMMYFUNCTION("IF(F1998&lt;=0,0,IFERROR(ROUNDUP(F1998/INDEX(FILTER('warehouse config'!$D:$D,('warehouse config'!$B:$B=C1998)*('warehouse config'!$C:$C=D1998)*('warehouse config'!$G:$G&lt;=B1998)*(('warehouse config'!$H:$H&gt;=B1998)+ISBLANK('warehouse config'!$H:$H))),1)),0))"),0.0)</f>
        <v>0</v>
      </c>
      <c r="H1998" s="3">
        <f>IFERROR(__xludf.DUMMYFUNCTION("IFERROR(INDEX(FILTER('cost master'!$E:$E,('cost master'!$B:$B=C1998)*('cost master'!$D:$D=""Storage cost per pallet / week"")*('cost master'!$G:$G&lt;=B1998)*(('cost master'!$H:$H&gt;=B1998)+ISBLANK('cost master'!$H:$H))),1),0)"),0.0)</f>
        <v>0</v>
      </c>
      <c r="I1998" s="3">
        <f t="shared" si="4"/>
        <v>0</v>
      </c>
      <c r="J1998" s="27">
        <f t="shared" si="5"/>
        <v>693947</v>
      </c>
      <c r="K1998" s="27">
        <f t="shared" si="6"/>
        <v>693977</v>
      </c>
    </row>
    <row r="1999" hidden="1">
      <c r="A1999" s="3" t="str">
        <f t="shared" si="3"/>
        <v/>
      </c>
      <c r="B1999" s="2" t="str">
        <f t="array" ref="B1999">INDEX(helper!$A$3:$A3996,ROUNDUP((ROW()-1)/COUNTA(helper!$D$3:$D3996),0))</f>
        <v/>
      </c>
      <c r="C1999" s="5" t="str">
        <f t="array" ref="C1999">IF(B1999="","",INDEX(helper!$D$3:$D3996,MOD(ROW()-2,COUNTA(helper!$D$3:$D3996))+1))</f>
        <v/>
      </c>
      <c r="D1999" s="3" t="str">
        <f t="array" ref="D1999">IF(B1999="","",INDEX(helper!$E$3:$E3996,MOD(ROW()-2,COUNTA(helper!$D$3:$D3996))+1))</f>
        <v/>
      </c>
      <c r="E1999" s="3" t="str">
        <f t="array" ref="E1999">IF(B1999="","",INDEX(helper!$F$3:$F3996,MOD(ROW()-2,COUNTA(helper!$D$3:$D3996))+1))</f>
        <v/>
      </c>
      <c r="F1999" s="3" t="str">
        <f>IF(B1999="","",SUMIFS('inventory ledger'!$H:$H,'inventory ledger'!$C:$C,C1999,'inventory ledger'!$D:$D,D1999,'inventory ledger'!$E:$E,E1999,'inventory ledger'!$A:$A,"&lt;="&amp;B1999+TIME(23,59,59))-SUMIFS('inventory ledger'!$I:$I,'inventory ledger'!$C:$C,C1999,'inventory ledger'!$D:$D,D1999,'inventory ledger'!$E:$E,E1999,'inventory ledger'!$A:$A,"&lt;="&amp;B1999+TIME(23,59,59)))</f>
        <v/>
      </c>
      <c r="G1999" s="3">
        <f>IFERROR(__xludf.DUMMYFUNCTION("IF(F1999&lt;=0,0,IFERROR(ROUNDUP(F1999/INDEX(FILTER('warehouse config'!$D:$D,('warehouse config'!$B:$B=C1999)*('warehouse config'!$C:$C=D1999)*('warehouse config'!$G:$G&lt;=B1999)*(('warehouse config'!$H:$H&gt;=B1999)+ISBLANK('warehouse config'!$H:$H))),1)),0))"),0.0)</f>
        <v>0</v>
      </c>
      <c r="H1999" s="3">
        <f>IFERROR(__xludf.DUMMYFUNCTION("IFERROR(INDEX(FILTER('cost master'!$E:$E,('cost master'!$B:$B=C1999)*('cost master'!$D:$D=""Storage cost per pallet / week"")*('cost master'!$G:$G&lt;=B1999)*(('cost master'!$H:$H&gt;=B1999)+ISBLANK('cost master'!$H:$H))),1),0)"),0.0)</f>
        <v>0</v>
      </c>
      <c r="I1999" s="3">
        <f t="shared" si="4"/>
        <v>0</v>
      </c>
      <c r="J1999" s="27">
        <f t="shared" si="5"/>
        <v>693947</v>
      </c>
      <c r="K1999" s="27">
        <f t="shared" si="6"/>
        <v>693977</v>
      </c>
    </row>
    <row r="2000" hidden="1">
      <c r="A2000" s="3" t="str">
        <f t="shared" si="3"/>
        <v/>
      </c>
      <c r="B2000" s="2" t="str">
        <f t="array" ref="B2000">INDEX(helper!$A$3:$A3996,ROUNDUP((ROW()-1)/COUNTA(helper!$D$3:$D3996),0))</f>
        <v/>
      </c>
      <c r="C2000" s="5" t="str">
        <f t="array" ref="C2000">IF(B2000="","",INDEX(helper!$D$3:$D3996,MOD(ROW()-2,COUNTA(helper!$D$3:$D3996))+1))</f>
        <v/>
      </c>
      <c r="D2000" s="3" t="str">
        <f t="array" ref="D2000">IF(B2000="","",INDEX(helper!$E$3:$E3996,MOD(ROW()-2,COUNTA(helper!$D$3:$D3996))+1))</f>
        <v/>
      </c>
      <c r="E2000" s="3" t="str">
        <f t="array" ref="E2000">IF(B2000="","",INDEX(helper!$F$3:$F3996,MOD(ROW()-2,COUNTA(helper!$D$3:$D3996))+1))</f>
        <v/>
      </c>
      <c r="F2000" s="3" t="str">
        <f>IF(B2000="","",SUMIFS('inventory ledger'!$H:$H,'inventory ledger'!$C:$C,C2000,'inventory ledger'!$D:$D,D2000,'inventory ledger'!$E:$E,E2000,'inventory ledger'!$A:$A,"&lt;="&amp;B2000+TIME(23,59,59))-SUMIFS('inventory ledger'!$I:$I,'inventory ledger'!$C:$C,C2000,'inventory ledger'!$D:$D,D2000,'inventory ledger'!$E:$E,E2000,'inventory ledger'!$A:$A,"&lt;="&amp;B2000+TIME(23,59,59)))</f>
        <v/>
      </c>
      <c r="G2000" s="3">
        <f>IFERROR(__xludf.DUMMYFUNCTION("IF(F2000&lt;=0,0,IFERROR(ROUNDUP(F2000/INDEX(FILTER('warehouse config'!$D:$D,('warehouse config'!$B:$B=C2000)*('warehouse config'!$C:$C=D2000)*('warehouse config'!$G:$G&lt;=B2000)*(('warehouse config'!$H:$H&gt;=B2000)+ISBLANK('warehouse config'!$H:$H))),1)),0))"),0.0)</f>
        <v>0</v>
      </c>
      <c r="H2000" s="3">
        <f>IFERROR(__xludf.DUMMYFUNCTION("IFERROR(INDEX(FILTER('cost master'!$E:$E,('cost master'!$B:$B=C2000)*('cost master'!$D:$D=""Storage cost per pallet / week"")*('cost master'!$G:$G&lt;=B2000)*(('cost master'!$H:$H&gt;=B2000)+ISBLANK('cost master'!$H:$H))),1),0)"),0.0)</f>
        <v>0</v>
      </c>
      <c r="I2000" s="3">
        <f t="shared" si="4"/>
        <v>0</v>
      </c>
      <c r="J2000" s="27">
        <f t="shared" si="5"/>
        <v>693947</v>
      </c>
      <c r="K2000" s="27">
        <f t="shared" si="6"/>
        <v>693977</v>
      </c>
    </row>
    <row r="2001" hidden="1">
      <c r="A2001" s="3" t="str">
        <f t="shared" si="3"/>
        <v/>
      </c>
      <c r="B2001" s="2" t="str">
        <f t="array" ref="B2001">INDEX(helper!$A$3:$A3996,ROUNDUP((ROW()-1)/COUNTA(helper!$D$3:$D3996),0))</f>
        <v/>
      </c>
      <c r="C2001" s="5" t="str">
        <f t="array" ref="C2001">IF(B2001="","",INDEX(helper!$D$3:$D3996,MOD(ROW()-2,COUNTA(helper!$D$3:$D3996))+1))</f>
        <v/>
      </c>
      <c r="D2001" s="3" t="str">
        <f t="array" ref="D2001">IF(B2001="","",INDEX(helper!$E$3:$E3996,MOD(ROW()-2,COUNTA(helper!$D$3:$D3996))+1))</f>
        <v/>
      </c>
      <c r="E2001" s="3" t="str">
        <f t="array" ref="E2001">IF(B2001="","",INDEX(helper!$F$3:$F3996,MOD(ROW()-2,COUNTA(helper!$D$3:$D3996))+1))</f>
        <v/>
      </c>
      <c r="F2001" s="3" t="str">
        <f>IF(B2001="","",SUMIFS('inventory ledger'!$H:$H,'inventory ledger'!$C:$C,C2001,'inventory ledger'!$D:$D,D2001,'inventory ledger'!$E:$E,E2001,'inventory ledger'!$A:$A,"&lt;="&amp;B2001+TIME(23,59,59))-SUMIFS('inventory ledger'!$I:$I,'inventory ledger'!$C:$C,C2001,'inventory ledger'!$D:$D,D2001,'inventory ledger'!$E:$E,E2001,'inventory ledger'!$A:$A,"&lt;="&amp;B2001+TIME(23,59,59)))</f>
        <v/>
      </c>
      <c r="G2001" s="3">
        <f>IFERROR(__xludf.DUMMYFUNCTION("IF(F2001&lt;=0,0,IFERROR(ROUNDUP(F2001/INDEX(FILTER('warehouse config'!$D:$D,('warehouse config'!$B:$B=C2001)*('warehouse config'!$C:$C=D2001)*('warehouse config'!$G:$G&lt;=B2001)*(('warehouse config'!$H:$H&gt;=B2001)+ISBLANK('warehouse config'!$H:$H))),1)),0))"),0.0)</f>
        <v>0</v>
      </c>
      <c r="H2001" s="3">
        <f>IFERROR(__xludf.DUMMYFUNCTION("IFERROR(INDEX(FILTER('cost master'!$E:$E,('cost master'!$B:$B=C2001)*('cost master'!$D:$D=""Storage cost per pallet / week"")*('cost master'!$G:$G&lt;=B2001)*(('cost master'!$H:$H&gt;=B2001)+ISBLANK('cost master'!$H:$H))),1),0)"),0.0)</f>
        <v>0</v>
      </c>
      <c r="I2001" s="3">
        <f t="shared" si="4"/>
        <v>0</v>
      </c>
      <c r="J2001" s="27">
        <f t="shared" si="5"/>
        <v>693947</v>
      </c>
      <c r="K2001" s="27">
        <f t="shared" si="6"/>
        <v>693977</v>
      </c>
    </row>
    <row r="2002" hidden="1">
      <c r="A2002" s="3" t="str">
        <f t="shared" si="3"/>
        <v/>
      </c>
      <c r="B2002" s="2" t="str">
        <f t="array" ref="B2002">INDEX(helper!$A$3:$A3996,ROUNDUP((ROW()-1)/COUNTA(helper!$D$3:$D3996),0))</f>
        <v/>
      </c>
      <c r="C2002" s="5" t="str">
        <f t="array" ref="C2002">IF(B2002="","",INDEX(helper!$D$3:$D3996,MOD(ROW()-2,COUNTA(helper!$D$3:$D3996))+1))</f>
        <v/>
      </c>
      <c r="D2002" s="3" t="str">
        <f t="array" ref="D2002">IF(B2002="","",INDEX(helper!$E$3:$E3996,MOD(ROW()-2,COUNTA(helper!$D$3:$D3996))+1))</f>
        <v/>
      </c>
      <c r="E2002" s="3" t="str">
        <f t="array" ref="E2002">IF(B2002="","",INDEX(helper!$F$3:$F3996,MOD(ROW()-2,COUNTA(helper!$D$3:$D3996))+1))</f>
        <v/>
      </c>
      <c r="F2002" s="3" t="str">
        <f>IF(B2002="","",SUMIFS('inventory ledger'!$H:$H,'inventory ledger'!$C:$C,C2002,'inventory ledger'!$D:$D,D2002,'inventory ledger'!$E:$E,E2002,'inventory ledger'!$A:$A,"&lt;="&amp;B2002+TIME(23,59,59))-SUMIFS('inventory ledger'!$I:$I,'inventory ledger'!$C:$C,C2002,'inventory ledger'!$D:$D,D2002,'inventory ledger'!$E:$E,E2002,'inventory ledger'!$A:$A,"&lt;="&amp;B2002+TIME(23,59,59)))</f>
        <v/>
      </c>
      <c r="G2002" s="3">
        <f>IFERROR(__xludf.DUMMYFUNCTION("IF(F2002&lt;=0,0,IFERROR(ROUNDUP(F2002/INDEX(FILTER('warehouse config'!$D:$D,('warehouse config'!$B:$B=C2002)*('warehouse config'!$C:$C=D2002)*('warehouse config'!$G:$G&lt;=B2002)*(('warehouse config'!$H:$H&gt;=B2002)+ISBLANK('warehouse config'!$H:$H))),1)),0))"),0.0)</f>
        <v>0</v>
      </c>
      <c r="H2002" s="3">
        <f>IFERROR(__xludf.DUMMYFUNCTION("IFERROR(INDEX(FILTER('cost master'!$E:$E,('cost master'!$B:$B=C2002)*('cost master'!$D:$D=""Storage cost per pallet / week"")*('cost master'!$G:$G&lt;=B2002)*(('cost master'!$H:$H&gt;=B2002)+ISBLANK('cost master'!$H:$H))),1),0)"),0.0)</f>
        <v>0</v>
      </c>
      <c r="I2002" s="3">
        <f t="shared" si="4"/>
        <v>0</v>
      </c>
      <c r="J2002" s="27">
        <f t="shared" si="5"/>
        <v>693947</v>
      </c>
      <c r="K2002" s="27">
        <f t="shared" si="6"/>
        <v>693977</v>
      </c>
    </row>
    <row r="2003" hidden="1">
      <c r="A2003" s="3" t="str">
        <f t="shared" si="3"/>
        <v/>
      </c>
      <c r="B2003" s="2" t="str">
        <f t="array" ref="B2003">INDEX(helper!$A$3:$A3996,ROUNDUP((ROW()-1)/COUNTA(helper!$D$3:$D3996),0))</f>
        <v/>
      </c>
      <c r="C2003" s="5" t="str">
        <f t="array" ref="C2003">IF(B2003="","",INDEX(helper!$D$3:$D3996,MOD(ROW()-2,COUNTA(helper!$D$3:$D3996))+1))</f>
        <v/>
      </c>
      <c r="D2003" s="3" t="str">
        <f t="array" ref="D2003">IF(B2003="","",INDEX(helper!$E$3:$E3996,MOD(ROW()-2,COUNTA(helper!$D$3:$D3996))+1))</f>
        <v/>
      </c>
      <c r="E2003" s="3" t="str">
        <f t="array" ref="E2003">IF(B2003="","",INDEX(helper!$F$3:$F3996,MOD(ROW()-2,COUNTA(helper!$D$3:$D3996))+1))</f>
        <v/>
      </c>
      <c r="F2003" s="3" t="str">
        <f>IF(B2003="","",SUMIFS('inventory ledger'!$H:$H,'inventory ledger'!$C:$C,C2003,'inventory ledger'!$D:$D,D2003,'inventory ledger'!$E:$E,E2003,'inventory ledger'!$A:$A,"&lt;="&amp;B2003+TIME(23,59,59))-SUMIFS('inventory ledger'!$I:$I,'inventory ledger'!$C:$C,C2003,'inventory ledger'!$D:$D,D2003,'inventory ledger'!$E:$E,E2003,'inventory ledger'!$A:$A,"&lt;="&amp;B2003+TIME(23,59,59)))</f>
        <v/>
      </c>
      <c r="G2003" s="3">
        <f>IFERROR(__xludf.DUMMYFUNCTION("IF(F2003&lt;=0,0,IFERROR(ROUNDUP(F2003/INDEX(FILTER('warehouse config'!$D:$D,('warehouse config'!$B:$B=C2003)*('warehouse config'!$C:$C=D2003)*('warehouse config'!$G:$G&lt;=B2003)*(('warehouse config'!$H:$H&gt;=B2003)+ISBLANK('warehouse config'!$H:$H))),1)),0))"),0.0)</f>
        <v>0</v>
      </c>
      <c r="H2003" s="3">
        <f>IFERROR(__xludf.DUMMYFUNCTION("IFERROR(INDEX(FILTER('cost master'!$E:$E,('cost master'!$B:$B=C2003)*('cost master'!$D:$D=""Storage cost per pallet / week"")*('cost master'!$G:$G&lt;=B2003)*(('cost master'!$H:$H&gt;=B2003)+ISBLANK('cost master'!$H:$H))),1),0)"),0.0)</f>
        <v>0</v>
      </c>
      <c r="I2003" s="3">
        <f t="shared" si="4"/>
        <v>0</v>
      </c>
      <c r="J2003" s="27">
        <f t="shared" si="5"/>
        <v>693947</v>
      </c>
      <c r="K2003" s="27">
        <f t="shared" si="6"/>
        <v>693977</v>
      </c>
    </row>
    <row r="2004" hidden="1">
      <c r="A2004" s="3" t="str">
        <f t="shared" si="3"/>
        <v/>
      </c>
      <c r="B2004" s="2" t="str">
        <f t="array" ref="B2004">INDEX(helper!$A$3:$A3996,ROUNDUP((ROW()-1)/COUNTA(helper!$D$3:$D3996),0))</f>
        <v/>
      </c>
      <c r="C2004" s="5" t="str">
        <f t="array" ref="C2004">IF(B2004="","",INDEX(helper!$D$3:$D3996,MOD(ROW()-2,COUNTA(helper!$D$3:$D3996))+1))</f>
        <v/>
      </c>
      <c r="D2004" s="3" t="str">
        <f t="array" ref="D2004">IF(B2004="","",INDEX(helper!$E$3:$E3996,MOD(ROW()-2,COUNTA(helper!$D$3:$D3996))+1))</f>
        <v/>
      </c>
      <c r="E2004" s="3" t="str">
        <f t="array" ref="E2004">IF(B2004="","",INDEX(helper!$F$3:$F3996,MOD(ROW()-2,COUNTA(helper!$D$3:$D3996))+1))</f>
        <v/>
      </c>
      <c r="F2004" s="3" t="str">
        <f>IF(B2004="","",SUMIFS('inventory ledger'!$H:$H,'inventory ledger'!$C:$C,C2004,'inventory ledger'!$D:$D,D2004,'inventory ledger'!$E:$E,E2004,'inventory ledger'!$A:$A,"&lt;="&amp;B2004+TIME(23,59,59))-SUMIFS('inventory ledger'!$I:$I,'inventory ledger'!$C:$C,C2004,'inventory ledger'!$D:$D,D2004,'inventory ledger'!$E:$E,E2004,'inventory ledger'!$A:$A,"&lt;="&amp;B2004+TIME(23,59,59)))</f>
        <v/>
      </c>
      <c r="G2004" s="3">
        <f>IFERROR(__xludf.DUMMYFUNCTION("IF(F2004&lt;=0,0,IFERROR(ROUNDUP(F2004/INDEX(FILTER('warehouse config'!$D:$D,('warehouse config'!$B:$B=C2004)*('warehouse config'!$C:$C=D2004)*('warehouse config'!$G:$G&lt;=B2004)*(('warehouse config'!$H:$H&gt;=B2004)+ISBLANK('warehouse config'!$H:$H))),1)),0))"),0.0)</f>
        <v>0</v>
      </c>
      <c r="H2004" s="3">
        <f>IFERROR(__xludf.DUMMYFUNCTION("IFERROR(INDEX(FILTER('cost master'!$E:$E,('cost master'!$B:$B=C2004)*('cost master'!$D:$D=""Storage cost per pallet / week"")*('cost master'!$G:$G&lt;=B2004)*(('cost master'!$H:$H&gt;=B2004)+ISBLANK('cost master'!$H:$H))),1),0)"),0.0)</f>
        <v>0</v>
      </c>
      <c r="I2004" s="3">
        <f t="shared" si="4"/>
        <v>0</v>
      </c>
      <c r="J2004" s="27">
        <f t="shared" si="5"/>
        <v>693947</v>
      </c>
      <c r="K2004" s="27">
        <f t="shared" si="6"/>
        <v>693977</v>
      </c>
    </row>
    <row r="2005" hidden="1">
      <c r="A2005" s="3" t="str">
        <f t="shared" si="3"/>
        <v/>
      </c>
      <c r="B2005" s="2" t="str">
        <f t="array" ref="B2005">INDEX(helper!$A$3:$A3996,ROUNDUP((ROW()-1)/COUNTA(helper!$D$3:$D3996),0))</f>
        <v/>
      </c>
      <c r="C2005" s="5" t="str">
        <f t="array" ref="C2005">IF(B2005="","",INDEX(helper!$D$3:$D3996,MOD(ROW()-2,COUNTA(helper!$D$3:$D3996))+1))</f>
        <v/>
      </c>
      <c r="D2005" s="3" t="str">
        <f t="array" ref="D2005">IF(B2005="","",INDEX(helper!$E$3:$E3996,MOD(ROW()-2,COUNTA(helper!$D$3:$D3996))+1))</f>
        <v/>
      </c>
      <c r="E2005" s="3" t="str">
        <f t="array" ref="E2005">IF(B2005="","",INDEX(helper!$F$3:$F3996,MOD(ROW()-2,COUNTA(helper!$D$3:$D3996))+1))</f>
        <v/>
      </c>
      <c r="F2005" s="3" t="str">
        <f>IF(B2005="","",SUMIFS('inventory ledger'!$H:$H,'inventory ledger'!$C:$C,C2005,'inventory ledger'!$D:$D,D2005,'inventory ledger'!$E:$E,E2005,'inventory ledger'!$A:$A,"&lt;="&amp;B2005+TIME(23,59,59))-SUMIFS('inventory ledger'!$I:$I,'inventory ledger'!$C:$C,C2005,'inventory ledger'!$D:$D,D2005,'inventory ledger'!$E:$E,E2005,'inventory ledger'!$A:$A,"&lt;="&amp;B2005+TIME(23,59,59)))</f>
        <v/>
      </c>
      <c r="G2005" s="3">
        <f>IFERROR(__xludf.DUMMYFUNCTION("IF(F2005&lt;=0,0,IFERROR(ROUNDUP(F2005/INDEX(FILTER('warehouse config'!$D:$D,('warehouse config'!$B:$B=C2005)*('warehouse config'!$C:$C=D2005)*('warehouse config'!$G:$G&lt;=B2005)*(('warehouse config'!$H:$H&gt;=B2005)+ISBLANK('warehouse config'!$H:$H))),1)),0))"),0.0)</f>
        <v>0</v>
      </c>
      <c r="H2005" s="3">
        <f>IFERROR(__xludf.DUMMYFUNCTION("IFERROR(INDEX(FILTER('cost master'!$E:$E,('cost master'!$B:$B=C2005)*('cost master'!$D:$D=""Storage cost per pallet / week"")*('cost master'!$G:$G&lt;=B2005)*(('cost master'!$H:$H&gt;=B2005)+ISBLANK('cost master'!$H:$H))),1),0)"),0.0)</f>
        <v>0</v>
      </c>
      <c r="I2005" s="3">
        <f t="shared" si="4"/>
        <v>0</v>
      </c>
      <c r="J2005" s="27">
        <f t="shared" si="5"/>
        <v>693947</v>
      </c>
      <c r="K2005" s="27">
        <f t="shared" si="6"/>
        <v>693977</v>
      </c>
    </row>
    <row r="2006" hidden="1">
      <c r="A2006" s="3" t="str">
        <f t="shared" si="3"/>
        <v/>
      </c>
      <c r="B2006" s="2" t="str">
        <f t="array" ref="B2006">INDEX(helper!$A$3:$A3996,ROUNDUP((ROW()-1)/COUNTA(helper!$D$3:$D3996),0))</f>
        <v/>
      </c>
      <c r="C2006" s="5" t="str">
        <f t="array" ref="C2006">IF(B2006="","",INDEX(helper!$D$3:$D3996,MOD(ROW()-2,COUNTA(helper!$D$3:$D3996))+1))</f>
        <v/>
      </c>
      <c r="D2006" s="3" t="str">
        <f t="array" ref="D2006">IF(B2006="","",INDEX(helper!$E$3:$E3996,MOD(ROW()-2,COUNTA(helper!$D$3:$D3996))+1))</f>
        <v/>
      </c>
      <c r="E2006" s="3" t="str">
        <f t="array" ref="E2006">IF(B2006="","",INDEX(helper!$F$3:$F3996,MOD(ROW()-2,COUNTA(helper!$D$3:$D3996))+1))</f>
        <v/>
      </c>
      <c r="F2006" s="3" t="str">
        <f>IF(B2006="","",SUMIFS('inventory ledger'!$H:$H,'inventory ledger'!$C:$C,C2006,'inventory ledger'!$D:$D,D2006,'inventory ledger'!$E:$E,E2006,'inventory ledger'!$A:$A,"&lt;="&amp;B2006+TIME(23,59,59))-SUMIFS('inventory ledger'!$I:$I,'inventory ledger'!$C:$C,C2006,'inventory ledger'!$D:$D,D2006,'inventory ledger'!$E:$E,E2006,'inventory ledger'!$A:$A,"&lt;="&amp;B2006+TIME(23,59,59)))</f>
        <v/>
      </c>
      <c r="G2006" s="3">
        <f>IFERROR(__xludf.DUMMYFUNCTION("IF(F2006&lt;=0,0,IFERROR(ROUNDUP(F2006/INDEX(FILTER('warehouse config'!$D:$D,('warehouse config'!$B:$B=C2006)*('warehouse config'!$C:$C=D2006)*('warehouse config'!$G:$G&lt;=B2006)*(('warehouse config'!$H:$H&gt;=B2006)+ISBLANK('warehouse config'!$H:$H))),1)),0))"),0.0)</f>
        <v>0</v>
      </c>
      <c r="H2006" s="3">
        <f>IFERROR(__xludf.DUMMYFUNCTION("IFERROR(INDEX(FILTER('cost master'!$E:$E,('cost master'!$B:$B=C2006)*('cost master'!$D:$D=""Storage cost per pallet / week"")*('cost master'!$G:$G&lt;=B2006)*(('cost master'!$H:$H&gt;=B2006)+ISBLANK('cost master'!$H:$H))),1),0)"),0.0)</f>
        <v>0</v>
      </c>
      <c r="I2006" s="3">
        <f t="shared" si="4"/>
        <v>0</v>
      </c>
      <c r="J2006" s="27">
        <f t="shared" si="5"/>
        <v>693947</v>
      </c>
      <c r="K2006" s="27">
        <f t="shared" si="6"/>
        <v>693977</v>
      </c>
    </row>
    <row r="2007" hidden="1">
      <c r="A2007" s="3" t="str">
        <f t="shared" si="3"/>
        <v/>
      </c>
      <c r="B2007" s="2" t="str">
        <f t="array" ref="B2007">INDEX(helper!$A$3:$A3996,ROUNDUP((ROW()-1)/COUNTA(helper!$D$3:$D3996),0))</f>
        <v/>
      </c>
      <c r="C2007" s="5" t="str">
        <f t="array" ref="C2007">IF(B2007="","",INDEX(helper!$D$3:$D3996,MOD(ROW()-2,COUNTA(helper!$D$3:$D3996))+1))</f>
        <v/>
      </c>
      <c r="D2007" s="3" t="str">
        <f t="array" ref="D2007">IF(B2007="","",INDEX(helper!$E$3:$E3996,MOD(ROW()-2,COUNTA(helper!$D$3:$D3996))+1))</f>
        <v/>
      </c>
      <c r="E2007" s="3" t="str">
        <f t="array" ref="E2007">IF(B2007="","",INDEX(helper!$F$3:$F3996,MOD(ROW()-2,COUNTA(helper!$D$3:$D3996))+1))</f>
        <v/>
      </c>
      <c r="F2007" s="3" t="str">
        <f>IF(B2007="","",SUMIFS('inventory ledger'!$H:$H,'inventory ledger'!$C:$C,C2007,'inventory ledger'!$D:$D,D2007,'inventory ledger'!$E:$E,E2007,'inventory ledger'!$A:$A,"&lt;="&amp;B2007+TIME(23,59,59))-SUMIFS('inventory ledger'!$I:$I,'inventory ledger'!$C:$C,C2007,'inventory ledger'!$D:$D,D2007,'inventory ledger'!$E:$E,E2007,'inventory ledger'!$A:$A,"&lt;="&amp;B2007+TIME(23,59,59)))</f>
        <v/>
      </c>
      <c r="G2007" s="3">
        <f>IFERROR(__xludf.DUMMYFUNCTION("IF(F2007&lt;=0,0,IFERROR(ROUNDUP(F2007/INDEX(FILTER('warehouse config'!$D:$D,('warehouse config'!$B:$B=C2007)*('warehouse config'!$C:$C=D2007)*('warehouse config'!$G:$G&lt;=B2007)*(('warehouse config'!$H:$H&gt;=B2007)+ISBLANK('warehouse config'!$H:$H))),1)),0))"),0.0)</f>
        <v>0</v>
      </c>
      <c r="H2007" s="3">
        <f>IFERROR(__xludf.DUMMYFUNCTION("IFERROR(INDEX(FILTER('cost master'!$E:$E,('cost master'!$B:$B=C2007)*('cost master'!$D:$D=""Storage cost per pallet / week"")*('cost master'!$G:$G&lt;=B2007)*(('cost master'!$H:$H&gt;=B2007)+ISBLANK('cost master'!$H:$H))),1),0)"),0.0)</f>
        <v>0</v>
      </c>
      <c r="I2007" s="3">
        <f t="shared" si="4"/>
        <v>0</v>
      </c>
      <c r="J2007" s="27">
        <f t="shared" si="5"/>
        <v>693947</v>
      </c>
      <c r="K2007" s="27">
        <f t="shared" si="6"/>
        <v>693977</v>
      </c>
    </row>
    <row r="2008" hidden="1">
      <c r="A2008" s="3" t="str">
        <f t="shared" si="3"/>
        <v/>
      </c>
      <c r="B2008" s="2" t="str">
        <f t="array" ref="B2008">INDEX(helper!$A$3:$A3996,ROUNDUP((ROW()-1)/COUNTA(helper!$D$3:$D3996),0))</f>
        <v/>
      </c>
      <c r="C2008" s="5" t="str">
        <f t="array" ref="C2008">IF(B2008="","",INDEX(helper!$D$3:$D3996,MOD(ROW()-2,COUNTA(helper!$D$3:$D3996))+1))</f>
        <v/>
      </c>
      <c r="D2008" s="3" t="str">
        <f t="array" ref="D2008">IF(B2008="","",INDEX(helper!$E$3:$E3996,MOD(ROW()-2,COUNTA(helper!$D$3:$D3996))+1))</f>
        <v/>
      </c>
      <c r="E2008" s="3" t="str">
        <f t="array" ref="E2008">IF(B2008="","",INDEX(helper!$F$3:$F3996,MOD(ROW()-2,COUNTA(helper!$D$3:$D3996))+1))</f>
        <v/>
      </c>
      <c r="F2008" s="3" t="str">
        <f>IF(B2008="","",SUMIFS('inventory ledger'!$H:$H,'inventory ledger'!$C:$C,C2008,'inventory ledger'!$D:$D,D2008,'inventory ledger'!$E:$E,E2008,'inventory ledger'!$A:$A,"&lt;="&amp;B2008+TIME(23,59,59))-SUMIFS('inventory ledger'!$I:$I,'inventory ledger'!$C:$C,C2008,'inventory ledger'!$D:$D,D2008,'inventory ledger'!$E:$E,E2008,'inventory ledger'!$A:$A,"&lt;="&amp;B2008+TIME(23,59,59)))</f>
        <v/>
      </c>
      <c r="G2008" s="3">
        <f>IFERROR(__xludf.DUMMYFUNCTION("IF(F2008&lt;=0,0,IFERROR(ROUNDUP(F2008/INDEX(FILTER('warehouse config'!$D:$D,('warehouse config'!$B:$B=C2008)*('warehouse config'!$C:$C=D2008)*('warehouse config'!$G:$G&lt;=B2008)*(('warehouse config'!$H:$H&gt;=B2008)+ISBLANK('warehouse config'!$H:$H))),1)),0))"),0.0)</f>
        <v>0</v>
      </c>
      <c r="H2008" s="3">
        <f>IFERROR(__xludf.DUMMYFUNCTION("IFERROR(INDEX(FILTER('cost master'!$E:$E,('cost master'!$B:$B=C2008)*('cost master'!$D:$D=""Storage cost per pallet / week"")*('cost master'!$G:$G&lt;=B2008)*(('cost master'!$H:$H&gt;=B2008)+ISBLANK('cost master'!$H:$H))),1),0)"),0.0)</f>
        <v>0</v>
      </c>
      <c r="I2008" s="3">
        <f t="shared" si="4"/>
        <v>0</v>
      </c>
      <c r="J2008" s="27">
        <f t="shared" si="5"/>
        <v>693947</v>
      </c>
      <c r="K2008" s="27">
        <f t="shared" si="6"/>
        <v>693977</v>
      </c>
    </row>
    <row r="2009" hidden="1">
      <c r="A2009" s="3" t="str">
        <f t="shared" si="3"/>
        <v/>
      </c>
      <c r="B2009" s="2" t="str">
        <f t="array" ref="B2009">INDEX(helper!$A$3:$A3996,ROUNDUP((ROW()-1)/COUNTA(helper!$D$3:$D3996),0))</f>
        <v/>
      </c>
      <c r="C2009" s="5" t="str">
        <f t="array" ref="C2009">IF(B2009="","",INDEX(helper!$D$3:$D3996,MOD(ROW()-2,COUNTA(helper!$D$3:$D3996))+1))</f>
        <v/>
      </c>
      <c r="D2009" s="3" t="str">
        <f t="array" ref="D2009">IF(B2009="","",INDEX(helper!$E$3:$E3996,MOD(ROW()-2,COUNTA(helper!$D$3:$D3996))+1))</f>
        <v/>
      </c>
      <c r="E2009" s="3" t="str">
        <f t="array" ref="E2009">IF(B2009="","",INDEX(helper!$F$3:$F3996,MOD(ROW()-2,COUNTA(helper!$D$3:$D3996))+1))</f>
        <v/>
      </c>
      <c r="F2009" s="3" t="str">
        <f>IF(B2009="","",SUMIFS('inventory ledger'!$H:$H,'inventory ledger'!$C:$C,C2009,'inventory ledger'!$D:$D,D2009,'inventory ledger'!$E:$E,E2009,'inventory ledger'!$A:$A,"&lt;="&amp;B2009+TIME(23,59,59))-SUMIFS('inventory ledger'!$I:$I,'inventory ledger'!$C:$C,C2009,'inventory ledger'!$D:$D,D2009,'inventory ledger'!$E:$E,E2009,'inventory ledger'!$A:$A,"&lt;="&amp;B2009+TIME(23,59,59)))</f>
        <v/>
      </c>
      <c r="G2009" s="3">
        <f>IFERROR(__xludf.DUMMYFUNCTION("IF(F2009&lt;=0,0,IFERROR(ROUNDUP(F2009/INDEX(FILTER('warehouse config'!$D:$D,('warehouse config'!$B:$B=C2009)*('warehouse config'!$C:$C=D2009)*('warehouse config'!$G:$G&lt;=B2009)*(('warehouse config'!$H:$H&gt;=B2009)+ISBLANK('warehouse config'!$H:$H))),1)),0))"),0.0)</f>
        <v>0</v>
      </c>
      <c r="H2009" s="3">
        <f>IFERROR(__xludf.DUMMYFUNCTION("IFERROR(INDEX(FILTER('cost master'!$E:$E,('cost master'!$B:$B=C2009)*('cost master'!$D:$D=""Storage cost per pallet / week"")*('cost master'!$G:$G&lt;=B2009)*(('cost master'!$H:$H&gt;=B2009)+ISBLANK('cost master'!$H:$H))),1),0)"),0.0)</f>
        <v>0</v>
      </c>
      <c r="I2009" s="3">
        <f t="shared" si="4"/>
        <v>0</v>
      </c>
      <c r="J2009" s="27">
        <f t="shared" si="5"/>
        <v>693947</v>
      </c>
      <c r="K2009" s="27">
        <f t="shared" si="6"/>
        <v>693977</v>
      </c>
    </row>
    <row r="2010" hidden="1">
      <c r="A2010" s="3" t="str">
        <f t="shared" si="3"/>
        <v/>
      </c>
      <c r="B2010" s="2" t="str">
        <f t="array" ref="B2010">INDEX(helper!$A$3:$A3996,ROUNDUP((ROW()-1)/COUNTA(helper!$D$3:$D3996),0))</f>
        <v/>
      </c>
      <c r="C2010" s="5" t="str">
        <f t="array" ref="C2010">IF(B2010="","",INDEX(helper!$D$3:$D3996,MOD(ROW()-2,COUNTA(helper!$D$3:$D3996))+1))</f>
        <v/>
      </c>
      <c r="D2010" s="3" t="str">
        <f t="array" ref="D2010">IF(B2010="","",INDEX(helper!$E$3:$E3996,MOD(ROW()-2,COUNTA(helper!$D$3:$D3996))+1))</f>
        <v/>
      </c>
      <c r="E2010" s="3" t="str">
        <f t="array" ref="E2010">IF(B2010="","",INDEX(helper!$F$3:$F3996,MOD(ROW()-2,COUNTA(helper!$D$3:$D3996))+1))</f>
        <v/>
      </c>
      <c r="F2010" s="3" t="str">
        <f>IF(B2010="","",SUMIFS('inventory ledger'!$H:$H,'inventory ledger'!$C:$C,C2010,'inventory ledger'!$D:$D,D2010,'inventory ledger'!$E:$E,E2010,'inventory ledger'!$A:$A,"&lt;="&amp;B2010+TIME(23,59,59))-SUMIFS('inventory ledger'!$I:$I,'inventory ledger'!$C:$C,C2010,'inventory ledger'!$D:$D,D2010,'inventory ledger'!$E:$E,E2010,'inventory ledger'!$A:$A,"&lt;="&amp;B2010+TIME(23,59,59)))</f>
        <v/>
      </c>
      <c r="G2010" s="3">
        <f>IFERROR(__xludf.DUMMYFUNCTION("IF(F2010&lt;=0,0,IFERROR(ROUNDUP(F2010/INDEX(FILTER('warehouse config'!$D:$D,('warehouse config'!$B:$B=C2010)*('warehouse config'!$C:$C=D2010)*('warehouse config'!$G:$G&lt;=B2010)*(('warehouse config'!$H:$H&gt;=B2010)+ISBLANK('warehouse config'!$H:$H))),1)),0))"),0.0)</f>
        <v>0</v>
      </c>
      <c r="H2010" s="3">
        <f>IFERROR(__xludf.DUMMYFUNCTION("IFERROR(INDEX(FILTER('cost master'!$E:$E,('cost master'!$B:$B=C2010)*('cost master'!$D:$D=""Storage cost per pallet / week"")*('cost master'!$G:$G&lt;=B2010)*(('cost master'!$H:$H&gt;=B2010)+ISBLANK('cost master'!$H:$H))),1),0)"),0.0)</f>
        <v>0</v>
      </c>
      <c r="I2010" s="3">
        <f t="shared" si="4"/>
        <v>0</v>
      </c>
      <c r="J2010" s="27">
        <f t="shared" si="5"/>
        <v>693947</v>
      </c>
      <c r="K2010" s="27">
        <f t="shared" si="6"/>
        <v>693977</v>
      </c>
    </row>
    <row r="2011" hidden="1">
      <c r="A2011" s="3" t="str">
        <f t="shared" si="3"/>
        <v/>
      </c>
      <c r="B2011" s="2" t="str">
        <f t="array" ref="B2011">INDEX(helper!$A$3:$A3996,ROUNDUP((ROW()-1)/COUNTA(helper!$D$3:$D3996),0))</f>
        <v/>
      </c>
      <c r="C2011" s="5" t="str">
        <f t="array" ref="C2011">IF(B2011="","",INDEX(helper!$D$3:$D3996,MOD(ROW()-2,COUNTA(helper!$D$3:$D3996))+1))</f>
        <v/>
      </c>
      <c r="D2011" s="3" t="str">
        <f t="array" ref="D2011">IF(B2011="","",INDEX(helper!$E$3:$E3996,MOD(ROW()-2,COUNTA(helper!$D$3:$D3996))+1))</f>
        <v/>
      </c>
      <c r="E2011" s="3" t="str">
        <f t="array" ref="E2011">IF(B2011="","",INDEX(helper!$F$3:$F3996,MOD(ROW()-2,COUNTA(helper!$D$3:$D3996))+1))</f>
        <v/>
      </c>
      <c r="F2011" s="3" t="str">
        <f>IF(B2011="","",SUMIFS('inventory ledger'!$H:$H,'inventory ledger'!$C:$C,C2011,'inventory ledger'!$D:$D,D2011,'inventory ledger'!$E:$E,E2011,'inventory ledger'!$A:$A,"&lt;="&amp;B2011+TIME(23,59,59))-SUMIFS('inventory ledger'!$I:$I,'inventory ledger'!$C:$C,C2011,'inventory ledger'!$D:$D,D2011,'inventory ledger'!$E:$E,E2011,'inventory ledger'!$A:$A,"&lt;="&amp;B2011+TIME(23,59,59)))</f>
        <v/>
      </c>
      <c r="G2011" s="3">
        <f>IFERROR(__xludf.DUMMYFUNCTION("IF(F2011&lt;=0,0,IFERROR(ROUNDUP(F2011/INDEX(FILTER('warehouse config'!$D:$D,('warehouse config'!$B:$B=C2011)*('warehouse config'!$C:$C=D2011)*('warehouse config'!$G:$G&lt;=B2011)*(('warehouse config'!$H:$H&gt;=B2011)+ISBLANK('warehouse config'!$H:$H))),1)),0))"),0.0)</f>
        <v>0</v>
      </c>
      <c r="H2011" s="3">
        <f>IFERROR(__xludf.DUMMYFUNCTION("IFERROR(INDEX(FILTER('cost master'!$E:$E,('cost master'!$B:$B=C2011)*('cost master'!$D:$D=""Storage cost per pallet / week"")*('cost master'!$G:$G&lt;=B2011)*(('cost master'!$H:$H&gt;=B2011)+ISBLANK('cost master'!$H:$H))),1),0)"),0.0)</f>
        <v>0</v>
      </c>
      <c r="I2011" s="3">
        <f t="shared" si="4"/>
        <v>0</v>
      </c>
      <c r="J2011" s="27">
        <f t="shared" si="5"/>
        <v>693947</v>
      </c>
      <c r="K2011" s="27">
        <f t="shared" si="6"/>
        <v>693977</v>
      </c>
    </row>
    <row r="2012" hidden="1">
      <c r="A2012" s="3" t="str">
        <f t="shared" si="3"/>
        <v/>
      </c>
      <c r="B2012" s="2" t="str">
        <f t="array" ref="B2012">INDEX(helper!$A$3:$A3996,ROUNDUP((ROW()-1)/COUNTA(helper!$D$3:$D3996),0))</f>
        <v/>
      </c>
      <c r="C2012" s="5" t="str">
        <f t="array" ref="C2012">IF(B2012="","",INDEX(helper!$D$3:$D3996,MOD(ROW()-2,COUNTA(helper!$D$3:$D3996))+1))</f>
        <v/>
      </c>
      <c r="D2012" s="3" t="str">
        <f t="array" ref="D2012">IF(B2012="","",INDEX(helper!$E$3:$E3996,MOD(ROW()-2,COUNTA(helper!$D$3:$D3996))+1))</f>
        <v/>
      </c>
      <c r="E2012" s="3" t="str">
        <f t="array" ref="E2012">IF(B2012="","",INDEX(helper!$F$3:$F3996,MOD(ROW()-2,COUNTA(helper!$D$3:$D3996))+1))</f>
        <v/>
      </c>
      <c r="F2012" s="3" t="str">
        <f>IF(B2012="","",SUMIFS('inventory ledger'!$H:$H,'inventory ledger'!$C:$C,C2012,'inventory ledger'!$D:$D,D2012,'inventory ledger'!$E:$E,E2012,'inventory ledger'!$A:$A,"&lt;="&amp;B2012+TIME(23,59,59))-SUMIFS('inventory ledger'!$I:$I,'inventory ledger'!$C:$C,C2012,'inventory ledger'!$D:$D,D2012,'inventory ledger'!$E:$E,E2012,'inventory ledger'!$A:$A,"&lt;="&amp;B2012+TIME(23,59,59)))</f>
        <v/>
      </c>
      <c r="G2012" s="3">
        <f>IFERROR(__xludf.DUMMYFUNCTION("IF(F2012&lt;=0,0,IFERROR(ROUNDUP(F2012/INDEX(FILTER('warehouse config'!$D:$D,('warehouse config'!$B:$B=C2012)*('warehouse config'!$C:$C=D2012)*('warehouse config'!$G:$G&lt;=B2012)*(('warehouse config'!$H:$H&gt;=B2012)+ISBLANK('warehouse config'!$H:$H))),1)),0))"),0.0)</f>
        <v>0</v>
      </c>
      <c r="H2012" s="3">
        <f>IFERROR(__xludf.DUMMYFUNCTION("IFERROR(INDEX(FILTER('cost master'!$E:$E,('cost master'!$B:$B=C2012)*('cost master'!$D:$D=""Storage cost per pallet / week"")*('cost master'!$G:$G&lt;=B2012)*(('cost master'!$H:$H&gt;=B2012)+ISBLANK('cost master'!$H:$H))),1),0)"),0.0)</f>
        <v>0</v>
      </c>
      <c r="I2012" s="3">
        <f t="shared" si="4"/>
        <v>0</v>
      </c>
      <c r="J2012" s="27">
        <f t="shared" si="5"/>
        <v>693947</v>
      </c>
      <c r="K2012" s="27">
        <f t="shared" si="6"/>
        <v>693977</v>
      </c>
    </row>
    <row r="2013" hidden="1">
      <c r="A2013" s="3" t="str">
        <f t="shared" si="3"/>
        <v/>
      </c>
      <c r="B2013" s="2" t="str">
        <f t="array" ref="B2013">INDEX(helper!$A$3:$A3996,ROUNDUP((ROW()-1)/COUNTA(helper!$D$3:$D3996),0))</f>
        <v/>
      </c>
      <c r="C2013" s="5" t="str">
        <f t="array" ref="C2013">IF(B2013="","",INDEX(helper!$D$3:$D3996,MOD(ROW()-2,COUNTA(helper!$D$3:$D3996))+1))</f>
        <v/>
      </c>
      <c r="D2013" s="3" t="str">
        <f t="array" ref="D2013">IF(B2013="","",INDEX(helper!$E$3:$E3996,MOD(ROW()-2,COUNTA(helper!$D$3:$D3996))+1))</f>
        <v/>
      </c>
      <c r="E2013" s="3" t="str">
        <f t="array" ref="E2013">IF(B2013="","",INDEX(helper!$F$3:$F3996,MOD(ROW()-2,COUNTA(helper!$D$3:$D3996))+1))</f>
        <v/>
      </c>
      <c r="F2013" s="3" t="str">
        <f>IF(B2013="","",SUMIFS('inventory ledger'!$H:$H,'inventory ledger'!$C:$C,C2013,'inventory ledger'!$D:$D,D2013,'inventory ledger'!$E:$E,E2013,'inventory ledger'!$A:$A,"&lt;="&amp;B2013+TIME(23,59,59))-SUMIFS('inventory ledger'!$I:$I,'inventory ledger'!$C:$C,C2013,'inventory ledger'!$D:$D,D2013,'inventory ledger'!$E:$E,E2013,'inventory ledger'!$A:$A,"&lt;="&amp;B2013+TIME(23,59,59)))</f>
        <v/>
      </c>
      <c r="G2013" s="3">
        <f>IFERROR(__xludf.DUMMYFUNCTION("IF(F2013&lt;=0,0,IFERROR(ROUNDUP(F2013/INDEX(FILTER('warehouse config'!$D:$D,('warehouse config'!$B:$B=C2013)*('warehouse config'!$C:$C=D2013)*('warehouse config'!$G:$G&lt;=B2013)*(('warehouse config'!$H:$H&gt;=B2013)+ISBLANK('warehouse config'!$H:$H))),1)),0))"),0.0)</f>
        <v>0</v>
      </c>
      <c r="H2013" s="3">
        <f>IFERROR(__xludf.DUMMYFUNCTION("IFERROR(INDEX(FILTER('cost master'!$E:$E,('cost master'!$B:$B=C2013)*('cost master'!$D:$D=""Storage cost per pallet / week"")*('cost master'!$G:$G&lt;=B2013)*(('cost master'!$H:$H&gt;=B2013)+ISBLANK('cost master'!$H:$H))),1),0)"),0.0)</f>
        <v>0</v>
      </c>
      <c r="I2013" s="3">
        <f t="shared" si="4"/>
        <v>0</v>
      </c>
      <c r="J2013" s="27">
        <f t="shared" si="5"/>
        <v>693947</v>
      </c>
      <c r="K2013" s="27">
        <f t="shared" si="6"/>
        <v>693977</v>
      </c>
    </row>
    <row r="2014" hidden="1">
      <c r="A2014" s="3" t="str">
        <f t="shared" si="3"/>
        <v/>
      </c>
      <c r="B2014" s="2" t="str">
        <f t="array" ref="B2014">INDEX(helper!$A$3:$A3996,ROUNDUP((ROW()-1)/COUNTA(helper!$D$3:$D3996),0))</f>
        <v/>
      </c>
      <c r="C2014" s="5" t="str">
        <f t="array" ref="C2014">IF(B2014="","",INDEX(helper!$D$3:$D3996,MOD(ROW()-2,COUNTA(helper!$D$3:$D3996))+1))</f>
        <v/>
      </c>
      <c r="D2014" s="3" t="str">
        <f t="array" ref="D2014">IF(B2014="","",INDEX(helper!$E$3:$E3996,MOD(ROW()-2,COUNTA(helper!$D$3:$D3996))+1))</f>
        <v/>
      </c>
      <c r="E2014" s="3" t="str">
        <f t="array" ref="E2014">IF(B2014="","",INDEX(helper!$F$3:$F3996,MOD(ROW()-2,COUNTA(helper!$D$3:$D3996))+1))</f>
        <v/>
      </c>
      <c r="F2014" s="3" t="str">
        <f>IF(B2014="","",SUMIFS('inventory ledger'!$H:$H,'inventory ledger'!$C:$C,C2014,'inventory ledger'!$D:$D,D2014,'inventory ledger'!$E:$E,E2014,'inventory ledger'!$A:$A,"&lt;="&amp;B2014+TIME(23,59,59))-SUMIFS('inventory ledger'!$I:$I,'inventory ledger'!$C:$C,C2014,'inventory ledger'!$D:$D,D2014,'inventory ledger'!$E:$E,E2014,'inventory ledger'!$A:$A,"&lt;="&amp;B2014+TIME(23,59,59)))</f>
        <v/>
      </c>
      <c r="G2014" s="3">
        <f>IFERROR(__xludf.DUMMYFUNCTION("IF(F2014&lt;=0,0,IFERROR(ROUNDUP(F2014/INDEX(FILTER('warehouse config'!$D:$D,('warehouse config'!$B:$B=C2014)*('warehouse config'!$C:$C=D2014)*('warehouse config'!$G:$G&lt;=B2014)*(('warehouse config'!$H:$H&gt;=B2014)+ISBLANK('warehouse config'!$H:$H))),1)),0))"),0.0)</f>
        <v>0</v>
      </c>
      <c r="H2014" s="3">
        <f>IFERROR(__xludf.DUMMYFUNCTION("IFERROR(INDEX(FILTER('cost master'!$E:$E,('cost master'!$B:$B=C2014)*('cost master'!$D:$D=""Storage cost per pallet / week"")*('cost master'!$G:$G&lt;=B2014)*(('cost master'!$H:$H&gt;=B2014)+ISBLANK('cost master'!$H:$H))),1),0)"),0.0)</f>
        <v>0</v>
      </c>
      <c r="I2014" s="3">
        <f t="shared" si="4"/>
        <v>0</v>
      </c>
      <c r="J2014" s="27">
        <f t="shared" si="5"/>
        <v>693947</v>
      </c>
      <c r="K2014" s="27">
        <f t="shared" si="6"/>
        <v>693977</v>
      </c>
    </row>
    <row r="2015" hidden="1">
      <c r="A2015" s="3" t="str">
        <f t="shared" si="3"/>
        <v/>
      </c>
      <c r="B2015" s="2" t="str">
        <f t="array" ref="B2015">INDEX(helper!$A$3:$A3996,ROUNDUP((ROW()-1)/COUNTA(helper!$D$3:$D3996),0))</f>
        <v/>
      </c>
      <c r="C2015" s="5" t="str">
        <f t="array" ref="C2015">IF(B2015="","",INDEX(helper!$D$3:$D3996,MOD(ROW()-2,COUNTA(helper!$D$3:$D3996))+1))</f>
        <v/>
      </c>
      <c r="D2015" s="3" t="str">
        <f t="array" ref="D2015">IF(B2015="","",INDEX(helper!$E$3:$E3996,MOD(ROW()-2,COUNTA(helper!$D$3:$D3996))+1))</f>
        <v/>
      </c>
      <c r="E2015" s="3" t="str">
        <f t="array" ref="E2015">IF(B2015="","",INDEX(helper!$F$3:$F3996,MOD(ROW()-2,COUNTA(helper!$D$3:$D3996))+1))</f>
        <v/>
      </c>
      <c r="F2015" s="3" t="str">
        <f>IF(B2015="","",SUMIFS('inventory ledger'!$H:$H,'inventory ledger'!$C:$C,C2015,'inventory ledger'!$D:$D,D2015,'inventory ledger'!$E:$E,E2015,'inventory ledger'!$A:$A,"&lt;="&amp;B2015+TIME(23,59,59))-SUMIFS('inventory ledger'!$I:$I,'inventory ledger'!$C:$C,C2015,'inventory ledger'!$D:$D,D2015,'inventory ledger'!$E:$E,E2015,'inventory ledger'!$A:$A,"&lt;="&amp;B2015+TIME(23,59,59)))</f>
        <v/>
      </c>
      <c r="G2015" s="3">
        <f>IFERROR(__xludf.DUMMYFUNCTION("IF(F2015&lt;=0,0,IFERROR(ROUNDUP(F2015/INDEX(FILTER('warehouse config'!$D:$D,('warehouse config'!$B:$B=C2015)*('warehouse config'!$C:$C=D2015)*('warehouse config'!$G:$G&lt;=B2015)*(('warehouse config'!$H:$H&gt;=B2015)+ISBLANK('warehouse config'!$H:$H))),1)),0))"),0.0)</f>
        <v>0</v>
      </c>
      <c r="H2015" s="3">
        <f>IFERROR(__xludf.DUMMYFUNCTION("IFERROR(INDEX(FILTER('cost master'!$E:$E,('cost master'!$B:$B=C2015)*('cost master'!$D:$D=""Storage cost per pallet / week"")*('cost master'!$G:$G&lt;=B2015)*(('cost master'!$H:$H&gt;=B2015)+ISBLANK('cost master'!$H:$H))),1),0)"),0.0)</f>
        <v>0</v>
      </c>
      <c r="I2015" s="3">
        <f t="shared" si="4"/>
        <v>0</v>
      </c>
      <c r="J2015" s="27">
        <f t="shared" si="5"/>
        <v>693947</v>
      </c>
      <c r="K2015" s="27">
        <f t="shared" si="6"/>
        <v>693977</v>
      </c>
    </row>
    <row r="2016" hidden="1">
      <c r="A2016" s="3" t="str">
        <f t="shared" si="3"/>
        <v/>
      </c>
      <c r="B2016" s="2" t="str">
        <f t="array" ref="B2016">INDEX(helper!$A$3:$A3996,ROUNDUP((ROW()-1)/COUNTA(helper!$D$3:$D3996),0))</f>
        <v/>
      </c>
      <c r="C2016" s="5" t="str">
        <f t="array" ref="C2016">IF(B2016="","",INDEX(helper!$D$3:$D3996,MOD(ROW()-2,COUNTA(helper!$D$3:$D3996))+1))</f>
        <v/>
      </c>
      <c r="D2016" s="3" t="str">
        <f t="array" ref="D2016">IF(B2016="","",INDEX(helper!$E$3:$E3996,MOD(ROW()-2,COUNTA(helper!$D$3:$D3996))+1))</f>
        <v/>
      </c>
      <c r="E2016" s="3" t="str">
        <f t="array" ref="E2016">IF(B2016="","",INDEX(helper!$F$3:$F3996,MOD(ROW()-2,COUNTA(helper!$D$3:$D3996))+1))</f>
        <v/>
      </c>
      <c r="F2016" s="3" t="str">
        <f>IF(B2016="","",SUMIFS('inventory ledger'!$H:$H,'inventory ledger'!$C:$C,C2016,'inventory ledger'!$D:$D,D2016,'inventory ledger'!$E:$E,E2016,'inventory ledger'!$A:$A,"&lt;="&amp;B2016+TIME(23,59,59))-SUMIFS('inventory ledger'!$I:$I,'inventory ledger'!$C:$C,C2016,'inventory ledger'!$D:$D,D2016,'inventory ledger'!$E:$E,E2016,'inventory ledger'!$A:$A,"&lt;="&amp;B2016+TIME(23,59,59)))</f>
        <v/>
      </c>
      <c r="G2016" s="3">
        <f>IFERROR(__xludf.DUMMYFUNCTION("IF(F2016&lt;=0,0,IFERROR(ROUNDUP(F2016/INDEX(FILTER('warehouse config'!$D:$D,('warehouse config'!$B:$B=C2016)*('warehouse config'!$C:$C=D2016)*('warehouse config'!$G:$G&lt;=B2016)*(('warehouse config'!$H:$H&gt;=B2016)+ISBLANK('warehouse config'!$H:$H))),1)),0))"),0.0)</f>
        <v>0</v>
      </c>
      <c r="H2016" s="3">
        <f>IFERROR(__xludf.DUMMYFUNCTION("IFERROR(INDEX(FILTER('cost master'!$E:$E,('cost master'!$B:$B=C2016)*('cost master'!$D:$D=""Storage cost per pallet / week"")*('cost master'!$G:$G&lt;=B2016)*(('cost master'!$H:$H&gt;=B2016)+ISBLANK('cost master'!$H:$H))),1),0)"),0.0)</f>
        <v>0</v>
      </c>
      <c r="I2016" s="3">
        <f t="shared" si="4"/>
        <v>0</v>
      </c>
      <c r="J2016" s="27">
        <f t="shared" si="5"/>
        <v>693947</v>
      </c>
      <c r="K2016" s="27">
        <f t="shared" si="6"/>
        <v>693977</v>
      </c>
    </row>
    <row r="2017" hidden="1">
      <c r="A2017" s="3" t="str">
        <f t="shared" si="3"/>
        <v/>
      </c>
      <c r="B2017" s="2" t="str">
        <f t="array" ref="B2017">INDEX(helper!$A$3:$A3996,ROUNDUP((ROW()-1)/COUNTA(helper!$D$3:$D3996),0))</f>
        <v/>
      </c>
      <c r="C2017" s="5" t="str">
        <f t="array" ref="C2017">IF(B2017="","",INDEX(helper!$D$3:$D3996,MOD(ROW()-2,COUNTA(helper!$D$3:$D3996))+1))</f>
        <v/>
      </c>
      <c r="D2017" s="3" t="str">
        <f t="array" ref="D2017">IF(B2017="","",INDEX(helper!$E$3:$E3996,MOD(ROW()-2,COUNTA(helper!$D$3:$D3996))+1))</f>
        <v/>
      </c>
      <c r="E2017" s="3" t="str">
        <f t="array" ref="E2017">IF(B2017="","",INDEX(helper!$F$3:$F3996,MOD(ROW()-2,COUNTA(helper!$D$3:$D3996))+1))</f>
        <v/>
      </c>
      <c r="F2017" s="3" t="str">
        <f>IF(B2017="","",SUMIFS('inventory ledger'!$H:$H,'inventory ledger'!$C:$C,C2017,'inventory ledger'!$D:$D,D2017,'inventory ledger'!$E:$E,E2017,'inventory ledger'!$A:$A,"&lt;="&amp;B2017+TIME(23,59,59))-SUMIFS('inventory ledger'!$I:$I,'inventory ledger'!$C:$C,C2017,'inventory ledger'!$D:$D,D2017,'inventory ledger'!$E:$E,E2017,'inventory ledger'!$A:$A,"&lt;="&amp;B2017+TIME(23,59,59)))</f>
        <v/>
      </c>
      <c r="G2017" s="3">
        <f>IFERROR(__xludf.DUMMYFUNCTION("IF(F2017&lt;=0,0,IFERROR(ROUNDUP(F2017/INDEX(FILTER('warehouse config'!$D:$D,('warehouse config'!$B:$B=C2017)*('warehouse config'!$C:$C=D2017)*('warehouse config'!$G:$G&lt;=B2017)*(('warehouse config'!$H:$H&gt;=B2017)+ISBLANK('warehouse config'!$H:$H))),1)),0))"),0.0)</f>
        <v>0</v>
      </c>
      <c r="H2017" s="3">
        <f>IFERROR(__xludf.DUMMYFUNCTION("IFERROR(INDEX(FILTER('cost master'!$E:$E,('cost master'!$B:$B=C2017)*('cost master'!$D:$D=""Storage cost per pallet / week"")*('cost master'!$G:$G&lt;=B2017)*(('cost master'!$H:$H&gt;=B2017)+ISBLANK('cost master'!$H:$H))),1),0)"),0.0)</f>
        <v>0</v>
      </c>
      <c r="I2017" s="3">
        <f t="shared" si="4"/>
        <v>0</v>
      </c>
      <c r="J2017" s="27">
        <f t="shared" si="5"/>
        <v>693947</v>
      </c>
      <c r="K2017" s="27">
        <f t="shared" si="6"/>
        <v>693977</v>
      </c>
    </row>
    <row r="2018" hidden="1">
      <c r="A2018" s="3" t="str">
        <f t="shared" si="3"/>
        <v/>
      </c>
      <c r="B2018" s="2" t="str">
        <f t="array" ref="B2018">INDEX(helper!$A$3:$A3996,ROUNDUP((ROW()-1)/COUNTA(helper!$D$3:$D3996),0))</f>
        <v/>
      </c>
      <c r="C2018" s="5" t="str">
        <f t="array" ref="C2018">IF(B2018="","",INDEX(helper!$D$3:$D3996,MOD(ROW()-2,COUNTA(helper!$D$3:$D3996))+1))</f>
        <v/>
      </c>
      <c r="D2018" s="3" t="str">
        <f t="array" ref="D2018">IF(B2018="","",INDEX(helper!$E$3:$E3996,MOD(ROW()-2,COUNTA(helper!$D$3:$D3996))+1))</f>
        <v/>
      </c>
      <c r="E2018" s="3" t="str">
        <f t="array" ref="E2018">IF(B2018="","",INDEX(helper!$F$3:$F3996,MOD(ROW()-2,COUNTA(helper!$D$3:$D3996))+1))</f>
        <v/>
      </c>
      <c r="F2018" s="3" t="str">
        <f>IF(B2018="","",SUMIFS('inventory ledger'!$H:$H,'inventory ledger'!$C:$C,C2018,'inventory ledger'!$D:$D,D2018,'inventory ledger'!$E:$E,E2018,'inventory ledger'!$A:$A,"&lt;="&amp;B2018+TIME(23,59,59))-SUMIFS('inventory ledger'!$I:$I,'inventory ledger'!$C:$C,C2018,'inventory ledger'!$D:$D,D2018,'inventory ledger'!$E:$E,E2018,'inventory ledger'!$A:$A,"&lt;="&amp;B2018+TIME(23,59,59)))</f>
        <v/>
      </c>
      <c r="G2018" s="3">
        <f>IFERROR(__xludf.DUMMYFUNCTION("IF(F2018&lt;=0,0,IFERROR(ROUNDUP(F2018/INDEX(FILTER('warehouse config'!$D:$D,('warehouse config'!$B:$B=C2018)*('warehouse config'!$C:$C=D2018)*('warehouse config'!$G:$G&lt;=B2018)*(('warehouse config'!$H:$H&gt;=B2018)+ISBLANK('warehouse config'!$H:$H))),1)),0))"),0.0)</f>
        <v>0</v>
      </c>
      <c r="H2018" s="3">
        <f>IFERROR(__xludf.DUMMYFUNCTION("IFERROR(INDEX(FILTER('cost master'!$E:$E,('cost master'!$B:$B=C2018)*('cost master'!$D:$D=""Storage cost per pallet / week"")*('cost master'!$G:$G&lt;=B2018)*(('cost master'!$H:$H&gt;=B2018)+ISBLANK('cost master'!$H:$H))),1),0)"),0.0)</f>
        <v>0</v>
      </c>
      <c r="I2018" s="3">
        <f t="shared" si="4"/>
        <v>0</v>
      </c>
      <c r="J2018" s="27">
        <f t="shared" si="5"/>
        <v>693947</v>
      </c>
      <c r="K2018" s="27">
        <f t="shared" si="6"/>
        <v>693977</v>
      </c>
    </row>
    <row r="2019" hidden="1">
      <c r="A2019" s="3" t="str">
        <f t="shared" si="3"/>
        <v/>
      </c>
      <c r="B2019" s="2" t="str">
        <f t="array" ref="B2019">INDEX(helper!$A$3:$A3996,ROUNDUP((ROW()-1)/COUNTA(helper!$D$3:$D3996),0))</f>
        <v/>
      </c>
      <c r="C2019" s="5" t="str">
        <f t="array" ref="C2019">IF(B2019="","",INDEX(helper!$D$3:$D3996,MOD(ROW()-2,COUNTA(helper!$D$3:$D3996))+1))</f>
        <v/>
      </c>
      <c r="D2019" s="3" t="str">
        <f t="array" ref="D2019">IF(B2019="","",INDEX(helper!$E$3:$E3996,MOD(ROW()-2,COUNTA(helper!$D$3:$D3996))+1))</f>
        <v/>
      </c>
      <c r="E2019" s="3" t="str">
        <f t="array" ref="E2019">IF(B2019="","",INDEX(helper!$F$3:$F3996,MOD(ROW()-2,COUNTA(helper!$D$3:$D3996))+1))</f>
        <v/>
      </c>
      <c r="F2019" s="3" t="str">
        <f>IF(B2019="","",SUMIFS('inventory ledger'!$H:$H,'inventory ledger'!$C:$C,C2019,'inventory ledger'!$D:$D,D2019,'inventory ledger'!$E:$E,E2019,'inventory ledger'!$A:$A,"&lt;="&amp;B2019+TIME(23,59,59))-SUMIFS('inventory ledger'!$I:$I,'inventory ledger'!$C:$C,C2019,'inventory ledger'!$D:$D,D2019,'inventory ledger'!$E:$E,E2019,'inventory ledger'!$A:$A,"&lt;="&amp;B2019+TIME(23,59,59)))</f>
        <v/>
      </c>
      <c r="G2019" s="3">
        <f>IFERROR(__xludf.DUMMYFUNCTION("IF(F2019&lt;=0,0,IFERROR(ROUNDUP(F2019/INDEX(FILTER('warehouse config'!$D:$D,('warehouse config'!$B:$B=C2019)*('warehouse config'!$C:$C=D2019)*('warehouse config'!$G:$G&lt;=B2019)*(('warehouse config'!$H:$H&gt;=B2019)+ISBLANK('warehouse config'!$H:$H))),1)),0))"),0.0)</f>
        <v>0</v>
      </c>
      <c r="H2019" s="3">
        <f>IFERROR(__xludf.DUMMYFUNCTION("IFERROR(INDEX(FILTER('cost master'!$E:$E,('cost master'!$B:$B=C2019)*('cost master'!$D:$D=""Storage cost per pallet / week"")*('cost master'!$G:$G&lt;=B2019)*(('cost master'!$H:$H&gt;=B2019)+ISBLANK('cost master'!$H:$H))),1),0)"),0.0)</f>
        <v>0</v>
      </c>
      <c r="I2019" s="3">
        <f t="shared" si="4"/>
        <v>0</v>
      </c>
      <c r="J2019" s="27">
        <f t="shared" si="5"/>
        <v>693947</v>
      </c>
      <c r="K2019" s="27">
        <f t="shared" si="6"/>
        <v>693977</v>
      </c>
    </row>
    <row r="2020" hidden="1">
      <c r="A2020" s="3" t="str">
        <f t="shared" si="3"/>
        <v/>
      </c>
      <c r="B2020" s="2" t="str">
        <f t="array" ref="B2020">INDEX(helper!$A$3:$A3996,ROUNDUP((ROW()-1)/COUNTA(helper!$D$3:$D3996),0))</f>
        <v/>
      </c>
      <c r="C2020" s="5" t="str">
        <f t="array" ref="C2020">IF(B2020="","",INDEX(helper!$D$3:$D3996,MOD(ROW()-2,COUNTA(helper!$D$3:$D3996))+1))</f>
        <v/>
      </c>
      <c r="D2020" s="3" t="str">
        <f t="array" ref="D2020">IF(B2020="","",INDEX(helper!$E$3:$E3996,MOD(ROW()-2,COUNTA(helper!$D$3:$D3996))+1))</f>
        <v/>
      </c>
      <c r="E2020" s="3" t="str">
        <f t="array" ref="E2020">IF(B2020="","",INDEX(helper!$F$3:$F3996,MOD(ROW()-2,COUNTA(helper!$D$3:$D3996))+1))</f>
        <v/>
      </c>
      <c r="F2020" s="3" t="str">
        <f>IF(B2020="","",SUMIFS('inventory ledger'!$H:$H,'inventory ledger'!$C:$C,C2020,'inventory ledger'!$D:$D,D2020,'inventory ledger'!$E:$E,E2020,'inventory ledger'!$A:$A,"&lt;="&amp;B2020+TIME(23,59,59))-SUMIFS('inventory ledger'!$I:$I,'inventory ledger'!$C:$C,C2020,'inventory ledger'!$D:$D,D2020,'inventory ledger'!$E:$E,E2020,'inventory ledger'!$A:$A,"&lt;="&amp;B2020+TIME(23,59,59)))</f>
        <v/>
      </c>
      <c r="G2020" s="3">
        <f>IFERROR(__xludf.DUMMYFUNCTION("IF(F2020&lt;=0,0,IFERROR(ROUNDUP(F2020/INDEX(FILTER('warehouse config'!$D:$D,('warehouse config'!$B:$B=C2020)*('warehouse config'!$C:$C=D2020)*('warehouse config'!$G:$G&lt;=B2020)*(('warehouse config'!$H:$H&gt;=B2020)+ISBLANK('warehouse config'!$H:$H))),1)),0))"),0.0)</f>
        <v>0</v>
      </c>
      <c r="H2020" s="3">
        <f>IFERROR(__xludf.DUMMYFUNCTION("IFERROR(INDEX(FILTER('cost master'!$E:$E,('cost master'!$B:$B=C2020)*('cost master'!$D:$D=""Storage cost per pallet / week"")*('cost master'!$G:$G&lt;=B2020)*(('cost master'!$H:$H&gt;=B2020)+ISBLANK('cost master'!$H:$H))),1),0)"),0.0)</f>
        <v>0</v>
      </c>
      <c r="I2020" s="3">
        <f t="shared" si="4"/>
        <v>0</v>
      </c>
      <c r="J2020" s="27">
        <f t="shared" si="5"/>
        <v>693947</v>
      </c>
      <c r="K2020" s="27">
        <f t="shared" si="6"/>
        <v>693977</v>
      </c>
    </row>
    <row r="2021" hidden="1">
      <c r="A2021" s="3" t="str">
        <f t="shared" si="3"/>
        <v/>
      </c>
      <c r="B2021" s="2" t="str">
        <f t="array" ref="B2021">INDEX(helper!$A$3:$A3996,ROUNDUP((ROW()-1)/COUNTA(helper!$D$3:$D3996),0))</f>
        <v/>
      </c>
      <c r="C2021" s="5" t="str">
        <f t="array" ref="C2021">IF(B2021="","",INDEX(helper!$D$3:$D3996,MOD(ROW()-2,COUNTA(helper!$D$3:$D3996))+1))</f>
        <v/>
      </c>
      <c r="D2021" s="3" t="str">
        <f t="array" ref="D2021">IF(B2021="","",INDEX(helper!$E$3:$E3996,MOD(ROW()-2,COUNTA(helper!$D$3:$D3996))+1))</f>
        <v/>
      </c>
      <c r="E2021" s="3" t="str">
        <f t="array" ref="E2021">IF(B2021="","",INDEX(helper!$F$3:$F3996,MOD(ROW()-2,COUNTA(helper!$D$3:$D3996))+1))</f>
        <v/>
      </c>
      <c r="F2021" s="3" t="str">
        <f>IF(B2021="","",SUMIFS('inventory ledger'!$H:$H,'inventory ledger'!$C:$C,C2021,'inventory ledger'!$D:$D,D2021,'inventory ledger'!$E:$E,E2021,'inventory ledger'!$A:$A,"&lt;="&amp;B2021+TIME(23,59,59))-SUMIFS('inventory ledger'!$I:$I,'inventory ledger'!$C:$C,C2021,'inventory ledger'!$D:$D,D2021,'inventory ledger'!$E:$E,E2021,'inventory ledger'!$A:$A,"&lt;="&amp;B2021+TIME(23,59,59)))</f>
        <v/>
      </c>
      <c r="G2021" s="3">
        <f>IFERROR(__xludf.DUMMYFUNCTION("IF(F2021&lt;=0,0,IFERROR(ROUNDUP(F2021/INDEX(FILTER('warehouse config'!$D:$D,('warehouse config'!$B:$B=C2021)*('warehouse config'!$C:$C=D2021)*('warehouse config'!$G:$G&lt;=B2021)*(('warehouse config'!$H:$H&gt;=B2021)+ISBLANK('warehouse config'!$H:$H))),1)),0))"),0.0)</f>
        <v>0</v>
      </c>
      <c r="H2021" s="3">
        <f>IFERROR(__xludf.DUMMYFUNCTION("IFERROR(INDEX(FILTER('cost master'!$E:$E,('cost master'!$B:$B=C2021)*('cost master'!$D:$D=""Storage cost per pallet / week"")*('cost master'!$G:$G&lt;=B2021)*(('cost master'!$H:$H&gt;=B2021)+ISBLANK('cost master'!$H:$H))),1),0)"),0.0)</f>
        <v>0</v>
      </c>
      <c r="I2021" s="3">
        <f t="shared" si="4"/>
        <v>0</v>
      </c>
      <c r="J2021" s="27">
        <f t="shared" si="5"/>
        <v>693947</v>
      </c>
      <c r="K2021" s="27">
        <f t="shared" si="6"/>
        <v>693977</v>
      </c>
    </row>
    <row r="2022" hidden="1">
      <c r="A2022" s="3" t="str">
        <f t="shared" si="3"/>
        <v/>
      </c>
      <c r="B2022" s="2" t="str">
        <f t="array" ref="B2022">INDEX(helper!$A$3:$A3996,ROUNDUP((ROW()-1)/COUNTA(helper!$D$3:$D3996),0))</f>
        <v/>
      </c>
      <c r="C2022" s="5" t="str">
        <f t="array" ref="C2022">IF(B2022="","",INDEX(helper!$D$3:$D3996,MOD(ROW()-2,COUNTA(helper!$D$3:$D3996))+1))</f>
        <v/>
      </c>
      <c r="D2022" s="3" t="str">
        <f t="array" ref="D2022">IF(B2022="","",INDEX(helper!$E$3:$E3996,MOD(ROW()-2,COUNTA(helper!$D$3:$D3996))+1))</f>
        <v/>
      </c>
      <c r="E2022" s="3" t="str">
        <f t="array" ref="E2022">IF(B2022="","",INDEX(helper!$F$3:$F3996,MOD(ROW()-2,COUNTA(helper!$D$3:$D3996))+1))</f>
        <v/>
      </c>
      <c r="F2022" s="3" t="str">
        <f>IF(B2022="","",SUMIFS('inventory ledger'!$H:$H,'inventory ledger'!$C:$C,C2022,'inventory ledger'!$D:$D,D2022,'inventory ledger'!$E:$E,E2022,'inventory ledger'!$A:$A,"&lt;="&amp;B2022+TIME(23,59,59))-SUMIFS('inventory ledger'!$I:$I,'inventory ledger'!$C:$C,C2022,'inventory ledger'!$D:$D,D2022,'inventory ledger'!$E:$E,E2022,'inventory ledger'!$A:$A,"&lt;="&amp;B2022+TIME(23,59,59)))</f>
        <v/>
      </c>
      <c r="G2022" s="3">
        <f>IFERROR(__xludf.DUMMYFUNCTION("IF(F2022&lt;=0,0,IFERROR(ROUNDUP(F2022/INDEX(FILTER('warehouse config'!$D:$D,('warehouse config'!$B:$B=C2022)*('warehouse config'!$C:$C=D2022)*('warehouse config'!$G:$G&lt;=B2022)*(('warehouse config'!$H:$H&gt;=B2022)+ISBLANK('warehouse config'!$H:$H))),1)),0))"),0.0)</f>
        <v>0</v>
      </c>
      <c r="H2022" s="3">
        <f>IFERROR(__xludf.DUMMYFUNCTION("IFERROR(INDEX(FILTER('cost master'!$E:$E,('cost master'!$B:$B=C2022)*('cost master'!$D:$D=""Storage cost per pallet / week"")*('cost master'!$G:$G&lt;=B2022)*(('cost master'!$H:$H&gt;=B2022)+ISBLANK('cost master'!$H:$H))),1),0)"),0.0)</f>
        <v>0</v>
      </c>
      <c r="I2022" s="3">
        <f t="shared" si="4"/>
        <v>0</v>
      </c>
      <c r="J2022" s="27">
        <f t="shared" si="5"/>
        <v>693947</v>
      </c>
      <c r="K2022" s="27">
        <f t="shared" si="6"/>
        <v>693977</v>
      </c>
    </row>
    <row r="2023" hidden="1">
      <c r="A2023" s="3" t="str">
        <f t="shared" si="3"/>
        <v/>
      </c>
      <c r="B2023" s="2" t="str">
        <f t="array" ref="B2023">INDEX(helper!$A$3:$A3996,ROUNDUP((ROW()-1)/COUNTA(helper!$D$3:$D3996),0))</f>
        <v/>
      </c>
      <c r="C2023" s="5" t="str">
        <f t="array" ref="C2023">IF(B2023="","",INDEX(helper!$D$3:$D3996,MOD(ROW()-2,COUNTA(helper!$D$3:$D3996))+1))</f>
        <v/>
      </c>
      <c r="D2023" s="3" t="str">
        <f t="array" ref="D2023">IF(B2023="","",INDEX(helper!$E$3:$E3996,MOD(ROW()-2,COUNTA(helper!$D$3:$D3996))+1))</f>
        <v/>
      </c>
      <c r="E2023" s="3" t="str">
        <f t="array" ref="E2023">IF(B2023="","",INDEX(helper!$F$3:$F3996,MOD(ROW()-2,COUNTA(helper!$D$3:$D3996))+1))</f>
        <v/>
      </c>
      <c r="F2023" s="3" t="str">
        <f>IF(B2023="","",SUMIFS('inventory ledger'!$H:$H,'inventory ledger'!$C:$C,C2023,'inventory ledger'!$D:$D,D2023,'inventory ledger'!$E:$E,E2023,'inventory ledger'!$A:$A,"&lt;="&amp;B2023+TIME(23,59,59))-SUMIFS('inventory ledger'!$I:$I,'inventory ledger'!$C:$C,C2023,'inventory ledger'!$D:$D,D2023,'inventory ledger'!$E:$E,E2023,'inventory ledger'!$A:$A,"&lt;="&amp;B2023+TIME(23,59,59)))</f>
        <v/>
      </c>
      <c r="G2023" s="3">
        <f>IFERROR(__xludf.DUMMYFUNCTION("IF(F2023&lt;=0,0,IFERROR(ROUNDUP(F2023/INDEX(FILTER('warehouse config'!$D:$D,('warehouse config'!$B:$B=C2023)*('warehouse config'!$C:$C=D2023)*('warehouse config'!$G:$G&lt;=B2023)*(('warehouse config'!$H:$H&gt;=B2023)+ISBLANK('warehouse config'!$H:$H))),1)),0))"),0.0)</f>
        <v>0</v>
      </c>
      <c r="H2023" s="3">
        <f>IFERROR(__xludf.DUMMYFUNCTION("IFERROR(INDEX(FILTER('cost master'!$E:$E,('cost master'!$B:$B=C2023)*('cost master'!$D:$D=""Storage cost per pallet / week"")*('cost master'!$G:$G&lt;=B2023)*(('cost master'!$H:$H&gt;=B2023)+ISBLANK('cost master'!$H:$H))),1),0)"),0.0)</f>
        <v>0</v>
      </c>
      <c r="I2023" s="3">
        <f t="shared" si="4"/>
        <v>0</v>
      </c>
      <c r="J2023" s="27">
        <f t="shared" si="5"/>
        <v>693947</v>
      </c>
      <c r="K2023" s="27">
        <f t="shared" si="6"/>
        <v>693977</v>
      </c>
    </row>
    <row r="2024" hidden="1">
      <c r="A2024" s="3" t="str">
        <f t="shared" si="3"/>
        <v/>
      </c>
      <c r="B2024" s="2" t="str">
        <f t="array" ref="B2024">INDEX(helper!$A$3:$A3996,ROUNDUP((ROW()-1)/COUNTA(helper!$D$3:$D3996),0))</f>
        <v/>
      </c>
      <c r="C2024" s="5" t="str">
        <f t="array" ref="C2024">IF(B2024="","",INDEX(helper!$D$3:$D3996,MOD(ROW()-2,COUNTA(helper!$D$3:$D3996))+1))</f>
        <v/>
      </c>
      <c r="D2024" s="3" t="str">
        <f t="array" ref="D2024">IF(B2024="","",INDEX(helper!$E$3:$E3996,MOD(ROW()-2,COUNTA(helper!$D$3:$D3996))+1))</f>
        <v/>
      </c>
      <c r="E2024" s="3" t="str">
        <f t="array" ref="E2024">IF(B2024="","",INDEX(helper!$F$3:$F3996,MOD(ROW()-2,COUNTA(helper!$D$3:$D3996))+1))</f>
        <v/>
      </c>
      <c r="F2024" s="3" t="str">
        <f>IF(B2024="","",SUMIFS('inventory ledger'!$H:$H,'inventory ledger'!$C:$C,C2024,'inventory ledger'!$D:$D,D2024,'inventory ledger'!$E:$E,E2024,'inventory ledger'!$A:$A,"&lt;="&amp;B2024+TIME(23,59,59))-SUMIFS('inventory ledger'!$I:$I,'inventory ledger'!$C:$C,C2024,'inventory ledger'!$D:$D,D2024,'inventory ledger'!$E:$E,E2024,'inventory ledger'!$A:$A,"&lt;="&amp;B2024+TIME(23,59,59)))</f>
        <v/>
      </c>
      <c r="G2024" s="3">
        <f>IFERROR(__xludf.DUMMYFUNCTION("IF(F2024&lt;=0,0,IFERROR(ROUNDUP(F2024/INDEX(FILTER('warehouse config'!$D:$D,('warehouse config'!$B:$B=C2024)*('warehouse config'!$C:$C=D2024)*('warehouse config'!$G:$G&lt;=B2024)*(('warehouse config'!$H:$H&gt;=B2024)+ISBLANK('warehouse config'!$H:$H))),1)),0))"),0.0)</f>
        <v>0</v>
      </c>
      <c r="H2024" s="3">
        <f>IFERROR(__xludf.DUMMYFUNCTION("IFERROR(INDEX(FILTER('cost master'!$E:$E,('cost master'!$B:$B=C2024)*('cost master'!$D:$D=""Storage cost per pallet / week"")*('cost master'!$G:$G&lt;=B2024)*(('cost master'!$H:$H&gt;=B2024)+ISBLANK('cost master'!$H:$H))),1),0)"),0.0)</f>
        <v>0</v>
      </c>
      <c r="I2024" s="3">
        <f t="shared" si="4"/>
        <v>0</v>
      </c>
      <c r="J2024" s="27">
        <f t="shared" si="5"/>
        <v>693947</v>
      </c>
      <c r="K2024" s="27">
        <f t="shared" si="6"/>
        <v>693977</v>
      </c>
    </row>
    <row r="2025" hidden="1">
      <c r="A2025" s="3" t="str">
        <f t="shared" si="3"/>
        <v/>
      </c>
      <c r="B2025" s="2" t="str">
        <f t="array" ref="B2025">INDEX(helper!$A$3:$A3996,ROUNDUP((ROW()-1)/COUNTA(helper!$D$3:$D3996),0))</f>
        <v/>
      </c>
      <c r="C2025" s="5" t="str">
        <f t="array" ref="C2025">IF(B2025="","",INDEX(helper!$D$3:$D3996,MOD(ROW()-2,COUNTA(helper!$D$3:$D3996))+1))</f>
        <v/>
      </c>
      <c r="D2025" s="3" t="str">
        <f t="array" ref="D2025">IF(B2025="","",INDEX(helper!$E$3:$E3996,MOD(ROW()-2,COUNTA(helper!$D$3:$D3996))+1))</f>
        <v/>
      </c>
      <c r="E2025" s="3" t="str">
        <f t="array" ref="E2025">IF(B2025="","",INDEX(helper!$F$3:$F3996,MOD(ROW()-2,COUNTA(helper!$D$3:$D3996))+1))</f>
        <v/>
      </c>
      <c r="F2025" s="3" t="str">
        <f>IF(B2025="","",SUMIFS('inventory ledger'!$H:$H,'inventory ledger'!$C:$C,C2025,'inventory ledger'!$D:$D,D2025,'inventory ledger'!$E:$E,E2025,'inventory ledger'!$A:$A,"&lt;="&amp;B2025+TIME(23,59,59))-SUMIFS('inventory ledger'!$I:$I,'inventory ledger'!$C:$C,C2025,'inventory ledger'!$D:$D,D2025,'inventory ledger'!$E:$E,E2025,'inventory ledger'!$A:$A,"&lt;="&amp;B2025+TIME(23,59,59)))</f>
        <v/>
      </c>
      <c r="G2025" s="3">
        <f>IFERROR(__xludf.DUMMYFUNCTION("IF(F2025&lt;=0,0,IFERROR(ROUNDUP(F2025/INDEX(FILTER('warehouse config'!$D:$D,('warehouse config'!$B:$B=C2025)*('warehouse config'!$C:$C=D2025)*('warehouse config'!$G:$G&lt;=B2025)*(('warehouse config'!$H:$H&gt;=B2025)+ISBLANK('warehouse config'!$H:$H))),1)),0))"),0.0)</f>
        <v>0</v>
      </c>
      <c r="H2025" s="3">
        <f>IFERROR(__xludf.DUMMYFUNCTION("IFERROR(INDEX(FILTER('cost master'!$E:$E,('cost master'!$B:$B=C2025)*('cost master'!$D:$D=""Storage cost per pallet / week"")*('cost master'!$G:$G&lt;=B2025)*(('cost master'!$H:$H&gt;=B2025)+ISBLANK('cost master'!$H:$H))),1),0)"),0.0)</f>
        <v>0</v>
      </c>
      <c r="I2025" s="3">
        <f t="shared" si="4"/>
        <v>0</v>
      </c>
      <c r="J2025" s="27">
        <f t="shared" si="5"/>
        <v>693947</v>
      </c>
      <c r="K2025" s="27">
        <f t="shared" si="6"/>
        <v>693977</v>
      </c>
    </row>
    <row r="2026" hidden="1">
      <c r="A2026" s="3" t="str">
        <f t="shared" si="3"/>
        <v/>
      </c>
      <c r="B2026" s="2" t="str">
        <f t="array" ref="B2026">INDEX(helper!$A$3:$A3996,ROUNDUP((ROW()-1)/COUNTA(helper!$D$3:$D3996),0))</f>
        <v/>
      </c>
      <c r="C2026" s="5" t="str">
        <f t="array" ref="C2026">IF(B2026="","",INDEX(helper!$D$3:$D3996,MOD(ROW()-2,COUNTA(helper!$D$3:$D3996))+1))</f>
        <v/>
      </c>
      <c r="D2026" s="3" t="str">
        <f t="array" ref="D2026">IF(B2026="","",INDEX(helper!$E$3:$E3996,MOD(ROW()-2,COUNTA(helper!$D$3:$D3996))+1))</f>
        <v/>
      </c>
      <c r="E2026" s="3" t="str">
        <f t="array" ref="E2026">IF(B2026="","",INDEX(helper!$F$3:$F3996,MOD(ROW()-2,COUNTA(helper!$D$3:$D3996))+1))</f>
        <v/>
      </c>
      <c r="F2026" s="3" t="str">
        <f>IF(B2026="","",SUMIFS('inventory ledger'!$H:$H,'inventory ledger'!$C:$C,C2026,'inventory ledger'!$D:$D,D2026,'inventory ledger'!$E:$E,E2026,'inventory ledger'!$A:$A,"&lt;="&amp;B2026+TIME(23,59,59))-SUMIFS('inventory ledger'!$I:$I,'inventory ledger'!$C:$C,C2026,'inventory ledger'!$D:$D,D2026,'inventory ledger'!$E:$E,E2026,'inventory ledger'!$A:$A,"&lt;="&amp;B2026+TIME(23,59,59)))</f>
        <v/>
      </c>
      <c r="G2026" s="3">
        <f>IFERROR(__xludf.DUMMYFUNCTION("IF(F2026&lt;=0,0,IFERROR(ROUNDUP(F2026/INDEX(FILTER('warehouse config'!$D:$D,('warehouse config'!$B:$B=C2026)*('warehouse config'!$C:$C=D2026)*('warehouse config'!$G:$G&lt;=B2026)*(('warehouse config'!$H:$H&gt;=B2026)+ISBLANK('warehouse config'!$H:$H))),1)),0))"),0.0)</f>
        <v>0</v>
      </c>
      <c r="H2026" s="3">
        <f>IFERROR(__xludf.DUMMYFUNCTION("IFERROR(INDEX(FILTER('cost master'!$E:$E,('cost master'!$B:$B=C2026)*('cost master'!$D:$D=""Storage cost per pallet / week"")*('cost master'!$G:$G&lt;=B2026)*(('cost master'!$H:$H&gt;=B2026)+ISBLANK('cost master'!$H:$H))),1),0)"),0.0)</f>
        <v>0</v>
      </c>
      <c r="I2026" s="3">
        <f t="shared" si="4"/>
        <v>0</v>
      </c>
      <c r="J2026" s="27">
        <f t="shared" si="5"/>
        <v>693947</v>
      </c>
      <c r="K2026" s="27">
        <f t="shared" si="6"/>
        <v>693977</v>
      </c>
    </row>
    <row r="2027" hidden="1">
      <c r="A2027" s="3" t="str">
        <f t="shared" si="3"/>
        <v/>
      </c>
      <c r="B2027" s="2" t="str">
        <f t="array" ref="B2027">INDEX(helper!$A$3:$A3996,ROUNDUP((ROW()-1)/COUNTA(helper!$D$3:$D3996),0))</f>
        <v/>
      </c>
      <c r="C2027" s="5" t="str">
        <f t="array" ref="C2027">IF(B2027="","",INDEX(helper!$D$3:$D3996,MOD(ROW()-2,COUNTA(helper!$D$3:$D3996))+1))</f>
        <v/>
      </c>
      <c r="D2027" s="3" t="str">
        <f t="array" ref="D2027">IF(B2027="","",INDEX(helper!$E$3:$E3996,MOD(ROW()-2,COUNTA(helper!$D$3:$D3996))+1))</f>
        <v/>
      </c>
      <c r="E2027" s="3" t="str">
        <f t="array" ref="E2027">IF(B2027="","",INDEX(helper!$F$3:$F3996,MOD(ROW()-2,COUNTA(helper!$D$3:$D3996))+1))</f>
        <v/>
      </c>
      <c r="F2027" s="3" t="str">
        <f>IF(B2027="","",SUMIFS('inventory ledger'!$H:$H,'inventory ledger'!$C:$C,C2027,'inventory ledger'!$D:$D,D2027,'inventory ledger'!$E:$E,E2027,'inventory ledger'!$A:$A,"&lt;="&amp;B2027+TIME(23,59,59))-SUMIFS('inventory ledger'!$I:$I,'inventory ledger'!$C:$C,C2027,'inventory ledger'!$D:$D,D2027,'inventory ledger'!$E:$E,E2027,'inventory ledger'!$A:$A,"&lt;="&amp;B2027+TIME(23,59,59)))</f>
        <v/>
      </c>
      <c r="G2027" s="3">
        <f>IFERROR(__xludf.DUMMYFUNCTION("IF(F2027&lt;=0,0,IFERROR(ROUNDUP(F2027/INDEX(FILTER('warehouse config'!$D:$D,('warehouse config'!$B:$B=C2027)*('warehouse config'!$C:$C=D2027)*('warehouse config'!$G:$G&lt;=B2027)*(('warehouse config'!$H:$H&gt;=B2027)+ISBLANK('warehouse config'!$H:$H))),1)),0))"),0.0)</f>
        <v>0</v>
      </c>
      <c r="H2027" s="3">
        <f>IFERROR(__xludf.DUMMYFUNCTION("IFERROR(INDEX(FILTER('cost master'!$E:$E,('cost master'!$B:$B=C2027)*('cost master'!$D:$D=""Storage cost per pallet / week"")*('cost master'!$G:$G&lt;=B2027)*(('cost master'!$H:$H&gt;=B2027)+ISBLANK('cost master'!$H:$H))),1),0)"),0.0)</f>
        <v>0</v>
      </c>
      <c r="I2027" s="3">
        <f t="shared" si="4"/>
        <v>0</v>
      </c>
      <c r="J2027" s="27">
        <f t="shared" si="5"/>
        <v>693947</v>
      </c>
      <c r="K2027" s="27">
        <f t="shared" si="6"/>
        <v>693977</v>
      </c>
    </row>
    <row r="2028" hidden="1">
      <c r="A2028" s="3" t="str">
        <f t="shared" si="3"/>
        <v/>
      </c>
      <c r="B2028" s="2" t="str">
        <f t="array" ref="B2028">INDEX(helper!$A$3:$A3996,ROUNDUP((ROW()-1)/COUNTA(helper!$D$3:$D3996),0))</f>
        <v/>
      </c>
      <c r="C2028" s="5" t="str">
        <f t="array" ref="C2028">IF(B2028="","",INDEX(helper!$D$3:$D3996,MOD(ROW()-2,COUNTA(helper!$D$3:$D3996))+1))</f>
        <v/>
      </c>
      <c r="D2028" s="3" t="str">
        <f t="array" ref="D2028">IF(B2028="","",INDEX(helper!$E$3:$E3996,MOD(ROW()-2,COUNTA(helper!$D$3:$D3996))+1))</f>
        <v/>
      </c>
      <c r="E2028" s="3" t="str">
        <f t="array" ref="E2028">IF(B2028="","",INDEX(helper!$F$3:$F3996,MOD(ROW()-2,COUNTA(helper!$D$3:$D3996))+1))</f>
        <v/>
      </c>
      <c r="F2028" s="3" t="str">
        <f>IF(B2028="","",SUMIFS('inventory ledger'!$H:$H,'inventory ledger'!$C:$C,C2028,'inventory ledger'!$D:$D,D2028,'inventory ledger'!$E:$E,E2028,'inventory ledger'!$A:$A,"&lt;="&amp;B2028+TIME(23,59,59))-SUMIFS('inventory ledger'!$I:$I,'inventory ledger'!$C:$C,C2028,'inventory ledger'!$D:$D,D2028,'inventory ledger'!$E:$E,E2028,'inventory ledger'!$A:$A,"&lt;="&amp;B2028+TIME(23,59,59)))</f>
        <v/>
      </c>
      <c r="G2028" s="3">
        <f>IFERROR(__xludf.DUMMYFUNCTION("IF(F2028&lt;=0,0,IFERROR(ROUNDUP(F2028/INDEX(FILTER('warehouse config'!$D:$D,('warehouse config'!$B:$B=C2028)*('warehouse config'!$C:$C=D2028)*('warehouse config'!$G:$G&lt;=B2028)*(('warehouse config'!$H:$H&gt;=B2028)+ISBLANK('warehouse config'!$H:$H))),1)),0))"),0.0)</f>
        <v>0</v>
      </c>
      <c r="H2028" s="3">
        <f>IFERROR(__xludf.DUMMYFUNCTION("IFERROR(INDEX(FILTER('cost master'!$E:$E,('cost master'!$B:$B=C2028)*('cost master'!$D:$D=""Storage cost per pallet / week"")*('cost master'!$G:$G&lt;=B2028)*(('cost master'!$H:$H&gt;=B2028)+ISBLANK('cost master'!$H:$H))),1),0)"),0.0)</f>
        <v>0</v>
      </c>
      <c r="I2028" s="3">
        <f t="shared" si="4"/>
        <v>0</v>
      </c>
      <c r="J2028" s="27">
        <f t="shared" si="5"/>
        <v>693947</v>
      </c>
      <c r="K2028" s="27">
        <f t="shared" si="6"/>
        <v>693977</v>
      </c>
    </row>
    <row r="2029" hidden="1">
      <c r="A2029" s="3" t="str">
        <f t="shared" si="3"/>
        <v/>
      </c>
      <c r="B2029" s="2" t="str">
        <f t="array" ref="B2029">INDEX(helper!$A$3:$A3996,ROUNDUP((ROW()-1)/COUNTA(helper!$D$3:$D3996),0))</f>
        <v/>
      </c>
      <c r="C2029" s="5" t="str">
        <f t="array" ref="C2029">IF(B2029="","",INDEX(helper!$D$3:$D3996,MOD(ROW()-2,COUNTA(helper!$D$3:$D3996))+1))</f>
        <v/>
      </c>
      <c r="D2029" s="3" t="str">
        <f t="array" ref="D2029">IF(B2029="","",INDEX(helper!$E$3:$E3996,MOD(ROW()-2,COUNTA(helper!$D$3:$D3996))+1))</f>
        <v/>
      </c>
      <c r="E2029" s="3" t="str">
        <f t="array" ref="E2029">IF(B2029="","",INDEX(helper!$F$3:$F3996,MOD(ROW()-2,COUNTA(helper!$D$3:$D3996))+1))</f>
        <v/>
      </c>
      <c r="F2029" s="3" t="str">
        <f>IF(B2029="","",SUMIFS('inventory ledger'!$H:$H,'inventory ledger'!$C:$C,C2029,'inventory ledger'!$D:$D,D2029,'inventory ledger'!$E:$E,E2029,'inventory ledger'!$A:$A,"&lt;="&amp;B2029+TIME(23,59,59))-SUMIFS('inventory ledger'!$I:$I,'inventory ledger'!$C:$C,C2029,'inventory ledger'!$D:$D,D2029,'inventory ledger'!$E:$E,E2029,'inventory ledger'!$A:$A,"&lt;="&amp;B2029+TIME(23,59,59)))</f>
        <v/>
      </c>
      <c r="G2029" s="3">
        <f>IFERROR(__xludf.DUMMYFUNCTION("IF(F2029&lt;=0,0,IFERROR(ROUNDUP(F2029/INDEX(FILTER('warehouse config'!$D:$D,('warehouse config'!$B:$B=C2029)*('warehouse config'!$C:$C=D2029)*('warehouse config'!$G:$G&lt;=B2029)*(('warehouse config'!$H:$H&gt;=B2029)+ISBLANK('warehouse config'!$H:$H))),1)),0))"),0.0)</f>
        <v>0</v>
      </c>
      <c r="H2029" s="3">
        <f>IFERROR(__xludf.DUMMYFUNCTION("IFERROR(INDEX(FILTER('cost master'!$E:$E,('cost master'!$B:$B=C2029)*('cost master'!$D:$D=""Storage cost per pallet / week"")*('cost master'!$G:$G&lt;=B2029)*(('cost master'!$H:$H&gt;=B2029)+ISBLANK('cost master'!$H:$H))),1),0)"),0.0)</f>
        <v>0</v>
      </c>
      <c r="I2029" s="3">
        <f t="shared" si="4"/>
        <v>0</v>
      </c>
      <c r="J2029" s="27">
        <f t="shared" si="5"/>
        <v>693947</v>
      </c>
      <c r="K2029" s="27">
        <f t="shared" si="6"/>
        <v>693977</v>
      </c>
    </row>
    <row r="2030" hidden="1">
      <c r="A2030" s="3" t="str">
        <f t="shared" si="3"/>
        <v/>
      </c>
      <c r="B2030" s="2" t="str">
        <f t="array" ref="B2030">INDEX(helper!$A$3:$A3996,ROUNDUP((ROW()-1)/COUNTA(helper!$D$3:$D3996),0))</f>
        <v/>
      </c>
      <c r="C2030" s="5" t="str">
        <f t="array" ref="C2030">IF(B2030="","",INDEX(helper!$D$3:$D3996,MOD(ROW()-2,COUNTA(helper!$D$3:$D3996))+1))</f>
        <v/>
      </c>
      <c r="D2030" s="3" t="str">
        <f t="array" ref="D2030">IF(B2030="","",INDEX(helper!$E$3:$E3996,MOD(ROW()-2,COUNTA(helper!$D$3:$D3996))+1))</f>
        <v/>
      </c>
      <c r="E2030" s="3" t="str">
        <f t="array" ref="E2030">IF(B2030="","",INDEX(helper!$F$3:$F3996,MOD(ROW()-2,COUNTA(helper!$D$3:$D3996))+1))</f>
        <v/>
      </c>
      <c r="F2030" s="3" t="str">
        <f>IF(B2030="","",SUMIFS('inventory ledger'!$H:$H,'inventory ledger'!$C:$C,C2030,'inventory ledger'!$D:$D,D2030,'inventory ledger'!$E:$E,E2030,'inventory ledger'!$A:$A,"&lt;="&amp;B2030+TIME(23,59,59))-SUMIFS('inventory ledger'!$I:$I,'inventory ledger'!$C:$C,C2030,'inventory ledger'!$D:$D,D2030,'inventory ledger'!$E:$E,E2030,'inventory ledger'!$A:$A,"&lt;="&amp;B2030+TIME(23,59,59)))</f>
        <v/>
      </c>
      <c r="G2030" s="3">
        <f>IFERROR(__xludf.DUMMYFUNCTION("IF(F2030&lt;=0,0,IFERROR(ROUNDUP(F2030/INDEX(FILTER('warehouse config'!$D:$D,('warehouse config'!$B:$B=C2030)*('warehouse config'!$C:$C=D2030)*('warehouse config'!$G:$G&lt;=B2030)*(('warehouse config'!$H:$H&gt;=B2030)+ISBLANK('warehouse config'!$H:$H))),1)),0))"),0.0)</f>
        <v>0</v>
      </c>
      <c r="H2030" s="3">
        <f>IFERROR(__xludf.DUMMYFUNCTION("IFERROR(INDEX(FILTER('cost master'!$E:$E,('cost master'!$B:$B=C2030)*('cost master'!$D:$D=""Storage cost per pallet / week"")*('cost master'!$G:$G&lt;=B2030)*(('cost master'!$H:$H&gt;=B2030)+ISBLANK('cost master'!$H:$H))),1),0)"),0.0)</f>
        <v>0</v>
      </c>
      <c r="I2030" s="3">
        <f t="shared" si="4"/>
        <v>0</v>
      </c>
      <c r="J2030" s="27">
        <f t="shared" si="5"/>
        <v>693947</v>
      </c>
      <c r="K2030" s="27">
        <f t="shared" si="6"/>
        <v>693977</v>
      </c>
    </row>
    <row r="2031" hidden="1">
      <c r="A2031" s="3" t="str">
        <f t="shared" si="3"/>
        <v/>
      </c>
      <c r="B2031" s="2" t="str">
        <f t="array" ref="B2031">INDEX(helper!$A$3:$A3996,ROUNDUP((ROW()-1)/COUNTA(helper!$D$3:$D3996),0))</f>
        <v/>
      </c>
      <c r="C2031" s="5" t="str">
        <f t="array" ref="C2031">IF(B2031="","",INDEX(helper!$D$3:$D3996,MOD(ROW()-2,COUNTA(helper!$D$3:$D3996))+1))</f>
        <v/>
      </c>
      <c r="D2031" s="3" t="str">
        <f t="array" ref="D2031">IF(B2031="","",INDEX(helper!$E$3:$E3996,MOD(ROW()-2,COUNTA(helper!$D$3:$D3996))+1))</f>
        <v/>
      </c>
      <c r="E2031" s="3" t="str">
        <f t="array" ref="E2031">IF(B2031="","",INDEX(helper!$F$3:$F3996,MOD(ROW()-2,COUNTA(helper!$D$3:$D3996))+1))</f>
        <v/>
      </c>
      <c r="F2031" s="3" t="str">
        <f>IF(B2031="","",SUMIFS('inventory ledger'!$H:$H,'inventory ledger'!$C:$C,C2031,'inventory ledger'!$D:$D,D2031,'inventory ledger'!$E:$E,E2031,'inventory ledger'!$A:$A,"&lt;="&amp;B2031+TIME(23,59,59))-SUMIFS('inventory ledger'!$I:$I,'inventory ledger'!$C:$C,C2031,'inventory ledger'!$D:$D,D2031,'inventory ledger'!$E:$E,E2031,'inventory ledger'!$A:$A,"&lt;="&amp;B2031+TIME(23,59,59)))</f>
        <v/>
      </c>
      <c r="G2031" s="3">
        <f>IFERROR(__xludf.DUMMYFUNCTION("IF(F2031&lt;=0,0,IFERROR(ROUNDUP(F2031/INDEX(FILTER('warehouse config'!$D:$D,('warehouse config'!$B:$B=C2031)*('warehouse config'!$C:$C=D2031)*('warehouse config'!$G:$G&lt;=B2031)*(('warehouse config'!$H:$H&gt;=B2031)+ISBLANK('warehouse config'!$H:$H))),1)),0))"),0.0)</f>
        <v>0</v>
      </c>
      <c r="H2031" s="3">
        <f>IFERROR(__xludf.DUMMYFUNCTION("IFERROR(INDEX(FILTER('cost master'!$E:$E,('cost master'!$B:$B=C2031)*('cost master'!$D:$D=""Storage cost per pallet / week"")*('cost master'!$G:$G&lt;=B2031)*(('cost master'!$H:$H&gt;=B2031)+ISBLANK('cost master'!$H:$H))),1),0)"),0.0)</f>
        <v>0</v>
      </c>
      <c r="I2031" s="3">
        <f t="shared" si="4"/>
        <v>0</v>
      </c>
      <c r="J2031" s="27">
        <f t="shared" si="5"/>
        <v>693947</v>
      </c>
      <c r="K2031" s="27">
        <f t="shared" si="6"/>
        <v>693977</v>
      </c>
    </row>
    <row r="2032" hidden="1">
      <c r="A2032" s="3" t="str">
        <f t="shared" si="3"/>
        <v/>
      </c>
      <c r="B2032" s="2" t="str">
        <f t="array" ref="B2032">INDEX(helper!$A$3:$A3996,ROUNDUP((ROW()-1)/COUNTA(helper!$D$3:$D3996),0))</f>
        <v/>
      </c>
      <c r="C2032" s="5" t="str">
        <f t="array" ref="C2032">IF(B2032="","",INDEX(helper!$D$3:$D3996,MOD(ROW()-2,COUNTA(helper!$D$3:$D3996))+1))</f>
        <v/>
      </c>
      <c r="D2032" s="3" t="str">
        <f t="array" ref="D2032">IF(B2032="","",INDEX(helper!$E$3:$E3996,MOD(ROW()-2,COUNTA(helper!$D$3:$D3996))+1))</f>
        <v/>
      </c>
      <c r="E2032" s="3" t="str">
        <f t="array" ref="E2032">IF(B2032="","",INDEX(helper!$F$3:$F3996,MOD(ROW()-2,COUNTA(helper!$D$3:$D3996))+1))</f>
        <v/>
      </c>
      <c r="F2032" s="3" t="str">
        <f>IF(B2032="","",SUMIFS('inventory ledger'!$H:$H,'inventory ledger'!$C:$C,C2032,'inventory ledger'!$D:$D,D2032,'inventory ledger'!$E:$E,E2032,'inventory ledger'!$A:$A,"&lt;="&amp;B2032+TIME(23,59,59))-SUMIFS('inventory ledger'!$I:$I,'inventory ledger'!$C:$C,C2032,'inventory ledger'!$D:$D,D2032,'inventory ledger'!$E:$E,E2032,'inventory ledger'!$A:$A,"&lt;="&amp;B2032+TIME(23,59,59)))</f>
        <v/>
      </c>
      <c r="G2032" s="3">
        <f>IFERROR(__xludf.DUMMYFUNCTION("IF(F2032&lt;=0,0,IFERROR(ROUNDUP(F2032/INDEX(FILTER('warehouse config'!$D:$D,('warehouse config'!$B:$B=C2032)*('warehouse config'!$C:$C=D2032)*('warehouse config'!$G:$G&lt;=B2032)*(('warehouse config'!$H:$H&gt;=B2032)+ISBLANK('warehouse config'!$H:$H))),1)),0))"),0.0)</f>
        <v>0</v>
      </c>
      <c r="H2032" s="3">
        <f>IFERROR(__xludf.DUMMYFUNCTION("IFERROR(INDEX(FILTER('cost master'!$E:$E,('cost master'!$B:$B=C2032)*('cost master'!$D:$D=""Storage cost per pallet / week"")*('cost master'!$G:$G&lt;=B2032)*(('cost master'!$H:$H&gt;=B2032)+ISBLANK('cost master'!$H:$H))),1),0)"),0.0)</f>
        <v>0</v>
      </c>
      <c r="I2032" s="3">
        <f t="shared" si="4"/>
        <v>0</v>
      </c>
      <c r="J2032" s="27">
        <f t="shared" si="5"/>
        <v>693947</v>
      </c>
      <c r="K2032" s="27">
        <f t="shared" si="6"/>
        <v>693977</v>
      </c>
    </row>
    <row r="2033" hidden="1">
      <c r="A2033" s="3" t="str">
        <f t="shared" si="3"/>
        <v/>
      </c>
      <c r="B2033" s="2" t="str">
        <f t="array" ref="B2033">INDEX(helper!$A$3:$A3996,ROUNDUP((ROW()-1)/COUNTA(helper!$D$3:$D3996),0))</f>
        <v/>
      </c>
      <c r="C2033" s="5" t="str">
        <f t="array" ref="C2033">IF(B2033="","",INDEX(helper!$D$3:$D3996,MOD(ROW()-2,COUNTA(helper!$D$3:$D3996))+1))</f>
        <v/>
      </c>
      <c r="D2033" s="3" t="str">
        <f t="array" ref="D2033">IF(B2033="","",INDEX(helper!$E$3:$E3996,MOD(ROW()-2,COUNTA(helper!$D$3:$D3996))+1))</f>
        <v/>
      </c>
      <c r="E2033" s="3" t="str">
        <f t="array" ref="E2033">IF(B2033="","",INDEX(helper!$F$3:$F3996,MOD(ROW()-2,COUNTA(helper!$D$3:$D3996))+1))</f>
        <v/>
      </c>
      <c r="F2033" s="3" t="str">
        <f>IF(B2033="","",SUMIFS('inventory ledger'!$H:$H,'inventory ledger'!$C:$C,C2033,'inventory ledger'!$D:$D,D2033,'inventory ledger'!$E:$E,E2033,'inventory ledger'!$A:$A,"&lt;="&amp;B2033+TIME(23,59,59))-SUMIFS('inventory ledger'!$I:$I,'inventory ledger'!$C:$C,C2033,'inventory ledger'!$D:$D,D2033,'inventory ledger'!$E:$E,E2033,'inventory ledger'!$A:$A,"&lt;="&amp;B2033+TIME(23,59,59)))</f>
        <v/>
      </c>
      <c r="G2033" s="3">
        <f>IFERROR(__xludf.DUMMYFUNCTION("IF(F2033&lt;=0,0,IFERROR(ROUNDUP(F2033/INDEX(FILTER('warehouse config'!$D:$D,('warehouse config'!$B:$B=C2033)*('warehouse config'!$C:$C=D2033)*('warehouse config'!$G:$G&lt;=B2033)*(('warehouse config'!$H:$H&gt;=B2033)+ISBLANK('warehouse config'!$H:$H))),1)),0))"),0.0)</f>
        <v>0</v>
      </c>
      <c r="H2033" s="3">
        <f>IFERROR(__xludf.DUMMYFUNCTION("IFERROR(INDEX(FILTER('cost master'!$E:$E,('cost master'!$B:$B=C2033)*('cost master'!$D:$D=""Storage cost per pallet / week"")*('cost master'!$G:$G&lt;=B2033)*(('cost master'!$H:$H&gt;=B2033)+ISBLANK('cost master'!$H:$H))),1),0)"),0.0)</f>
        <v>0</v>
      </c>
      <c r="I2033" s="3">
        <f t="shared" si="4"/>
        <v>0</v>
      </c>
      <c r="J2033" s="27">
        <f t="shared" si="5"/>
        <v>693947</v>
      </c>
      <c r="K2033" s="27">
        <f t="shared" si="6"/>
        <v>693977</v>
      </c>
    </row>
    <row r="2034" hidden="1">
      <c r="A2034" s="3" t="str">
        <f t="shared" si="3"/>
        <v/>
      </c>
      <c r="B2034" s="2" t="str">
        <f t="array" ref="B2034">INDEX(helper!$A$3:$A3996,ROUNDUP((ROW()-1)/COUNTA(helper!$D$3:$D3996),0))</f>
        <v/>
      </c>
      <c r="C2034" s="5" t="str">
        <f t="array" ref="C2034">IF(B2034="","",INDEX(helper!$D$3:$D3996,MOD(ROW()-2,COUNTA(helper!$D$3:$D3996))+1))</f>
        <v/>
      </c>
      <c r="D2034" s="3" t="str">
        <f t="array" ref="D2034">IF(B2034="","",INDEX(helper!$E$3:$E3996,MOD(ROW()-2,COUNTA(helper!$D$3:$D3996))+1))</f>
        <v/>
      </c>
      <c r="E2034" s="3" t="str">
        <f t="array" ref="E2034">IF(B2034="","",INDEX(helper!$F$3:$F3996,MOD(ROW()-2,COUNTA(helper!$D$3:$D3996))+1))</f>
        <v/>
      </c>
      <c r="F2034" s="3" t="str">
        <f>IF(B2034="","",SUMIFS('inventory ledger'!$H:$H,'inventory ledger'!$C:$C,C2034,'inventory ledger'!$D:$D,D2034,'inventory ledger'!$E:$E,E2034,'inventory ledger'!$A:$A,"&lt;="&amp;B2034+TIME(23,59,59))-SUMIFS('inventory ledger'!$I:$I,'inventory ledger'!$C:$C,C2034,'inventory ledger'!$D:$D,D2034,'inventory ledger'!$E:$E,E2034,'inventory ledger'!$A:$A,"&lt;="&amp;B2034+TIME(23,59,59)))</f>
        <v/>
      </c>
      <c r="G2034" s="3">
        <f>IFERROR(__xludf.DUMMYFUNCTION("IF(F2034&lt;=0,0,IFERROR(ROUNDUP(F2034/INDEX(FILTER('warehouse config'!$D:$D,('warehouse config'!$B:$B=C2034)*('warehouse config'!$C:$C=D2034)*('warehouse config'!$G:$G&lt;=B2034)*(('warehouse config'!$H:$H&gt;=B2034)+ISBLANK('warehouse config'!$H:$H))),1)),0))"),0.0)</f>
        <v>0</v>
      </c>
      <c r="H2034" s="3">
        <f>IFERROR(__xludf.DUMMYFUNCTION("IFERROR(INDEX(FILTER('cost master'!$E:$E,('cost master'!$B:$B=C2034)*('cost master'!$D:$D=""Storage cost per pallet / week"")*('cost master'!$G:$G&lt;=B2034)*(('cost master'!$H:$H&gt;=B2034)+ISBLANK('cost master'!$H:$H))),1),0)"),0.0)</f>
        <v>0</v>
      </c>
      <c r="I2034" s="3">
        <f t="shared" si="4"/>
        <v>0</v>
      </c>
      <c r="J2034" s="27">
        <f t="shared" si="5"/>
        <v>693947</v>
      </c>
      <c r="K2034" s="27">
        <f t="shared" si="6"/>
        <v>693977</v>
      </c>
    </row>
    <row r="2035" hidden="1">
      <c r="A2035" s="3" t="str">
        <f t="shared" si="3"/>
        <v/>
      </c>
      <c r="B2035" s="2" t="str">
        <f t="array" ref="B2035">INDEX(helper!$A$3:$A3996,ROUNDUP((ROW()-1)/COUNTA(helper!$D$3:$D3996),0))</f>
        <v/>
      </c>
      <c r="C2035" s="5" t="str">
        <f t="array" ref="C2035">IF(B2035="","",INDEX(helper!$D$3:$D3996,MOD(ROW()-2,COUNTA(helper!$D$3:$D3996))+1))</f>
        <v/>
      </c>
      <c r="D2035" s="3" t="str">
        <f t="array" ref="D2035">IF(B2035="","",INDEX(helper!$E$3:$E3996,MOD(ROW()-2,COUNTA(helper!$D$3:$D3996))+1))</f>
        <v/>
      </c>
      <c r="E2035" s="3" t="str">
        <f t="array" ref="E2035">IF(B2035="","",INDEX(helper!$F$3:$F3996,MOD(ROW()-2,COUNTA(helper!$D$3:$D3996))+1))</f>
        <v/>
      </c>
      <c r="F2035" s="3" t="str">
        <f>IF(B2035="","",SUMIFS('inventory ledger'!$H:$H,'inventory ledger'!$C:$C,C2035,'inventory ledger'!$D:$D,D2035,'inventory ledger'!$E:$E,E2035,'inventory ledger'!$A:$A,"&lt;="&amp;B2035+TIME(23,59,59))-SUMIFS('inventory ledger'!$I:$I,'inventory ledger'!$C:$C,C2035,'inventory ledger'!$D:$D,D2035,'inventory ledger'!$E:$E,E2035,'inventory ledger'!$A:$A,"&lt;="&amp;B2035+TIME(23,59,59)))</f>
        <v/>
      </c>
      <c r="G2035" s="3">
        <f>IFERROR(__xludf.DUMMYFUNCTION("IF(F2035&lt;=0,0,IFERROR(ROUNDUP(F2035/INDEX(FILTER('warehouse config'!$D:$D,('warehouse config'!$B:$B=C2035)*('warehouse config'!$C:$C=D2035)*('warehouse config'!$G:$G&lt;=B2035)*(('warehouse config'!$H:$H&gt;=B2035)+ISBLANK('warehouse config'!$H:$H))),1)),0))"),0.0)</f>
        <v>0</v>
      </c>
      <c r="H2035" s="3">
        <f>IFERROR(__xludf.DUMMYFUNCTION("IFERROR(INDEX(FILTER('cost master'!$E:$E,('cost master'!$B:$B=C2035)*('cost master'!$D:$D=""Storage cost per pallet / week"")*('cost master'!$G:$G&lt;=B2035)*(('cost master'!$H:$H&gt;=B2035)+ISBLANK('cost master'!$H:$H))),1),0)"),0.0)</f>
        <v>0</v>
      </c>
      <c r="I2035" s="3">
        <f t="shared" si="4"/>
        <v>0</v>
      </c>
      <c r="J2035" s="27">
        <f t="shared" si="5"/>
        <v>693947</v>
      </c>
      <c r="K2035" s="27">
        <f t="shared" si="6"/>
        <v>693977</v>
      </c>
    </row>
    <row r="2036" hidden="1">
      <c r="A2036" s="3" t="str">
        <f t="shared" si="3"/>
        <v/>
      </c>
      <c r="B2036" s="2" t="str">
        <f t="array" ref="B2036">INDEX(helper!$A$3:$A3996,ROUNDUP((ROW()-1)/COUNTA(helper!$D$3:$D3996),0))</f>
        <v/>
      </c>
      <c r="C2036" s="5" t="str">
        <f t="array" ref="C2036">IF(B2036="","",INDEX(helper!$D$3:$D3996,MOD(ROW()-2,COUNTA(helper!$D$3:$D3996))+1))</f>
        <v/>
      </c>
      <c r="D2036" s="3" t="str">
        <f t="array" ref="D2036">IF(B2036="","",INDEX(helper!$E$3:$E3996,MOD(ROW()-2,COUNTA(helper!$D$3:$D3996))+1))</f>
        <v/>
      </c>
      <c r="E2036" s="3" t="str">
        <f t="array" ref="E2036">IF(B2036="","",INDEX(helper!$F$3:$F3996,MOD(ROW()-2,COUNTA(helper!$D$3:$D3996))+1))</f>
        <v/>
      </c>
      <c r="F2036" s="3" t="str">
        <f>IF(B2036="","",SUMIFS('inventory ledger'!$H:$H,'inventory ledger'!$C:$C,C2036,'inventory ledger'!$D:$D,D2036,'inventory ledger'!$E:$E,E2036,'inventory ledger'!$A:$A,"&lt;="&amp;B2036+TIME(23,59,59))-SUMIFS('inventory ledger'!$I:$I,'inventory ledger'!$C:$C,C2036,'inventory ledger'!$D:$D,D2036,'inventory ledger'!$E:$E,E2036,'inventory ledger'!$A:$A,"&lt;="&amp;B2036+TIME(23,59,59)))</f>
        <v/>
      </c>
      <c r="G2036" s="3">
        <f>IFERROR(__xludf.DUMMYFUNCTION("IF(F2036&lt;=0,0,IFERROR(ROUNDUP(F2036/INDEX(FILTER('warehouse config'!$D:$D,('warehouse config'!$B:$B=C2036)*('warehouse config'!$C:$C=D2036)*('warehouse config'!$G:$G&lt;=B2036)*(('warehouse config'!$H:$H&gt;=B2036)+ISBLANK('warehouse config'!$H:$H))),1)),0))"),0.0)</f>
        <v>0</v>
      </c>
      <c r="H2036" s="3">
        <f>IFERROR(__xludf.DUMMYFUNCTION("IFERROR(INDEX(FILTER('cost master'!$E:$E,('cost master'!$B:$B=C2036)*('cost master'!$D:$D=""Storage cost per pallet / week"")*('cost master'!$G:$G&lt;=B2036)*(('cost master'!$H:$H&gt;=B2036)+ISBLANK('cost master'!$H:$H))),1),0)"),0.0)</f>
        <v>0</v>
      </c>
      <c r="I2036" s="3">
        <f t="shared" si="4"/>
        <v>0</v>
      </c>
      <c r="J2036" s="27">
        <f t="shared" si="5"/>
        <v>693947</v>
      </c>
      <c r="K2036" s="27">
        <f t="shared" si="6"/>
        <v>693977</v>
      </c>
    </row>
    <row r="2037" hidden="1">
      <c r="A2037" s="3" t="str">
        <f t="shared" si="3"/>
        <v/>
      </c>
      <c r="B2037" s="2" t="str">
        <f t="array" ref="B2037">INDEX(helper!$A$3:$A3996,ROUNDUP((ROW()-1)/COUNTA(helper!$D$3:$D3996),0))</f>
        <v/>
      </c>
      <c r="C2037" s="5" t="str">
        <f t="array" ref="C2037">IF(B2037="","",INDEX(helper!$D$3:$D3996,MOD(ROW()-2,COUNTA(helper!$D$3:$D3996))+1))</f>
        <v/>
      </c>
      <c r="D2037" s="3" t="str">
        <f t="array" ref="D2037">IF(B2037="","",INDEX(helper!$E$3:$E3996,MOD(ROW()-2,COUNTA(helper!$D$3:$D3996))+1))</f>
        <v/>
      </c>
      <c r="E2037" s="3" t="str">
        <f t="array" ref="E2037">IF(B2037="","",INDEX(helper!$F$3:$F3996,MOD(ROW()-2,COUNTA(helper!$D$3:$D3996))+1))</f>
        <v/>
      </c>
      <c r="F2037" s="3" t="str">
        <f>IF(B2037="","",SUMIFS('inventory ledger'!$H:$H,'inventory ledger'!$C:$C,C2037,'inventory ledger'!$D:$D,D2037,'inventory ledger'!$E:$E,E2037,'inventory ledger'!$A:$A,"&lt;="&amp;B2037+TIME(23,59,59))-SUMIFS('inventory ledger'!$I:$I,'inventory ledger'!$C:$C,C2037,'inventory ledger'!$D:$D,D2037,'inventory ledger'!$E:$E,E2037,'inventory ledger'!$A:$A,"&lt;="&amp;B2037+TIME(23,59,59)))</f>
        <v/>
      </c>
      <c r="G2037" s="3">
        <f>IFERROR(__xludf.DUMMYFUNCTION("IF(F2037&lt;=0,0,IFERROR(ROUNDUP(F2037/INDEX(FILTER('warehouse config'!$D:$D,('warehouse config'!$B:$B=C2037)*('warehouse config'!$C:$C=D2037)*('warehouse config'!$G:$G&lt;=B2037)*(('warehouse config'!$H:$H&gt;=B2037)+ISBLANK('warehouse config'!$H:$H))),1)),0))"),0.0)</f>
        <v>0</v>
      </c>
      <c r="H2037" s="3">
        <f>IFERROR(__xludf.DUMMYFUNCTION("IFERROR(INDEX(FILTER('cost master'!$E:$E,('cost master'!$B:$B=C2037)*('cost master'!$D:$D=""Storage cost per pallet / week"")*('cost master'!$G:$G&lt;=B2037)*(('cost master'!$H:$H&gt;=B2037)+ISBLANK('cost master'!$H:$H))),1),0)"),0.0)</f>
        <v>0</v>
      </c>
      <c r="I2037" s="3">
        <f t="shared" si="4"/>
        <v>0</v>
      </c>
      <c r="J2037" s="27">
        <f t="shared" si="5"/>
        <v>693947</v>
      </c>
      <c r="K2037" s="27">
        <f t="shared" si="6"/>
        <v>693977</v>
      </c>
    </row>
    <row r="2038" hidden="1">
      <c r="A2038" s="3" t="str">
        <f t="shared" si="3"/>
        <v/>
      </c>
      <c r="B2038" s="2" t="str">
        <f t="array" ref="B2038">INDEX(helper!$A$3:$A3996,ROUNDUP((ROW()-1)/COUNTA(helper!$D$3:$D3996),0))</f>
        <v/>
      </c>
      <c r="C2038" s="5" t="str">
        <f t="array" ref="C2038">IF(B2038="","",INDEX(helper!$D$3:$D3996,MOD(ROW()-2,COUNTA(helper!$D$3:$D3996))+1))</f>
        <v/>
      </c>
      <c r="D2038" s="3" t="str">
        <f t="array" ref="D2038">IF(B2038="","",INDEX(helper!$E$3:$E3996,MOD(ROW()-2,COUNTA(helper!$D$3:$D3996))+1))</f>
        <v/>
      </c>
      <c r="E2038" s="3" t="str">
        <f t="array" ref="E2038">IF(B2038="","",INDEX(helper!$F$3:$F3996,MOD(ROW()-2,COUNTA(helper!$D$3:$D3996))+1))</f>
        <v/>
      </c>
      <c r="F2038" s="3" t="str">
        <f>IF(B2038="","",SUMIFS('inventory ledger'!$H:$H,'inventory ledger'!$C:$C,C2038,'inventory ledger'!$D:$D,D2038,'inventory ledger'!$E:$E,E2038,'inventory ledger'!$A:$A,"&lt;="&amp;B2038+TIME(23,59,59))-SUMIFS('inventory ledger'!$I:$I,'inventory ledger'!$C:$C,C2038,'inventory ledger'!$D:$D,D2038,'inventory ledger'!$E:$E,E2038,'inventory ledger'!$A:$A,"&lt;="&amp;B2038+TIME(23,59,59)))</f>
        <v/>
      </c>
      <c r="G2038" s="3">
        <f>IFERROR(__xludf.DUMMYFUNCTION("IF(F2038&lt;=0,0,IFERROR(ROUNDUP(F2038/INDEX(FILTER('warehouse config'!$D:$D,('warehouse config'!$B:$B=C2038)*('warehouse config'!$C:$C=D2038)*('warehouse config'!$G:$G&lt;=B2038)*(('warehouse config'!$H:$H&gt;=B2038)+ISBLANK('warehouse config'!$H:$H))),1)),0))"),0.0)</f>
        <v>0</v>
      </c>
      <c r="H2038" s="3">
        <f>IFERROR(__xludf.DUMMYFUNCTION("IFERROR(INDEX(FILTER('cost master'!$E:$E,('cost master'!$B:$B=C2038)*('cost master'!$D:$D=""Storage cost per pallet / week"")*('cost master'!$G:$G&lt;=B2038)*(('cost master'!$H:$H&gt;=B2038)+ISBLANK('cost master'!$H:$H))),1),0)"),0.0)</f>
        <v>0</v>
      </c>
      <c r="I2038" s="3">
        <f t="shared" si="4"/>
        <v>0</v>
      </c>
      <c r="J2038" s="27">
        <f t="shared" si="5"/>
        <v>693947</v>
      </c>
      <c r="K2038" s="27">
        <f t="shared" si="6"/>
        <v>693977</v>
      </c>
    </row>
    <row r="2039" hidden="1">
      <c r="A2039" s="3" t="str">
        <f t="shared" si="3"/>
        <v/>
      </c>
      <c r="B2039" s="2" t="str">
        <f t="array" ref="B2039">INDEX(helper!$A$3:$A3996,ROUNDUP((ROW()-1)/COUNTA(helper!$D$3:$D3996),0))</f>
        <v/>
      </c>
      <c r="C2039" s="5" t="str">
        <f t="array" ref="C2039">IF(B2039="","",INDEX(helper!$D$3:$D3996,MOD(ROW()-2,COUNTA(helper!$D$3:$D3996))+1))</f>
        <v/>
      </c>
      <c r="D2039" s="3" t="str">
        <f t="array" ref="D2039">IF(B2039="","",INDEX(helper!$E$3:$E3996,MOD(ROW()-2,COUNTA(helper!$D$3:$D3996))+1))</f>
        <v/>
      </c>
      <c r="E2039" s="3" t="str">
        <f t="array" ref="E2039">IF(B2039="","",INDEX(helper!$F$3:$F3996,MOD(ROW()-2,COUNTA(helper!$D$3:$D3996))+1))</f>
        <v/>
      </c>
      <c r="F2039" s="3" t="str">
        <f>IF(B2039="","",SUMIFS('inventory ledger'!$H:$H,'inventory ledger'!$C:$C,C2039,'inventory ledger'!$D:$D,D2039,'inventory ledger'!$E:$E,E2039,'inventory ledger'!$A:$A,"&lt;="&amp;B2039+TIME(23,59,59))-SUMIFS('inventory ledger'!$I:$I,'inventory ledger'!$C:$C,C2039,'inventory ledger'!$D:$D,D2039,'inventory ledger'!$E:$E,E2039,'inventory ledger'!$A:$A,"&lt;="&amp;B2039+TIME(23,59,59)))</f>
        <v/>
      </c>
      <c r="G2039" s="3">
        <f>IFERROR(__xludf.DUMMYFUNCTION("IF(F2039&lt;=0,0,IFERROR(ROUNDUP(F2039/INDEX(FILTER('warehouse config'!$D:$D,('warehouse config'!$B:$B=C2039)*('warehouse config'!$C:$C=D2039)*('warehouse config'!$G:$G&lt;=B2039)*(('warehouse config'!$H:$H&gt;=B2039)+ISBLANK('warehouse config'!$H:$H))),1)),0))"),0.0)</f>
        <v>0</v>
      </c>
      <c r="H2039" s="3">
        <f>IFERROR(__xludf.DUMMYFUNCTION("IFERROR(INDEX(FILTER('cost master'!$E:$E,('cost master'!$B:$B=C2039)*('cost master'!$D:$D=""Storage cost per pallet / week"")*('cost master'!$G:$G&lt;=B2039)*(('cost master'!$H:$H&gt;=B2039)+ISBLANK('cost master'!$H:$H))),1),0)"),0.0)</f>
        <v>0</v>
      </c>
      <c r="I2039" s="3">
        <f t="shared" si="4"/>
        <v>0</v>
      </c>
      <c r="J2039" s="27">
        <f t="shared" si="5"/>
        <v>693947</v>
      </c>
      <c r="K2039" s="27">
        <f t="shared" si="6"/>
        <v>693977</v>
      </c>
    </row>
    <row r="2040" hidden="1">
      <c r="A2040" s="3" t="str">
        <f t="shared" si="3"/>
        <v/>
      </c>
      <c r="B2040" s="2" t="str">
        <f t="array" ref="B2040">INDEX(helper!$A$3:$A3996,ROUNDUP((ROW()-1)/COUNTA(helper!$D$3:$D3996),0))</f>
        <v/>
      </c>
      <c r="C2040" s="5" t="str">
        <f t="array" ref="C2040">IF(B2040="","",INDEX(helper!$D$3:$D3996,MOD(ROW()-2,COUNTA(helper!$D$3:$D3996))+1))</f>
        <v/>
      </c>
      <c r="D2040" s="3" t="str">
        <f t="array" ref="D2040">IF(B2040="","",INDEX(helper!$E$3:$E3996,MOD(ROW()-2,COUNTA(helper!$D$3:$D3996))+1))</f>
        <v/>
      </c>
      <c r="E2040" s="3" t="str">
        <f t="array" ref="E2040">IF(B2040="","",INDEX(helper!$F$3:$F3996,MOD(ROW()-2,COUNTA(helper!$D$3:$D3996))+1))</f>
        <v/>
      </c>
      <c r="F2040" s="3" t="str">
        <f>IF(B2040="","",SUMIFS('inventory ledger'!$H:$H,'inventory ledger'!$C:$C,C2040,'inventory ledger'!$D:$D,D2040,'inventory ledger'!$E:$E,E2040,'inventory ledger'!$A:$A,"&lt;="&amp;B2040+TIME(23,59,59))-SUMIFS('inventory ledger'!$I:$I,'inventory ledger'!$C:$C,C2040,'inventory ledger'!$D:$D,D2040,'inventory ledger'!$E:$E,E2040,'inventory ledger'!$A:$A,"&lt;="&amp;B2040+TIME(23,59,59)))</f>
        <v/>
      </c>
      <c r="G2040" s="3">
        <f>IFERROR(__xludf.DUMMYFUNCTION("IF(F2040&lt;=0,0,IFERROR(ROUNDUP(F2040/INDEX(FILTER('warehouse config'!$D:$D,('warehouse config'!$B:$B=C2040)*('warehouse config'!$C:$C=D2040)*('warehouse config'!$G:$G&lt;=B2040)*(('warehouse config'!$H:$H&gt;=B2040)+ISBLANK('warehouse config'!$H:$H))),1)),0))"),0.0)</f>
        <v>0</v>
      </c>
      <c r="H2040" s="3">
        <f>IFERROR(__xludf.DUMMYFUNCTION("IFERROR(INDEX(FILTER('cost master'!$E:$E,('cost master'!$B:$B=C2040)*('cost master'!$D:$D=""Storage cost per pallet / week"")*('cost master'!$G:$G&lt;=B2040)*(('cost master'!$H:$H&gt;=B2040)+ISBLANK('cost master'!$H:$H))),1),0)"),0.0)</f>
        <v>0</v>
      </c>
      <c r="I2040" s="3">
        <f t="shared" si="4"/>
        <v>0</v>
      </c>
      <c r="J2040" s="27">
        <f t="shared" si="5"/>
        <v>693947</v>
      </c>
      <c r="K2040" s="27">
        <f t="shared" si="6"/>
        <v>693977</v>
      </c>
    </row>
    <row r="2041" hidden="1">
      <c r="A2041" s="3" t="str">
        <f t="shared" si="3"/>
        <v/>
      </c>
      <c r="B2041" s="2" t="str">
        <f t="array" ref="B2041">INDEX(helper!$A$3:$A3996,ROUNDUP((ROW()-1)/COUNTA(helper!$D$3:$D3996),0))</f>
        <v/>
      </c>
      <c r="C2041" s="5" t="str">
        <f t="array" ref="C2041">IF(B2041="","",INDEX(helper!$D$3:$D3996,MOD(ROW()-2,COUNTA(helper!$D$3:$D3996))+1))</f>
        <v/>
      </c>
      <c r="D2041" s="3" t="str">
        <f t="array" ref="D2041">IF(B2041="","",INDEX(helper!$E$3:$E3996,MOD(ROW()-2,COUNTA(helper!$D$3:$D3996))+1))</f>
        <v/>
      </c>
      <c r="E2041" s="3" t="str">
        <f t="array" ref="E2041">IF(B2041="","",INDEX(helper!$F$3:$F3996,MOD(ROW()-2,COUNTA(helper!$D$3:$D3996))+1))</f>
        <v/>
      </c>
      <c r="F2041" s="3" t="str">
        <f>IF(B2041="","",SUMIFS('inventory ledger'!$H:$H,'inventory ledger'!$C:$C,C2041,'inventory ledger'!$D:$D,D2041,'inventory ledger'!$E:$E,E2041,'inventory ledger'!$A:$A,"&lt;="&amp;B2041+TIME(23,59,59))-SUMIFS('inventory ledger'!$I:$I,'inventory ledger'!$C:$C,C2041,'inventory ledger'!$D:$D,D2041,'inventory ledger'!$E:$E,E2041,'inventory ledger'!$A:$A,"&lt;="&amp;B2041+TIME(23,59,59)))</f>
        <v/>
      </c>
      <c r="G2041" s="3">
        <f>IFERROR(__xludf.DUMMYFUNCTION("IF(F2041&lt;=0,0,IFERROR(ROUNDUP(F2041/INDEX(FILTER('warehouse config'!$D:$D,('warehouse config'!$B:$B=C2041)*('warehouse config'!$C:$C=D2041)*('warehouse config'!$G:$G&lt;=B2041)*(('warehouse config'!$H:$H&gt;=B2041)+ISBLANK('warehouse config'!$H:$H))),1)),0))"),0.0)</f>
        <v>0</v>
      </c>
      <c r="H2041" s="3">
        <f>IFERROR(__xludf.DUMMYFUNCTION("IFERROR(INDEX(FILTER('cost master'!$E:$E,('cost master'!$B:$B=C2041)*('cost master'!$D:$D=""Storage cost per pallet / week"")*('cost master'!$G:$G&lt;=B2041)*(('cost master'!$H:$H&gt;=B2041)+ISBLANK('cost master'!$H:$H))),1),0)"),0.0)</f>
        <v>0</v>
      </c>
      <c r="I2041" s="3">
        <f t="shared" si="4"/>
        <v>0</v>
      </c>
      <c r="J2041" s="27">
        <f t="shared" si="5"/>
        <v>693947</v>
      </c>
      <c r="K2041" s="27">
        <f t="shared" si="6"/>
        <v>693977</v>
      </c>
    </row>
    <row r="2042" hidden="1">
      <c r="A2042" s="3" t="str">
        <f t="shared" si="3"/>
        <v/>
      </c>
      <c r="B2042" s="2" t="str">
        <f t="array" ref="B2042">INDEX(helper!$A$3:$A3996,ROUNDUP((ROW()-1)/COUNTA(helper!$D$3:$D3996),0))</f>
        <v/>
      </c>
      <c r="C2042" s="5" t="str">
        <f t="array" ref="C2042">IF(B2042="","",INDEX(helper!$D$3:$D3996,MOD(ROW()-2,COUNTA(helper!$D$3:$D3996))+1))</f>
        <v/>
      </c>
      <c r="D2042" s="3" t="str">
        <f t="array" ref="D2042">IF(B2042="","",INDEX(helper!$E$3:$E3996,MOD(ROW()-2,COUNTA(helper!$D$3:$D3996))+1))</f>
        <v/>
      </c>
      <c r="E2042" s="3" t="str">
        <f t="array" ref="E2042">IF(B2042="","",INDEX(helper!$F$3:$F3996,MOD(ROW()-2,COUNTA(helper!$D$3:$D3996))+1))</f>
        <v/>
      </c>
      <c r="F2042" s="3" t="str">
        <f>IF(B2042="","",SUMIFS('inventory ledger'!$H:$H,'inventory ledger'!$C:$C,C2042,'inventory ledger'!$D:$D,D2042,'inventory ledger'!$E:$E,E2042,'inventory ledger'!$A:$A,"&lt;="&amp;B2042+TIME(23,59,59))-SUMIFS('inventory ledger'!$I:$I,'inventory ledger'!$C:$C,C2042,'inventory ledger'!$D:$D,D2042,'inventory ledger'!$E:$E,E2042,'inventory ledger'!$A:$A,"&lt;="&amp;B2042+TIME(23,59,59)))</f>
        <v/>
      </c>
      <c r="G2042" s="3">
        <f>IFERROR(__xludf.DUMMYFUNCTION("IF(F2042&lt;=0,0,IFERROR(ROUNDUP(F2042/INDEX(FILTER('warehouse config'!$D:$D,('warehouse config'!$B:$B=C2042)*('warehouse config'!$C:$C=D2042)*('warehouse config'!$G:$G&lt;=B2042)*(('warehouse config'!$H:$H&gt;=B2042)+ISBLANK('warehouse config'!$H:$H))),1)),0))"),0.0)</f>
        <v>0</v>
      </c>
      <c r="H2042" s="3">
        <f>IFERROR(__xludf.DUMMYFUNCTION("IFERROR(INDEX(FILTER('cost master'!$E:$E,('cost master'!$B:$B=C2042)*('cost master'!$D:$D=""Storage cost per pallet / week"")*('cost master'!$G:$G&lt;=B2042)*(('cost master'!$H:$H&gt;=B2042)+ISBLANK('cost master'!$H:$H))),1),0)"),0.0)</f>
        <v>0</v>
      </c>
      <c r="I2042" s="3">
        <f t="shared" si="4"/>
        <v>0</v>
      </c>
      <c r="J2042" s="27">
        <f t="shared" si="5"/>
        <v>693947</v>
      </c>
      <c r="K2042" s="27">
        <f t="shared" si="6"/>
        <v>693977</v>
      </c>
    </row>
    <row r="2043" hidden="1">
      <c r="A2043" s="3" t="str">
        <f t="shared" si="3"/>
        <v/>
      </c>
      <c r="B2043" s="2" t="str">
        <f t="array" ref="B2043">INDEX(helper!$A$3:$A3996,ROUNDUP((ROW()-1)/COUNTA(helper!$D$3:$D3996),0))</f>
        <v/>
      </c>
      <c r="C2043" s="5" t="str">
        <f t="array" ref="C2043">IF(B2043="","",INDEX(helper!$D$3:$D3996,MOD(ROW()-2,COUNTA(helper!$D$3:$D3996))+1))</f>
        <v/>
      </c>
      <c r="D2043" s="3" t="str">
        <f t="array" ref="D2043">IF(B2043="","",INDEX(helper!$E$3:$E3996,MOD(ROW()-2,COUNTA(helper!$D$3:$D3996))+1))</f>
        <v/>
      </c>
      <c r="E2043" s="3" t="str">
        <f t="array" ref="E2043">IF(B2043="","",INDEX(helper!$F$3:$F3996,MOD(ROW()-2,COUNTA(helper!$D$3:$D3996))+1))</f>
        <v/>
      </c>
      <c r="F2043" s="3" t="str">
        <f>IF(B2043="","",SUMIFS('inventory ledger'!$H:$H,'inventory ledger'!$C:$C,C2043,'inventory ledger'!$D:$D,D2043,'inventory ledger'!$E:$E,E2043,'inventory ledger'!$A:$A,"&lt;="&amp;B2043+TIME(23,59,59))-SUMIFS('inventory ledger'!$I:$I,'inventory ledger'!$C:$C,C2043,'inventory ledger'!$D:$D,D2043,'inventory ledger'!$E:$E,E2043,'inventory ledger'!$A:$A,"&lt;="&amp;B2043+TIME(23,59,59)))</f>
        <v/>
      </c>
      <c r="G2043" s="3">
        <f>IFERROR(__xludf.DUMMYFUNCTION("IF(F2043&lt;=0,0,IFERROR(ROUNDUP(F2043/INDEX(FILTER('warehouse config'!$D:$D,('warehouse config'!$B:$B=C2043)*('warehouse config'!$C:$C=D2043)*('warehouse config'!$G:$G&lt;=B2043)*(('warehouse config'!$H:$H&gt;=B2043)+ISBLANK('warehouse config'!$H:$H))),1)),0))"),0.0)</f>
        <v>0</v>
      </c>
      <c r="H2043" s="3">
        <f>IFERROR(__xludf.DUMMYFUNCTION("IFERROR(INDEX(FILTER('cost master'!$E:$E,('cost master'!$B:$B=C2043)*('cost master'!$D:$D=""Storage cost per pallet / week"")*('cost master'!$G:$G&lt;=B2043)*(('cost master'!$H:$H&gt;=B2043)+ISBLANK('cost master'!$H:$H))),1),0)"),0.0)</f>
        <v>0</v>
      </c>
      <c r="I2043" s="3">
        <f t="shared" si="4"/>
        <v>0</v>
      </c>
      <c r="J2043" s="27">
        <f t="shared" si="5"/>
        <v>693947</v>
      </c>
      <c r="K2043" s="27">
        <f t="shared" si="6"/>
        <v>693977</v>
      </c>
    </row>
    <row r="2044" hidden="1">
      <c r="A2044" s="3" t="str">
        <f t="shared" si="3"/>
        <v/>
      </c>
      <c r="B2044" s="2" t="str">
        <f t="array" ref="B2044">INDEX(helper!$A$3:$A3996,ROUNDUP((ROW()-1)/COUNTA(helper!$D$3:$D3996),0))</f>
        <v/>
      </c>
      <c r="C2044" s="5" t="str">
        <f t="array" ref="C2044">IF(B2044="","",INDEX(helper!$D$3:$D3996,MOD(ROW()-2,COUNTA(helper!$D$3:$D3996))+1))</f>
        <v/>
      </c>
      <c r="D2044" s="3" t="str">
        <f t="array" ref="D2044">IF(B2044="","",INDEX(helper!$E$3:$E3996,MOD(ROW()-2,COUNTA(helper!$D$3:$D3996))+1))</f>
        <v/>
      </c>
      <c r="E2044" s="3" t="str">
        <f t="array" ref="E2044">IF(B2044="","",INDEX(helper!$F$3:$F3996,MOD(ROW()-2,COUNTA(helper!$D$3:$D3996))+1))</f>
        <v/>
      </c>
      <c r="F2044" s="3" t="str">
        <f>IF(B2044="","",SUMIFS('inventory ledger'!$H:$H,'inventory ledger'!$C:$C,C2044,'inventory ledger'!$D:$D,D2044,'inventory ledger'!$E:$E,E2044,'inventory ledger'!$A:$A,"&lt;="&amp;B2044+TIME(23,59,59))-SUMIFS('inventory ledger'!$I:$I,'inventory ledger'!$C:$C,C2044,'inventory ledger'!$D:$D,D2044,'inventory ledger'!$E:$E,E2044,'inventory ledger'!$A:$A,"&lt;="&amp;B2044+TIME(23,59,59)))</f>
        <v/>
      </c>
      <c r="G2044" s="3">
        <f>IFERROR(__xludf.DUMMYFUNCTION("IF(F2044&lt;=0,0,IFERROR(ROUNDUP(F2044/INDEX(FILTER('warehouse config'!$D:$D,('warehouse config'!$B:$B=C2044)*('warehouse config'!$C:$C=D2044)*('warehouse config'!$G:$G&lt;=B2044)*(('warehouse config'!$H:$H&gt;=B2044)+ISBLANK('warehouse config'!$H:$H))),1)),0))"),0.0)</f>
        <v>0</v>
      </c>
      <c r="H2044" s="3">
        <f>IFERROR(__xludf.DUMMYFUNCTION("IFERROR(INDEX(FILTER('cost master'!$E:$E,('cost master'!$B:$B=C2044)*('cost master'!$D:$D=""Storage cost per pallet / week"")*('cost master'!$G:$G&lt;=B2044)*(('cost master'!$H:$H&gt;=B2044)+ISBLANK('cost master'!$H:$H))),1),0)"),0.0)</f>
        <v>0</v>
      </c>
      <c r="I2044" s="3">
        <f t="shared" si="4"/>
        <v>0</v>
      </c>
      <c r="J2044" s="27">
        <f t="shared" si="5"/>
        <v>693947</v>
      </c>
      <c r="K2044" s="27">
        <f t="shared" si="6"/>
        <v>693977</v>
      </c>
    </row>
    <row r="2045" hidden="1">
      <c r="A2045" s="3" t="str">
        <f t="shared" si="3"/>
        <v/>
      </c>
      <c r="B2045" s="2" t="str">
        <f t="array" ref="B2045">INDEX(helper!$A$3:$A3996,ROUNDUP((ROW()-1)/COUNTA(helper!$D$3:$D3996),0))</f>
        <v/>
      </c>
      <c r="C2045" s="5" t="str">
        <f t="array" ref="C2045">IF(B2045="","",INDEX(helper!$D$3:$D3996,MOD(ROW()-2,COUNTA(helper!$D$3:$D3996))+1))</f>
        <v/>
      </c>
      <c r="D2045" s="3" t="str">
        <f t="array" ref="D2045">IF(B2045="","",INDEX(helper!$E$3:$E3996,MOD(ROW()-2,COUNTA(helper!$D$3:$D3996))+1))</f>
        <v/>
      </c>
      <c r="E2045" s="3" t="str">
        <f t="array" ref="E2045">IF(B2045="","",INDEX(helper!$F$3:$F3996,MOD(ROW()-2,COUNTA(helper!$D$3:$D3996))+1))</f>
        <v/>
      </c>
      <c r="F2045" s="3" t="str">
        <f>IF(B2045="","",SUMIFS('inventory ledger'!$H:$H,'inventory ledger'!$C:$C,C2045,'inventory ledger'!$D:$D,D2045,'inventory ledger'!$E:$E,E2045,'inventory ledger'!$A:$A,"&lt;="&amp;B2045+TIME(23,59,59))-SUMIFS('inventory ledger'!$I:$I,'inventory ledger'!$C:$C,C2045,'inventory ledger'!$D:$D,D2045,'inventory ledger'!$E:$E,E2045,'inventory ledger'!$A:$A,"&lt;="&amp;B2045+TIME(23,59,59)))</f>
        <v/>
      </c>
      <c r="G2045" s="3">
        <f>IFERROR(__xludf.DUMMYFUNCTION("IF(F2045&lt;=0,0,IFERROR(ROUNDUP(F2045/INDEX(FILTER('warehouse config'!$D:$D,('warehouse config'!$B:$B=C2045)*('warehouse config'!$C:$C=D2045)*('warehouse config'!$G:$G&lt;=B2045)*(('warehouse config'!$H:$H&gt;=B2045)+ISBLANK('warehouse config'!$H:$H))),1)),0))"),0.0)</f>
        <v>0</v>
      </c>
      <c r="H2045" s="3">
        <f>IFERROR(__xludf.DUMMYFUNCTION("IFERROR(INDEX(FILTER('cost master'!$E:$E,('cost master'!$B:$B=C2045)*('cost master'!$D:$D=""Storage cost per pallet / week"")*('cost master'!$G:$G&lt;=B2045)*(('cost master'!$H:$H&gt;=B2045)+ISBLANK('cost master'!$H:$H))),1),0)"),0.0)</f>
        <v>0</v>
      </c>
      <c r="I2045" s="3">
        <f t="shared" si="4"/>
        <v>0</v>
      </c>
      <c r="J2045" s="27">
        <f t="shared" si="5"/>
        <v>693947</v>
      </c>
      <c r="K2045" s="27">
        <f t="shared" si="6"/>
        <v>693977</v>
      </c>
    </row>
    <row r="2046" hidden="1">
      <c r="A2046" s="3" t="str">
        <f t="shared" si="3"/>
        <v/>
      </c>
      <c r="B2046" s="2" t="str">
        <f t="array" ref="B2046">INDEX(helper!$A$3:$A3996,ROUNDUP((ROW()-1)/COUNTA(helper!$D$3:$D3996),0))</f>
        <v/>
      </c>
      <c r="C2046" s="5" t="str">
        <f t="array" ref="C2046">IF(B2046="","",INDEX(helper!$D$3:$D3996,MOD(ROW()-2,COUNTA(helper!$D$3:$D3996))+1))</f>
        <v/>
      </c>
      <c r="D2046" s="3" t="str">
        <f t="array" ref="D2046">IF(B2046="","",INDEX(helper!$E$3:$E3996,MOD(ROW()-2,COUNTA(helper!$D$3:$D3996))+1))</f>
        <v/>
      </c>
      <c r="E2046" s="3" t="str">
        <f t="array" ref="E2046">IF(B2046="","",INDEX(helper!$F$3:$F3996,MOD(ROW()-2,COUNTA(helper!$D$3:$D3996))+1))</f>
        <v/>
      </c>
      <c r="F2046" s="3" t="str">
        <f>IF(B2046="","",SUMIFS('inventory ledger'!$H:$H,'inventory ledger'!$C:$C,C2046,'inventory ledger'!$D:$D,D2046,'inventory ledger'!$E:$E,E2046,'inventory ledger'!$A:$A,"&lt;="&amp;B2046+TIME(23,59,59))-SUMIFS('inventory ledger'!$I:$I,'inventory ledger'!$C:$C,C2046,'inventory ledger'!$D:$D,D2046,'inventory ledger'!$E:$E,E2046,'inventory ledger'!$A:$A,"&lt;="&amp;B2046+TIME(23,59,59)))</f>
        <v/>
      </c>
      <c r="G2046" s="3">
        <f>IFERROR(__xludf.DUMMYFUNCTION("IF(F2046&lt;=0,0,IFERROR(ROUNDUP(F2046/INDEX(FILTER('warehouse config'!$D:$D,('warehouse config'!$B:$B=C2046)*('warehouse config'!$C:$C=D2046)*('warehouse config'!$G:$G&lt;=B2046)*(('warehouse config'!$H:$H&gt;=B2046)+ISBLANK('warehouse config'!$H:$H))),1)),0))"),0.0)</f>
        <v>0</v>
      </c>
      <c r="H2046" s="3">
        <f>IFERROR(__xludf.DUMMYFUNCTION("IFERROR(INDEX(FILTER('cost master'!$E:$E,('cost master'!$B:$B=C2046)*('cost master'!$D:$D=""Storage cost per pallet / week"")*('cost master'!$G:$G&lt;=B2046)*(('cost master'!$H:$H&gt;=B2046)+ISBLANK('cost master'!$H:$H))),1),0)"),0.0)</f>
        <v>0</v>
      </c>
      <c r="I2046" s="3">
        <f t="shared" si="4"/>
        <v>0</v>
      </c>
      <c r="J2046" s="27">
        <f t="shared" si="5"/>
        <v>693947</v>
      </c>
      <c r="K2046" s="27">
        <f t="shared" si="6"/>
        <v>693977</v>
      </c>
    </row>
    <row r="2047" hidden="1">
      <c r="A2047" s="3" t="str">
        <f t="shared" si="3"/>
        <v/>
      </c>
      <c r="B2047" s="2" t="str">
        <f t="array" ref="B2047">INDEX(helper!$A$3:$A3996,ROUNDUP((ROW()-1)/COUNTA(helper!$D$3:$D3996),0))</f>
        <v/>
      </c>
      <c r="C2047" s="5" t="str">
        <f t="array" ref="C2047">IF(B2047="","",INDEX(helper!$D$3:$D3996,MOD(ROW()-2,COUNTA(helper!$D$3:$D3996))+1))</f>
        <v/>
      </c>
      <c r="D2047" s="3" t="str">
        <f t="array" ref="D2047">IF(B2047="","",INDEX(helper!$E$3:$E3996,MOD(ROW()-2,COUNTA(helper!$D$3:$D3996))+1))</f>
        <v/>
      </c>
      <c r="E2047" s="3" t="str">
        <f t="array" ref="E2047">IF(B2047="","",INDEX(helper!$F$3:$F3996,MOD(ROW()-2,COUNTA(helper!$D$3:$D3996))+1))</f>
        <v/>
      </c>
      <c r="F2047" s="3" t="str">
        <f>IF(B2047="","",SUMIFS('inventory ledger'!$H:$H,'inventory ledger'!$C:$C,C2047,'inventory ledger'!$D:$D,D2047,'inventory ledger'!$E:$E,E2047,'inventory ledger'!$A:$A,"&lt;="&amp;B2047+TIME(23,59,59))-SUMIFS('inventory ledger'!$I:$I,'inventory ledger'!$C:$C,C2047,'inventory ledger'!$D:$D,D2047,'inventory ledger'!$E:$E,E2047,'inventory ledger'!$A:$A,"&lt;="&amp;B2047+TIME(23,59,59)))</f>
        <v/>
      </c>
      <c r="G2047" s="3">
        <f>IFERROR(__xludf.DUMMYFUNCTION("IF(F2047&lt;=0,0,IFERROR(ROUNDUP(F2047/INDEX(FILTER('warehouse config'!$D:$D,('warehouse config'!$B:$B=C2047)*('warehouse config'!$C:$C=D2047)*('warehouse config'!$G:$G&lt;=B2047)*(('warehouse config'!$H:$H&gt;=B2047)+ISBLANK('warehouse config'!$H:$H))),1)),0))"),0.0)</f>
        <v>0</v>
      </c>
      <c r="H2047" s="3">
        <f>IFERROR(__xludf.DUMMYFUNCTION("IFERROR(INDEX(FILTER('cost master'!$E:$E,('cost master'!$B:$B=C2047)*('cost master'!$D:$D=""Storage cost per pallet / week"")*('cost master'!$G:$G&lt;=B2047)*(('cost master'!$H:$H&gt;=B2047)+ISBLANK('cost master'!$H:$H))),1),0)"),0.0)</f>
        <v>0</v>
      </c>
      <c r="I2047" s="3">
        <f t="shared" si="4"/>
        <v>0</v>
      </c>
      <c r="J2047" s="27">
        <f t="shared" si="5"/>
        <v>693947</v>
      </c>
      <c r="K2047" s="27">
        <f t="shared" si="6"/>
        <v>693977</v>
      </c>
    </row>
    <row r="2048" hidden="1">
      <c r="A2048" s="3" t="str">
        <f t="shared" si="3"/>
        <v/>
      </c>
      <c r="B2048" s="2" t="str">
        <f t="array" ref="B2048">INDEX(helper!$A$3:$A3996,ROUNDUP((ROW()-1)/COUNTA(helper!$D$3:$D3996),0))</f>
        <v/>
      </c>
      <c r="C2048" s="5" t="str">
        <f t="array" ref="C2048">IF(B2048="","",INDEX(helper!$D$3:$D3996,MOD(ROW()-2,COUNTA(helper!$D$3:$D3996))+1))</f>
        <v/>
      </c>
      <c r="D2048" s="3" t="str">
        <f t="array" ref="D2048">IF(B2048="","",INDEX(helper!$E$3:$E3996,MOD(ROW()-2,COUNTA(helper!$D$3:$D3996))+1))</f>
        <v/>
      </c>
      <c r="E2048" s="3" t="str">
        <f t="array" ref="E2048">IF(B2048="","",INDEX(helper!$F$3:$F3996,MOD(ROW()-2,COUNTA(helper!$D$3:$D3996))+1))</f>
        <v/>
      </c>
      <c r="F2048" s="3" t="str">
        <f>IF(B2048="","",SUMIFS('inventory ledger'!$H:$H,'inventory ledger'!$C:$C,C2048,'inventory ledger'!$D:$D,D2048,'inventory ledger'!$E:$E,E2048,'inventory ledger'!$A:$A,"&lt;="&amp;B2048+TIME(23,59,59))-SUMIFS('inventory ledger'!$I:$I,'inventory ledger'!$C:$C,C2048,'inventory ledger'!$D:$D,D2048,'inventory ledger'!$E:$E,E2048,'inventory ledger'!$A:$A,"&lt;="&amp;B2048+TIME(23,59,59)))</f>
        <v/>
      </c>
      <c r="G2048" s="3">
        <f>IFERROR(__xludf.DUMMYFUNCTION("IF(F2048&lt;=0,0,IFERROR(ROUNDUP(F2048/INDEX(FILTER('warehouse config'!$D:$D,('warehouse config'!$B:$B=C2048)*('warehouse config'!$C:$C=D2048)*('warehouse config'!$G:$G&lt;=B2048)*(('warehouse config'!$H:$H&gt;=B2048)+ISBLANK('warehouse config'!$H:$H))),1)),0))"),0.0)</f>
        <v>0</v>
      </c>
      <c r="H2048" s="3">
        <f>IFERROR(__xludf.DUMMYFUNCTION("IFERROR(INDEX(FILTER('cost master'!$E:$E,('cost master'!$B:$B=C2048)*('cost master'!$D:$D=""Storage cost per pallet / week"")*('cost master'!$G:$G&lt;=B2048)*(('cost master'!$H:$H&gt;=B2048)+ISBLANK('cost master'!$H:$H))),1),0)"),0.0)</f>
        <v>0</v>
      </c>
      <c r="I2048" s="3">
        <f t="shared" si="4"/>
        <v>0</v>
      </c>
      <c r="J2048" s="27">
        <f t="shared" si="5"/>
        <v>693947</v>
      </c>
      <c r="K2048" s="27">
        <f t="shared" si="6"/>
        <v>693977</v>
      </c>
    </row>
    <row r="2049" hidden="1">
      <c r="A2049" s="3" t="str">
        <f t="shared" si="3"/>
        <v/>
      </c>
      <c r="B2049" s="2" t="str">
        <f t="array" ref="B2049">INDEX(helper!$A$3:$A3996,ROUNDUP((ROW()-1)/COUNTA(helper!$D$3:$D3996),0))</f>
        <v/>
      </c>
      <c r="C2049" s="5" t="str">
        <f t="array" ref="C2049">IF(B2049="","",INDEX(helper!$D$3:$D3996,MOD(ROW()-2,COUNTA(helper!$D$3:$D3996))+1))</f>
        <v/>
      </c>
      <c r="D2049" s="3" t="str">
        <f t="array" ref="D2049">IF(B2049="","",INDEX(helper!$E$3:$E3996,MOD(ROW()-2,COUNTA(helper!$D$3:$D3996))+1))</f>
        <v/>
      </c>
      <c r="E2049" s="3" t="str">
        <f t="array" ref="E2049">IF(B2049="","",INDEX(helper!$F$3:$F3996,MOD(ROW()-2,COUNTA(helper!$D$3:$D3996))+1))</f>
        <v/>
      </c>
      <c r="F2049" s="3" t="str">
        <f>IF(B2049="","",SUMIFS('inventory ledger'!$H:$H,'inventory ledger'!$C:$C,C2049,'inventory ledger'!$D:$D,D2049,'inventory ledger'!$E:$E,E2049,'inventory ledger'!$A:$A,"&lt;="&amp;B2049+TIME(23,59,59))-SUMIFS('inventory ledger'!$I:$I,'inventory ledger'!$C:$C,C2049,'inventory ledger'!$D:$D,D2049,'inventory ledger'!$E:$E,E2049,'inventory ledger'!$A:$A,"&lt;="&amp;B2049+TIME(23,59,59)))</f>
        <v/>
      </c>
      <c r="G2049" s="3">
        <f>IFERROR(__xludf.DUMMYFUNCTION("IF(F2049&lt;=0,0,IFERROR(ROUNDUP(F2049/INDEX(FILTER('warehouse config'!$D:$D,('warehouse config'!$B:$B=C2049)*('warehouse config'!$C:$C=D2049)*('warehouse config'!$G:$G&lt;=B2049)*(('warehouse config'!$H:$H&gt;=B2049)+ISBLANK('warehouse config'!$H:$H))),1)),0))"),0.0)</f>
        <v>0</v>
      </c>
      <c r="H2049" s="3">
        <f>IFERROR(__xludf.DUMMYFUNCTION("IFERROR(INDEX(FILTER('cost master'!$E:$E,('cost master'!$B:$B=C2049)*('cost master'!$D:$D=""Storage cost per pallet / week"")*('cost master'!$G:$G&lt;=B2049)*(('cost master'!$H:$H&gt;=B2049)+ISBLANK('cost master'!$H:$H))),1),0)"),0.0)</f>
        <v>0</v>
      </c>
      <c r="I2049" s="3">
        <f t="shared" si="4"/>
        <v>0</v>
      </c>
      <c r="J2049" s="27">
        <f t="shared" si="5"/>
        <v>693947</v>
      </c>
      <c r="K2049" s="27">
        <f t="shared" si="6"/>
        <v>693977</v>
      </c>
    </row>
    <row r="2050" hidden="1">
      <c r="A2050" s="3" t="str">
        <f t="shared" si="3"/>
        <v/>
      </c>
      <c r="B2050" s="2" t="str">
        <f t="array" ref="B2050">INDEX(helper!$A$3:$A3996,ROUNDUP((ROW()-1)/COUNTA(helper!$D$3:$D3996),0))</f>
        <v/>
      </c>
      <c r="C2050" s="5" t="str">
        <f t="array" ref="C2050">IF(B2050="","",INDEX(helper!$D$3:$D3996,MOD(ROW()-2,COUNTA(helper!$D$3:$D3996))+1))</f>
        <v/>
      </c>
      <c r="D2050" s="3" t="str">
        <f t="array" ref="D2050">IF(B2050="","",INDEX(helper!$E$3:$E3996,MOD(ROW()-2,COUNTA(helper!$D$3:$D3996))+1))</f>
        <v/>
      </c>
      <c r="E2050" s="3" t="str">
        <f t="array" ref="E2050">IF(B2050="","",INDEX(helper!$F$3:$F3996,MOD(ROW()-2,COUNTA(helper!$D$3:$D3996))+1))</f>
        <v/>
      </c>
      <c r="F2050" s="3" t="str">
        <f>IF(B2050="","",SUMIFS('inventory ledger'!$H:$H,'inventory ledger'!$C:$C,C2050,'inventory ledger'!$D:$D,D2050,'inventory ledger'!$E:$E,E2050,'inventory ledger'!$A:$A,"&lt;="&amp;B2050+TIME(23,59,59))-SUMIFS('inventory ledger'!$I:$I,'inventory ledger'!$C:$C,C2050,'inventory ledger'!$D:$D,D2050,'inventory ledger'!$E:$E,E2050,'inventory ledger'!$A:$A,"&lt;="&amp;B2050+TIME(23,59,59)))</f>
        <v/>
      </c>
      <c r="G2050" s="3">
        <f>IFERROR(__xludf.DUMMYFUNCTION("IF(F2050&lt;=0,0,IFERROR(ROUNDUP(F2050/INDEX(FILTER('warehouse config'!$D:$D,('warehouse config'!$B:$B=C2050)*('warehouse config'!$C:$C=D2050)*('warehouse config'!$G:$G&lt;=B2050)*(('warehouse config'!$H:$H&gt;=B2050)+ISBLANK('warehouse config'!$H:$H))),1)),0))"),0.0)</f>
        <v>0</v>
      </c>
      <c r="H2050" s="3">
        <f>IFERROR(__xludf.DUMMYFUNCTION("IFERROR(INDEX(FILTER('cost master'!$E:$E,('cost master'!$B:$B=C2050)*('cost master'!$D:$D=""Storage cost per pallet / week"")*('cost master'!$G:$G&lt;=B2050)*(('cost master'!$H:$H&gt;=B2050)+ISBLANK('cost master'!$H:$H))),1),0)"),0.0)</f>
        <v>0</v>
      </c>
      <c r="I2050" s="3">
        <f t="shared" si="4"/>
        <v>0</v>
      </c>
      <c r="J2050" s="27">
        <f t="shared" si="5"/>
        <v>693947</v>
      </c>
      <c r="K2050" s="27">
        <f t="shared" si="6"/>
        <v>693977</v>
      </c>
    </row>
    <row r="2051" hidden="1">
      <c r="A2051" s="3" t="str">
        <f t="shared" si="3"/>
        <v/>
      </c>
      <c r="B2051" s="2" t="str">
        <f t="array" ref="B2051">INDEX(helper!$A$3:$A3996,ROUNDUP((ROW()-1)/COUNTA(helper!$D$3:$D3996),0))</f>
        <v/>
      </c>
      <c r="C2051" s="5" t="str">
        <f t="array" ref="C2051">IF(B2051="","",INDEX(helper!$D$3:$D3996,MOD(ROW()-2,COUNTA(helper!$D$3:$D3996))+1))</f>
        <v/>
      </c>
      <c r="D2051" s="3" t="str">
        <f t="array" ref="D2051">IF(B2051="","",INDEX(helper!$E$3:$E3996,MOD(ROW()-2,COUNTA(helper!$D$3:$D3996))+1))</f>
        <v/>
      </c>
      <c r="E2051" s="3" t="str">
        <f t="array" ref="E2051">IF(B2051="","",INDEX(helper!$F$3:$F3996,MOD(ROW()-2,COUNTA(helper!$D$3:$D3996))+1))</f>
        <v/>
      </c>
      <c r="F2051" s="3" t="str">
        <f>IF(B2051="","",SUMIFS('inventory ledger'!$H:$H,'inventory ledger'!$C:$C,C2051,'inventory ledger'!$D:$D,D2051,'inventory ledger'!$E:$E,E2051,'inventory ledger'!$A:$A,"&lt;="&amp;B2051+TIME(23,59,59))-SUMIFS('inventory ledger'!$I:$I,'inventory ledger'!$C:$C,C2051,'inventory ledger'!$D:$D,D2051,'inventory ledger'!$E:$E,E2051,'inventory ledger'!$A:$A,"&lt;="&amp;B2051+TIME(23,59,59)))</f>
        <v/>
      </c>
      <c r="G2051" s="3">
        <f>IFERROR(__xludf.DUMMYFUNCTION("IF(F2051&lt;=0,0,IFERROR(ROUNDUP(F2051/INDEX(FILTER('warehouse config'!$D:$D,('warehouse config'!$B:$B=C2051)*('warehouse config'!$C:$C=D2051)*('warehouse config'!$G:$G&lt;=B2051)*(('warehouse config'!$H:$H&gt;=B2051)+ISBLANK('warehouse config'!$H:$H))),1)),0))"),0.0)</f>
        <v>0</v>
      </c>
      <c r="H2051" s="3">
        <f>IFERROR(__xludf.DUMMYFUNCTION("IFERROR(INDEX(FILTER('cost master'!$E:$E,('cost master'!$B:$B=C2051)*('cost master'!$D:$D=""Storage cost per pallet / week"")*('cost master'!$G:$G&lt;=B2051)*(('cost master'!$H:$H&gt;=B2051)+ISBLANK('cost master'!$H:$H))),1),0)"),0.0)</f>
        <v>0</v>
      </c>
      <c r="I2051" s="3">
        <f t="shared" si="4"/>
        <v>0</v>
      </c>
      <c r="J2051" s="27">
        <f t="shared" si="5"/>
        <v>693947</v>
      </c>
      <c r="K2051" s="27">
        <f t="shared" si="6"/>
        <v>693977</v>
      </c>
    </row>
    <row r="2052" hidden="1">
      <c r="A2052" s="3" t="str">
        <f t="shared" si="3"/>
        <v/>
      </c>
      <c r="B2052" s="2" t="str">
        <f t="array" ref="B2052">INDEX(helper!$A$3:$A3996,ROUNDUP((ROW()-1)/COUNTA(helper!$D$3:$D3996),0))</f>
        <v/>
      </c>
      <c r="C2052" s="5" t="str">
        <f t="array" ref="C2052">IF(B2052="","",INDEX(helper!$D$3:$D3996,MOD(ROW()-2,COUNTA(helper!$D$3:$D3996))+1))</f>
        <v/>
      </c>
      <c r="D2052" s="3" t="str">
        <f t="array" ref="D2052">IF(B2052="","",INDEX(helper!$E$3:$E3996,MOD(ROW()-2,COUNTA(helper!$D$3:$D3996))+1))</f>
        <v/>
      </c>
      <c r="E2052" s="3" t="str">
        <f t="array" ref="E2052">IF(B2052="","",INDEX(helper!$F$3:$F3996,MOD(ROW()-2,COUNTA(helper!$D$3:$D3996))+1))</f>
        <v/>
      </c>
      <c r="F2052" s="3" t="str">
        <f>IF(B2052="","",SUMIFS('inventory ledger'!$H:$H,'inventory ledger'!$C:$C,C2052,'inventory ledger'!$D:$D,D2052,'inventory ledger'!$E:$E,E2052,'inventory ledger'!$A:$A,"&lt;="&amp;B2052+TIME(23,59,59))-SUMIFS('inventory ledger'!$I:$I,'inventory ledger'!$C:$C,C2052,'inventory ledger'!$D:$D,D2052,'inventory ledger'!$E:$E,E2052,'inventory ledger'!$A:$A,"&lt;="&amp;B2052+TIME(23,59,59)))</f>
        <v/>
      </c>
      <c r="G2052" s="3">
        <f>IFERROR(__xludf.DUMMYFUNCTION("IF(F2052&lt;=0,0,IFERROR(ROUNDUP(F2052/INDEX(FILTER('warehouse config'!$D:$D,('warehouse config'!$B:$B=C2052)*('warehouse config'!$C:$C=D2052)*('warehouse config'!$G:$G&lt;=B2052)*(('warehouse config'!$H:$H&gt;=B2052)+ISBLANK('warehouse config'!$H:$H))),1)),0))"),0.0)</f>
        <v>0</v>
      </c>
      <c r="H2052" s="3">
        <f>IFERROR(__xludf.DUMMYFUNCTION("IFERROR(INDEX(FILTER('cost master'!$E:$E,('cost master'!$B:$B=C2052)*('cost master'!$D:$D=""Storage cost per pallet / week"")*('cost master'!$G:$G&lt;=B2052)*(('cost master'!$H:$H&gt;=B2052)+ISBLANK('cost master'!$H:$H))),1),0)"),0.0)</f>
        <v>0</v>
      </c>
      <c r="I2052" s="3">
        <f t="shared" si="4"/>
        <v>0</v>
      </c>
      <c r="J2052" s="27">
        <f t="shared" si="5"/>
        <v>693947</v>
      </c>
      <c r="K2052" s="27">
        <f t="shared" si="6"/>
        <v>693977</v>
      </c>
    </row>
    <row r="2053" hidden="1">
      <c r="A2053" s="3" t="str">
        <f t="shared" si="3"/>
        <v/>
      </c>
      <c r="B2053" s="2" t="str">
        <f t="array" ref="B2053">INDEX(helper!$A$3:$A3996,ROUNDUP((ROW()-1)/COUNTA(helper!$D$3:$D3996),0))</f>
        <v/>
      </c>
      <c r="C2053" s="5" t="str">
        <f t="array" ref="C2053">IF(B2053="","",INDEX(helper!$D$3:$D3996,MOD(ROW()-2,COUNTA(helper!$D$3:$D3996))+1))</f>
        <v/>
      </c>
      <c r="D2053" s="3" t="str">
        <f t="array" ref="D2053">IF(B2053="","",INDEX(helper!$E$3:$E3996,MOD(ROW()-2,COUNTA(helper!$D$3:$D3996))+1))</f>
        <v/>
      </c>
      <c r="E2053" s="3" t="str">
        <f t="array" ref="E2053">IF(B2053="","",INDEX(helper!$F$3:$F3996,MOD(ROW()-2,COUNTA(helper!$D$3:$D3996))+1))</f>
        <v/>
      </c>
      <c r="F2053" s="3" t="str">
        <f>IF(B2053="","",SUMIFS('inventory ledger'!$H:$H,'inventory ledger'!$C:$C,C2053,'inventory ledger'!$D:$D,D2053,'inventory ledger'!$E:$E,E2053,'inventory ledger'!$A:$A,"&lt;="&amp;B2053+TIME(23,59,59))-SUMIFS('inventory ledger'!$I:$I,'inventory ledger'!$C:$C,C2053,'inventory ledger'!$D:$D,D2053,'inventory ledger'!$E:$E,E2053,'inventory ledger'!$A:$A,"&lt;="&amp;B2053+TIME(23,59,59)))</f>
        <v/>
      </c>
      <c r="G2053" s="3">
        <f>IFERROR(__xludf.DUMMYFUNCTION("IF(F2053&lt;=0,0,IFERROR(ROUNDUP(F2053/INDEX(FILTER('warehouse config'!$D:$D,('warehouse config'!$B:$B=C2053)*('warehouse config'!$C:$C=D2053)*('warehouse config'!$G:$G&lt;=B2053)*(('warehouse config'!$H:$H&gt;=B2053)+ISBLANK('warehouse config'!$H:$H))),1)),0))"),0.0)</f>
        <v>0</v>
      </c>
      <c r="H2053" s="3">
        <f>IFERROR(__xludf.DUMMYFUNCTION("IFERROR(INDEX(FILTER('cost master'!$E:$E,('cost master'!$B:$B=C2053)*('cost master'!$D:$D=""Storage cost per pallet / week"")*('cost master'!$G:$G&lt;=B2053)*(('cost master'!$H:$H&gt;=B2053)+ISBLANK('cost master'!$H:$H))),1),0)"),0.0)</f>
        <v>0</v>
      </c>
      <c r="I2053" s="3">
        <f t="shared" si="4"/>
        <v>0</v>
      </c>
      <c r="J2053" s="27">
        <f t="shared" si="5"/>
        <v>693947</v>
      </c>
      <c r="K2053" s="27">
        <f t="shared" si="6"/>
        <v>693977</v>
      </c>
    </row>
    <row r="2054" hidden="1">
      <c r="A2054" s="3" t="str">
        <f t="shared" si="3"/>
        <v/>
      </c>
      <c r="B2054" s="2" t="str">
        <f t="array" ref="B2054">INDEX(helper!$A$3:$A3996,ROUNDUP((ROW()-1)/COUNTA(helper!$D$3:$D3996),0))</f>
        <v/>
      </c>
      <c r="C2054" s="5" t="str">
        <f t="array" ref="C2054">IF(B2054="","",INDEX(helper!$D$3:$D3996,MOD(ROW()-2,COUNTA(helper!$D$3:$D3996))+1))</f>
        <v/>
      </c>
      <c r="D2054" s="3" t="str">
        <f t="array" ref="D2054">IF(B2054="","",INDEX(helper!$E$3:$E3996,MOD(ROW()-2,COUNTA(helper!$D$3:$D3996))+1))</f>
        <v/>
      </c>
      <c r="E2054" s="3" t="str">
        <f t="array" ref="E2054">IF(B2054="","",INDEX(helper!$F$3:$F3996,MOD(ROW()-2,COUNTA(helper!$D$3:$D3996))+1))</f>
        <v/>
      </c>
      <c r="F2054" s="3" t="str">
        <f>IF(B2054="","",SUMIFS('inventory ledger'!$H:$H,'inventory ledger'!$C:$C,C2054,'inventory ledger'!$D:$D,D2054,'inventory ledger'!$E:$E,E2054,'inventory ledger'!$A:$A,"&lt;="&amp;B2054+TIME(23,59,59))-SUMIFS('inventory ledger'!$I:$I,'inventory ledger'!$C:$C,C2054,'inventory ledger'!$D:$D,D2054,'inventory ledger'!$E:$E,E2054,'inventory ledger'!$A:$A,"&lt;="&amp;B2054+TIME(23,59,59)))</f>
        <v/>
      </c>
      <c r="G2054" s="3">
        <f>IFERROR(__xludf.DUMMYFUNCTION("IF(F2054&lt;=0,0,IFERROR(ROUNDUP(F2054/INDEX(FILTER('warehouse config'!$D:$D,('warehouse config'!$B:$B=C2054)*('warehouse config'!$C:$C=D2054)*('warehouse config'!$G:$G&lt;=B2054)*(('warehouse config'!$H:$H&gt;=B2054)+ISBLANK('warehouse config'!$H:$H))),1)),0))"),0.0)</f>
        <v>0</v>
      </c>
      <c r="H2054" s="3">
        <f>IFERROR(__xludf.DUMMYFUNCTION("IFERROR(INDEX(FILTER('cost master'!$E:$E,('cost master'!$B:$B=C2054)*('cost master'!$D:$D=""Storage cost per pallet / week"")*('cost master'!$G:$G&lt;=B2054)*(('cost master'!$H:$H&gt;=B2054)+ISBLANK('cost master'!$H:$H))),1),0)"),0.0)</f>
        <v>0</v>
      </c>
      <c r="I2054" s="3">
        <f t="shared" si="4"/>
        <v>0</v>
      </c>
      <c r="J2054" s="27">
        <f t="shared" si="5"/>
        <v>693947</v>
      </c>
      <c r="K2054" s="27">
        <f t="shared" si="6"/>
        <v>693977</v>
      </c>
    </row>
    <row r="2055" hidden="1">
      <c r="A2055" s="3" t="str">
        <f t="shared" si="3"/>
        <v/>
      </c>
      <c r="B2055" s="2" t="str">
        <f t="array" ref="B2055">INDEX(helper!$A$3:$A3996,ROUNDUP((ROW()-1)/COUNTA(helper!$D$3:$D3996),0))</f>
        <v/>
      </c>
      <c r="C2055" s="5" t="str">
        <f t="array" ref="C2055">IF(B2055="","",INDEX(helper!$D$3:$D3996,MOD(ROW()-2,COUNTA(helper!$D$3:$D3996))+1))</f>
        <v/>
      </c>
      <c r="D2055" s="3" t="str">
        <f t="array" ref="D2055">IF(B2055="","",INDEX(helper!$E$3:$E3996,MOD(ROW()-2,COUNTA(helper!$D$3:$D3996))+1))</f>
        <v/>
      </c>
      <c r="E2055" s="3" t="str">
        <f t="array" ref="E2055">IF(B2055="","",INDEX(helper!$F$3:$F3996,MOD(ROW()-2,COUNTA(helper!$D$3:$D3996))+1))</f>
        <v/>
      </c>
      <c r="F2055" s="3" t="str">
        <f>IF(B2055="","",SUMIFS('inventory ledger'!$H:$H,'inventory ledger'!$C:$C,C2055,'inventory ledger'!$D:$D,D2055,'inventory ledger'!$E:$E,E2055,'inventory ledger'!$A:$A,"&lt;="&amp;B2055+TIME(23,59,59))-SUMIFS('inventory ledger'!$I:$I,'inventory ledger'!$C:$C,C2055,'inventory ledger'!$D:$D,D2055,'inventory ledger'!$E:$E,E2055,'inventory ledger'!$A:$A,"&lt;="&amp;B2055+TIME(23,59,59)))</f>
        <v/>
      </c>
      <c r="G2055" s="3">
        <f>IFERROR(__xludf.DUMMYFUNCTION("IF(F2055&lt;=0,0,IFERROR(ROUNDUP(F2055/INDEX(FILTER('warehouse config'!$D:$D,('warehouse config'!$B:$B=C2055)*('warehouse config'!$C:$C=D2055)*('warehouse config'!$G:$G&lt;=B2055)*(('warehouse config'!$H:$H&gt;=B2055)+ISBLANK('warehouse config'!$H:$H))),1)),0))"),0.0)</f>
        <v>0</v>
      </c>
      <c r="H2055" s="3">
        <f>IFERROR(__xludf.DUMMYFUNCTION("IFERROR(INDEX(FILTER('cost master'!$E:$E,('cost master'!$B:$B=C2055)*('cost master'!$D:$D=""Storage cost per pallet / week"")*('cost master'!$G:$G&lt;=B2055)*(('cost master'!$H:$H&gt;=B2055)+ISBLANK('cost master'!$H:$H))),1),0)"),0.0)</f>
        <v>0</v>
      </c>
      <c r="I2055" s="3">
        <f t="shared" si="4"/>
        <v>0</v>
      </c>
      <c r="J2055" s="27">
        <f t="shared" si="5"/>
        <v>693947</v>
      </c>
      <c r="K2055" s="27">
        <f t="shared" si="6"/>
        <v>693977</v>
      </c>
    </row>
    <row r="2056" hidden="1">
      <c r="A2056" s="3" t="str">
        <f t="shared" si="3"/>
        <v/>
      </c>
      <c r="B2056" s="2" t="str">
        <f t="array" ref="B2056">INDEX(helper!$A$3:$A3996,ROUNDUP((ROW()-1)/COUNTA(helper!$D$3:$D3996),0))</f>
        <v/>
      </c>
      <c r="C2056" s="5" t="str">
        <f t="array" ref="C2056">IF(B2056="","",INDEX(helper!$D$3:$D3996,MOD(ROW()-2,COUNTA(helper!$D$3:$D3996))+1))</f>
        <v/>
      </c>
      <c r="D2056" s="3" t="str">
        <f t="array" ref="D2056">IF(B2056="","",INDEX(helper!$E$3:$E3996,MOD(ROW()-2,COUNTA(helper!$D$3:$D3996))+1))</f>
        <v/>
      </c>
      <c r="E2056" s="3" t="str">
        <f t="array" ref="E2056">IF(B2056="","",INDEX(helper!$F$3:$F3996,MOD(ROW()-2,COUNTA(helper!$D$3:$D3996))+1))</f>
        <v/>
      </c>
      <c r="F2056" s="3" t="str">
        <f>IF(B2056="","",SUMIFS('inventory ledger'!$H:$H,'inventory ledger'!$C:$C,C2056,'inventory ledger'!$D:$D,D2056,'inventory ledger'!$E:$E,E2056,'inventory ledger'!$A:$A,"&lt;="&amp;B2056+TIME(23,59,59))-SUMIFS('inventory ledger'!$I:$I,'inventory ledger'!$C:$C,C2056,'inventory ledger'!$D:$D,D2056,'inventory ledger'!$E:$E,E2056,'inventory ledger'!$A:$A,"&lt;="&amp;B2056+TIME(23,59,59)))</f>
        <v/>
      </c>
      <c r="G2056" s="3">
        <f>IFERROR(__xludf.DUMMYFUNCTION("IF(F2056&lt;=0,0,IFERROR(ROUNDUP(F2056/INDEX(FILTER('warehouse config'!$D:$D,('warehouse config'!$B:$B=C2056)*('warehouse config'!$C:$C=D2056)*('warehouse config'!$G:$G&lt;=B2056)*(('warehouse config'!$H:$H&gt;=B2056)+ISBLANK('warehouse config'!$H:$H))),1)),0))"),0.0)</f>
        <v>0</v>
      </c>
      <c r="H2056" s="3">
        <f>IFERROR(__xludf.DUMMYFUNCTION("IFERROR(INDEX(FILTER('cost master'!$E:$E,('cost master'!$B:$B=C2056)*('cost master'!$D:$D=""Storage cost per pallet / week"")*('cost master'!$G:$G&lt;=B2056)*(('cost master'!$H:$H&gt;=B2056)+ISBLANK('cost master'!$H:$H))),1),0)"),0.0)</f>
        <v>0</v>
      </c>
      <c r="I2056" s="3">
        <f t="shared" si="4"/>
        <v>0</v>
      </c>
      <c r="J2056" s="27">
        <f t="shared" si="5"/>
        <v>693947</v>
      </c>
      <c r="K2056" s="27">
        <f t="shared" si="6"/>
        <v>693977</v>
      </c>
    </row>
    <row r="2057" hidden="1">
      <c r="A2057" s="3" t="str">
        <f t="shared" si="3"/>
        <v/>
      </c>
      <c r="B2057" s="2" t="str">
        <f t="array" ref="B2057">INDEX(helper!$A$3:$A3996,ROUNDUP((ROW()-1)/COUNTA(helper!$D$3:$D3996),0))</f>
        <v/>
      </c>
      <c r="C2057" s="5" t="str">
        <f t="array" ref="C2057">IF(B2057="","",INDEX(helper!$D$3:$D3996,MOD(ROW()-2,COUNTA(helper!$D$3:$D3996))+1))</f>
        <v/>
      </c>
      <c r="D2057" s="3" t="str">
        <f t="array" ref="D2057">IF(B2057="","",INDEX(helper!$E$3:$E3996,MOD(ROW()-2,COUNTA(helper!$D$3:$D3996))+1))</f>
        <v/>
      </c>
      <c r="E2057" s="3" t="str">
        <f t="array" ref="E2057">IF(B2057="","",INDEX(helper!$F$3:$F3996,MOD(ROW()-2,COUNTA(helper!$D$3:$D3996))+1))</f>
        <v/>
      </c>
      <c r="F2057" s="3" t="str">
        <f>IF(B2057="","",SUMIFS('inventory ledger'!$H:$H,'inventory ledger'!$C:$C,C2057,'inventory ledger'!$D:$D,D2057,'inventory ledger'!$E:$E,E2057,'inventory ledger'!$A:$A,"&lt;="&amp;B2057+TIME(23,59,59))-SUMIFS('inventory ledger'!$I:$I,'inventory ledger'!$C:$C,C2057,'inventory ledger'!$D:$D,D2057,'inventory ledger'!$E:$E,E2057,'inventory ledger'!$A:$A,"&lt;="&amp;B2057+TIME(23,59,59)))</f>
        <v/>
      </c>
      <c r="G2057" s="3">
        <f>IFERROR(__xludf.DUMMYFUNCTION("IF(F2057&lt;=0,0,IFERROR(ROUNDUP(F2057/INDEX(FILTER('warehouse config'!$D:$D,('warehouse config'!$B:$B=C2057)*('warehouse config'!$C:$C=D2057)*('warehouse config'!$G:$G&lt;=B2057)*(('warehouse config'!$H:$H&gt;=B2057)+ISBLANK('warehouse config'!$H:$H))),1)),0))"),0.0)</f>
        <v>0</v>
      </c>
      <c r="H2057" s="3">
        <f>IFERROR(__xludf.DUMMYFUNCTION("IFERROR(INDEX(FILTER('cost master'!$E:$E,('cost master'!$B:$B=C2057)*('cost master'!$D:$D=""Storage cost per pallet / week"")*('cost master'!$G:$G&lt;=B2057)*(('cost master'!$H:$H&gt;=B2057)+ISBLANK('cost master'!$H:$H))),1),0)"),0.0)</f>
        <v>0</v>
      </c>
      <c r="I2057" s="3">
        <f t="shared" si="4"/>
        <v>0</v>
      </c>
      <c r="J2057" s="27">
        <f t="shared" si="5"/>
        <v>693947</v>
      </c>
      <c r="K2057" s="27">
        <f t="shared" si="6"/>
        <v>693977</v>
      </c>
    </row>
    <row r="2058" hidden="1">
      <c r="A2058" s="3" t="str">
        <f t="shared" si="3"/>
        <v/>
      </c>
      <c r="B2058" s="2" t="str">
        <f t="array" ref="B2058">INDEX(helper!$A$3:$A3996,ROUNDUP((ROW()-1)/COUNTA(helper!$D$3:$D3996),0))</f>
        <v/>
      </c>
      <c r="C2058" s="5" t="str">
        <f t="array" ref="C2058">IF(B2058="","",INDEX(helper!$D$3:$D3996,MOD(ROW()-2,COUNTA(helper!$D$3:$D3996))+1))</f>
        <v/>
      </c>
      <c r="D2058" s="3" t="str">
        <f t="array" ref="D2058">IF(B2058="","",INDEX(helper!$E$3:$E3996,MOD(ROW()-2,COUNTA(helper!$D$3:$D3996))+1))</f>
        <v/>
      </c>
      <c r="E2058" s="3" t="str">
        <f t="array" ref="E2058">IF(B2058="","",INDEX(helper!$F$3:$F3996,MOD(ROW()-2,COUNTA(helper!$D$3:$D3996))+1))</f>
        <v/>
      </c>
      <c r="F2058" s="3" t="str">
        <f>IF(B2058="","",SUMIFS('inventory ledger'!$H:$H,'inventory ledger'!$C:$C,C2058,'inventory ledger'!$D:$D,D2058,'inventory ledger'!$E:$E,E2058,'inventory ledger'!$A:$A,"&lt;="&amp;B2058+TIME(23,59,59))-SUMIFS('inventory ledger'!$I:$I,'inventory ledger'!$C:$C,C2058,'inventory ledger'!$D:$D,D2058,'inventory ledger'!$E:$E,E2058,'inventory ledger'!$A:$A,"&lt;="&amp;B2058+TIME(23,59,59)))</f>
        <v/>
      </c>
      <c r="G2058" s="3">
        <f>IFERROR(__xludf.DUMMYFUNCTION("IF(F2058&lt;=0,0,IFERROR(ROUNDUP(F2058/INDEX(FILTER('warehouse config'!$D:$D,('warehouse config'!$B:$B=C2058)*('warehouse config'!$C:$C=D2058)*('warehouse config'!$G:$G&lt;=B2058)*(('warehouse config'!$H:$H&gt;=B2058)+ISBLANK('warehouse config'!$H:$H))),1)),0))"),0.0)</f>
        <v>0</v>
      </c>
      <c r="H2058" s="3">
        <f>IFERROR(__xludf.DUMMYFUNCTION("IFERROR(INDEX(FILTER('cost master'!$E:$E,('cost master'!$B:$B=C2058)*('cost master'!$D:$D=""Storage cost per pallet / week"")*('cost master'!$G:$G&lt;=B2058)*(('cost master'!$H:$H&gt;=B2058)+ISBLANK('cost master'!$H:$H))),1),0)"),0.0)</f>
        <v>0</v>
      </c>
      <c r="I2058" s="3">
        <f t="shared" si="4"/>
        <v>0</v>
      </c>
      <c r="J2058" s="27">
        <f t="shared" si="5"/>
        <v>693947</v>
      </c>
      <c r="K2058" s="27">
        <f t="shared" si="6"/>
        <v>693977</v>
      </c>
    </row>
    <row r="2059" hidden="1">
      <c r="A2059" s="3" t="str">
        <f t="shared" si="3"/>
        <v/>
      </c>
      <c r="B2059" s="2" t="str">
        <f t="array" ref="B2059">INDEX(helper!$A$3:$A3996,ROUNDUP((ROW()-1)/COUNTA(helper!$D$3:$D3996),0))</f>
        <v/>
      </c>
      <c r="C2059" s="5" t="str">
        <f t="array" ref="C2059">IF(B2059="","",INDEX(helper!$D$3:$D3996,MOD(ROW()-2,COUNTA(helper!$D$3:$D3996))+1))</f>
        <v/>
      </c>
      <c r="D2059" s="3" t="str">
        <f t="array" ref="D2059">IF(B2059="","",INDEX(helper!$E$3:$E3996,MOD(ROW()-2,COUNTA(helper!$D$3:$D3996))+1))</f>
        <v/>
      </c>
      <c r="E2059" s="3" t="str">
        <f t="array" ref="E2059">IF(B2059="","",INDEX(helper!$F$3:$F3996,MOD(ROW()-2,COUNTA(helper!$D$3:$D3996))+1))</f>
        <v/>
      </c>
      <c r="F2059" s="3" t="str">
        <f>IF(B2059="","",SUMIFS('inventory ledger'!$H:$H,'inventory ledger'!$C:$C,C2059,'inventory ledger'!$D:$D,D2059,'inventory ledger'!$E:$E,E2059,'inventory ledger'!$A:$A,"&lt;="&amp;B2059+TIME(23,59,59))-SUMIFS('inventory ledger'!$I:$I,'inventory ledger'!$C:$C,C2059,'inventory ledger'!$D:$D,D2059,'inventory ledger'!$E:$E,E2059,'inventory ledger'!$A:$A,"&lt;="&amp;B2059+TIME(23,59,59)))</f>
        <v/>
      </c>
      <c r="G2059" s="3">
        <f>IFERROR(__xludf.DUMMYFUNCTION("IF(F2059&lt;=0,0,IFERROR(ROUNDUP(F2059/INDEX(FILTER('warehouse config'!$D:$D,('warehouse config'!$B:$B=C2059)*('warehouse config'!$C:$C=D2059)*('warehouse config'!$G:$G&lt;=B2059)*(('warehouse config'!$H:$H&gt;=B2059)+ISBLANK('warehouse config'!$H:$H))),1)),0))"),0.0)</f>
        <v>0</v>
      </c>
      <c r="H2059" s="3">
        <f>IFERROR(__xludf.DUMMYFUNCTION("IFERROR(INDEX(FILTER('cost master'!$E:$E,('cost master'!$B:$B=C2059)*('cost master'!$D:$D=""Storage cost per pallet / week"")*('cost master'!$G:$G&lt;=B2059)*(('cost master'!$H:$H&gt;=B2059)+ISBLANK('cost master'!$H:$H))),1),0)"),0.0)</f>
        <v>0</v>
      </c>
      <c r="I2059" s="3">
        <f t="shared" si="4"/>
        <v>0</v>
      </c>
      <c r="J2059" s="27">
        <f t="shared" si="5"/>
        <v>693947</v>
      </c>
      <c r="K2059" s="27">
        <f t="shared" si="6"/>
        <v>693977</v>
      </c>
    </row>
    <row r="2060" hidden="1">
      <c r="A2060" s="3" t="str">
        <f t="shared" si="3"/>
        <v/>
      </c>
      <c r="B2060" s="2" t="str">
        <f t="array" ref="B2060">INDEX(helper!$A$3:$A3996,ROUNDUP((ROW()-1)/COUNTA(helper!$D$3:$D3996),0))</f>
        <v/>
      </c>
      <c r="C2060" s="5" t="str">
        <f t="array" ref="C2060">IF(B2060="","",INDEX(helper!$D$3:$D3996,MOD(ROW()-2,COUNTA(helper!$D$3:$D3996))+1))</f>
        <v/>
      </c>
      <c r="D2060" s="3" t="str">
        <f t="array" ref="D2060">IF(B2060="","",INDEX(helper!$E$3:$E3996,MOD(ROW()-2,COUNTA(helper!$D$3:$D3996))+1))</f>
        <v/>
      </c>
      <c r="E2060" s="3" t="str">
        <f t="array" ref="E2060">IF(B2060="","",INDEX(helper!$F$3:$F3996,MOD(ROW()-2,COUNTA(helper!$D$3:$D3996))+1))</f>
        <v/>
      </c>
      <c r="F2060" s="3" t="str">
        <f>IF(B2060="","",SUMIFS('inventory ledger'!$H:$H,'inventory ledger'!$C:$C,C2060,'inventory ledger'!$D:$D,D2060,'inventory ledger'!$E:$E,E2060,'inventory ledger'!$A:$A,"&lt;="&amp;B2060+TIME(23,59,59))-SUMIFS('inventory ledger'!$I:$I,'inventory ledger'!$C:$C,C2060,'inventory ledger'!$D:$D,D2060,'inventory ledger'!$E:$E,E2060,'inventory ledger'!$A:$A,"&lt;="&amp;B2060+TIME(23,59,59)))</f>
        <v/>
      </c>
      <c r="G2060" s="3">
        <f>IFERROR(__xludf.DUMMYFUNCTION("IF(F2060&lt;=0,0,IFERROR(ROUNDUP(F2060/INDEX(FILTER('warehouse config'!$D:$D,('warehouse config'!$B:$B=C2060)*('warehouse config'!$C:$C=D2060)*('warehouse config'!$G:$G&lt;=B2060)*(('warehouse config'!$H:$H&gt;=B2060)+ISBLANK('warehouse config'!$H:$H))),1)),0))"),0.0)</f>
        <v>0</v>
      </c>
      <c r="H2060" s="3">
        <f>IFERROR(__xludf.DUMMYFUNCTION("IFERROR(INDEX(FILTER('cost master'!$E:$E,('cost master'!$B:$B=C2060)*('cost master'!$D:$D=""Storage cost per pallet / week"")*('cost master'!$G:$G&lt;=B2060)*(('cost master'!$H:$H&gt;=B2060)+ISBLANK('cost master'!$H:$H))),1),0)"),0.0)</f>
        <v>0</v>
      </c>
      <c r="I2060" s="3">
        <f t="shared" si="4"/>
        <v>0</v>
      </c>
      <c r="J2060" s="27">
        <f t="shared" si="5"/>
        <v>693947</v>
      </c>
      <c r="K2060" s="27">
        <f t="shared" si="6"/>
        <v>693977</v>
      </c>
    </row>
    <row r="2061" hidden="1">
      <c r="A2061" s="3" t="str">
        <f t="shared" si="3"/>
        <v/>
      </c>
      <c r="B2061" s="2" t="str">
        <f t="array" ref="B2061">INDEX(helper!$A$3:$A3996,ROUNDUP((ROW()-1)/COUNTA(helper!$D$3:$D3996),0))</f>
        <v/>
      </c>
      <c r="C2061" s="5" t="str">
        <f t="array" ref="C2061">IF(B2061="","",INDEX(helper!$D$3:$D3996,MOD(ROW()-2,COUNTA(helper!$D$3:$D3996))+1))</f>
        <v/>
      </c>
      <c r="D2061" s="3" t="str">
        <f t="array" ref="D2061">IF(B2061="","",INDEX(helper!$E$3:$E3996,MOD(ROW()-2,COUNTA(helper!$D$3:$D3996))+1))</f>
        <v/>
      </c>
      <c r="E2061" s="3" t="str">
        <f t="array" ref="E2061">IF(B2061="","",INDEX(helper!$F$3:$F3996,MOD(ROW()-2,COUNTA(helper!$D$3:$D3996))+1))</f>
        <v/>
      </c>
      <c r="F2061" s="3" t="str">
        <f>IF(B2061="","",SUMIFS('inventory ledger'!$H:$H,'inventory ledger'!$C:$C,C2061,'inventory ledger'!$D:$D,D2061,'inventory ledger'!$E:$E,E2061,'inventory ledger'!$A:$A,"&lt;="&amp;B2061+TIME(23,59,59))-SUMIFS('inventory ledger'!$I:$I,'inventory ledger'!$C:$C,C2061,'inventory ledger'!$D:$D,D2061,'inventory ledger'!$E:$E,E2061,'inventory ledger'!$A:$A,"&lt;="&amp;B2061+TIME(23,59,59)))</f>
        <v/>
      </c>
      <c r="G2061" s="3">
        <f>IFERROR(__xludf.DUMMYFUNCTION("IF(F2061&lt;=0,0,IFERROR(ROUNDUP(F2061/INDEX(FILTER('warehouse config'!$D:$D,('warehouse config'!$B:$B=C2061)*('warehouse config'!$C:$C=D2061)*('warehouse config'!$G:$G&lt;=B2061)*(('warehouse config'!$H:$H&gt;=B2061)+ISBLANK('warehouse config'!$H:$H))),1)),0))"),0.0)</f>
        <v>0</v>
      </c>
      <c r="H2061" s="3">
        <f>IFERROR(__xludf.DUMMYFUNCTION("IFERROR(INDEX(FILTER('cost master'!$E:$E,('cost master'!$B:$B=C2061)*('cost master'!$D:$D=""Storage cost per pallet / week"")*('cost master'!$G:$G&lt;=B2061)*(('cost master'!$H:$H&gt;=B2061)+ISBLANK('cost master'!$H:$H))),1),0)"),0.0)</f>
        <v>0</v>
      </c>
      <c r="I2061" s="3">
        <f t="shared" si="4"/>
        <v>0</v>
      </c>
      <c r="J2061" s="27">
        <f t="shared" si="5"/>
        <v>693947</v>
      </c>
      <c r="K2061" s="27">
        <f t="shared" si="6"/>
        <v>693977</v>
      </c>
    </row>
    <row r="2062" hidden="1">
      <c r="A2062" s="3" t="str">
        <f t="shared" si="3"/>
        <v/>
      </c>
      <c r="B2062" s="2" t="str">
        <f t="array" ref="B2062">INDEX(helper!$A$3:$A3996,ROUNDUP((ROW()-1)/COUNTA(helper!$D$3:$D3996),0))</f>
        <v/>
      </c>
      <c r="C2062" s="5" t="str">
        <f t="array" ref="C2062">IF(B2062="","",INDEX(helper!$D$3:$D3996,MOD(ROW()-2,COUNTA(helper!$D$3:$D3996))+1))</f>
        <v/>
      </c>
      <c r="D2062" s="3" t="str">
        <f t="array" ref="D2062">IF(B2062="","",INDEX(helper!$E$3:$E3996,MOD(ROW()-2,COUNTA(helper!$D$3:$D3996))+1))</f>
        <v/>
      </c>
      <c r="E2062" s="3" t="str">
        <f t="array" ref="E2062">IF(B2062="","",INDEX(helper!$F$3:$F3996,MOD(ROW()-2,COUNTA(helper!$D$3:$D3996))+1))</f>
        <v/>
      </c>
      <c r="F2062" s="3" t="str">
        <f>IF(B2062="","",SUMIFS('inventory ledger'!$H:$H,'inventory ledger'!$C:$C,C2062,'inventory ledger'!$D:$D,D2062,'inventory ledger'!$E:$E,E2062,'inventory ledger'!$A:$A,"&lt;="&amp;B2062+TIME(23,59,59))-SUMIFS('inventory ledger'!$I:$I,'inventory ledger'!$C:$C,C2062,'inventory ledger'!$D:$D,D2062,'inventory ledger'!$E:$E,E2062,'inventory ledger'!$A:$A,"&lt;="&amp;B2062+TIME(23,59,59)))</f>
        <v/>
      </c>
      <c r="G2062" s="3">
        <f>IFERROR(__xludf.DUMMYFUNCTION("IF(F2062&lt;=0,0,IFERROR(ROUNDUP(F2062/INDEX(FILTER('warehouse config'!$D:$D,('warehouse config'!$B:$B=C2062)*('warehouse config'!$C:$C=D2062)*('warehouse config'!$G:$G&lt;=B2062)*(('warehouse config'!$H:$H&gt;=B2062)+ISBLANK('warehouse config'!$H:$H))),1)),0))"),0.0)</f>
        <v>0</v>
      </c>
      <c r="H2062" s="3">
        <f>IFERROR(__xludf.DUMMYFUNCTION("IFERROR(INDEX(FILTER('cost master'!$E:$E,('cost master'!$B:$B=C2062)*('cost master'!$D:$D=""Storage cost per pallet / week"")*('cost master'!$G:$G&lt;=B2062)*(('cost master'!$H:$H&gt;=B2062)+ISBLANK('cost master'!$H:$H))),1),0)"),0.0)</f>
        <v>0</v>
      </c>
      <c r="I2062" s="3">
        <f t="shared" si="4"/>
        <v>0</v>
      </c>
      <c r="J2062" s="27">
        <f t="shared" si="5"/>
        <v>693947</v>
      </c>
      <c r="K2062" s="27">
        <f t="shared" si="6"/>
        <v>693977</v>
      </c>
    </row>
    <row r="2063" hidden="1">
      <c r="A2063" s="3" t="str">
        <f t="shared" si="3"/>
        <v/>
      </c>
      <c r="B2063" s="2" t="str">
        <f t="array" ref="B2063">INDEX(helper!$A$3:$A3996,ROUNDUP((ROW()-1)/COUNTA(helper!$D$3:$D3996),0))</f>
        <v/>
      </c>
      <c r="C2063" s="5" t="str">
        <f t="array" ref="C2063">IF(B2063="","",INDEX(helper!$D$3:$D3996,MOD(ROW()-2,COUNTA(helper!$D$3:$D3996))+1))</f>
        <v/>
      </c>
      <c r="D2063" s="3" t="str">
        <f t="array" ref="D2063">IF(B2063="","",INDEX(helper!$E$3:$E3996,MOD(ROW()-2,COUNTA(helper!$D$3:$D3996))+1))</f>
        <v/>
      </c>
      <c r="E2063" s="3" t="str">
        <f t="array" ref="E2063">IF(B2063="","",INDEX(helper!$F$3:$F3996,MOD(ROW()-2,COUNTA(helper!$D$3:$D3996))+1))</f>
        <v/>
      </c>
      <c r="F2063" s="3" t="str">
        <f>IF(B2063="","",SUMIFS('inventory ledger'!$H:$H,'inventory ledger'!$C:$C,C2063,'inventory ledger'!$D:$D,D2063,'inventory ledger'!$E:$E,E2063,'inventory ledger'!$A:$A,"&lt;="&amp;B2063+TIME(23,59,59))-SUMIFS('inventory ledger'!$I:$I,'inventory ledger'!$C:$C,C2063,'inventory ledger'!$D:$D,D2063,'inventory ledger'!$E:$E,E2063,'inventory ledger'!$A:$A,"&lt;="&amp;B2063+TIME(23,59,59)))</f>
        <v/>
      </c>
      <c r="G2063" s="3">
        <f>IFERROR(__xludf.DUMMYFUNCTION("IF(F2063&lt;=0,0,IFERROR(ROUNDUP(F2063/INDEX(FILTER('warehouse config'!$D:$D,('warehouse config'!$B:$B=C2063)*('warehouse config'!$C:$C=D2063)*('warehouse config'!$G:$G&lt;=B2063)*(('warehouse config'!$H:$H&gt;=B2063)+ISBLANK('warehouse config'!$H:$H))),1)),0))"),0.0)</f>
        <v>0</v>
      </c>
      <c r="H2063" s="3">
        <f>IFERROR(__xludf.DUMMYFUNCTION("IFERROR(INDEX(FILTER('cost master'!$E:$E,('cost master'!$B:$B=C2063)*('cost master'!$D:$D=""Storage cost per pallet / week"")*('cost master'!$G:$G&lt;=B2063)*(('cost master'!$H:$H&gt;=B2063)+ISBLANK('cost master'!$H:$H))),1),0)"),0.0)</f>
        <v>0</v>
      </c>
      <c r="I2063" s="3">
        <f t="shared" si="4"/>
        <v>0</v>
      </c>
      <c r="J2063" s="27">
        <f t="shared" si="5"/>
        <v>693947</v>
      </c>
      <c r="K2063" s="27">
        <f t="shared" si="6"/>
        <v>693977</v>
      </c>
    </row>
    <row r="2064" hidden="1">
      <c r="A2064" s="3" t="str">
        <f t="shared" si="3"/>
        <v/>
      </c>
      <c r="B2064" s="2" t="str">
        <f t="array" ref="B2064">INDEX(helper!$A$3:$A3996,ROUNDUP((ROW()-1)/COUNTA(helper!$D$3:$D3996),0))</f>
        <v/>
      </c>
      <c r="C2064" s="5" t="str">
        <f t="array" ref="C2064">IF(B2064="","",INDEX(helper!$D$3:$D3996,MOD(ROW()-2,COUNTA(helper!$D$3:$D3996))+1))</f>
        <v/>
      </c>
      <c r="D2064" s="3" t="str">
        <f t="array" ref="D2064">IF(B2064="","",INDEX(helper!$E$3:$E3996,MOD(ROW()-2,COUNTA(helper!$D$3:$D3996))+1))</f>
        <v/>
      </c>
      <c r="E2064" s="3" t="str">
        <f t="array" ref="E2064">IF(B2064="","",INDEX(helper!$F$3:$F3996,MOD(ROW()-2,COUNTA(helper!$D$3:$D3996))+1))</f>
        <v/>
      </c>
      <c r="F2064" s="3" t="str">
        <f>IF(B2064="","",SUMIFS('inventory ledger'!$H:$H,'inventory ledger'!$C:$C,C2064,'inventory ledger'!$D:$D,D2064,'inventory ledger'!$E:$E,E2064,'inventory ledger'!$A:$A,"&lt;="&amp;B2064+TIME(23,59,59))-SUMIFS('inventory ledger'!$I:$I,'inventory ledger'!$C:$C,C2064,'inventory ledger'!$D:$D,D2064,'inventory ledger'!$E:$E,E2064,'inventory ledger'!$A:$A,"&lt;="&amp;B2064+TIME(23,59,59)))</f>
        <v/>
      </c>
      <c r="G2064" s="3">
        <f>IFERROR(__xludf.DUMMYFUNCTION("IF(F2064&lt;=0,0,IFERROR(ROUNDUP(F2064/INDEX(FILTER('warehouse config'!$D:$D,('warehouse config'!$B:$B=C2064)*('warehouse config'!$C:$C=D2064)*('warehouse config'!$G:$G&lt;=B2064)*(('warehouse config'!$H:$H&gt;=B2064)+ISBLANK('warehouse config'!$H:$H))),1)),0))"),0.0)</f>
        <v>0</v>
      </c>
      <c r="H2064" s="3">
        <f>IFERROR(__xludf.DUMMYFUNCTION("IFERROR(INDEX(FILTER('cost master'!$E:$E,('cost master'!$B:$B=C2064)*('cost master'!$D:$D=""Storage cost per pallet / week"")*('cost master'!$G:$G&lt;=B2064)*(('cost master'!$H:$H&gt;=B2064)+ISBLANK('cost master'!$H:$H))),1),0)"),0.0)</f>
        <v>0</v>
      </c>
      <c r="I2064" s="3">
        <f t="shared" si="4"/>
        <v>0</v>
      </c>
      <c r="J2064" s="27">
        <f t="shared" si="5"/>
        <v>693947</v>
      </c>
      <c r="K2064" s="27">
        <f t="shared" si="6"/>
        <v>693977</v>
      </c>
    </row>
    <row r="2065" hidden="1">
      <c r="A2065" s="3" t="str">
        <f t="shared" si="3"/>
        <v/>
      </c>
      <c r="B2065" s="2" t="str">
        <f t="array" ref="B2065">INDEX(helper!$A$3:$A3996,ROUNDUP((ROW()-1)/COUNTA(helper!$D$3:$D3996),0))</f>
        <v/>
      </c>
      <c r="C2065" s="5" t="str">
        <f t="array" ref="C2065">IF(B2065="","",INDEX(helper!$D$3:$D3996,MOD(ROW()-2,COUNTA(helper!$D$3:$D3996))+1))</f>
        <v/>
      </c>
      <c r="D2065" s="3" t="str">
        <f t="array" ref="D2065">IF(B2065="","",INDEX(helper!$E$3:$E3996,MOD(ROW()-2,COUNTA(helper!$D$3:$D3996))+1))</f>
        <v/>
      </c>
      <c r="E2065" s="3" t="str">
        <f t="array" ref="E2065">IF(B2065="","",INDEX(helper!$F$3:$F3996,MOD(ROW()-2,COUNTA(helper!$D$3:$D3996))+1))</f>
        <v/>
      </c>
      <c r="F2065" s="3" t="str">
        <f>IF(B2065="","",SUMIFS('inventory ledger'!$H:$H,'inventory ledger'!$C:$C,C2065,'inventory ledger'!$D:$D,D2065,'inventory ledger'!$E:$E,E2065,'inventory ledger'!$A:$A,"&lt;="&amp;B2065+TIME(23,59,59))-SUMIFS('inventory ledger'!$I:$I,'inventory ledger'!$C:$C,C2065,'inventory ledger'!$D:$D,D2065,'inventory ledger'!$E:$E,E2065,'inventory ledger'!$A:$A,"&lt;="&amp;B2065+TIME(23,59,59)))</f>
        <v/>
      </c>
      <c r="G2065" s="3">
        <f>IFERROR(__xludf.DUMMYFUNCTION("IF(F2065&lt;=0,0,IFERROR(ROUNDUP(F2065/INDEX(FILTER('warehouse config'!$D:$D,('warehouse config'!$B:$B=C2065)*('warehouse config'!$C:$C=D2065)*('warehouse config'!$G:$G&lt;=B2065)*(('warehouse config'!$H:$H&gt;=B2065)+ISBLANK('warehouse config'!$H:$H))),1)),0))"),0.0)</f>
        <v>0</v>
      </c>
      <c r="H2065" s="3">
        <f>IFERROR(__xludf.DUMMYFUNCTION("IFERROR(INDEX(FILTER('cost master'!$E:$E,('cost master'!$B:$B=C2065)*('cost master'!$D:$D=""Storage cost per pallet / week"")*('cost master'!$G:$G&lt;=B2065)*(('cost master'!$H:$H&gt;=B2065)+ISBLANK('cost master'!$H:$H))),1),0)"),0.0)</f>
        <v>0</v>
      </c>
      <c r="I2065" s="3">
        <f t="shared" si="4"/>
        <v>0</v>
      </c>
      <c r="J2065" s="27">
        <f t="shared" si="5"/>
        <v>693947</v>
      </c>
      <c r="K2065" s="27">
        <f t="shared" si="6"/>
        <v>693977</v>
      </c>
    </row>
    <row r="2066" hidden="1">
      <c r="A2066" s="3" t="str">
        <f t="shared" si="3"/>
        <v/>
      </c>
      <c r="B2066" s="2" t="str">
        <f t="array" ref="B2066">INDEX(helper!$A$3:$A3996,ROUNDUP((ROW()-1)/COUNTA(helper!$D$3:$D3996),0))</f>
        <v/>
      </c>
      <c r="C2066" s="5" t="str">
        <f t="array" ref="C2066">IF(B2066="","",INDEX(helper!$D$3:$D3996,MOD(ROW()-2,COUNTA(helper!$D$3:$D3996))+1))</f>
        <v/>
      </c>
      <c r="D2066" s="3" t="str">
        <f t="array" ref="D2066">IF(B2066="","",INDEX(helper!$E$3:$E3996,MOD(ROW()-2,COUNTA(helper!$D$3:$D3996))+1))</f>
        <v/>
      </c>
      <c r="E2066" s="3" t="str">
        <f t="array" ref="E2066">IF(B2066="","",INDEX(helper!$F$3:$F3996,MOD(ROW()-2,COUNTA(helper!$D$3:$D3996))+1))</f>
        <v/>
      </c>
      <c r="F2066" s="3" t="str">
        <f>IF(B2066="","",SUMIFS('inventory ledger'!$H:$H,'inventory ledger'!$C:$C,C2066,'inventory ledger'!$D:$D,D2066,'inventory ledger'!$E:$E,E2066,'inventory ledger'!$A:$A,"&lt;="&amp;B2066+TIME(23,59,59))-SUMIFS('inventory ledger'!$I:$I,'inventory ledger'!$C:$C,C2066,'inventory ledger'!$D:$D,D2066,'inventory ledger'!$E:$E,E2066,'inventory ledger'!$A:$A,"&lt;="&amp;B2066+TIME(23,59,59)))</f>
        <v/>
      </c>
      <c r="G2066" s="3">
        <f>IFERROR(__xludf.DUMMYFUNCTION("IF(F2066&lt;=0,0,IFERROR(ROUNDUP(F2066/INDEX(FILTER('warehouse config'!$D:$D,('warehouse config'!$B:$B=C2066)*('warehouse config'!$C:$C=D2066)*('warehouse config'!$G:$G&lt;=B2066)*(('warehouse config'!$H:$H&gt;=B2066)+ISBLANK('warehouse config'!$H:$H))),1)),0))"),0.0)</f>
        <v>0</v>
      </c>
      <c r="H2066" s="3">
        <f>IFERROR(__xludf.DUMMYFUNCTION("IFERROR(INDEX(FILTER('cost master'!$E:$E,('cost master'!$B:$B=C2066)*('cost master'!$D:$D=""Storage cost per pallet / week"")*('cost master'!$G:$G&lt;=B2066)*(('cost master'!$H:$H&gt;=B2066)+ISBLANK('cost master'!$H:$H))),1),0)"),0.0)</f>
        <v>0</v>
      </c>
      <c r="I2066" s="3">
        <f t="shared" si="4"/>
        <v>0</v>
      </c>
      <c r="J2066" s="27">
        <f t="shared" si="5"/>
        <v>693947</v>
      </c>
      <c r="K2066" s="27">
        <f t="shared" si="6"/>
        <v>693977</v>
      </c>
    </row>
    <row r="2067" hidden="1">
      <c r="A2067" s="3" t="str">
        <f t="shared" si="3"/>
        <v/>
      </c>
      <c r="B2067" s="2" t="str">
        <f t="array" ref="B2067">INDEX(helper!$A$3:$A3996,ROUNDUP((ROW()-1)/COUNTA(helper!$D$3:$D3996),0))</f>
        <v/>
      </c>
      <c r="C2067" s="5" t="str">
        <f t="array" ref="C2067">IF(B2067="","",INDEX(helper!$D$3:$D3996,MOD(ROW()-2,COUNTA(helper!$D$3:$D3996))+1))</f>
        <v/>
      </c>
      <c r="D2067" s="3" t="str">
        <f t="array" ref="D2067">IF(B2067="","",INDEX(helper!$E$3:$E3996,MOD(ROW()-2,COUNTA(helper!$D$3:$D3996))+1))</f>
        <v/>
      </c>
      <c r="E2067" s="3" t="str">
        <f t="array" ref="E2067">IF(B2067="","",INDEX(helper!$F$3:$F3996,MOD(ROW()-2,COUNTA(helper!$D$3:$D3996))+1))</f>
        <v/>
      </c>
      <c r="F2067" s="3" t="str">
        <f>IF(B2067="","",SUMIFS('inventory ledger'!$H:$H,'inventory ledger'!$C:$C,C2067,'inventory ledger'!$D:$D,D2067,'inventory ledger'!$E:$E,E2067,'inventory ledger'!$A:$A,"&lt;="&amp;B2067+TIME(23,59,59))-SUMIFS('inventory ledger'!$I:$I,'inventory ledger'!$C:$C,C2067,'inventory ledger'!$D:$D,D2067,'inventory ledger'!$E:$E,E2067,'inventory ledger'!$A:$A,"&lt;="&amp;B2067+TIME(23,59,59)))</f>
        <v/>
      </c>
      <c r="G2067" s="3">
        <f>IFERROR(__xludf.DUMMYFUNCTION("IF(F2067&lt;=0,0,IFERROR(ROUNDUP(F2067/INDEX(FILTER('warehouse config'!$D:$D,('warehouse config'!$B:$B=C2067)*('warehouse config'!$C:$C=D2067)*('warehouse config'!$G:$G&lt;=B2067)*(('warehouse config'!$H:$H&gt;=B2067)+ISBLANK('warehouse config'!$H:$H))),1)),0))"),0.0)</f>
        <v>0</v>
      </c>
      <c r="H2067" s="3">
        <f>IFERROR(__xludf.DUMMYFUNCTION("IFERROR(INDEX(FILTER('cost master'!$E:$E,('cost master'!$B:$B=C2067)*('cost master'!$D:$D=""Storage cost per pallet / week"")*('cost master'!$G:$G&lt;=B2067)*(('cost master'!$H:$H&gt;=B2067)+ISBLANK('cost master'!$H:$H))),1),0)"),0.0)</f>
        <v>0</v>
      </c>
      <c r="I2067" s="3">
        <f t="shared" si="4"/>
        <v>0</v>
      </c>
      <c r="J2067" s="27">
        <f t="shared" si="5"/>
        <v>693947</v>
      </c>
      <c r="K2067" s="27">
        <f t="shared" si="6"/>
        <v>693977</v>
      </c>
    </row>
    <row r="2068" hidden="1">
      <c r="A2068" s="3" t="str">
        <f t="shared" si="3"/>
        <v/>
      </c>
      <c r="B2068" s="2" t="str">
        <f t="array" ref="B2068">INDEX(helper!$A$3:$A3996,ROUNDUP((ROW()-1)/COUNTA(helper!$D$3:$D3996),0))</f>
        <v/>
      </c>
      <c r="C2068" s="5" t="str">
        <f t="array" ref="C2068">IF(B2068="","",INDEX(helper!$D$3:$D3996,MOD(ROW()-2,COUNTA(helper!$D$3:$D3996))+1))</f>
        <v/>
      </c>
      <c r="D2068" s="3" t="str">
        <f t="array" ref="D2068">IF(B2068="","",INDEX(helper!$E$3:$E3996,MOD(ROW()-2,COUNTA(helper!$D$3:$D3996))+1))</f>
        <v/>
      </c>
      <c r="E2068" s="3" t="str">
        <f t="array" ref="E2068">IF(B2068="","",INDEX(helper!$F$3:$F3996,MOD(ROW()-2,COUNTA(helper!$D$3:$D3996))+1))</f>
        <v/>
      </c>
      <c r="F2068" s="3" t="str">
        <f>IF(B2068="","",SUMIFS('inventory ledger'!$H:$H,'inventory ledger'!$C:$C,C2068,'inventory ledger'!$D:$D,D2068,'inventory ledger'!$E:$E,E2068,'inventory ledger'!$A:$A,"&lt;="&amp;B2068+TIME(23,59,59))-SUMIFS('inventory ledger'!$I:$I,'inventory ledger'!$C:$C,C2068,'inventory ledger'!$D:$D,D2068,'inventory ledger'!$E:$E,E2068,'inventory ledger'!$A:$A,"&lt;="&amp;B2068+TIME(23,59,59)))</f>
        <v/>
      </c>
      <c r="G2068" s="3">
        <f>IFERROR(__xludf.DUMMYFUNCTION("IF(F2068&lt;=0,0,IFERROR(ROUNDUP(F2068/INDEX(FILTER('warehouse config'!$D:$D,('warehouse config'!$B:$B=C2068)*('warehouse config'!$C:$C=D2068)*('warehouse config'!$G:$G&lt;=B2068)*(('warehouse config'!$H:$H&gt;=B2068)+ISBLANK('warehouse config'!$H:$H))),1)),0))"),0.0)</f>
        <v>0</v>
      </c>
      <c r="H2068" s="3">
        <f>IFERROR(__xludf.DUMMYFUNCTION("IFERROR(INDEX(FILTER('cost master'!$E:$E,('cost master'!$B:$B=C2068)*('cost master'!$D:$D=""Storage cost per pallet / week"")*('cost master'!$G:$G&lt;=B2068)*(('cost master'!$H:$H&gt;=B2068)+ISBLANK('cost master'!$H:$H))),1),0)"),0.0)</f>
        <v>0</v>
      </c>
      <c r="I2068" s="3">
        <f t="shared" si="4"/>
        <v>0</v>
      </c>
      <c r="J2068" s="27">
        <f t="shared" si="5"/>
        <v>693947</v>
      </c>
      <c r="K2068" s="27">
        <f t="shared" si="6"/>
        <v>693977</v>
      </c>
    </row>
    <row r="2069" hidden="1">
      <c r="A2069" s="3" t="str">
        <f t="shared" si="3"/>
        <v/>
      </c>
      <c r="B2069" s="2" t="str">
        <f t="array" ref="B2069">INDEX(helper!$A$3:$A3996,ROUNDUP((ROW()-1)/COUNTA(helper!$D$3:$D3996),0))</f>
        <v/>
      </c>
      <c r="C2069" s="5" t="str">
        <f t="array" ref="C2069">IF(B2069="","",INDEX(helper!$D$3:$D3996,MOD(ROW()-2,COUNTA(helper!$D$3:$D3996))+1))</f>
        <v/>
      </c>
      <c r="D2069" s="3" t="str">
        <f t="array" ref="D2069">IF(B2069="","",INDEX(helper!$E$3:$E3996,MOD(ROW()-2,COUNTA(helper!$D$3:$D3996))+1))</f>
        <v/>
      </c>
      <c r="E2069" s="3" t="str">
        <f t="array" ref="E2069">IF(B2069="","",INDEX(helper!$F$3:$F3996,MOD(ROW()-2,COUNTA(helper!$D$3:$D3996))+1))</f>
        <v/>
      </c>
      <c r="F2069" s="3" t="str">
        <f>IF(B2069="","",SUMIFS('inventory ledger'!$H:$H,'inventory ledger'!$C:$C,C2069,'inventory ledger'!$D:$D,D2069,'inventory ledger'!$E:$E,E2069,'inventory ledger'!$A:$A,"&lt;="&amp;B2069+TIME(23,59,59))-SUMIFS('inventory ledger'!$I:$I,'inventory ledger'!$C:$C,C2069,'inventory ledger'!$D:$D,D2069,'inventory ledger'!$E:$E,E2069,'inventory ledger'!$A:$A,"&lt;="&amp;B2069+TIME(23,59,59)))</f>
        <v/>
      </c>
      <c r="G2069" s="3">
        <f>IFERROR(__xludf.DUMMYFUNCTION("IF(F2069&lt;=0,0,IFERROR(ROUNDUP(F2069/INDEX(FILTER('warehouse config'!$D:$D,('warehouse config'!$B:$B=C2069)*('warehouse config'!$C:$C=D2069)*('warehouse config'!$G:$G&lt;=B2069)*(('warehouse config'!$H:$H&gt;=B2069)+ISBLANK('warehouse config'!$H:$H))),1)),0))"),0.0)</f>
        <v>0</v>
      </c>
      <c r="H2069" s="3">
        <f>IFERROR(__xludf.DUMMYFUNCTION("IFERROR(INDEX(FILTER('cost master'!$E:$E,('cost master'!$B:$B=C2069)*('cost master'!$D:$D=""Storage cost per pallet / week"")*('cost master'!$G:$G&lt;=B2069)*(('cost master'!$H:$H&gt;=B2069)+ISBLANK('cost master'!$H:$H))),1),0)"),0.0)</f>
        <v>0</v>
      </c>
      <c r="I2069" s="3">
        <f t="shared" si="4"/>
        <v>0</v>
      </c>
      <c r="J2069" s="27">
        <f t="shared" si="5"/>
        <v>693947</v>
      </c>
      <c r="K2069" s="27">
        <f t="shared" si="6"/>
        <v>693977</v>
      </c>
    </row>
    <row r="2070" hidden="1">
      <c r="A2070" s="3" t="str">
        <f t="shared" si="3"/>
        <v/>
      </c>
      <c r="B2070" s="2" t="str">
        <f t="array" ref="B2070">INDEX(helper!$A$3:$A3996,ROUNDUP((ROW()-1)/COUNTA(helper!$D$3:$D3996),0))</f>
        <v/>
      </c>
      <c r="C2070" s="5" t="str">
        <f t="array" ref="C2070">IF(B2070="","",INDEX(helper!$D$3:$D3996,MOD(ROW()-2,COUNTA(helper!$D$3:$D3996))+1))</f>
        <v/>
      </c>
      <c r="D2070" s="3" t="str">
        <f t="array" ref="D2070">IF(B2070="","",INDEX(helper!$E$3:$E3996,MOD(ROW()-2,COUNTA(helper!$D$3:$D3996))+1))</f>
        <v/>
      </c>
      <c r="E2070" s="3" t="str">
        <f t="array" ref="E2070">IF(B2070="","",INDEX(helper!$F$3:$F3996,MOD(ROW()-2,COUNTA(helper!$D$3:$D3996))+1))</f>
        <v/>
      </c>
      <c r="F2070" s="3" t="str">
        <f>IF(B2070="","",SUMIFS('inventory ledger'!$H:$H,'inventory ledger'!$C:$C,C2070,'inventory ledger'!$D:$D,D2070,'inventory ledger'!$E:$E,E2070,'inventory ledger'!$A:$A,"&lt;="&amp;B2070+TIME(23,59,59))-SUMIFS('inventory ledger'!$I:$I,'inventory ledger'!$C:$C,C2070,'inventory ledger'!$D:$D,D2070,'inventory ledger'!$E:$E,E2070,'inventory ledger'!$A:$A,"&lt;="&amp;B2070+TIME(23,59,59)))</f>
        <v/>
      </c>
      <c r="G2070" s="3">
        <f>IFERROR(__xludf.DUMMYFUNCTION("IF(F2070&lt;=0,0,IFERROR(ROUNDUP(F2070/INDEX(FILTER('warehouse config'!$D:$D,('warehouse config'!$B:$B=C2070)*('warehouse config'!$C:$C=D2070)*('warehouse config'!$G:$G&lt;=B2070)*(('warehouse config'!$H:$H&gt;=B2070)+ISBLANK('warehouse config'!$H:$H))),1)),0))"),0.0)</f>
        <v>0</v>
      </c>
      <c r="H2070" s="3">
        <f>IFERROR(__xludf.DUMMYFUNCTION("IFERROR(INDEX(FILTER('cost master'!$E:$E,('cost master'!$B:$B=C2070)*('cost master'!$D:$D=""Storage cost per pallet / week"")*('cost master'!$G:$G&lt;=B2070)*(('cost master'!$H:$H&gt;=B2070)+ISBLANK('cost master'!$H:$H))),1),0)"),0.0)</f>
        <v>0</v>
      </c>
      <c r="I2070" s="3">
        <f t="shared" si="4"/>
        <v>0</v>
      </c>
      <c r="J2070" s="27">
        <f t="shared" si="5"/>
        <v>693947</v>
      </c>
      <c r="K2070" s="27">
        <f t="shared" si="6"/>
        <v>693977</v>
      </c>
    </row>
    <row r="2071" hidden="1">
      <c r="A2071" s="3" t="str">
        <f t="shared" si="3"/>
        <v/>
      </c>
      <c r="B2071" s="2" t="str">
        <f t="array" ref="B2071">INDEX(helper!$A$3:$A3996,ROUNDUP((ROW()-1)/COUNTA(helper!$D$3:$D3996),0))</f>
        <v/>
      </c>
      <c r="C2071" s="5" t="str">
        <f t="array" ref="C2071">IF(B2071="","",INDEX(helper!$D$3:$D3996,MOD(ROW()-2,COUNTA(helper!$D$3:$D3996))+1))</f>
        <v/>
      </c>
      <c r="D2071" s="3" t="str">
        <f t="array" ref="D2071">IF(B2071="","",INDEX(helper!$E$3:$E3996,MOD(ROW()-2,COUNTA(helper!$D$3:$D3996))+1))</f>
        <v/>
      </c>
      <c r="E2071" s="3" t="str">
        <f t="array" ref="E2071">IF(B2071="","",INDEX(helper!$F$3:$F3996,MOD(ROW()-2,COUNTA(helper!$D$3:$D3996))+1))</f>
        <v/>
      </c>
      <c r="F2071" s="3" t="str">
        <f>IF(B2071="","",SUMIFS('inventory ledger'!$H:$H,'inventory ledger'!$C:$C,C2071,'inventory ledger'!$D:$D,D2071,'inventory ledger'!$E:$E,E2071,'inventory ledger'!$A:$A,"&lt;="&amp;B2071+TIME(23,59,59))-SUMIFS('inventory ledger'!$I:$I,'inventory ledger'!$C:$C,C2071,'inventory ledger'!$D:$D,D2071,'inventory ledger'!$E:$E,E2071,'inventory ledger'!$A:$A,"&lt;="&amp;B2071+TIME(23,59,59)))</f>
        <v/>
      </c>
      <c r="G2071" s="3">
        <f>IFERROR(__xludf.DUMMYFUNCTION("IF(F2071&lt;=0,0,IFERROR(ROUNDUP(F2071/INDEX(FILTER('warehouse config'!$D:$D,('warehouse config'!$B:$B=C2071)*('warehouse config'!$C:$C=D2071)*('warehouse config'!$G:$G&lt;=B2071)*(('warehouse config'!$H:$H&gt;=B2071)+ISBLANK('warehouse config'!$H:$H))),1)),0))"),0.0)</f>
        <v>0</v>
      </c>
      <c r="H2071" s="3">
        <f>IFERROR(__xludf.DUMMYFUNCTION("IFERROR(INDEX(FILTER('cost master'!$E:$E,('cost master'!$B:$B=C2071)*('cost master'!$D:$D=""Storage cost per pallet / week"")*('cost master'!$G:$G&lt;=B2071)*(('cost master'!$H:$H&gt;=B2071)+ISBLANK('cost master'!$H:$H))),1),0)"),0.0)</f>
        <v>0</v>
      </c>
      <c r="I2071" s="3">
        <f t="shared" si="4"/>
        <v>0</v>
      </c>
      <c r="J2071" s="27">
        <f t="shared" si="5"/>
        <v>693947</v>
      </c>
      <c r="K2071" s="27">
        <f t="shared" si="6"/>
        <v>693977</v>
      </c>
    </row>
    <row r="2072" hidden="1">
      <c r="A2072" s="3" t="str">
        <f t="shared" si="3"/>
        <v/>
      </c>
      <c r="B2072" s="2" t="str">
        <f t="array" ref="B2072">INDEX(helper!$A$3:$A3996,ROUNDUP((ROW()-1)/COUNTA(helper!$D$3:$D3996),0))</f>
        <v/>
      </c>
      <c r="C2072" s="5" t="str">
        <f t="array" ref="C2072">IF(B2072="","",INDEX(helper!$D$3:$D3996,MOD(ROW()-2,COUNTA(helper!$D$3:$D3996))+1))</f>
        <v/>
      </c>
      <c r="D2072" s="3" t="str">
        <f t="array" ref="D2072">IF(B2072="","",INDEX(helper!$E$3:$E3996,MOD(ROW()-2,COUNTA(helper!$D$3:$D3996))+1))</f>
        <v/>
      </c>
      <c r="E2072" s="3" t="str">
        <f t="array" ref="E2072">IF(B2072="","",INDEX(helper!$F$3:$F3996,MOD(ROW()-2,COUNTA(helper!$D$3:$D3996))+1))</f>
        <v/>
      </c>
      <c r="F2072" s="3" t="str">
        <f>IF(B2072="","",SUMIFS('inventory ledger'!$H:$H,'inventory ledger'!$C:$C,C2072,'inventory ledger'!$D:$D,D2072,'inventory ledger'!$E:$E,E2072,'inventory ledger'!$A:$A,"&lt;="&amp;B2072+TIME(23,59,59))-SUMIFS('inventory ledger'!$I:$I,'inventory ledger'!$C:$C,C2072,'inventory ledger'!$D:$D,D2072,'inventory ledger'!$E:$E,E2072,'inventory ledger'!$A:$A,"&lt;="&amp;B2072+TIME(23,59,59)))</f>
        <v/>
      </c>
      <c r="G2072" s="3">
        <f>IFERROR(__xludf.DUMMYFUNCTION("IF(F2072&lt;=0,0,IFERROR(ROUNDUP(F2072/INDEX(FILTER('warehouse config'!$D:$D,('warehouse config'!$B:$B=C2072)*('warehouse config'!$C:$C=D2072)*('warehouse config'!$G:$G&lt;=B2072)*(('warehouse config'!$H:$H&gt;=B2072)+ISBLANK('warehouse config'!$H:$H))),1)),0))"),0.0)</f>
        <v>0</v>
      </c>
      <c r="H2072" s="3">
        <f>IFERROR(__xludf.DUMMYFUNCTION("IFERROR(INDEX(FILTER('cost master'!$E:$E,('cost master'!$B:$B=C2072)*('cost master'!$D:$D=""Storage cost per pallet / week"")*('cost master'!$G:$G&lt;=B2072)*(('cost master'!$H:$H&gt;=B2072)+ISBLANK('cost master'!$H:$H))),1),0)"),0.0)</f>
        <v>0</v>
      </c>
      <c r="I2072" s="3">
        <f t="shared" si="4"/>
        <v>0</v>
      </c>
      <c r="J2072" s="27">
        <f t="shared" si="5"/>
        <v>693947</v>
      </c>
      <c r="K2072" s="27">
        <f t="shared" si="6"/>
        <v>693977</v>
      </c>
    </row>
    <row r="2073" hidden="1">
      <c r="A2073" s="3" t="str">
        <f t="shared" si="3"/>
        <v/>
      </c>
      <c r="B2073" s="2" t="str">
        <f t="array" ref="B2073">INDEX(helper!$A$3:$A3996,ROUNDUP((ROW()-1)/COUNTA(helper!$D$3:$D3996),0))</f>
        <v/>
      </c>
      <c r="C2073" s="5" t="str">
        <f t="array" ref="C2073">IF(B2073="","",INDEX(helper!$D$3:$D3996,MOD(ROW()-2,COUNTA(helper!$D$3:$D3996))+1))</f>
        <v/>
      </c>
      <c r="D2073" s="3" t="str">
        <f t="array" ref="D2073">IF(B2073="","",INDEX(helper!$E$3:$E3996,MOD(ROW()-2,COUNTA(helper!$D$3:$D3996))+1))</f>
        <v/>
      </c>
      <c r="E2073" s="3" t="str">
        <f t="array" ref="E2073">IF(B2073="","",INDEX(helper!$F$3:$F3996,MOD(ROW()-2,COUNTA(helper!$D$3:$D3996))+1))</f>
        <v/>
      </c>
      <c r="F2073" s="3" t="str">
        <f>IF(B2073="","",SUMIFS('inventory ledger'!$H:$H,'inventory ledger'!$C:$C,C2073,'inventory ledger'!$D:$D,D2073,'inventory ledger'!$E:$E,E2073,'inventory ledger'!$A:$A,"&lt;="&amp;B2073+TIME(23,59,59))-SUMIFS('inventory ledger'!$I:$I,'inventory ledger'!$C:$C,C2073,'inventory ledger'!$D:$D,D2073,'inventory ledger'!$E:$E,E2073,'inventory ledger'!$A:$A,"&lt;="&amp;B2073+TIME(23,59,59)))</f>
        <v/>
      </c>
      <c r="G2073" s="3">
        <f>IFERROR(__xludf.DUMMYFUNCTION("IF(F2073&lt;=0,0,IFERROR(ROUNDUP(F2073/INDEX(FILTER('warehouse config'!$D:$D,('warehouse config'!$B:$B=C2073)*('warehouse config'!$C:$C=D2073)*('warehouse config'!$G:$G&lt;=B2073)*(('warehouse config'!$H:$H&gt;=B2073)+ISBLANK('warehouse config'!$H:$H))),1)),0))"),0.0)</f>
        <v>0</v>
      </c>
      <c r="H2073" s="3">
        <f>IFERROR(__xludf.DUMMYFUNCTION("IFERROR(INDEX(FILTER('cost master'!$E:$E,('cost master'!$B:$B=C2073)*('cost master'!$D:$D=""Storage cost per pallet / week"")*('cost master'!$G:$G&lt;=B2073)*(('cost master'!$H:$H&gt;=B2073)+ISBLANK('cost master'!$H:$H))),1),0)"),0.0)</f>
        <v>0</v>
      </c>
      <c r="I2073" s="3">
        <f t="shared" si="4"/>
        <v>0</v>
      </c>
      <c r="J2073" s="27">
        <f t="shared" si="5"/>
        <v>693947</v>
      </c>
      <c r="K2073" s="27">
        <f t="shared" si="6"/>
        <v>693977</v>
      </c>
    </row>
    <row r="2074" hidden="1">
      <c r="A2074" s="3" t="str">
        <f t="shared" si="3"/>
        <v/>
      </c>
      <c r="B2074" s="2" t="str">
        <f t="array" ref="B2074">INDEX(helper!$A$3:$A3996,ROUNDUP((ROW()-1)/COUNTA(helper!$D$3:$D3996),0))</f>
        <v/>
      </c>
      <c r="C2074" s="5" t="str">
        <f t="array" ref="C2074">IF(B2074="","",INDEX(helper!$D$3:$D3996,MOD(ROW()-2,COUNTA(helper!$D$3:$D3996))+1))</f>
        <v/>
      </c>
      <c r="D2074" s="3" t="str">
        <f t="array" ref="D2074">IF(B2074="","",INDEX(helper!$E$3:$E3996,MOD(ROW()-2,COUNTA(helper!$D$3:$D3996))+1))</f>
        <v/>
      </c>
      <c r="E2074" s="3" t="str">
        <f t="array" ref="E2074">IF(B2074="","",INDEX(helper!$F$3:$F3996,MOD(ROW()-2,COUNTA(helper!$D$3:$D3996))+1))</f>
        <v/>
      </c>
      <c r="F2074" s="3" t="str">
        <f>IF(B2074="","",SUMIFS('inventory ledger'!$H:$H,'inventory ledger'!$C:$C,C2074,'inventory ledger'!$D:$D,D2074,'inventory ledger'!$E:$E,E2074,'inventory ledger'!$A:$A,"&lt;="&amp;B2074+TIME(23,59,59))-SUMIFS('inventory ledger'!$I:$I,'inventory ledger'!$C:$C,C2074,'inventory ledger'!$D:$D,D2074,'inventory ledger'!$E:$E,E2074,'inventory ledger'!$A:$A,"&lt;="&amp;B2074+TIME(23,59,59)))</f>
        <v/>
      </c>
      <c r="G2074" s="3">
        <f>IFERROR(__xludf.DUMMYFUNCTION("IF(F2074&lt;=0,0,IFERROR(ROUNDUP(F2074/INDEX(FILTER('warehouse config'!$D:$D,('warehouse config'!$B:$B=C2074)*('warehouse config'!$C:$C=D2074)*('warehouse config'!$G:$G&lt;=B2074)*(('warehouse config'!$H:$H&gt;=B2074)+ISBLANK('warehouse config'!$H:$H))),1)),0))"),0.0)</f>
        <v>0</v>
      </c>
      <c r="H2074" s="3">
        <f>IFERROR(__xludf.DUMMYFUNCTION("IFERROR(INDEX(FILTER('cost master'!$E:$E,('cost master'!$B:$B=C2074)*('cost master'!$D:$D=""Storage cost per pallet / week"")*('cost master'!$G:$G&lt;=B2074)*(('cost master'!$H:$H&gt;=B2074)+ISBLANK('cost master'!$H:$H))),1),0)"),0.0)</f>
        <v>0</v>
      </c>
      <c r="I2074" s="3">
        <f t="shared" si="4"/>
        <v>0</v>
      </c>
      <c r="J2074" s="27">
        <f t="shared" si="5"/>
        <v>693947</v>
      </c>
      <c r="K2074" s="27">
        <f t="shared" si="6"/>
        <v>693977</v>
      </c>
    </row>
    <row r="2075" hidden="1">
      <c r="A2075" s="3" t="str">
        <f t="shared" si="3"/>
        <v/>
      </c>
      <c r="B2075" s="2" t="str">
        <f t="array" ref="B2075">INDEX(helper!$A$3:$A3996,ROUNDUP((ROW()-1)/COUNTA(helper!$D$3:$D3996),0))</f>
        <v/>
      </c>
      <c r="C2075" s="5" t="str">
        <f t="array" ref="C2075">IF(B2075="","",INDEX(helper!$D$3:$D3996,MOD(ROW()-2,COUNTA(helper!$D$3:$D3996))+1))</f>
        <v/>
      </c>
      <c r="D2075" s="3" t="str">
        <f t="array" ref="D2075">IF(B2075="","",INDEX(helper!$E$3:$E3996,MOD(ROW()-2,COUNTA(helper!$D$3:$D3996))+1))</f>
        <v/>
      </c>
      <c r="E2075" s="3" t="str">
        <f t="array" ref="E2075">IF(B2075="","",INDEX(helper!$F$3:$F3996,MOD(ROW()-2,COUNTA(helper!$D$3:$D3996))+1))</f>
        <v/>
      </c>
      <c r="F2075" s="3" t="str">
        <f>IF(B2075="","",SUMIFS('inventory ledger'!$H:$H,'inventory ledger'!$C:$C,C2075,'inventory ledger'!$D:$D,D2075,'inventory ledger'!$E:$E,E2075,'inventory ledger'!$A:$A,"&lt;="&amp;B2075+TIME(23,59,59))-SUMIFS('inventory ledger'!$I:$I,'inventory ledger'!$C:$C,C2075,'inventory ledger'!$D:$D,D2075,'inventory ledger'!$E:$E,E2075,'inventory ledger'!$A:$A,"&lt;="&amp;B2075+TIME(23,59,59)))</f>
        <v/>
      </c>
      <c r="G2075" s="3">
        <f>IFERROR(__xludf.DUMMYFUNCTION("IF(F2075&lt;=0,0,IFERROR(ROUNDUP(F2075/INDEX(FILTER('warehouse config'!$D:$D,('warehouse config'!$B:$B=C2075)*('warehouse config'!$C:$C=D2075)*('warehouse config'!$G:$G&lt;=B2075)*(('warehouse config'!$H:$H&gt;=B2075)+ISBLANK('warehouse config'!$H:$H))),1)),0))"),0.0)</f>
        <v>0</v>
      </c>
      <c r="H2075" s="3">
        <f>IFERROR(__xludf.DUMMYFUNCTION("IFERROR(INDEX(FILTER('cost master'!$E:$E,('cost master'!$B:$B=C2075)*('cost master'!$D:$D=""Storage cost per pallet / week"")*('cost master'!$G:$G&lt;=B2075)*(('cost master'!$H:$H&gt;=B2075)+ISBLANK('cost master'!$H:$H))),1),0)"),0.0)</f>
        <v>0</v>
      </c>
      <c r="I2075" s="3">
        <f t="shared" si="4"/>
        <v>0</v>
      </c>
      <c r="J2075" s="27">
        <f t="shared" si="5"/>
        <v>693947</v>
      </c>
      <c r="K2075" s="27">
        <f t="shared" si="6"/>
        <v>693977</v>
      </c>
    </row>
    <row r="2076" hidden="1">
      <c r="A2076" s="3" t="str">
        <f t="shared" si="3"/>
        <v/>
      </c>
      <c r="B2076" s="2" t="str">
        <f t="array" ref="B2076">INDEX(helper!$A$3:$A3996,ROUNDUP((ROW()-1)/COUNTA(helper!$D$3:$D3996),0))</f>
        <v/>
      </c>
      <c r="C2076" s="5" t="str">
        <f t="array" ref="C2076">IF(B2076="","",INDEX(helper!$D$3:$D3996,MOD(ROW()-2,COUNTA(helper!$D$3:$D3996))+1))</f>
        <v/>
      </c>
      <c r="D2076" s="3" t="str">
        <f t="array" ref="D2076">IF(B2076="","",INDEX(helper!$E$3:$E3996,MOD(ROW()-2,COUNTA(helper!$D$3:$D3996))+1))</f>
        <v/>
      </c>
      <c r="E2076" s="3" t="str">
        <f t="array" ref="E2076">IF(B2076="","",INDEX(helper!$F$3:$F3996,MOD(ROW()-2,COUNTA(helper!$D$3:$D3996))+1))</f>
        <v/>
      </c>
      <c r="F2076" s="3" t="str">
        <f>IF(B2076="","",SUMIFS('inventory ledger'!$H:$H,'inventory ledger'!$C:$C,C2076,'inventory ledger'!$D:$D,D2076,'inventory ledger'!$E:$E,E2076,'inventory ledger'!$A:$A,"&lt;="&amp;B2076+TIME(23,59,59))-SUMIFS('inventory ledger'!$I:$I,'inventory ledger'!$C:$C,C2076,'inventory ledger'!$D:$D,D2076,'inventory ledger'!$E:$E,E2076,'inventory ledger'!$A:$A,"&lt;="&amp;B2076+TIME(23,59,59)))</f>
        <v/>
      </c>
      <c r="G2076" s="3">
        <f>IFERROR(__xludf.DUMMYFUNCTION("IF(F2076&lt;=0,0,IFERROR(ROUNDUP(F2076/INDEX(FILTER('warehouse config'!$D:$D,('warehouse config'!$B:$B=C2076)*('warehouse config'!$C:$C=D2076)*('warehouse config'!$G:$G&lt;=B2076)*(('warehouse config'!$H:$H&gt;=B2076)+ISBLANK('warehouse config'!$H:$H))),1)),0))"),0.0)</f>
        <v>0</v>
      </c>
      <c r="H2076" s="3">
        <f>IFERROR(__xludf.DUMMYFUNCTION("IFERROR(INDEX(FILTER('cost master'!$E:$E,('cost master'!$B:$B=C2076)*('cost master'!$D:$D=""Storage cost per pallet / week"")*('cost master'!$G:$G&lt;=B2076)*(('cost master'!$H:$H&gt;=B2076)+ISBLANK('cost master'!$H:$H))),1),0)"),0.0)</f>
        <v>0</v>
      </c>
      <c r="I2076" s="3">
        <f t="shared" si="4"/>
        <v>0</v>
      </c>
      <c r="J2076" s="27">
        <f t="shared" si="5"/>
        <v>693947</v>
      </c>
      <c r="K2076" s="27">
        <f t="shared" si="6"/>
        <v>693977</v>
      </c>
    </row>
    <row r="2077" hidden="1">
      <c r="A2077" s="3" t="str">
        <f t="shared" si="3"/>
        <v/>
      </c>
      <c r="B2077" s="2" t="str">
        <f t="array" ref="B2077">INDEX(helper!$A$3:$A3996,ROUNDUP((ROW()-1)/COUNTA(helper!$D$3:$D3996),0))</f>
        <v/>
      </c>
      <c r="C2077" s="5" t="str">
        <f t="array" ref="C2077">IF(B2077="","",INDEX(helper!$D$3:$D3996,MOD(ROW()-2,COUNTA(helper!$D$3:$D3996))+1))</f>
        <v/>
      </c>
      <c r="D2077" s="3" t="str">
        <f t="array" ref="D2077">IF(B2077="","",INDEX(helper!$E$3:$E3996,MOD(ROW()-2,COUNTA(helper!$D$3:$D3996))+1))</f>
        <v/>
      </c>
      <c r="E2077" s="3" t="str">
        <f t="array" ref="E2077">IF(B2077="","",INDEX(helper!$F$3:$F3996,MOD(ROW()-2,COUNTA(helper!$D$3:$D3996))+1))</f>
        <v/>
      </c>
      <c r="F2077" s="3" t="str">
        <f>IF(B2077="","",SUMIFS('inventory ledger'!$H:$H,'inventory ledger'!$C:$C,C2077,'inventory ledger'!$D:$D,D2077,'inventory ledger'!$E:$E,E2077,'inventory ledger'!$A:$A,"&lt;="&amp;B2077+TIME(23,59,59))-SUMIFS('inventory ledger'!$I:$I,'inventory ledger'!$C:$C,C2077,'inventory ledger'!$D:$D,D2077,'inventory ledger'!$E:$E,E2077,'inventory ledger'!$A:$A,"&lt;="&amp;B2077+TIME(23,59,59)))</f>
        <v/>
      </c>
      <c r="G2077" s="3">
        <f>IFERROR(__xludf.DUMMYFUNCTION("IF(F2077&lt;=0,0,IFERROR(ROUNDUP(F2077/INDEX(FILTER('warehouse config'!$D:$D,('warehouse config'!$B:$B=C2077)*('warehouse config'!$C:$C=D2077)*('warehouse config'!$G:$G&lt;=B2077)*(('warehouse config'!$H:$H&gt;=B2077)+ISBLANK('warehouse config'!$H:$H))),1)),0))"),0.0)</f>
        <v>0</v>
      </c>
      <c r="H2077" s="3">
        <f>IFERROR(__xludf.DUMMYFUNCTION("IFERROR(INDEX(FILTER('cost master'!$E:$E,('cost master'!$B:$B=C2077)*('cost master'!$D:$D=""Storage cost per pallet / week"")*('cost master'!$G:$G&lt;=B2077)*(('cost master'!$H:$H&gt;=B2077)+ISBLANK('cost master'!$H:$H))),1),0)"),0.0)</f>
        <v>0</v>
      </c>
      <c r="I2077" s="3">
        <f t="shared" si="4"/>
        <v>0</v>
      </c>
      <c r="J2077" s="27">
        <f t="shared" si="5"/>
        <v>693947</v>
      </c>
      <c r="K2077" s="27">
        <f t="shared" si="6"/>
        <v>693977</v>
      </c>
    </row>
    <row r="2078" hidden="1">
      <c r="A2078" s="3" t="str">
        <f t="shared" si="3"/>
        <v/>
      </c>
      <c r="B2078" s="2" t="str">
        <f t="array" ref="B2078">INDEX(helper!$A$3:$A3996,ROUNDUP((ROW()-1)/COUNTA(helper!$D$3:$D3996),0))</f>
        <v/>
      </c>
      <c r="C2078" s="5" t="str">
        <f t="array" ref="C2078">IF(B2078="","",INDEX(helper!$D$3:$D3996,MOD(ROW()-2,COUNTA(helper!$D$3:$D3996))+1))</f>
        <v/>
      </c>
      <c r="D2078" s="3" t="str">
        <f t="array" ref="D2078">IF(B2078="","",INDEX(helper!$E$3:$E3996,MOD(ROW()-2,COUNTA(helper!$D$3:$D3996))+1))</f>
        <v/>
      </c>
      <c r="E2078" s="3" t="str">
        <f t="array" ref="E2078">IF(B2078="","",INDEX(helper!$F$3:$F3996,MOD(ROW()-2,COUNTA(helper!$D$3:$D3996))+1))</f>
        <v/>
      </c>
      <c r="F2078" s="3" t="str">
        <f>IF(B2078="","",SUMIFS('inventory ledger'!$H:$H,'inventory ledger'!$C:$C,C2078,'inventory ledger'!$D:$D,D2078,'inventory ledger'!$E:$E,E2078,'inventory ledger'!$A:$A,"&lt;="&amp;B2078+TIME(23,59,59))-SUMIFS('inventory ledger'!$I:$I,'inventory ledger'!$C:$C,C2078,'inventory ledger'!$D:$D,D2078,'inventory ledger'!$E:$E,E2078,'inventory ledger'!$A:$A,"&lt;="&amp;B2078+TIME(23,59,59)))</f>
        <v/>
      </c>
      <c r="G2078" s="3">
        <f>IFERROR(__xludf.DUMMYFUNCTION("IF(F2078&lt;=0,0,IFERROR(ROUNDUP(F2078/INDEX(FILTER('warehouse config'!$D:$D,('warehouse config'!$B:$B=C2078)*('warehouse config'!$C:$C=D2078)*('warehouse config'!$G:$G&lt;=B2078)*(('warehouse config'!$H:$H&gt;=B2078)+ISBLANK('warehouse config'!$H:$H))),1)),0))"),0.0)</f>
        <v>0</v>
      </c>
      <c r="H2078" s="3">
        <f>IFERROR(__xludf.DUMMYFUNCTION("IFERROR(INDEX(FILTER('cost master'!$E:$E,('cost master'!$B:$B=C2078)*('cost master'!$D:$D=""Storage cost per pallet / week"")*('cost master'!$G:$G&lt;=B2078)*(('cost master'!$H:$H&gt;=B2078)+ISBLANK('cost master'!$H:$H))),1),0)"),0.0)</f>
        <v>0</v>
      </c>
      <c r="I2078" s="3">
        <f t="shared" si="4"/>
        <v>0</v>
      </c>
      <c r="J2078" s="27">
        <f t="shared" si="5"/>
        <v>693947</v>
      </c>
      <c r="K2078" s="27">
        <f t="shared" si="6"/>
        <v>693977</v>
      </c>
    </row>
    <row r="2079" hidden="1">
      <c r="A2079" s="3" t="str">
        <f t="shared" si="3"/>
        <v/>
      </c>
      <c r="B2079" s="2" t="str">
        <f t="array" ref="B2079">INDEX(helper!$A$3:$A3996,ROUNDUP((ROW()-1)/COUNTA(helper!$D$3:$D3996),0))</f>
        <v/>
      </c>
      <c r="C2079" s="5" t="str">
        <f t="array" ref="C2079">IF(B2079="","",INDEX(helper!$D$3:$D3996,MOD(ROW()-2,COUNTA(helper!$D$3:$D3996))+1))</f>
        <v/>
      </c>
      <c r="D2079" s="3" t="str">
        <f t="array" ref="D2079">IF(B2079="","",INDEX(helper!$E$3:$E3996,MOD(ROW()-2,COUNTA(helper!$D$3:$D3996))+1))</f>
        <v/>
      </c>
      <c r="E2079" s="3" t="str">
        <f t="array" ref="E2079">IF(B2079="","",INDEX(helper!$F$3:$F3996,MOD(ROW()-2,COUNTA(helper!$D$3:$D3996))+1))</f>
        <v/>
      </c>
      <c r="F2079" s="3" t="str">
        <f>IF(B2079="","",SUMIFS('inventory ledger'!$H:$H,'inventory ledger'!$C:$C,C2079,'inventory ledger'!$D:$D,D2079,'inventory ledger'!$E:$E,E2079,'inventory ledger'!$A:$A,"&lt;="&amp;B2079+TIME(23,59,59))-SUMIFS('inventory ledger'!$I:$I,'inventory ledger'!$C:$C,C2079,'inventory ledger'!$D:$D,D2079,'inventory ledger'!$E:$E,E2079,'inventory ledger'!$A:$A,"&lt;="&amp;B2079+TIME(23,59,59)))</f>
        <v/>
      </c>
      <c r="G2079" s="3">
        <f>IFERROR(__xludf.DUMMYFUNCTION("IF(F2079&lt;=0,0,IFERROR(ROUNDUP(F2079/INDEX(FILTER('warehouse config'!$D:$D,('warehouse config'!$B:$B=C2079)*('warehouse config'!$C:$C=D2079)*('warehouse config'!$G:$G&lt;=B2079)*(('warehouse config'!$H:$H&gt;=B2079)+ISBLANK('warehouse config'!$H:$H))),1)),0))"),0.0)</f>
        <v>0</v>
      </c>
      <c r="H2079" s="3">
        <f>IFERROR(__xludf.DUMMYFUNCTION("IFERROR(INDEX(FILTER('cost master'!$E:$E,('cost master'!$B:$B=C2079)*('cost master'!$D:$D=""Storage cost per pallet / week"")*('cost master'!$G:$G&lt;=B2079)*(('cost master'!$H:$H&gt;=B2079)+ISBLANK('cost master'!$H:$H))),1),0)"),0.0)</f>
        <v>0</v>
      </c>
      <c r="I2079" s="3">
        <f t="shared" si="4"/>
        <v>0</v>
      </c>
      <c r="J2079" s="27">
        <f t="shared" si="5"/>
        <v>693947</v>
      </c>
      <c r="K2079" s="27">
        <f t="shared" si="6"/>
        <v>693977</v>
      </c>
    </row>
    <row r="2080" hidden="1">
      <c r="A2080" s="3" t="str">
        <f t="shared" si="3"/>
        <v/>
      </c>
      <c r="B2080" s="2" t="str">
        <f t="array" ref="B2080">INDEX(helper!$A$3:$A3996,ROUNDUP((ROW()-1)/COUNTA(helper!$D$3:$D3996),0))</f>
        <v/>
      </c>
      <c r="C2080" s="5" t="str">
        <f t="array" ref="C2080">IF(B2080="","",INDEX(helper!$D$3:$D3996,MOD(ROW()-2,COUNTA(helper!$D$3:$D3996))+1))</f>
        <v/>
      </c>
      <c r="D2080" s="3" t="str">
        <f t="array" ref="D2080">IF(B2080="","",INDEX(helper!$E$3:$E3996,MOD(ROW()-2,COUNTA(helper!$D$3:$D3996))+1))</f>
        <v/>
      </c>
      <c r="E2080" s="3" t="str">
        <f t="array" ref="E2080">IF(B2080="","",INDEX(helper!$F$3:$F3996,MOD(ROW()-2,COUNTA(helper!$D$3:$D3996))+1))</f>
        <v/>
      </c>
      <c r="F2080" s="3" t="str">
        <f>IF(B2080="","",SUMIFS('inventory ledger'!$H:$H,'inventory ledger'!$C:$C,C2080,'inventory ledger'!$D:$D,D2080,'inventory ledger'!$E:$E,E2080,'inventory ledger'!$A:$A,"&lt;="&amp;B2080+TIME(23,59,59))-SUMIFS('inventory ledger'!$I:$I,'inventory ledger'!$C:$C,C2080,'inventory ledger'!$D:$D,D2080,'inventory ledger'!$E:$E,E2080,'inventory ledger'!$A:$A,"&lt;="&amp;B2080+TIME(23,59,59)))</f>
        <v/>
      </c>
      <c r="G2080" s="3">
        <f>IFERROR(__xludf.DUMMYFUNCTION("IF(F2080&lt;=0,0,IFERROR(ROUNDUP(F2080/INDEX(FILTER('warehouse config'!$D:$D,('warehouse config'!$B:$B=C2080)*('warehouse config'!$C:$C=D2080)*('warehouse config'!$G:$G&lt;=B2080)*(('warehouse config'!$H:$H&gt;=B2080)+ISBLANK('warehouse config'!$H:$H))),1)),0))"),0.0)</f>
        <v>0</v>
      </c>
      <c r="H2080" s="3">
        <f>IFERROR(__xludf.DUMMYFUNCTION("IFERROR(INDEX(FILTER('cost master'!$E:$E,('cost master'!$B:$B=C2080)*('cost master'!$D:$D=""Storage cost per pallet / week"")*('cost master'!$G:$G&lt;=B2080)*(('cost master'!$H:$H&gt;=B2080)+ISBLANK('cost master'!$H:$H))),1),0)"),0.0)</f>
        <v>0</v>
      </c>
      <c r="I2080" s="3">
        <f t="shared" si="4"/>
        <v>0</v>
      </c>
      <c r="J2080" s="27">
        <f t="shared" si="5"/>
        <v>693947</v>
      </c>
      <c r="K2080" s="27">
        <f t="shared" si="6"/>
        <v>693977</v>
      </c>
    </row>
    <row r="2081" hidden="1">
      <c r="A2081" s="3" t="str">
        <f t="shared" si="3"/>
        <v/>
      </c>
      <c r="B2081" s="2" t="str">
        <f t="array" ref="B2081">INDEX(helper!$A$3:$A3996,ROUNDUP((ROW()-1)/COUNTA(helper!$D$3:$D3996),0))</f>
        <v/>
      </c>
      <c r="C2081" s="5" t="str">
        <f t="array" ref="C2081">IF(B2081="","",INDEX(helper!$D$3:$D3996,MOD(ROW()-2,COUNTA(helper!$D$3:$D3996))+1))</f>
        <v/>
      </c>
      <c r="D2081" s="3" t="str">
        <f t="array" ref="D2081">IF(B2081="","",INDEX(helper!$E$3:$E3996,MOD(ROW()-2,COUNTA(helper!$D$3:$D3996))+1))</f>
        <v/>
      </c>
      <c r="E2081" s="3" t="str">
        <f t="array" ref="E2081">IF(B2081="","",INDEX(helper!$F$3:$F3996,MOD(ROW()-2,COUNTA(helper!$D$3:$D3996))+1))</f>
        <v/>
      </c>
      <c r="F2081" s="3" t="str">
        <f>IF(B2081="","",SUMIFS('inventory ledger'!$H:$H,'inventory ledger'!$C:$C,C2081,'inventory ledger'!$D:$D,D2081,'inventory ledger'!$E:$E,E2081,'inventory ledger'!$A:$A,"&lt;="&amp;B2081+TIME(23,59,59))-SUMIFS('inventory ledger'!$I:$I,'inventory ledger'!$C:$C,C2081,'inventory ledger'!$D:$D,D2081,'inventory ledger'!$E:$E,E2081,'inventory ledger'!$A:$A,"&lt;="&amp;B2081+TIME(23,59,59)))</f>
        <v/>
      </c>
      <c r="G2081" s="3">
        <f>IFERROR(__xludf.DUMMYFUNCTION("IF(F2081&lt;=0,0,IFERROR(ROUNDUP(F2081/INDEX(FILTER('warehouse config'!$D:$D,('warehouse config'!$B:$B=C2081)*('warehouse config'!$C:$C=D2081)*('warehouse config'!$G:$G&lt;=B2081)*(('warehouse config'!$H:$H&gt;=B2081)+ISBLANK('warehouse config'!$H:$H))),1)),0))"),0.0)</f>
        <v>0</v>
      </c>
      <c r="H2081" s="3">
        <f>IFERROR(__xludf.DUMMYFUNCTION("IFERROR(INDEX(FILTER('cost master'!$E:$E,('cost master'!$B:$B=C2081)*('cost master'!$D:$D=""Storage cost per pallet / week"")*('cost master'!$G:$G&lt;=B2081)*(('cost master'!$H:$H&gt;=B2081)+ISBLANK('cost master'!$H:$H))),1),0)"),0.0)</f>
        <v>0</v>
      </c>
      <c r="I2081" s="3">
        <f t="shared" si="4"/>
        <v>0</v>
      </c>
      <c r="J2081" s="27">
        <f t="shared" si="5"/>
        <v>693947</v>
      </c>
      <c r="K2081" s="27">
        <f t="shared" si="6"/>
        <v>693977</v>
      </c>
    </row>
    <row r="2082" hidden="1">
      <c r="A2082" s="3" t="str">
        <f t="shared" si="3"/>
        <v/>
      </c>
      <c r="B2082" s="2" t="str">
        <f t="array" ref="B2082">INDEX(helper!$A$3:$A3996,ROUNDUP((ROW()-1)/COUNTA(helper!$D$3:$D3996),0))</f>
        <v/>
      </c>
      <c r="C2082" s="5" t="str">
        <f t="array" ref="C2082">IF(B2082="","",INDEX(helper!$D$3:$D3996,MOD(ROW()-2,COUNTA(helper!$D$3:$D3996))+1))</f>
        <v/>
      </c>
      <c r="D2082" s="3" t="str">
        <f t="array" ref="D2082">IF(B2082="","",INDEX(helper!$E$3:$E3996,MOD(ROW()-2,COUNTA(helper!$D$3:$D3996))+1))</f>
        <v/>
      </c>
      <c r="E2082" s="3" t="str">
        <f t="array" ref="E2082">IF(B2082="","",INDEX(helper!$F$3:$F3996,MOD(ROW()-2,COUNTA(helper!$D$3:$D3996))+1))</f>
        <v/>
      </c>
      <c r="F2082" s="3" t="str">
        <f>IF(B2082="","",SUMIFS('inventory ledger'!$H:$H,'inventory ledger'!$C:$C,C2082,'inventory ledger'!$D:$D,D2082,'inventory ledger'!$E:$E,E2082,'inventory ledger'!$A:$A,"&lt;="&amp;B2082+TIME(23,59,59))-SUMIFS('inventory ledger'!$I:$I,'inventory ledger'!$C:$C,C2082,'inventory ledger'!$D:$D,D2082,'inventory ledger'!$E:$E,E2082,'inventory ledger'!$A:$A,"&lt;="&amp;B2082+TIME(23,59,59)))</f>
        <v/>
      </c>
      <c r="G2082" s="3">
        <f>IFERROR(__xludf.DUMMYFUNCTION("IF(F2082&lt;=0,0,IFERROR(ROUNDUP(F2082/INDEX(FILTER('warehouse config'!$D:$D,('warehouse config'!$B:$B=C2082)*('warehouse config'!$C:$C=D2082)*('warehouse config'!$G:$G&lt;=B2082)*(('warehouse config'!$H:$H&gt;=B2082)+ISBLANK('warehouse config'!$H:$H))),1)),0))"),0.0)</f>
        <v>0</v>
      </c>
      <c r="H2082" s="3">
        <f>IFERROR(__xludf.DUMMYFUNCTION("IFERROR(INDEX(FILTER('cost master'!$E:$E,('cost master'!$B:$B=C2082)*('cost master'!$D:$D=""Storage cost per pallet / week"")*('cost master'!$G:$G&lt;=B2082)*(('cost master'!$H:$H&gt;=B2082)+ISBLANK('cost master'!$H:$H))),1),0)"),0.0)</f>
        <v>0</v>
      </c>
      <c r="I2082" s="3">
        <f t="shared" si="4"/>
        <v>0</v>
      </c>
      <c r="J2082" s="27">
        <f t="shared" si="5"/>
        <v>693947</v>
      </c>
      <c r="K2082" s="27">
        <f t="shared" si="6"/>
        <v>693977</v>
      </c>
    </row>
    <row r="2083" hidden="1">
      <c r="A2083" s="3" t="str">
        <f t="shared" si="3"/>
        <v/>
      </c>
      <c r="B2083" s="2" t="str">
        <f t="array" ref="B2083">INDEX(helper!$A$3:$A3996,ROUNDUP((ROW()-1)/COUNTA(helper!$D$3:$D3996),0))</f>
        <v/>
      </c>
      <c r="C2083" s="5" t="str">
        <f t="array" ref="C2083">IF(B2083="","",INDEX(helper!$D$3:$D3996,MOD(ROW()-2,COUNTA(helper!$D$3:$D3996))+1))</f>
        <v/>
      </c>
      <c r="D2083" s="3" t="str">
        <f t="array" ref="D2083">IF(B2083="","",INDEX(helper!$E$3:$E3996,MOD(ROW()-2,COUNTA(helper!$D$3:$D3996))+1))</f>
        <v/>
      </c>
      <c r="E2083" s="3" t="str">
        <f t="array" ref="E2083">IF(B2083="","",INDEX(helper!$F$3:$F3996,MOD(ROW()-2,COUNTA(helper!$D$3:$D3996))+1))</f>
        <v/>
      </c>
      <c r="F2083" s="3" t="str">
        <f>IF(B2083="","",SUMIFS('inventory ledger'!$H:$H,'inventory ledger'!$C:$C,C2083,'inventory ledger'!$D:$D,D2083,'inventory ledger'!$E:$E,E2083,'inventory ledger'!$A:$A,"&lt;="&amp;B2083+TIME(23,59,59))-SUMIFS('inventory ledger'!$I:$I,'inventory ledger'!$C:$C,C2083,'inventory ledger'!$D:$D,D2083,'inventory ledger'!$E:$E,E2083,'inventory ledger'!$A:$A,"&lt;="&amp;B2083+TIME(23,59,59)))</f>
        <v/>
      </c>
      <c r="G2083" s="3">
        <f>IFERROR(__xludf.DUMMYFUNCTION("IF(F2083&lt;=0,0,IFERROR(ROUNDUP(F2083/INDEX(FILTER('warehouse config'!$D:$D,('warehouse config'!$B:$B=C2083)*('warehouse config'!$C:$C=D2083)*('warehouse config'!$G:$G&lt;=B2083)*(('warehouse config'!$H:$H&gt;=B2083)+ISBLANK('warehouse config'!$H:$H))),1)),0))"),0.0)</f>
        <v>0</v>
      </c>
      <c r="H2083" s="3">
        <f>IFERROR(__xludf.DUMMYFUNCTION("IFERROR(INDEX(FILTER('cost master'!$E:$E,('cost master'!$B:$B=C2083)*('cost master'!$D:$D=""Storage cost per pallet / week"")*('cost master'!$G:$G&lt;=B2083)*(('cost master'!$H:$H&gt;=B2083)+ISBLANK('cost master'!$H:$H))),1),0)"),0.0)</f>
        <v>0</v>
      </c>
      <c r="I2083" s="3">
        <f t="shared" si="4"/>
        <v>0</v>
      </c>
      <c r="J2083" s="27">
        <f t="shared" si="5"/>
        <v>693947</v>
      </c>
      <c r="K2083" s="27">
        <f t="shared" si="6"/>
        <v>693977</v>
      </c>
    </row>
    <row r="2084" hidden="1">
      <c r="A2084" s="3" t="str">
        <f t="shared" si="3"/>
        <v/>
      </c>
      <c r="B2084" s="2" t="str">
        <f t="array" ref="B2084">INDEX(helper!$A$3:$A3996,ROUNDUP((ROW()-1)/COUNTA(helper!$D$3:$D3996),0))</f>
        <v/>
      </c>
      <c r="C2084" s="5" t="str">
        <f t="array" ref="C2084">IF(B2084="","",INDEX(helper!$D$3:$D3996,MOD(ROW()-2,COUNTA(helper!$D$3:$D3996))+1))</f>
        <v/>
      </c>
      <c r="D2084" s="3" t="str">
        <f t="array" ref="D2084">IF(B2084="","",INDEX(helper!$E$3:$E3996,MOD(ROW()-2,COUNTA(helper!$D$3:$D3996))+1))</f>
        <v/>
      </c>
      <c r="E2084" s="3" t="str">
        <f t="array" ref="E2084">IF(B2084="","",INDEX(helper!$F$3:$F3996,MOD(ROW()-2,COUNTA(helper!$D$3:$D3996))+1))</f>
        <v/>
      </c>
      <c r="F2084" s="3" t="str">
        <f>IF(B2084="","",SUMIFS('inventory ledger'!$H:$H,'inventory ledger'!$C:$C,C2084,'inventory ledger'!$D:$D,D2084,'inventory ledger'!$E:$E,E2084,'inventory ledger'!$A:$A,"&lt;="&amp;B2084+TIME(23,59,59))-SUMIFS('inventory ledger'!$I:$I,'inventory ledger'!$C:$C,C2084,'inventory ledger'!$D:$D,D2084,'inventory ledger'!$E:$E,E2084,'inventory ledger'!$A:$A,"&lt;="&amp;B2084+TIME(23,59,59)))</f>
        <v/>
      </c>
      <c r="G2084" s="3">
        <f>IFERROR(__xludf.DUMMYFUNCTION("IF(F2084&lt;=0,0,IFERROR(ROUNDUP(F2084/INDEX(FILTER('warehouse config'!$D:$D,('warehouse config'!$B:$B=C2084)*('warehouse config'!$C:$C=D2084)*('warehouse config'!$G:$G&lt;=B2084)*(('warehouse config'!$H:$H&gt;=B2084)+ISBLANK('warehouse config'!$H:$H))),1)),0))"),0.0)</f>
        <v>0</v>
      </c>
      <c r="H2084" s="3">
        <f>IFERROR(__xludf.DUMMYFUNCTION("IFERROR(INDEX(FILTER('cost master'!$E:$E,('cost master'!$B:$B=C2084)*('cost master'!$D:$D=""Storage cost per pallet / week"")*('cost master'!$G:$G&lt;=B2084)*(('cost master'!$H:$H&gt;=B2084)+ISBLANK('cost master'!$H:$H))),1),0)"),0.0)</f>
        <v>0</v>
      </c>
      <c r="I2084" s="3">
        <f t="shared" si="4"/>
        <v>0</v>
      </c>
      <c r="J2084" s="27">
        <f t="shared" si="5"/>
        <v>693947</v>
      </c>
      <c r="K2084" s="27">
        <f t="shared" si="6"/>
        <v>693977</v>
      </c>
    </row>
    <row r="2085" hidden="1">
      <c r="A2085" s="3" t="str">
        <f t="shared" si="3"/>
        <v/>
      </c>
      <c r="B2085" s="2" t="str">
        <f t="array" ref="B2085">INDEX(helper!$A$3:$A3996,ROUNDUP((ROW()-1)/COUNTA(helper!$D$3:$D3996),0))</f>
        <v/>
      </c>
      <c r="C2085" s="5" t="str">
        <f t="array" ref="C2085">IF(B2085="","",INDEX(helper!$D$3:$D3996,MOD(ROW()-2,COUNTA(helper!$D$3:$D3996))+1))</f>
        <v/>
      </c>
      <c r="D2085" s="3" t="str">
        <f t="array" ref="D2085">IF(B2085="","",INDEX(helper!$E$3:$E3996,MOD(ROW()-2,COUNTA(helper!$D$3:$D3996))+1))</f>
        <v/>
      </c>
      <c r="E2085" s="3" t="str">
        <f t="array" ref="E2085">IF(B2085="","",INDEX(helper!$F$3:$F3996,MOD(ROW()-2,COUNTA(helper!$D$3:$D3996))+1))</f>
        <v/>
      </c>
      <c r="F2085" s="3" t="str">
        <f>IF(B2085="","",SUMIFS('inventory ledger'!$H:$H,'inventory ledger'!$C:$C,C2085,'inventory ledger'!$D:$D,D2085,'inventory ledger'!$E:$E,E2085,'inventory ledger'!$A:$A,"&lt;="&amp;B2085+TIME(23,59,59))-SUMIFS('inventory ledger'!$I:$I,'inventory ledger'!$C:$C,C2085,'inventory ledger'!$D:$D,D2085,'inventory ledger'!$E:$E,E2085,'inventory ledger'!$A:$A,"&lt;="&amp;B2085+TIME(23,59,59)))</f>
        <v/>
      </c>
      <c r="G2085" s="3">
        <f>IFERROR(__xludf.DUMMYFUNCTION("IF(F2085&lt;=0,0,IFERROR(ROUNDUP(F2085/INDEX(FILTER('warehouse config'!$D:$D,('warehouse config'!$B:$B=C2085)*('warehouse config'!$C:$C=D2085)*('warehouse config'!$G:$G&lt;=B2085)*(('warehouse config'!$H:$H&gt;=B2085)+ISBLANK('warehouse config'!$H:$H))),1)),0))"),0.0)</f>
        <v>0</v>
      </c>
      <c r="H2085" s="3">
        <f>IFERROR(__xludf.DUMMYFUNCTION("IFERROR(INDEX(FILTER('cost master'!$E:$E,('cost master'!$B:$B=C2085)*('cost master'!$D:$D=""Storage cost per pallet / week"")*('cost master'!$G:$G&lt;=B2085)*(('cost master'!$H:$H&gt;=B2085)+ISBLANK('cost master'!$H:$H))),1),0)"),0.0)</f>
        <v>0</v>
      </c>
      <c r="I2085" s="3">
        <f t="shared" si="4"/>
        <v>0</v>
      </c>
      <c r="J2085" s="27">
        <f t="shared" si="5"/>
        <v>693947</v>
      </c>
      <c r="K2085" s="27">
        <f t="shared" si="6"/>
        <v>693977</v>
      </c>
    </row>
    <row r="2086" hidden="1">
      <c r="A2086" s="3" t="str">
        <f t="shared" si="3"/>
        <v/>
      </c>
      <c r="B2086" s="2" t="str">
        <f t="array" ref="B2086">INDEX(helper!$A$3:$A3996,ROUNDUP((ROW()-1)/COUNTA(helper!$D$3:$D3996),0))</f>
        <v/>
      </c>
      <c r="C2086" s="5" t="str">
        <f t="array" ref="C2086">IF(B2086="","",INDEX(helper!$D$3:$D3996,MOD(ROW()-2,COUNTA(helper!$D$3:$D3996))+1))</f>
        <v/>
      </c>
      <c r="D2086" s="3" t="str">
        <f t="array" ref="D2086">IF(B2086="","",INDEX(helper!$E$3:$E3996,MOD(ROW()-2,COUNTA(helper!$D$3:$D3996))+1))</f>
        <v/>
      </c>
      <c r="E2086" s="3" t="str">
        <f t="array" ref="E2086">IF(B2086="","",INDEX(helper!$F$3:$F3996,MOD(ROW()-2,COUNTA(helper!$D$3:$D3996))+1))</f>
        <v/>
      </c>
      <c r="F2086" s="3" t="str">
        <f>IF(B2086="","",SUMIFS('inventory ledger'!$H:$H,'inventory ledger'!$C:$C,C2086,'inventory ledger'!$D:$D,D2086,'inventory ledger'!$E:$E,E2086,'inventory ledger'!$A:$A,"&lt;="&amp;B2086+TIME(23,59,59))-SUMIFS('inventory ledger'!$I:$I,'inventory ledger'!$C:$C,C2086,'inventory ledger'!$D:$D,D2086,'inventory ledger'!$E:$E,E2086,'inventory ledger'!$A:$A,"&lt;="&amp;B2086+TIME(23,59,59)))</f>
        <v/>
      </c>
      <c r="G2086" s="3">
        <f>IFERROR(__xludf.DUMMYFUNCTION("IF(F2086&lt;=0,0,IFERROR(ROUNDUP(F2086/INDEX(FILTER('warehouse config'!$D:$D,('warehouse config'!$B:$B=C2086)*('warehouse config'!$C:$C=D2086)*('warehouse config'!$G:$G&lt;=B2086)*(('warehouse config'!$H:$H&gt;=B2086)+ISBLANK('warehouse config'!$H:$H))),1)),0))"),0.0)</f>
        <v>0</v>
      </c>
      <c r="H2086" s="3">
        <f>IFERROR(__xludf.DUMMYFUNCTION("IFERROR(INDEX(FILTER('cost master'!$E:$E,('cost master'!$B:$B=C2086)*('cost master'!$D:$D=""Storage cost per pallet / week"")*('cost master'!$G:$G&lt;=B2086)*(('cost master'!$H:$H&gt;=B2086)+ISBLANK('cost master'!$H:$H))),1),0)"),0.0)</f>
        <v>0</v>
      </c>
      <c r="I2086" s="3">
        <f t="shared" si="4"/>
        <v>0</v>
      </c>
      <c r="J2086" s="27">
        <f t="shared" si="5"/>
        <v>693947</v>
      </c>
      <c r="K2086" s="27">
        <f t="shared" si="6"/>
        <v>693977</v>
      </c>
    </row>
    <row r="2087" hidden="1">
      <c r="A2087" s="3" t="str">
        <f t="shared" si="3"/>
        <v/>
      </c>
      <c r="B2087" s="2" t="str">
        <f t="array" ref="B2087">INDEX(helper!$A$3:$A3996,ROUNDUP((ROW()-1)/COUNTA(helper!$D$3:$D3996),0))</f>
        <v/>
      </c>
      <c r="C2087" s="5" t="str">
        <f t="array" ref="C2087">IF(B2087="","",INDEX(helper!$D$3:$D3996,MOD(ROW()-2,COUNTA(helper!$D$3:$D3996))+1))</f>
        <v/>
      </c>
      <c r="D2087" s="3" t="str">
        <f t="array" ref="D2087">IF(B2087="","",INDEX(helper!$E$3:$E3996,MOD(ROW()-2,COUNTA(helper!$D$3:$D3996))+1))</f>
        <v/>
      </c>
      <c r="E2087" s="3" t="str">
        <f t="array" ref="E2087">IF(B2087="","",INDEX(helper!$F$3:$F3996,MOD(ROW()-2,COUNTA(helper!$D$3:$D3996))+1))</f>
        <v/>
      </c>
      <c r="F2087" s="3" t="str">
        <f>IF(B2087="","",SUMIFS('inventory ledger'!$H:$H,'inventory ledger'!$C:$C,C2087,'inventory ledger'!$D:$D,D2087,'inventory ledger'!$E:$E,E2087,'inventory ledger'!$A:$A,"&lt;="&amp;B2087+TIME(23,59,59))-SUMIFS('inventory ledger'!$I:$I,'inventory ledger'!$C:$C,C2087,'inventory ledger'!$D:$D,D2087,'inventory ledger'!$E:$E,E2087,'inventory ledger'!$A:$A,"&lt;="&amp;B2087+TIME(23,59,59)))</f>
        <v/>
      </c>
      <c r="G2087" s="3">
        <f>IFERROR(__xludf.DUMMYFUNCTION("IF(F2087&lt;=0,0,IFERROR(ROUNDUP(F2087/INDEX(FILTER('warehouse config'!$D:$D,('warehouse config'!$B:$B=C2087)*('warehouse config'!$C:$C=D2087)*('warehouse config'!$G:$G&lt;=B2087)*(('warehouse config'!$H:$H&gt;=B2087)+ISBLANK('warehouse config'!$H:$H))),1)),0))"),0.0)</f>
        <v>0</v>
      </c>
      <c r="H2087" s="3">
        <f>IFERROR(__xludf.DUMMYFUNCTION("IFERROR(INDEX(FILTER('cost master'!$E:$E,('cost master'!$B:$B=C2087)*('cost master'!$D:$D=""Storage cost per pallet / week"")*('cost master'!$G:$G&lt;=B2087)*(('cost master'!$H:$H&gt;=B2087)+ISBLANK('cost master'!$H:$H))),1),0)"),0.0)</f>
        <v>0</v>
      </c>
      <c r="I2087" s="3">
        <f t="shared" si="4"/>
        <v>0</v>
      </c>
      <c r="J2087" s="27">
        <f t="shared" si="5"/>
        <v>693947</v>
      </c>
      <c r="K2087" s="27">
        <f t="shared" si="6"/>
        <v>693977</v>
      </c>
    </row>
    <row r="2088" hidden="1">
      <c r="A2088" s="3" t="str">
        <f t="shared" si="3"/>
        <v/>
      </c>
      <c r="B2088" s="2" t="str">
        <f t="array" ref="B2088">INDEX(helper!$A$3:$A3996,ROUNDUP((ROW()-1)/COUNTA(helper!$D$3:$D3996),0))</f>
        <v/>
      </c>
      <c r="C2088" s="5" t="str">
        <f t="array" ref="C2088">IF(B2088="","",INDEX(helper!$D$3:$D3996,MOD(ROW()-2,COUNTA(helper!$D$3:$D3996))+1))</f>
        <v/>
      </c>
      <c r="D2088" s="3" t="str">
        <f t="array" ref="D2088">IF(B2088="","",INDEX(helper!$E$3:$E3996,MOD(ROW()-2,COUNTA(helper!$D$3:$D3996))+1))</f>
        <v/>
      </c>
      <c r="E2088" s="3" t="str">
        <f t="array" ref="E2088">IF(B2088="","",INDEX(helper!$F$3:$F3996,MOD(ROW()-2,COUNTA(helper!$D$3:$D3996))+1))</f>
        <v/>
      </c>
      <c r="F2088" s="3" t="str">
        <f>IF(B2088="","",SUMIFS('inventory ledger'!$H:$H,'inventory ledger'!$C:$C,C2088,'inventory ledger'!$D:$D,D2088,'inventory ledger'!$E:$E,E2088,'inventory ledger'!$A:$A,"&lt;="&amp;B2088+TIME(23,59,59))-SUMIFS('inventory ledger'!$I:$I,'inventory ledger'!$C:$C,C2088,'inventory ledger'!$D:$D,D2088,'inventory ledger'!$E:$E,E2088,'inventory ledger'!$A:$A,"&lt;="&amp;B2088+TIME(23,59,59)))</f>
        <v/>
      </c>
      <c r="G2088" s="3">
        <f>IFERROR(__xludf.DUMMYFUNCTION("IF(F2088&lt;=0,0,IFERROR(ROUNDUP(F2088/INDEX(FILTER('warehouse config'!$D:$D,('warehouse config'!$B:$B=C2088)*('warehouse config'!$C:$C=D2088)*('warehouse config'!$G:$G&lt;=B2088)*(('warehouse config'!$H:$H&gt;=B2088)+ISBLANK('warehouse config'!$H:$H))),1)),0))"),0.0)</f>
        <v>0</v>
      </c>
      <c r="H2088" s="3">
        <f>IFERROR(__xludf.DUMMYFUNCTION("IFERROR(INDEX(FILTER('cost master'!$E:$E,('cost master'!$B:$B=C2088)*('cost master'!$D:$D=""Storage cost per pallet / week"")*('cost master'!$G:$G&lt;=B2088)*(('cost master'!$H:$H&gt;=B2088)+ISBLANK('cost master'!$H:$H))),1),0)"),0.0)</f>
        <v>0</v>
      </c>
      <c r="I2088" s="3">
        <f t="shared" si="4"/>
        <v>0</v>
      </c>
      <c r="J2088" s="27">
        <f t="shared" si="5"/>
        <v>693947</v>
      </c>
      <c r="K2088" s="27">
        <f t="shared" si="6"/>
        <v>693977</v>
      </c>
    </row>
    <row r="2089" hidden="1">
      <c r="A2089" s="3" t="str">
        <f t="shared" si="3"/>
        <v/>
      </c>
      <c r="B2089" s="2" t="str">
        <f t="array" ref="B2089">INDEX(helper!$A$3:$A3996,ROUNDUP((ROW()-1)/COUNTA(helper!$D$3:$D3996),0))</f>
        <v/>
      </c>
      <c r="C2089" s="5" t="str">
        <f t="array" ref="C2089">IF(B2089="","",INDEX(helper!$D$3:$D3996,MOD(ROW()-2,COUNTA(helper!$D$3:$D3996))+1))</f>
        <v/>
      </c>
      <c r="D2089" s="3" t="str">
        <f t="array" ref="D2089">IF(B2089="","",INDEX(helper!$E$3:$E3996,MOD(ROW()-2,COUNTA(helper!$D$3:$D3996))+1))</f>
        <v/>
      </c>
      <c r="E2089" s="3" t="str">
        <f t="array" ref="E2089">IF(B2089="","",INDEX(helper!$F$3:$F3996,MOD(ROW()-2,COUNTA(helper!$D$3:$D3996))+1))</f>
        <v/>
      </c>
      <c r="F2089" s="3" t="str">
        <f>IF(B2089="","",SUMIFS('inventory ledger'!$H:$H,'inventory ledger'!$C:$C,C2089,'inventory ledger'!$D:$D,D2089,'inventory ledger'!$E:$E,E2089,'inventory ledger'!$A:$A,"&lt;="&amp;B2089+TIME(23,59,59))-SUMIFS('inventory ledger'!$I:$I,'inventory ledger'!$C:$C,C2089,'inventory ledger'!$D:$D,D2089,'inventory ledger'!$E:$E,E2089,'inventory ledger'!$A:$A,"&lt;="&amp;B2089+TIME(23,59,59)))</f>
        <v/>
      </c>
      <c r="G2089" s="3">
        <f>IFERROR(__xludf.DUMMYFUNCTION("IF(F2089&lt;=0,0,IFERROR(ROUNDUP(F2089/INDEX(FILTER('warehouse config'!$D:$D,('warehouse config'!$B:$B=C2089)*('warehouse config'!$C:$C=D2089)*('warehouse config'!$G:$G&lt;=B2089)*(('warehouse config'!$H:$H&gt;=B2089)+ISBLANK('warehouse config'!$H:$H))),1)),0))"),0.0)</f>
        <v>0</v>
      </c>
      <c r="H2089" s="3">
        <f>IFERROR(__xludf.DUMMYFUNCTION("IFERROR(INDEX(FILTER('cost master'!$E:$E,('cost master'!$B:$B=C2089)*('cost master'!$D:$D=""Storage cost per pallet / week"")*('cost master'!$G:$G&lt;=B2089)*(('cost master'!$H:$H&gt;=B2089)+ISBLANK('cost master'!$H:$H))),1),0)"),0.0)</f>
        <v>0</v>
      </c>
      <c r="I2089" s="3">
        <f t="shared" si="4"/>
        <v>0</v>
      </c>
      <c r="J2089" s="27">
        <f t="shared" si="5"/>
        <v>693947</v>
      </c>
      <c r="K2089" s="27">
        <f t="shared" si="6"/>
        <v>693977</v>
      </c>
    </row>
    <row r="2090" hidden="1">
      <c r="A2090" s="3" t="str">
        <f t="shared" si="3"/>
        <v/>
      </c>
      <c r="B2090" s="2" t="str">
        <f t="array" ref="B2090">INDEX(helper!$A$3:$A3996,ROUNDUP((ROW()-1)/COUNTA(helper!$D$3:$D3996),0))</f>
        <v/>
      </c>
      <c r="C2090" s="5" t="str">
        <f t="array" ref="C2090">IF(B2090="","",INDEX(helper!$D$3:$D3996,MOD(ROW()-2,COUNTA(helper!$D$3:$D3996))+1))</f>
        <v/>
      </c>
      <c r="D2090" s="3" t="str">
        <f t="array" ref="D2090">IF(B2090="","",INDEX(helper!$E$3:$E3996,MOD(ROW()-2,COUNTA(helper!$D$3:$D3996))+1))</f>
        <v/>
      </c>
      <c r="E2090" s="3" t="str">
        <f t="array" ref="E2090">IF(B2090="","",INDEX(helper!$F$3:$F3996,MOD(ROW()-2,COUNTA(helper!$D$3:$D3996))+1))</f>
        <v/>
      </c>
      <c r="F2090" s="3" t="str">
        <f>IF(B2090="","",SUMIFS('inventory ledger'!$H:$H,'inventory ledger'!$C:$C,C2090,'inventory ledger'!$D:$D,D2090,'inventory ledger'!$E:$E,E2090,'inventory ledger'!$A:$A,"&lt;="&amp;B2090+TIME(23,59,59))-SUMIFS('inventory ledger'!$I:$I,'inventory ledger'!$C:$C,C2090,'inventory ledger'!$D:$D,D2090,'inventory ledger'!$E:$E,E2090,'inventory ledger'!$A:$A,"&lt;="&amp;B2090+TIME(23,59,59)))</f>
        <v/>
      </c>
      <c r="G2090" s="3">
        <f>IFERROR(__xludf.DUMMYFUNCTION("IF(F2090&lt;=0,0,IFERROR(ROUNDUP(F2090/INDEX(FILTER('warehouse config'!$D:$D,('warehouse config'!$B:$B=C2090)*('warehouse config'!$C:$C=D2090)*('warehouse config'!$G:$G&lt;=B2090)*(('warehouse config'!$H:$H&gt;=B2090)+ISBLANK('warehouse config'!$H:$H))),1)),0))"),0.0)</f>
        <v>0</v>
      </c>
      <c r="H2090" s="3">
        <f>IFERROR(__xludf.DUMMYFUNCTION("IFERROR(INDEX(FILTER('cost master'!$E:$E,('cost master'!$B:$B=C2090)*('cost master'!$D:$D=""Storage cost per pallet / week"")*('cost master'!$G:$G&lt;=B2090)*(('cost master'!$H:$H&gt;=B2090)+ISBLANK('cost master'!$H:$H))),1),0)"),0.0)</f>
        <v>0</v>
      </c>
      <c r="I2090" s="3">
        <f t="shared" si="4"/>
        <v>0</v>
      </c>
      <c r="J2090" s="27">
        <f t="shared" si="5"/>
        <v>693947</v>
      </c>
      <c r="K2090" s="27">
        <f t="shared" si="6"/>
        <v>693977</v>
      </c>
    </row>
    <row r="2091" hidden="1">
      <c r="A2091" s="3" t="str">
        <f t="shared" si="3"/>
        <v/>
      </c>
      <c r="B2091" s="2" t="str">
        <f t="array" ref="B2091">INDEX(helper!$A$3:$A3996,ROUNDUP((ROW()-1)/COUNTA(helper!$D$3:$D3996),0))</f>
        <v/>
      </c>
      <c r="C2091" s="5" t="str">
        <f t="array" ref="C2091">IF(B2091="","",INDEX(helper!$D$3:$D3996,MOD(ROW()-2,COUNTA(helper!$D$3:$D3996))+1))</f>
        <v/>
      </c>
      <c r="D2091" s="3" t="str">
        <f t="array" ref="D2091">IF(B2091="","",INDEX(helper!$E$3:$E3996,MOD(ROW()-2,COUNTA(helper!$D$3:$D3996))+1))</f>
        <v/>
      </c>
      <c r="E2091" s="3" t="str">
        <f t="array" ref="E2091">IF(B2091="","",INDEX(helper!$F$3:$F3996,MOD(ROW()-2,COUNTA(helper!$D$3:$D3996))+1))</f>
        <v/>
      </c>
      <c r="F2091" s="3" t="str">
        <f>IF(B2091="","",SUMIFS('inventory ledger'!$H:$H,'inventory ledger'!$C:$C,C2091,'inventory ledger'!$D:$D,D2091,'inventory ledger'!$E:$E,E2091,'inventory ledger'!$A:$A,"&lt;="&amp;B2091+TIME(23,59,59))-SUMIFS('inventory ledger'!$I:$I,'inventory ledger'!$C:$C,C2091,'inventory ledger'!$D:$D,D2091,'inventory ledger'!$E:$E,E2091,'inventory ledger'!$A:$A,"&lt;="&amp;B2091+TIME(23,59,59)))</f>
        <v/>
      </c>
      <c r="G2091" s="3">
        <f>IFERROR(__xludf.DUMMYFUNCTION("IF(F2091&lt;=0,0,IFERROR(ROUNDUP(F2091/INDEX(FILTER('warehouse config'!$D:$D,('warehouse config'!$B:$B=C2091)*('warehouse config'!$C:$C=D2091)*('warehouse config'!$G:$G&lt;=B2091)*(('warehouse config'!$H:$H&gt;=B2091)+ISBLANK('warehouse config'!$H:$H))),1)),0))"),0.0)</f>
        <v>0</v>
      </c>
      <c r="H2091" s="3">
        <f>IFERROR(__xludf.DUMMYFUNCTION("IFERROR(INDEX(FILTER('cost master'!$E:$E,('cost master'!$B:$B=C2091)*('cost master'!$D:$D=""Storage cost per pallet / week"")*('cost master'!$G:$G&lt;=B2091)*(('cost master'!$H:$H&gt;=B2091)+ISBLANK('cost master'!$H:$H))),1),0)"),0.0)</f>
        <v>0</v>
      </c>
      <c r="I2091" s="3">
        <f t="shared" si="4"/>
        <v>0</v>
      </c>
      <c r="J2091" s="27">
        <f t="shared" si="5"/>
        <v>693947</v>
      </c>
      <c r="K2091" s="27">
        <f t="shared" si="6"/>
        <v>693977</v>
      </c>
    </row>
    <row r="2092" hidden="1">
      <c r="A2092" s="3" t="str">
        <f t="shared" si="3"/>
        <v/>
      </c>
      <c r="B2092" s="2" t="str">
        <f t="array" ref="B2092">INDEX(helper!$A$3:$A3996,ROUNDUP((ROW()-1)/COUNTA(helper!$D$3:$D3996),0))</f>
        <v/>
      </c>
      <c r="C2092" s="5" t="str">
        <f t="array" ref="C2092">IF(B2092="","",INDEX(helper!$D$3:$D3996,MOD(ROW()-2,COUNTA(helper!$D$3:$D3996))+1))</f>
        <v/>
      </c>
      <c r="D2092" s="3" t="str">
        <f t="array" ref="D2092">IF(B2092="","",INDEX(helper!$E$3:$E3996,MOD(ROW()-2,COUNTA(helper!$D$3:$D3996))+1))</f>
        <v/>
      </c>
      <c r="E2092" s="3" t="str">
        <f t="array" ref="E2092">IF(B2092="","",INDEX(helper!$F$3:$F3996,MOD(ROW()-2,COUNTA(helper!$D$3:$D3996))+1))</f>
        <v/>
      </c>
      <c r="F2092" s="3" t="str">
        <f>IF(B2092="","",SUMIFS('inventory ledger'!$H:$H,'inventory ledger'!$C:$C,C2092,'inventory ledger'!$D:$D,D2092,'inventory ledger'!$E:$E,E2092,'inventory ledger'!$A:$A,"&lt;="&amp;B2092+TIME(23,59,59))-SUMIFS('inventory ledger'!$I:$I,'inventory ledger'!$C:$C,C2092,'inventory ledger'!$D:$D,D2092,'inventory ledger'!$E:$E,E2092,'inventory ledger'!$A:$A,"&lt;="&amp;B2092+TIME(23,59,59)))</f>
        <v/>
      </c>
      <c r="G2092" s="3">
        <f>IFERROR(__xludf.DUMMYFUNCTION("IF(F2092&lt;=0,0,IFERROR(ROUNDUP(F2092/INDEX(FILTER('warehouse config'!$D:$D,('warehouse config'!$B:$B=C2092)*('warehouse config'!$C:$C=D2092)*('warehouse config'!$G:$G&lt;=B2092)*(('warehouse config'!$H:$H&gt;=B2092)+ISBLANK('warehouse config'!$H:$H))),1)),0))"),0.0)</f>
        <v>0</v>
      </c>
      <c r="H2092" s="3">
        <f>IFERROR(__xludf.DUMMYFUNCTION("IFERROR(INDEX(FILTER('cost master'!$E:$E,('cost master'!$B:$B=C2092)*('cost master'!$D:$D=""Storage cost per pallet / week"")*('cost master'!$G:$G&lt;=B2092)*(('cost master'!$H:$H&gt;=B2092)+ISBLANK('cost master'!$H:$H))),1),0)"),0.0)</f>
        <v>0</v>
      </c>
      <c r="I2092" s="3">
        <f t="shared" si="4"/>
        <v>0</v>
      </c>
      <c r="J2092" s="27">
        <f t="shared" si="5"/>
        <v>693947</v>
      </c>
      <c r="K2092" s="27">
        <f t="shared" si="6"/>
        <v>693977</v>
      </c>
    </row>
    <row r="2093" hidden="1">
      <c r="A2093" s="3" t="str">
        <f t="shared" si="3"/>
        <v/>
      </c>
      <c r="B2093" s="2" t="str">
        <f t="array" ref="B2093">INDEX(helper!$A$3:$A3996,ROUNDUP((ROW()-1)/COUNTA(helper!$D$3:$D3996),0))</f>
        <v/>
      </c>
      <c r="C2093" s="5" t="str">
        <f t="array" ref="C2093">IF(B2093="","",INDEX(helper!$D$3:$D3996,MOD(ROW()-2,COUNTA(helper!$D$3:$D3996))+1))</f>
        <v/>
      </c>
      <c r="D2093" s="3" t="str">
        <f t="array" ref="D2093">IF(B2093="","",INDEX(helper!$E$3:$E3996,MOD(ROW()-2,COUNTA(helper!$D$3:$D3996))+1))</f>
        <v/>
      </c>
      <c r="E2093" s="3" t="str">
        <f t="array" ref="E2093">IF(B2093="","",INDEX(helper!$F$3:$F3996,MOD(ROW()-2,COUNTA(helper!$D$3:$D3996))+1))</f>
        <v/>
      </c>
      <c r="F2093" s="3" t="str">
        <f>IF(B2093="","",SUMIFS('inventory ledger'!$H:$H,'inventory ledger'!$C:$C,C2093,'inventory ledger'!$D:$D,D2093,'inventory ledger'!$E:$E,E2093,'inventory ledger'!$A:$A,"&lt;="&amp;B2093+TIME(23,59,59))-SUMIFS('inventory ledger'!$I:$I,'inventory ledger'!$C:$C,C2093,'inventory ledger'!$D:$D,D2093,'inventory ledger'!$E:$E,E2093,'inventory ledger'!$A:$A,"&lt;="&amp;B2093+TIME(23,59,59)))</f>
        <v/>
      </c>
      <c r="G2093" s="3">
        <f>IFERROR(__xludf.DUMMYFUNCTION("IF(F2093&lt;=0,0,IFERROR(ROUNDUP(F2093/INDEX(FILTER('warehouse config'!$D:$D,('warehouse config'!$B:$B=C2093)*('warehouse config'!$C:$C=D2093)*('warehouse config'!$G:$G&lt;=B2093)*(('warehouse config'!$H:$H&gt;=B2093)+ISBLANK('warehouse config'!$H:$H))),1)),0))"),0.0)</f>
        <v>0</v>
      </c>
      <c r="H2093" s="3">
        <f>IFERROR(__xludf.DUMMYFUNCTION("IFERROR(INDEX(FILTER('cost master'!$E:$E,('cost master'!$B:$B=C2093)*('cost master'!$D:$D=""Storage cost per pallet / week"")*('cost master'!$G:$G&lt;=B2093)*(('cost master'!$H:$H&gt;=B2093)+ISBLANK('cost master'!$H:$H))),1),0)"),0.0)</f>
        <v>0</v>
      </c>
      <c r="I2093" s="3">
        <f t="shared" si="4"/>
        <v>0</v>
      </c>
      <c r="J2093" s="27">
        <f t="shared" si="5"/>
        <v>693947</v>
      </c>
      <c r="K2093" s="27">
        <f t="shared" si="6"/>
        <v>693977</v>
      </c>
    </row>
    <row r="2094" hidden="1">
      <c r="A2094" s="3" t="str">
        <f t="shared" si="3"/>
        <v/>
      </c>
      <c r="B2094" s="2" t="str">
        <f t="array" ref="B2094">INDEX(helper!$A$3:$A3996,ROUNDUP((ROW()-1)/COUNTA(helper!$D$3:$D3996),0))</f>
        <v/>
      </c>
      <c r="C2094" s="5" t="str">
        <f t="array" ref="C2094">IF(B2094="","",INDEX(helper!$D$3:$D3996,MOD(ROW()-2,COUNTA(helper!$D$3:$D3996))+1))</f>
        <v/>
      </c>
      <c r="D2094" s="3" t="str">
        <f t="array" ref="D2094">IF(B2094="","",INDEX(helper!$E$3:$E3996,MOD(ROW()-2,COUNTA(helper!$D$3:$D3996))+1))</f>
        <v/>
      </c>
      <c r="E2094" s="3" t="str">
        <f t="array" ref="E2094">IF(B2094="","",INDEX(helper!$F$3:$F3996,MOD(ROW()-2,COUNTA(helper!$D$3:$D3996))+1))</f>
        <v/>
      </c>
      <c r="F2094" s="3" t="str">
        <f>IF(B2094="","",SUMIFS('inventory ledger'!$H:$H,'inventory ledger'!$C:$C,C2094,'inventory ledger'!$D:$D,D2094,'inventory ledger'!$E:$E,E2094,'inventory ledger'!$A:$A,"&lt;="&amp;B2094+TIME(23,59,59))-SUMIFS('inventory ledger'!$I:$I,'inventory ledger'!$C:$C,C2094,'inventory ledger'!$D:$D,D2094,'inventory ledger'!$E:$E,E2094,'inventory ledger'!$A:$A,"&lt;="&amp;B2094+TIME(23,59,59)))</f>
        <v/>
      </c>
      <c r="G2094" s="3">
        <f>IFERROR(__xludf.DUMMYFUNCTION("IF(F2094&lt;=0,0,IFERROR(ROUNDUP(F2094/INDEX(FILTER('warehouse config'!$D:$D,('warehouse config'!$B:$B=C2094)*('warehouse config'!$C:$C=D2094)*('warehouse config'!$G:$G&lt;=B2094)*(('warehouse config'!$H:$H&gt;=B2094)+ISBLANK('warehouse config'!$H:$H))),1)),0))"),0.0)</f>
        <v>0</v>
      </c>
      <c r="H2094" s="3">
        <f>IFERROR(__xludf.DUMMYFUNCTION("IFERROR(INDEX(FILTER('cost master'!$E:$E,('cost master'!$B:$B=C2094)*('cost master'!$D:$D=""Storage cost per pallet / week"")*('cost master'!$G:$G&lt;=B2094)*(('cost master'!$H:$H&gt;=B2094)+ISBLANK('cost master'!$H:$H))),1),0)"),0.0)</f>
        <v>0</v>
      </c>
      <c r="I2094" s="3">
        <f t="shared" si="4"/>
        <v>0</v>
      </c>
      <c r="J2094" s="27">
        <f t="shared" si="5"/>
        <v>693947</v>
      </c>
      <c r="K2094" s="27">
        <f t="shared" si="6"/>
        <v>693977</v>
      </c>
    </row>
    <row r="2095" hidden="1">
      <c r="A2095" s="3" t="str">
        <f t="shared" si="3"/>
        <v/>
      </c>
      <c r="B2095" s="2" t="str">
        <f t="array" ref="B2095">INDEX(helper!$A$3:$A3996,ROUNDUP((ROW()-1)/COUNTA(helper!$D$3:$D3996),0))</f>
        <v/>
      </c>
      <c r="C2095" s="5" t="str">
        <f t="array" ref="C2095">IF(B2095="","",INDEX(helper!$D$3:$D3996,MOD(ROW()-2,COUNTA(helper!$D$3:$D3996))+1))</f>
        <v/>
      </c>
      <c r="D2095" s="3" t="str">
        <f t="array" ref="D2095">IF(B2095="","",INDEX(helper!$E$3:$E3996,MOD(ROW()-2,COUNTA(helper!$D$3:$D3996))+1))</f>
        <v/>
      </c>
      <c r="E2095" s="3" t="str">
        <f t="array" ref="E2095">IF(B2095="","",INDEX(helper!$F$3:$F3996,MOD(ROW()-2,COUNTA(helper!$D$3:$D3996))+1))</f>
        <v/>
      </c>
      <c r="F2095" s="3" t="str">
        <f>IF(B2095="","",SUMIFS('inventory ledger'!$H:$H,'inventory ledger'!$C:$C,C2095,'inventory ledger'!$D:$D,D2095,'inventory ledger'!$E:$E,E2095,'inventory ledger'!$A:$A,"&lt;="&amp;B2095+TIME(23,59,59))-SUMIFS('inventory ledger'!$I:$I,'inventory ledger'!$C:$C,C2095,'inventory ledger'!$D:$D,D2095,'inventory ledger'!$E:$E,E2095,'inventory ledger'!$A:$A,"&lt;="&amp;B2095+TIME(23,59,59)))</f>
        <v/>
      </c>
      <c r="G2095" s="3">
        <f>IFERROR(__xludf.DUMMYFUNCTION("IF(F2095&lt;=0,0,IFERROR(ROUNDUP(F2095/INDEX(FILTER('warehouse config'!$D:$D,('warehouse config'!$B:$B=C2095)*('warehouse config'!$C:$C=D2095)*('warehouse config'!$G:$G&lt;=B2095)*(('warehouse config'!$H:$H&gt;=B2095)+ISBLANK('warehouse config'!$H:$H))),1)),0))"),0.0)</f>
        <v>0</v>
      </c>
      <c r="H2095" s="3">
        <f>IFERROR(__xludf.DUMMYFUNCTION("IFERROR(INDEX(FILTER('cost master'!$E:$E,('cost master'!$B:$B=C2095)*('cost master'!$D:$D=""Storage cost per pallet / week"")*('cost master'!$G:$G&lt;=B2095)*(('cost master'!$H:$H&gt;=B2095)+ISBLANK('cost master'!$H:$H))),1),0)"),0.0)</f>
        <v>0</v>
      </c>
      <c r="I2095" s="3">
        <f t="shared" si="4"/>
        <v>0</v>
      </c>
      <c r="J2095" s="27">
        <f t="shared" si="5"/>
        <v>693947</v>
      </c>
      <c r="K2095" s="27">
        <f t="shared" si="6"/>
        <v>693977</v>
      </c>
    </row>
    <row r="2096" hidden="1">
      <c r="A2096" s="3" t="str">
        <f t="shared" si="3"/>
        <v/>
      </c>
      <c r="B2096" s="2" t="str">
        <f t="array" ref="B2096">INDEX(helper!$A$3:$A3996,ROUNDUP((ROW()-1)/COUNTA(helper!$D$3:$D3996),0))</f>
        <v/>
      </c>
      <c r="C2096" s="5" t="str">
        <f t="array" ref="C2096">IF(B2096="","",INDEX(helper!$D$3:$D3996,MOD(ROW()-2,COUNTA(helper!$D$3:$D3996))+1))</f>
        <v/>
      </c>
      <c r="D2096" s="3" t="str">
        <f t="array" ref="D2096">IF(B2096="","",INDEX(helper!$E$3:$E3996,MOD(ROW()-2,COUNTA(helper!$D$3:$D3996))+1))</f>
        <v/>
      </c>
      <c r="E2096" s="3" t="str">
        <f t="array" ref="E2096">IF(B2096="","",INDEX(helper!$F$3:$F3996,MOD(ROW()-2,COUNTA(helper!$D$3:$D3996))+1))</f>
        <v/>
      </c>
      <c r="F2096" s="3" t="str">
        <f>IF(B2096="","",SUMIFS('inventory ledger'!$H:$H,'inventory ledger'!$C:$C,C2096,'inventory ledger'!$D:$D,D2096,'inventory ledger'!$E:$E,E2096,'inventory ledger'!$A:$A,"&lt;="&amp;B2096+TIME(23,59,59))-SUMIFS('inventory ledger'!$I:$I,'inventory ledger'!$C:$C,C2096,'inventory ledger'!$D:$D,D2096,'inventory ledger'!$E:$E,E2096,'inventory ledger'!$A:$A,"&lt;="&amp;B2096+TIME(23,59,59)))</f>
        <v/>
      </c>
      <c r="G2096" s="3">
        <f>IFERROR(__xludf.DUMMYFUNCTION("IF(F2096&lt;=0,0,IFERROR(ROUNDUP(F2096/INDEX(FILTER('warehouse config'!$D:$D,('warehouse config'!$B:$B=C2096)*('warehouse config'!$C:$C=D2096)*('warehouse config'!$G:$G&lt;=B2096)*(('warehouse config'!$H:$H&gt;=B2096)+ISBLANK('warehouse config'!$H:$H))),1)),0))"),0.0)</f>
        <v>0</v>
      </c>
      <c r="H2096" s="3">
        <f>IFERROR(__xludf.DUMMYFUNCTION("IFERROR(INDEX(FILTER('cost master'!$E:$E,('cost master'!$B:$B=C2096)*('cost master'!$D:$D=""Storage cost per pallet / week"")*('cost master'!$G:$G&lt;=B2096)*(('cost master'!$H:$H&gt;=B2096)+ISBLANK('cost master'!$H:$H))),1),0)"),0.0)</f>
        <v>0</v>
      </c>
      <c r="I2096" s="3">
        <f t="shared" si="4"/>
        <v>0</v>
      </c>
      <c r="J2096" s="27">
        <f t="shared" si="5"/>
        <v>693947</v>
      </c>
      <c r="K2096" s="27">
        <f t="shared" si="6"/>
        <v>693977</v>
      </c>
    </row>
    <row r="2097" hidden="1">
      <c r="A2097" s="3" t="str">
        <f t="shared" si="3"/>
        <v/>
      </c>
      <c r="B2097" s="2" t="str">
        <f t="array" ref="B2097">INDEX(helper!$A$3:$A3996,ROUNDUP((ROW()-1)/COUNTA(helper!$D$3:$D3996),0))</f>
        <v/>
      </c>
      <c r="C2097" s="5" t="str">
        <f t="array" ref="C2097">IF(B2097="","",INDEX(helper!$D$3:$D3996,MOD(ROW()-2,COUNTA(helper!$D$3:$D3996))+1))</f>
        <v/>
      </c>
      <c r="D2097" s="3" t="str">
        <f t="array" ref="D2097">IF(B2097="","",INDEX(helper!$E$3:$E3996,MOD(ROW()-2,COUNTA(helper!$D$3:$D3996))+1))</f>
        <v/>
      </c>
      <c r="E2097" s="3" t="str">
        <f t="array" ref="E2097">IF(B2097="","",INDEX(helper!$F$3:$F3996,MOD(ROW()-2,COUNTA(helper!$D$3:$D3996))+1))</f>
        <v/>
      </c>
      <c r="F2097" s="3" t="str">
        <f>IF(B2097="","",SUMIFS('inventory ledger'!$H:$H,'inventory ledger'!$C:$C,C2097,'inventory ledger'!$D:$D,D2097,'inventory ledger'!$E:$E,E2097,'inventory ledger'!$A:$A,"&lt;="&amp;B2097+TIME(23,59,59))-SUMIFS('inventory ledger'!$I:$I,'inventory ledger'!$C:$C,C2097,'inventory ledger'!$D:$D,D2097,'inventory ledger'!$E:$E,E2097,'inventory ledger'!$A:$A,"&lt;="&amp;B2097+TIME(23,59,59)))</f>
        <v/>
      </c>
      <c r="G2097" s="3">
        <f>IFERROR(__xludf.DUMMYFUNCTION("IF(F2097&lt;=0,0,IFERROR(ROUNDUP(F2097/INDEX(FILTER('warehouse config'!$D:$D,('warehouse config'!$B:$B=C2097)*('warehouse config'!$C:$C=D2097)*('warehouse config'!$G:$G&lt;=B2097)*(('warehouse config'!$H:$H&gt;=B2097)+ISBLANK('warehouse config'!$H:$H))),1)),0))"),0.0)</f>
        <v>0</v>
      </c>
      <c r="H2097" s="3">
        <f>IFERROR(__xludf.DUMMYFUNCTION("IFERROR(INDEX(FILTER('cost master'!$E:$E,('cost master'!$B:$B=C2097)*('cost master'!$D:$D=""Storage cost per pallet / week"")*('cost master'!$G:$G&lt;=B2097)*(('cost master'!$H:$H&gt;=B2097)+ISBLANK('cost master'!$H:$H))),1),0)"),0.0)</f>
        <v>0</v>
      </c>
      <c r="I2097" s="3">
        <f t="shared" si="4"/>
        <v>0</v>
      </c>
      <c r="J2097" s="27">
        <f t="shared" si="5"/>
        <v>693947</v>
      </c>
      <c r="K2097" s="27">
        <f t="shared" si="6"/>
        <v>693977</v>
      </c>
    </row>
    <row r="2098" hidden="1">
      <c r="A2098" s="3" t="str">
        <f t="shared" si="3"/>
        <v/>
      </c>
      <c r="B2098" s="2" t="str">
        <f t="array" ref="B2098">INDEX(helper!$A$3:$A3996,ROUNDUP((ROW()-1)/COUNTA(helper!$D$3:$D3996),0))</f>
        <v/>
      </c>
      <c r="C2098" s="5" t="str">
        <f t="array" ref="C2098">IF(B2098="","",INDEX(helper!$D$3:$D3996,MOD(ROW()-2,COUNTA(helper!$D$3:$D3996))+1))</f>
        <v/>
      </c>
      <c r="D2098" s="3" t="str">
        <f t="array" ref="D2098">IF(B2098="","",INDEX(helper!$E$3:$E3996,MOD(ROW()-2,COUNTA(helper!$D$3:$D3996))+1))</f>
        <v/>
      </c>
      <c r="E2098" s="3" t="str">
        <f t="array" ref="E2098">IF(B2098="","",INDEX(helper!$F$3:$F3996,MOD(ROW()-2,COUNTA(helper!$D$3:$D3996))+1))</f>
        <v/>
      </c>
      <c r="F2098" s="3" t="str">
        <f>IF(B2098="","",SUMIFS('inventory ledger'!$H:$H,'inventory ledger'!$C:$C,C2098,'inventory ledger'!$D:$D,D2098,'inventory ledger'!$E:$E,E2098,'inventory ledger'!$A:$A,"&lt;="&amp;B2098+TIME(23,59,59))-SUMIFS('inventory ledger'!$I:$I,'inventory ledger'!$C:$C,C2098,'inventory ledger'!$D:$D,D2098,'inventory ledger'!$E:$E,E2098,'inventory ledger'!$A:$A,"&lt;="&amp;B2098+TIME(23,59,59)))</f>
        <v/>
      </c>
      <c r="G2098" s="3">
        <f>IFERROR(__xludf.DUMMYFUNCTION("IF(F2098&lt;=0,0,IFERROR(ROUNDUP(F2098/INDEX(FILTER('warehouse config'!$D:$D,('warehouse config'!$B:$B=C2098)*('warehouse config'!$C:$C=D2098)*('warehouse config'!$G:$G&lt;=B2098)*(('warehouse config'!$H:$H&gt;=B2098)+ISBLANK('warehouse config'!$H:$H))),1)),0))"),0.0)</f>
        <v>0</v>
      </c>
      <c r="H2098" s="3">
        <f>IFERROR(__xludf.DUMMYFUNCTION("IFERROR(INDEX(FILTER('cost master'!$E:$E,('cost master'!$B:$B=C2098)*('cost master'!$D:$D=""Storage cost per pallet / week"")*('cost master'!$G:$G&lt;=B2098)*(('cost master'!$H:$H&gt;=B2098)+ISBLANK('cost master'!$H:$H))),1),0)"),0.0)</f>
        <v>0</v>
      </c>
      <c r="I2098" s="3">
        <f t="shared" si="4"/>
        <v>0</v>
      </c>
      <c r="J2098" s="27">
        <f t="shared" si="5"/>
        <v>693947</v>
      </c>
      <c r="K2098" s="27">
        <f t="shared" si="6"/>
        <v>693977</v>
      </c>
    </row>
    <row r="2099" hidden="1">
      <c r="A2099" s="3" t="str">
        <f t="shared" si="3"/>
        <v/>
      </c>
      <c r="B2099" s="2" t="str">
        <f t="array" ref="B2099">INDEX(helper!$A$3:$A3996,ROUNDUP((ROW()-1)/COUNTA(helper!$D$3:$D3996),0))</f>
        <v/>
      </c>
      <c r="C2099" s="5" t="str">
        <f t="array" ref="C2099">IF(B2099="","",INDEX(helper!$D$3:$D3996,MOD(ROW()-2,COUNTA(helper!$D$3:$D3996))+1))</f>
        <v/>
      </c>
      <c r="D2099" s="3" t="str">
        <f t="array" ref="D2099">IF(B2099="","",INDEX(helper!$E$3:$E3996,MOD(ROW()-2,COUNTA(helper!$D$3:$D3996))+1))</f>
        <v/>
      </c>
      <c r="E2099" s="3" t="str">
        <f t="array" ref="E2099">IF(B2099="","",INDEX(helper!$F$3:$F3996,MOD(ROW()-2,COUNTA(helper!$D$3:$D3996))+1))</f>
        <v/>
      </c>
      <c r="F2099" s="3" t="str">
        <f>IF(B2099="","",SUMIFS('inventory ledger'!$H:$H,'inventory ledger'!$C:$C,C2099,'inventory ledger'!$D:$D,D2099,'inventory ledger'!$E:$E,E2099,'inventory ledger'!$A:$A,"&lt;="&amp;B2099+TIME(23,59,59))-SUMIFS('inventory ledger'!$I:$I,'inventory ledger'!$C:$C,C2099,'inventory ledger'!$D:$D,D2099,'inventory ledger'!$E:$E,E2099,'inventory ledger'!$A:$A,"&lt;="&amp;B2099+TIME(23,59,59)))</f>
        <v/>
      </c>
      <c r="G2099" s="3">
        <f>IFERROR(__xludf.DUMMYFUNCTION("IF(F2099&lt;=0,0,IFERROR(ROUNDUP(F2099/INDEX(FILTER('warehouse config'!$D:$D,('warehouse config'!$B:$B=C2099)*('warehouse config'!$C:$C=D2099)*('warehouse config'!$G:$G&lt;=B2099)*(('warehouse config'!$H:$H&gt;=B2099)+ISBLANK('warehouse config'!$H:$H))),1)),0))"),0.0)</f>
        <v>0</v>
      </c>
      <c r="H2099" s="3">
        <f>IFERROR(__xludf.DUMMYFUNCTION("IFERROR(INDEX(FILTER('cost master'!$E:$E,('cost master'!$B:$B=C2099)*('cost master'!$D:$D=""Storage cost per pallet / week"")*('cost master'!$G:$G&lt;=B2099)*(('cost master'!$H:$H&gt;=B2099)+ISBLANK('cost master'!$H:$H))),1),0)"),0.0)</f>
        <v>0</v>
      </c>
      <c r="I2099" s="3">
        <f t="shared" si="4"/>
        <v>0</v>
      </c>
      <c r="J2099" s="27">
        <f t="shared" si="5"/>
        <v>693947</v>
      </c>
      <c r="K2099" s="27">
        <f t="shared" si="6"/>
        <v>693977</v>
      </c>
    </row>
    <row r="2100" hidden="1">
      <c r="A2100" s="3" t="str">
        <f t="shared" si="3"/>
        <v/>
      </c>
      <c r="B2100" s="2" t="str">
        <f t="array" ref="B2100">INDEX(helper!$A$3:$A3996,ROUNDUP((ROW()-1)/COUNTA(helper!$D$3:$D3996),0))</f>
        <v/>
      </c>
      <c r="C2100" s="5" t="str">
        <f t="array" ref="C2100">IF(B2100="","",INDEX(helper!$D$3:$D3996,MOD(ROW()-2,COUNTA(helper!$D$3:$D3996))+1))</f>
        <v/>
      </c>
      <c r="D2100" s="3" t="str">
        <f t="array" ref="D2100">IF(B2100="","",INDEX(helper!$E$3:$E3996,MOD(ROW()-2,COUNTA(helper!$D$3:$D3996))+1))</f>
        <v/>
      </c>
      <c r="E2100" s="3" t="str">
        <f t="array" ref="E2100">IF(B2100="","",INDEX(helper!$F$3:$F3996,MOD(ROW()-2,COUNTA(helper!$D$3:$D3996))+1))</f>
        <v/>
      </c>
      <c r="F2100" s="3" t="str">
        <f>IF(B2100="","",SUMIFS('inventory ledger'!$H:$H,'inventory ledger'!$C:$C,C2100,'inventory ledger'!$D:$D,D2100,'inventory ledger'!$E:$E,E2100,'inventory ledger'!$A:$A,"&lt;="&amp;B2100+TIME(23,59,59))-SUMIFS('inventory ledger'!$I:$I,'inventory ledger'!$C:$C,C2100,'inventory ledger'!$D:$D,D2100,'inventory ledger'!$E:$E,E2100,'inventory ledger'!$A:$A,"&lt;="&amp;B2100+TIME(23,59,59)))</f>
        <v/>
      </c>
      <c r="G2100" s="3">
        <f>IFERROR(__xludf.DUMMYFUNCTION("IF(F2100&lt;=0,0,IFERROR(ROUNDUP(F2100/INDEX(FILTER('warehouse config'!$D:$D,('warehouse config'!$B:$B=C2100)*('warehouse config'!$C:$C=D2100)*('warehouse config'!$G:$G&lt;=B2100)*(('warehouse config'!$H:$H&gt;=B2100)+ISBLANK('warehouse config'!$H:$H))),1)),0))"),0.0)</f>
        <v>0</v>
      </c>
      <c r="H2100" s="3">
        <f>IFERROR(__xludf.DUMMYFUNCTION("IFERROR(INDEX(FILTER('cost master'!$E:$E,('cost master'!$B:$B=C2100)*('cost master'!$D:$D=""Storage cost per pallet / week"")*('cost master'!$G:$G&lt;=B2100)*(('cost master'!$H:$H&gt;=B2100)+ISBLANK('cost master'!$H:$H))),1),0)"),0.0)</f>
        <v>0</v>
      </c>
      <c r="I2100" s="3">
        <f t="shared" si="4"/>
        <v>0</v>
      </c>
      <c r="J2100" s="27">
        <f t="shared" si="5"/>
        <v>693947</v>
      </c>
      <c r="K2100" s="27">
        <f t="shared" si="6"/>
        <v>693977</v>
      </c>
    </row>
    <row r="2101" hidden="1">
      <c r="A2101" s="3" t="str">
        <f t="shared" si="3"/>
        <v/>
      </c>
      <c r="B2101" s="2" t="str">
        <f t="array" ref="B2101">INDEX(helper!$A$3:$A3996,ROUNDUP((ROW()-1)/COUNTA(helper!$D$3:$D3996),0))</f>
        <v/>
      </c>
      <c r="C2101" s="5" t="str">
        <f t="array" ref="C2101">IF(B2101="","",INDEX(helper!$D$3:$D3996,MOD(ROW()-2,COUNTA(helper!$D$3:$D3996))+1))</f>
        <v/>
      </c>
      <c r="D2101" s="3" t="str">
        <f t="array" ref="D2101">IF(B2101="","",INDEX(helper!$E$3:$E3996,MOD(ROW()-2,COUNTA(helper!$D$3:$D3996))+1))</f>
        <v/>
      </c>
      <c r="E2101" s="3" t="str">
        <f t="array" ref="E2101">IF(B2101="","",INDEX(helper!$F$3:$F3996,MOD(ROW()-2,COUNTA(helper!$D$3:$D3996))+1))</f>
        <v/>
      </c>
      <c r="F2101" s="3" t="str">
        <f>IF(B2101="","",SUMIFS('inventory ledger'!$H:$H,'inventory ledger'!$C:$C,C2101,'inventory ledger'!$D:$D,D2101,'inventory ledger'!$E:$E,E2101,'inventory ledger'!$A:$A,"&lt;="&amp;B2101+TIME(23,59,59))-SUMIFS('inventory ledger'!$I:$I,'inventory ledger'!$C:$C,C2101,'inventory ledger'!$D:$D,D2101,'inventory ledger'!$E:$E,E2101,'inventory ledger'!$A:$A,"&lt;="&amp;B2101+TIME(23,59,59)))</f>
        <v/>
      </c>
      <c r="G2101" s="3">
        <f>IFERROR(__xludf.DUMMYFUNCTION("IF(F2101&lt;=0,0,IFERROR(ROUNDUP(F2101/INDEX(FILTER('warehouse config'!$D:$D,('warehouse config'!$B:$B=C2101)*('warehouse config'!$C:$C=D2101)*('warehouse config'!$G:$G&lt;=B2101)*(('warehouse config'!$H:$H&gt;=B2101)+ISBLANK('warehouse config'!$H:$H))),1)),0))"),0.0)</f>
        <v>0</v>
      </c>
      <c r="H2101" s="3">
        <f>IFERROR(__xludf.DUMMYFUNCTION("IFERROR(INDEX(FILTER('cost master'!$E:$E,('cost master'!$B:$B=C2101)*('cost master'!$D:$D=""Storage cost per pallet / week"")*('cost master'!$G:$G&lt;=B2101)*(('cost master'!$H:$H&gt;=B2101)+ISBLANK('cost master'!$H:$H))),1),0)"),0.0)</f>
        <v>0</v>
      </c>
      <c r="I2101" s="3">
        <f t="shared" si="4"/>
        <v>0</v>
      </c>
      <c r="J2101" s="27">
        <f t="shared" si="5"/>
        <v>693947</v>
      </c>
      <c r="K2101" s="27">
        <f t="shared" si="6"/>
        <v>693977</v>
      </c>
    </row>
    <row r="2102" hidden="1">
      <c r="A2102" s="3" t="str">
        <f t="shared" si="3"/>
        <v/>
      </c>
      <c r="B2102" s="2" t="str">
        <f t="array" ref="B2102">INDEX(helper!$A$3:$A3996,ROUNDUP((ROW()-1)/COUNTA(helper!$D$3:$D3996),0))</f>
        <v/>
      </c>
      <c r="C2102" s="5" t="str">
        <f t="array" ref="C2102">IF(B2102="","",INDEX(helper!$D$3:$D3996,MOD(ROW()-2,COUNTA(helper!$D$3:$D3996))+1))</f>
        <v/>
      </c>
      <c r="D2102" s="3" t="str">
        <f t="array" ref="D2102">IF(B2102="","",INDEX(helper!$E$3:$E3996,MOD(ROW()-2,COUNTA(helper!$D$3:$D3996))+1))</f>
        <v/>
      </c>
      <c r="E2102" s="3" t="str">
        <f t="array" ref="E2102">IF(B2102="","",INDEX(helper!$F$3:$F3996,MOD(ROW()-2,COUNTA(helper!$D$3:$D3996))+1))</f>
        <v/>
      </c>
      <c r="F2102" s="3" t="str">
        <f>IF(B2102="","",SUMIFS('inventory ledger'!$H:$H,'inventory ledger'!$C:$C,C2102,'inventory ledger'!$D:$D,D2102,'inventory ledger'!$E:$E,E2102,'inventory ledger'!$A:$A,"&lt;="&amp;B2102+TIME(23,59,59))-SUMIFS('inventory ledger'!$I:$I,'inventory ledger'!$C:$C,C2102,'inventory ledger'!$D:$D,D2102,'inventory ledger'!$E:$E,E2102,'inventory ledger'!$A:$A,"&lt;="&amp;B2102+TIME(23,59,59)))</f>
        <v/>
      </c>
      <c r="G2102" s="3">
        <f>IFERROR(__xludf.DUMMYFUNCTION("IF(F2102&lt;=0,0,IFERROR(ROUNDUP(F2102/INDEX(FILTER('warehouse config'!$D:$D,('warehouse config'!$B:$B=C2102)*('warehouse config'!$C:$C=D2102)*('warehouse config'!$G:$G&lt;=B2102)*(('warehouse config'!$H:$H&gt;=B2102)+ISBLANK('warehouse config'!$H:$H))),1)),0))"),0.0)</f>
        <v>0</v>
      </c>
      <c r="H2102" s="3">
        <f>IFERROR(__xludf.DUMMYFUNCTION("IFERROR(INDEX(FILTER('cost master'!$E:$E,('cost master'!$B:$B=C2102)*('cost master'!$D:$D=""Storage cost per pallet / week"")*('cost master'!$G:$G&lt;=B2102)*(('cost master'!$H:$H&gt;=B2102)+ISBLANK('cost master'!$H:$H))),1),0)"),0.0)</f>
        <v>0</v>
      </c>
      <c r="I2102" s="3">
        <f t="shared" si="4"/>
        <v>0</v>
      </c>
      <c r="J2102" s="27">
        <f t="shared" si="5"/>
        <v>693947</v>
      </c>
      <c r="K2102" s="27">
        <f t="shared" si="6"/>
        <v>693977</v>
      </c>
    </row>
    <row r="2103" hidden="1">
      <c r="A2103" s="3" t="str">
        <f t="shared" si="3"/>
        <v/>
      </c>
      <c r="B2103" s="2" t="str">
        <f t="array" ref="B2103">INDEX(helper!$A$3:$A3996,ROUNDUP((ROW()-1)/COUNTA(helper!$D$3:$D3996),0))</f>
        <v/>
      </c>
      <c r="C2103" s="5" t="str">
        <f t="array" ref="C2103">IF(B2103="","",INDEX(helper!$D$3:$D3996,MOD(ROW()-2,COUNTA(helper!$D$3:$D3996))+1))</f>
        <v/>
      </c>
      <c r="D2103" s="3" t="str">
        <f t="array" ref="D2103">IF(B2103="","",INDEX(helper!$E$3:$E3996,MOD(ROW()-2,COUNTA(helper!$D$3:$D3996))+1))</f>
        <v/>
      </c>
      <c r="E2103" s="3" t="str">
        <f t="array" ref="E2103">IF(B2103="","",INDEX(helper!$F$3:$F3996,MOD(ROW()-2,COUNTA(helper!$D$3:$D3996))+1))</f>
        <v/>
      </c>
      <c r="F2103" s="3" t="str">
        <f>IF(B2103="","",SUMIFS('inventory ledger'!$H:$H,'inventory ledger'!$C:$C,C2103,'inventory ledger'!$D:$D,D2103,'inventory ledger'!$E:$E,E2103,'inventory ledger'!$A:$A,"&lt;="&amp;B2103+TIME(23,59,59))-SUMIFS('inventory ledger'!$I:$I,'inventory ledger'!$C:$C,C2103,'inventory ledger'!$D:$D,D2103,'inventory ledger'!$E:$E,E2103,'inventory ledger'!$A:$A,"&lt;="&amp;B2103+TIME(23,59,59)))</f>
        <v/>
      </c>
      <c r="G2103" s="3">
        <f>IFERROR(__xludf.DUMMYFUNCTION("IF(F2103&lt;=0,0,IFERROR(ROUNDUP(F2103/INDEX(FILTER('warehouse config'!$D:$D,('warehouse config'!$B:$B=C2103)*('warehouse config'!$C:$C=D2103)*('warehouse config'!$G:$G&lt;=B2103)*(('warehouse config'!$H:$H&gt;=B2103)+ISBLANK('warehouse config'!$H:$H))),1)),0))"),0.0)</f>
        <v>0</v>
      </c>
      <c r="H2103" s="3">
        <f>IFERROR(__xludf.DUMMYFUNCTION("IFERROR(INDEX(FILTER('cost master'!$E:$E,('cost master'!$B:$B=C2103)*('cost master'!$D:$D=""Storage cost per pallet / week"")*('cost master'!$G:$G&lt;=B2103)*(('cost master'!$H:$H&gt;=B2103)+ISBLANK('cost master'!$H:$H))),1),0)"),0.0)</f>
        <v>0</v>
      </c>
      <c r="I2103" s="3">
        <f t="shared" si="4"/>
        <v>0</v>
      </c>
      <c r="J2103" s="27">
        <f t="shared" si="5"/>
        <v>693947</v>
      </c>
      <c r="K2103" s="27">
        <f t="shared" si="6"/>
        <v>693977</v>
      </c>
    </row>
    <row r="2104" hidden="1">
      <c r="A2104" s="3" t="str">
        <f t="shared" si="3"/>
        <v/>
      </c>
      <c r="B2104" s="2" t="str">
        <f t="array" ref="B2104">INDEX(helper!$A$3:$A3996,ROUNDUP((ROW()-1)/COUNTA(helper!$D$3:$D3996),0))</f>
        <v/>
      </c>
      <c r="C2104" s="5" t="str">
        <f t="array" ref="C2104">IF(B2104="","",INDEX(helper!$D$3:$D3996,MOD(ROW()-2,COUNTA(helper!$D$3:$D3996))+1))</f>
        <v/>
      </c>
      <c r="D2104" s="3" t="str">
        <f t="array" ref="D2104">IF(B2104="","",INDEX(helper!$E$3:$E3996,MOD(ROW()-2,COUNTA(helper!$D$3:$D3996))+1))</f>
        <v/>
      </c>
      <c r="E2104" s="3" t="str">
        <f t="array" ref="E2104">IF(B2104="","",INDEX(helper!$F$3:$F3996,MOD(ROW()-2,COUNTA(helper!$D$3:$D3996))+1))</f>
        <v/>
      </c>
      <c r="F2104" s="3" t="str">
        <f>IF(B2104="","",SUMIFS('inventory ledger'!$H:$H,'inventory ledger'!$C:$C,C2104,'inventory ledger'!$D:$D,D2104,'inventory ledger'!$E:$E,E2104,'inventory ledger'!$A:$A,"&lt;="&amp;B2104+TIME(23,59,59))-SUMIFS('inventory ledger'!$I:$I,'inventory ledger'!$C:$C,C2104,'inventory ledger'!$D:$D,D2104,'inventory ledger'!$E:$E,E2104,'inventory ledger'!$A:$A,"&lt;="&amp;B2104+TIME(23,59,59)))</f>
        <v/>
      </c>
      <c r="G2104" s="3">
        <f>IFERROR(__xludf.DUMMYFUNCTION("IF(F2104&lt;=0,0,IFERROR(ROUNDUP(F2104/INDEX(FILTER('warehouse config'!$D:$D,('warehouse config'!$B:$B=C2104)*('warehouse config'!$C:$C=D2104)*('warehouse config'!$G:$G&lt;=B2104)*(('warehouse config'!$H:$H&gt;=B2104)+ISBLANK('warehouse config'!$H:$H))),1)),0))"),0.0)</f>
        <v>0</v>
      </c>
      <c r="H2104" s="3">
        <f>IFERROR(__xludf.DUMMYFUNCTION("IFERROR(INDEX(FILTER('cost master'!$E:$E,('cost master'!$B:$B=C2104)*('cost master'!$D:$D=""Storage cost per pallet / week"")*('cost master'!$G:$G&lt;=B2104)*(('cost master'!$H:$H&gt;=B2104)+ISBLANK('cost master'!$H:$H))),1),0)"),0.0)</f>
        <v>0</v>
      </c>
      <c r="I2104" s="3">
        <f t="shared" si="4"/>
        <v>0</v>
      </c>
      <c r="J2104" s="27">
        <f t="shared" si="5"/>
        <v>693947</v>
      </c>
      <c r="K2104" s="27">
        <f t="shared" si="6"/>
        <v>693977</v>
      </c>
    </row>
    <row r="2105" hidden="1">
      <c r="A2105" s="3" t="str">
        <f t="shared" si="3"/>
        <v/>
      </c>
      <c r="B2105" s="2" t="str">
        <f t="array" ref="B2105">INDEX(helper!$A$3:$A3996,ROUNDUP((ROW()-1)/COUNTA(helper!$D$3:$D3996),0))</f>
        <v/>
      </c>
      <c r="C2105" s="5" t="str">
        <f t="array" ref="C2105">IF(B2105="","",INDEX(helper!$D$3:$D3996,MOD(ROW()-2,COUNTA(helper!$D$3:$D3996))+1))</f>
        <v/>
      </c>
      <c r="D2105" s="3" t="str">
        <f t="array" ref="D2105">IF(B2105="","",INDEX(helper!$E$3:$E3996,MOD(ROW()-2,COUNTA(helper!$D$3:$D3996))+1))</f>
        <v/>
      </c>
      <c r="E2105" s="3" t="str">
        <f t="array" ref="E2105">IF(B2105="","",INDEX(helper!$F$3:$F3996,MOD(ROW()-2,COUNTA(helper!$D$3:$D3996))+1))</f>
        <v/>
      </c>
      <c r="F2105" s="3" t="str">
        <f>IF(B2105="","",SUMIFS('inventory ledger'!$H:$H,'inventory ledger'!$C:$C,C2105,'inventory ledger'!$D:$D,D2105,'inventory ledger'!$E:$E,E2105,'inventory ledger'!$A:$A,"&lt;="&amp;B2105+TIME(23,59,59))-SUMIFS('inventory ledger'!$I:$I,'inventory ledger'!$C:$C,C2105,'inventory ledger'!$D:$D,D2105,'inventory ledger'!$E:$E,E2105,'inventory ledger'!$A:$A,"&lt;="&amp;B2105+TIME(23,59,59)))</f>
        <v/>
      </c>
      <c r="G2105" s="3">
        <f>IFERROR(__xludf.DUMMYFUNCTION("IF(F2105&lt;=0,0,IFERROR(ROUNDUP(F2105/INDEX(FILTER('warehouse config'!$D:$D,('warehouse config'!$B:$B=C2105)*('warehouse config'!$C:$C=D2105)*('warehouse config'!$G:$G&lt;=B2105)*(('warehouse config'!$H:$H&gt;=B2105)+ISBLANK('warehouse config'!$H:$H))),1)),0))"),0.0)</f>
        <v>0</v>
      </c>
      <c r="H2105" s="3">
        <f>IFERROR(__xludf.DUMMYFUNCTION("IFERROR(INDEX(FILTER('cost master'!$E:$E,('cost master'!$B:$B=C2105)*('cost master'!$D:$D=""Storage cost per pallet / week"")*('cost master'!$G:$G&lt;=B2105)*(('cost master'!$H:$H&gt;=B2105)+ISBLANK('cost master'!$H:$H))),1),0)"),0.0)</f>
        <v>0</v>
      </c>
      <c r="I2105" s="3">
        <f t="shared" si="4"/>
        <v>0</v>
      </c>
      <c r="J2105" s="27">
        <f t="shared" si="5"/>
        <v>693947</v>
      </c>
      <c r="K2105" s="27">
        <f t="shared" si="6"/>
        <v>693977</v>
      </c>
    </row>
    <row r="2106" hidden="1">
      <c r="A2106" s="3" t="str">
        <f t="shared" si="3"/>
        <v/>
      </c>
      <c r="B2106" s="2" t="str">
        <f t="array" ref="B2106">INDEX(helper!$A$3:$A3996,ROUNDUP((ROW()-1)/COUNTA(helper!$D$3:$D3996),0))</f>
        <v/>
      </c>
      <c r="C2106" s="5" t="str">
        <f t="array" ref="C2106">IF(B2106="","",INDEX(helper!$D$3:$D3996,MOD(ROW()-2,COUNTA(helper!$D$3:$D3996))+1))</f>
        <v/>
      </c>
      <c r="D2106" s="3" t="str">
        <f t="array" ref="D2106">IF(B2106="","",INDEX(helper!$E$3:$E3996,MOD(ROW()-2,COUNTA(helper!$D$3:$D3996))+1))</f>
        <v/>
      </c>
      <c r="E2106" s="3" t="str">
        <f t="array" ref="E2106">IF(B2106="","",INDEX(helper!$F$3:$F3996,MOD(ROW()-2,COUNTA(helper!$D$3:$D3996))+1))</f>
        <v/>
      </c>
      <c r="F2106" s="3" t="str">
        <f>IF(B2106="","",SUMIFS('inventory ledger'!$H:$H,'inventory ledger'!$C:$C,C2106,'inventory ledger'!$D:$D,D2106,'inventory ledger'!$E:$E,E2106,'inventory ledger'!$A:$A,"&lt;="&amp;B2106+TIME(23,59,59))-SUMIFS('inventory ledger'!$I:$I,'inventory ledger'!$C:$C,C2106,'inventory ledger'!$D:$D,D2106,'inventory ledger'!$E:$E,E2106,'inventory ledger'!$A:$A,"&lt;="&amp;B2106+TIME(23,59,59)))</f>
        <v/>
      </c>
      <c r="G2106" s="3">
        <f>IFERROR(__xludf.DUMMYFUNCTION("IF(F2106&lt;=0,0,IFERROR(ROUNDUP(F2106/INDEX(FILTER('warehouse config'!$D:$D,('warehouse config'!$B:$B=C2106)*('warehouse config'!$C:$C=D2106)*('warehouse config'!$G:$G&lt;=B2106)*(('warehouse config'!$H:$H&gt;=B2106)+ISBLANK('warehouse config'!$H:$H))),1)),0))"),0.0)</f>
        <v>0</v>
      </c>
      <c r="H2106" s="3">
        <f>IFERROR(__xludf.DUMMYFUNCTION("IFERROR(INDEX(FILTER('cost master'!$E:$E,('cost master'!$B:$B=C2106)*('cost master'!$D:$D=""Storage cost per pallet / week"")*('cost master'!$G:$G&lt;=B2106)*(('cost master'!$H:$H&gt;=B2106)+ISBLANK('cost master'!$H:$H))),1),0)"),0.0)</f>
        <v>0</v>
      </c>
      <c r="I2106" s="3">
        <f t="shared" si="4"/>
        <v>0</v>
      </c>
      <c r="J2106" s="27">
        <f t="shared" si="5"/>
        <v>693947</v>
      </c>
      <c r="K2106" s="27">
        <f t="shared" si="6"/>
        <v>693977</v>
      </c>
    </row>
    <row r="2107" hidden="1">
      <c r="A2107" s="3" t="str">
        <f t="shared" si="3"/>
        <v/>
      </c>
      <c r="B2107" s="2" t="str">
        <f t="array" ref="B2107">INDEX(helper!$A$3:$A3996,ROUNDUP((ROW()-1)/COUNTA(helper!$D$3:$D3996),0))</f>
        <v/>
      </c>
      <c r="C2107" s="5" t="str">
        <f t="array" ref="C2107">IF(B2107="","",INDEX(helper!$D$3:$D3996,MOD(ROW()-2,COUNTA(helper!$D$3:$D3996))+1))</f>
        <v/>
      </c>
      <c r="D2107" s="3" t="str">
        <f t="array" ref="D2107">IF(B2107="","",INDEX(helper!$E$3:$E3996,MOD(ROW()-2,COUNTA(helper!$D$3:$D3996))+1))</f>
        <v/>
      </c>
      <c r="E2107" s="3" t="str">
        <f t="array" ref="E2107">IF(B2107="","",INDEX(helper!$F$3:$F3996,MOD(ROW()-2,COUNTA(helper!$D$3:$D3996))+1))</f>
        <v/>
      </c>
      <c r="F2107" s="3" t="str">
        <f>IF(B2107="","",SUMIFS('inventory ledger'!$H:$H,'inventory ledger'!$C:$C,C2107,'inventory ledger'!$D:$D,D2107,'inventory ledger'!$E:$E,E2107,'inventory ledger'!$A:$A,"&lt;="&amp;B2107+TIME(23,59,59))-SUMIFS('inventory ledger'!$I:$I,'inventory ledger'!$C:$C,C2107,'inventory ledger'!$D:$D,D2107,'inventory ledger'!$E:$E,E2107,'inventory ledger'!$A:$A,"&lt;="&amp;B2107+TIME(23,59,59)))</f>
        <v/>
      </c>
      <c r="G2107" s="3">
        <f>IFERROR(__xludf.DUMMYFUNCTION("IF(F2107&lt;=0,0,IFERROR(ROUNDUP(F2107/INDEX(FILTER('warehouse config'!$D:$D,('warehouse config'!$B:$B=C2107)*('warehouse config'!$C:$C=D2107)*('warehouse config'!$G:$G&lt;=B2107)*(('warehouse config'!$H:$H&gt;=B2107)+ISBLANK('warehouse config'!$H:$H))),1)),0))"),0.0)</f>
        <v>0</v>
      </c>
      <c r="H2107" s="3">
        <f>IFERROR(__xludf.DUMMYFUNCTION("IFERROR(INDEX(FILTER('cost master'!$E:$E,('cost master'!$B:$B=C2107)*('cost master'!$D:$D=""Storage cost per pallet / week"")*('cost master'!$G:$G&lt;=B2107)*(('cost master'!$H:$H&gt;=B2107)+ISBLANK('cost master'!$H:$H))),1),0)"),0.0)</f>
        <v>0</v>
      </c>
      <c r="I2107" s="3">
        <f t="shared" si="4"/>
        <v>0</v>
      </c>
      <c r="J2107" s="27">
        <f t="shared" si="5"/>
        <v>693947</v>
      </c>
      <c r="K2107" s="27">
        <f t="shared" si="6"/>
        <v>693977</v>
      </c>
    </row>
    <row r="2108" hidden="1">
      <c r="A2108" s="3" t="str">
        <f t="shared" si="3"/>
        <v/>
      </c>
      <c r="B2108" s="2" t="str">
        <f t="array" ref="B2108">INDEX(helper!$A$3:$A3996,ROUNDUP((ROW()-1)/COUNTA(helper!$D$3:$D3996),0))</f>
        <v/>
      </c>
      <c r="C2108" s="5" t="str">
        <f t="array" ref="C2108">IF(B2108="","",INDEX(helper!$D$3:$D3996,MOD(ROW()-2,COUNTA(helper!$D$3:$D3996))+1))</f>
        <v/>
      </c>
      <c r="D2108" s="3" t="str">
        <f t="array" ref="D2108">IF(B2108="","",INDEX(helper!$E$3:$E3996,MOD(ROW()-2,COUNTA(helper!$D$3:$D3996))+1))</f>
        <v/>
      </c>
      <c r="E2108" s="3" t="str">
        <f t="array" ref="E2108">IF(B2108="","",INDEX(helper!$F$3:$F3996,MOD(ROW()-2,COUNTA(helper!$D$3:$D3996))+1))</f>
        <v/>
      </c>
      <c r="F2108" s="3" t="str">
        <f>IF(B2108="","",SUMIFS('inventory ledger'!$H:$H,'inventory ledger'!$C:$C,C2108,'inventory ledger'!$D:$D,D2108,'inventory ledger'!$E:$E,E2108,'inventory ledger'!$A:$A,"&lt;="&amp;B2108+TIME(23,59,59))-SUMIFS('inventory ledger'!$I:$I,'inventory ledger'!$C:$C,C2108,'inventory ledger'!$D:$D,D2108,'inventory ledger'!$E:$E,E2108,'inventory ledger'!$A:$A,"&lt;="&amp;B2108+TIME(23,59,59)))</f>
        <v/>
      </c>
      <c r="G2108" s="3">
        <f>IFERROR(__xludf.DUMMYFUNCTION("IF(F2108&lt;=0,0,IFERROR(ROUNDUP(F2108/INDEX(FILTER('warehouse config'!$D:$D,('warehouse config'!$B:$B=C2108)*('warehouse config'!$C:$C=D2108)*('warehouse config'!$G:$G&lt;=B2108)*(('warehouse config'!$H:$H&gt;=B2108)+ISBLANK('warehouse config'!$H:$H))),1)),0))"),0.0)</f>
        <v>0</v>
      </c>
      <c r="H2108" s="3">
        <f>IFERROR(__xludf.DUMMYFUNCTION("IFERROR(INDEX(FILTER('cost master'!$E:$E,('cost master'!$B:$B=C2108)*('cost master'!$D:$D=""Storage cost per pallet / week"")*('cost master'!$G:$G&lt;=B2108)*(('cost master'!$H:$H&gt;=B2108)+ISBLANK('cost master'!$H:$H))),1),0)"),0.0)</f>
        <v>0</v>
      </c>
      <c r="I2108" s="3">
        <f t="shared" si="4"/>
        <v>0</v>
      </c>
      <c r="J2108" s="27">
        <f t="shared" si="5"/>
        <v>693947</v>
      </c>
      <c r="K2108" s="27">
        <f t="shared" si="6"/>
        <v>693977</v>
      </c>
    </row>
    <row r="2109" hidden="1">
      <c r="A2109" s="3" t="str">
        <f t="shared" si="3"/>
        <v/>
      </c>
      <c r="B2109" s="2" t="str">
        <f t="array" ref="B2109">INDEX(helper!$A$3:$A3996,ROUNDUP((ROW()-1)/COUNTA(helper!$D$3:$D3996),0))</f>
        <v/>
      </c>
      <c r="C2109" s="5" t="str">
        <f t="array" ref="C2109">IF(B2109="","",INDEX(helper!$D$3:$D3996,MOD(ROW()-2,COUNTA(helper!$D$3:$D3996))+1))</f>
        <v/>
      </c>
      <c r="D2109" s="3" t="str">
        <f t="array" ref="D2109">IF(B2109="","",INDEX(helper!$E$3:$E3996,MOD(ROW()-2,COUNTA(helper!$D$3:$D3996))+1))</f>
        <v/>
      </c>
      <c r="E2109" s="3" t="str">
        <f t="array" ref="E2109">IF(B2109="","",INDEX(helper!$F$3:$F3996,MOD(ROW()-2,COUNTA(helper!$D$3:$D3996))+1))</f>
        <v/>
      </c>
      <c r="F2109" s="3" t="str">
        <f>IF(B2109="","",SUMIFS('inventory ledger'!$H:$H,'inventory ledger'!$C:$C,C2109,'inventory ledger'!$D:$D,D2109,'inventory ledger'!$E:$E,E2109,'inventory ledger'!$A:$A,"&lt;="&amp;B2109+TIME(23,59,59))-SUMIFS('inventory ledger'!$I:$I,'inventory ledger'!$C:$C,C2109,'inventory ledger'!$D:$D,D2109,'inventory ledger'!$E:$E,E2109,'inventory ledger'!$A:$A,"&lt;="&amp;B2109+TIME(23,59,59)))</f>
        <v/>
      </c>
      <c r="G2109" s="3">
        <f>IFERROR(__xludf.DUMMYFUNCTION("IF(F2109&lt;=0,0,IFERROR(ROUNDUP(F2109/INDEX(FILTER('warehouse config'!$D:$D,('warehouse config'!$B:$B=C2109)*('warehouse config'!$C:$C=D2109)*('warehouse config'!$G:$G&lt;=B2109)*(('warehouse config'!$H:$H&gt;=B2109)+ISBLANK('warehouse config'!$H:$H))),1)),0))"),0.0)</f>
        <v>0</v>
      </c>
      <c r="H2109" s="3">
        <f>IFERROR(__xludf.DUMMYFUNCTION("IFERROR(INDEX(FILTER('cost master'!$E:$E,('cost master'!$B:$B=C2109)*('cost master'!$D:$D=""Storage cost per pallet / week"")*('cost master'!$G:$G&lt;=B2109)*(('cost master'!$H:$H&gt;=B2109)+ISBLANK('cost master'!$H:$H))),1),0)"),0.0)</f>
        <v>0</v>
      </c>
      <c r="I2109" s="3">
        <f t="shared" si="4"/>
        <v>0</v>
      </c>
      <c r="J2109" s="27">
        <f t="shared" si="5"/>
        <v>693947</v>
      </c>
      <c r="K2109" s="27">
        <f t="shared" si="6"/>
        <v>693977</v>
      </c>
    </row>
    <row r="2110" hidden="1">
      <c r="A2110" s="3" t="str">
        <f t="shared" si="3"/>
        <v/>
      </c>
      <c r="B2110" s="2" t="str">
        <f t="array" ref="B2110">INDEX(helper!$A$3:$A3996,ROUNDUP((ROW()-1)/COUNTA(helper!$D$3:$D3996),0))</f>
        <v/>
      </c>
      <c r="C2110" s="5" t="str">
        <f t="array" ref="C2110">IF(B2110="","",INDEX(helper!$D$3:$D3996,MOD(ROW()-2,COUNTA(helper!$D$3:$D3996))+1))</f>
        <v/>
      </c>
      <c r="D2110" s="3" t="str">
        <f t="array" ref="D2110">IF(B2110="","",INDEX(helper!$E$3:$E3996,MOD(ROW()-2,COUNTA(helper!$D$3:$D3996))+1))</f>
        <v/>
      </c>
      <c r="E2110" s="3" t="str">
        <f t="array" ref="E2110">IF(B2110="","",INDEX(helper!$F$3:$F3996,MOD(ROW()-2,COUNTA(helper!$D$3:$D3996))+1))</f>
        <v/>
      </c>
      <c r="F2110" s="3" t="str">
        <f>IF(B2110="","",SUMIFS('inventory ledger'!$H:$H,'inventory ledger'!$C:$C,C2110,'inventory ledger'!$D:$D,D2110,'inventory ledger'!$E:$E,E2110,'inventory ledger'!$A:$A,"&lt;="&amp;B2110+TIME(23,59,59))-SUMIFS('inventory ledger'!$I:$I,'inventory ledger'!$C:$C,C2110,'inventory ledger'!$D:$D,D2110,'inventory ledger'!$E:$E,E2110,'inventory ledger'!$A:$A,"&lt;="&amp;B2110+TIME(23,59,59)))</f>
        <v/>
      </c>
      <c r="G2110" s="3">
        <f>IFERROR(__xludf.DUMMYFUNCTION("IF(F2110&lt;=0,0,IFERROR(ROUNDUP(F2110/INDEX(FILTER('warehouse config'!$D:$D,('warehouse config'!$B:$B=C2110)*('warehouse config'!$C:$C=D2110)*('warehouse config'!$G:$G&lt;=B2110)*(('warehouse config'!$H:$H&gt;=B2110)+ISBLANK('warehouse config'!$H:$H))),1)),0))"),0.0)</f>
        <v>0</v>
      </c>
      <c r="H2110" s="3">
        <f>IFERROR(__xludf.DUMMYFUNCTION("IFERROR(INDEX(FILTER('cost master'!$E:$E,('cost master'!$B:$B=C2110)*('cost master'!$D:$D=""Storage cost per pallet / week"")*('cost master'!$G:$G&lt;=B2110)*(('cost master'!$H:$H&gt;=B2110)+ISBLANK('cost master'!$H:$H))),1),0)"),0.0)</f>
        <v>0</v>
      </c>
      <c r="I2110" s="3">
        <f t="shared" si="4"/>
        <v>0</v>
      </c>
      <c r="J2110" s="27">
        <f t="shared" si="5"/>
        <v>693947</v>
      </c>
      <c r="K2110" s="27">
        <f t="shared" si="6"/>
        <v>693977</v>
      </c>
    </row>
    <row r="2111" hidden="1">
      <c r="A2111" s="3" t="str">
        <f t="shared" si="3"/>
        <v/>
      </c>
      <c r="B2111" s="2" t="str">
        <f t="array" ref="B2111">INDEX(helper!$A$3:$A3996,ROUNDUP((ROW()-1)/COUNTA(helper!$D$3:$D3996),0))</f>
        <v/>
      </c>
      <c r="C2111" s="5" t="str">
        <f t="array" ref="C2111">IF(B2111="","",INDEX(helper!$D$3:$D3996,MOD(ROW()-2,COUNTA(helper!$D$3:$D3996))+1))</f>
        <v/>
      </c>
      <c r="D2111" s="3" t="str">
        <f t="array" ref="D2111">IF(B2111="","",INDEX(helper!$E$3:$E3996,MOD(ROW()-2,COUNTA(helper!$D$3:$D3996))+1))</f>
        <v/>
      </c>
      <c r="E2111" s="3" t="str">
        <f t="array" ref="E2111">IF(B2111="","",INDEX(helper!$F$3:$F3996,MOD(ROW()-2,COUNTA(helper!$D$3:$D3996))+1))</f>
        <v/>
      </c>
      <c r="F2111" s="3" t="str">
        <f>IF(B2111="","",SUMIFS('inventory ledger'!$H:$H,'inventory ledger'!$C:$C,C2111,'inventory ledger'!$D:$D,D2111,'inventory ledger'!$E:$E,E2111,'inventory ledger'!$A:$A,"&lt;="&amp;B2111+TIME(23,59,59))-SUMIFS('inventory ledger'!$I:$I,'inventory ledger'!$C:$C,C2111,'inventory ledger'!$D:$D,D2111,'inventory ledger'!$E:$E,E2111,'inventory ledger'!$A:$A,"&lt;="&amp;B2111+TIME(23,59,59)))</f>
        <v/>
      </c>
      <c r="G2111" s="3">
        <f>IFERROR(__xludf.DUMMYFUNCTION("IF(F2111&lt;=0,0,IFERROR(ROUNDUP(F2111/INDEX(FILTER('warehouse config'!$D:$D,('warehouse config'!$B:$B=C2111)*('warehouse config'!$C:$C=D2111)*('warehouse config'!$G:$G&lt;=B2111)*(('warehouse config'!$H:$H&gt;=B2111)+ISBLANK('warehouse config'!$H:$H))),1)),0))"),0.0)</f>
        <v>0</v>
      </c>
      <c r="H2111" s="3">
        <f>IFERROR(__xludf.DUMMYFUNCTION("IFERROR(INDEX(FILTER('cost master'!$E:$E,('cost master'!$B:$B=C2111)*('cost master'!$D:$D=""Storage cost per pallet / week"")*('cost master'!$G:$G&lt;=B2111)*(('cost master'!$H:$H&gt;=B2111)+ISBLANK('cost master'!$H:$H))),1),0)"),0.0)</f>
        <v>0</v>
      </c>
      <c r="I2111" s="3">
        <f t="shared" si="4"/>
        <v>0</v>
      </c>
      <c r="J2111" s="27">
        <f t="shared" si="5"/>
        <v>693947</v>
      </c>
      <c r="K2111" s="27">
        <f t="shared" si="6"/>
        <v>693977</v>
      </c>
    </row>
    <row r="2112" hidden="1">
      <c r="A2112" s="3" t="str">
        <f t="shared" si="3"/>
        <v/>
      </c>
      <c r="B2112" s="2" t="str">
        <f t="array" ref="B2112">INDEX(helper!$A$3:$A3996,ROUNDUP((ROW()-1)/COUNTA(helper!$D$3:$D3996),0))</f>
        <v/>
      </c>
      <c r="C2112" s="5" t="str">
        <f t="array" ref="C2112">IF(B2112="","",INDEX(helper!$D$3:$D3996,MOD(ROW()-2,COUNTA(helper!$D$3:$D3996))+1))</f>
        <v/>
      </c>
      <c r="D2112" s="3" t="str">
        <f t="array" ref="D2112">IF(B2112="","",INDEX(helper!$E$3:$E3996,MOD(ROW()-2,COUNTA(helper!$D$3:$D3996))+1))</f>
        <v/>
      </c>
      <c r="E2112" s="3" t="str">
        <f t="array" ref="E2112">IF(B2112="","",INDEX(helper!$F$3:$F3996,MOD(ROW()-2,COUNTA(helper!$D$3:$D3996))+1))</f>
        <v/>
      </c>
      <c r="F2112" s="3" t="str">
        <f>IF(B2112="","",SUMIFS('inventory ledger'!$H:$H,'inventory ledger'!$C:$C,C2112,'inventory ledger'!$D:$D,D2112,'inventory ledger'!$E:$E,E2112,'inventory ledger'!$A:$A,"&lt;="&amp;B2112+TIME(23,59,59))-SUMIFS('inventory ledger'!$I:$I,'inventory ledger'!$C:$C,C2112,'inventory ledger'!$D:$D,D2112,'inventory ledger'!$E:$E,E2112,'inventory ledger'!$A:$A,"&lt;="&amp;B2112+TIME(23,59,59)))</f>
        <v/>
      </c>
      <c r="G2112" s="3">
        <f>IFERROR(__xludf.DUMMYFUNCTION("IF(F2112&lt;=0,0,IFERROR(ROUNDUP(F2112/INDEX(FILTER('warehouse config'!$D:$D,('warehouse config'!$B:$B=C2112)*('warehouse config'!$C:$C=D2112)*('warehouse config'!$G:$G&lt;=B2112)*(('warehouse config'!$H:$H&gt;=B2112)+ISBLANK('warehouse config'!$H:$H))),1)),0))"),0.0)</f>
        <v>0</v>
      </c>
      <c r="H2112" s="3">
        <f>IFERROR(__xludf.DUMMYFUNCTION("IFERROR(INDEX(FILTER('cost master'!$E:$E,('cost master'!$B:$B=C2112)*('cost master'!$D:$D=""Storage cost per pallet / week"")*('cost master'!$G:$G&lt;=B2112)*(('cost master'!$H:$H&gt;=B2112)+ISBLANK('cost master'!$H:$H))),1),0)"),0.0)</f>
        <v>0</v>
      </c>
      <c r="I2112" s="3">
        <f t="shared" si="4"/>
        <v>0</v>
      </c>
      <c r="J2112" s="27">
        <f t="shared" si="5"/>
        <v>693947</v>
      </c>
      <c r="K2112" s="27">
        <f t="shared" si="6"/>
        <v>693977</v>
      </c>
    </row>
    <row r="2113" hidden="1">
      <c r="A2113" s="3" t="str">
        <f t="shared" si="3"/>
        <v/>
      </c>
      <c r="B2113" s="2" t="str">
        <f t="array" ref="B2113">INDEX(helper!$A$3:$A3996,ROUNDUP((ROW()-1)/COUNTA(helper!$D$3:$D3996),0))</f>
        <v/>
      </c>
      <c r="C2113" s="5" t="str">
        <f t="array" ref="C2113">IF(B2113="","",INDEX(helper!$D$3:$D3996,MOD(ROW()-2,COUNTA(helper!$D$3:$D3996))+1))</f>
        <v/>
      </c>
      <c r="D2113" s="3" t="str">
        <f t="array" ref="D2113">IF(B2113="","",INDEX(helper!$E$3:$E3996,MOD(ROW()-2,COUNTA(helper!$D$3:$D3996))+1))</f>
        <v/>
      </c>
      <c r="E2113" s="3" t="str">
        <f t="array" ref="E2113">IF(B2113="","",INDEX(helper!$F$3:$F3996,MOD(ROW()-2,COUNTA(helper!$D$3:$D3996))+1))</f>
        <v/>
      </c>
      <c r="F2113" s="3" t="str">
        <f>IF(B2113="","",SUMIFS('inventory ledger'!$H:$H,'inventory ledger'!$C:$C,C2113,'inventory ledger'!$D:$D,D2113,'inventory ledger'!$E:$E,E2113,'inventory ledger'!$A:$A,"&lt;="&amp;B2113+TIME(23,59,59))-SUMIFS('inventory ledger'!$I:$I,'inventory ledger'!$C:$C,C2113,'inventory ledger'!$D:$D,D2113,'inventory ledger'!$E:$E,E2113,'inventory ledger'!$A:$A,"&lt;="&amp;B2113+TIME(23,59,59)))</f>
        <v/>
      </c>
      <c r="G2113" s="3">
        <f>IFERROR(__xludf.DUMMYFUNCTION("IF(F2113&lt;=0,0,IFERROR(ROUNDUP(F2113/INDEX(FILTER('warehouse config'!$D:$D,('warehouse config'!$B:$B=C2113)*('warehouse config'!$C:$C=D2113)*('warehouse config'!$G:$G&lt;=B2113)*(('warehouse config'!$H:$H&gt;=B2113)+ISBLANK('warehouse config'!$H:$H))),1)),0))"),0.0)</f>
        <v>0</v>
      </c>
      <c r="H2113" s="3">
        <f>IFERROR(__xludf.DUMMYFUNCTION("IFERROR(INDEX(FILTER('cost master'!$E:$E,('cost master'!$B:$B=C2113)*('cost master'!$D:$D=""Storage cost per pallet / week"")*('cost master'!$G:$G&lt;=B2113)*(('cost master'!$H:$H&gt;=B2113)+ISBLANK('cost master'!$H:$H))),1),0)"),0.0)</f>
        <v>0</v>
      </c>
      <c r="I2113" s="3">
        <f t="shared" si="4"/>
        <v>0</v>
      </c>
      <c r="J2113" s="27">
        <f t="shared" si="5"/>
        <v>693947</v>
      </c>
      <c r="K2113" s="27">
        <f t="shared" si="6"/>
        <v>693977</v>
      </c>
    </row>
    <row r="2114" hidden="1">
      <c r="A2114" s="3" t="str">
        <f t="shared" si="3"/>
        <v/>
      </c>
      <c r="B2114" s="2" t="str">
        <f t="array" ref="B2114">INDEX(helper!$A$3:$A3996,ROUNDUP((ROW()-1)/COUNTA(helper!$D$3:$D3996),0))</f>
        <v/>
      </c>
      <c r="C2114" s="5" t="str">
        <f t="array" ref="C2114">IF(B2114="","",INDEX(helper!$D$3:$D3996,MOD(ROW()-2,COUNTA(helper!$D$3:$D3996))+1))</f>
        <v/>
      </c>
      <c r="D2114" s="3" t="str">
        <f t="array" ref="D2114">IF(B2114="","",INDEX(helper!$E$3:$E3996,MOD(ROW()-2,COUNTA(helper!$D$3:$D3996))+1))</f>
        <v/>
      </c>
      <c r="E2114" s="3" t="str">
        <f t="array" ref="E2114">IF(B2114="","",INDEX(helper!$F$3:$F3996,MOD(ROW()-2,COUNTA(helper!$D$3:$D3996))+1))</f>
        <v/>
      </c>
      <c r="F2114" s="3" t="str">
        <f>IF(B2114="","",SUMIFS('inventory ledger'!$H:$H,'inventory ledger'!$C:$C,C2114,'inventory ledger'!$D:$D,D2114,'inventory ledger'!$E:$E,E2114,'inventory ledger'!$A:$A,"&lt;="&amp;B2114+TIME(23,59,59))-SUMIFS('inventory ledger'!$I:$I,'inventory ledger'!$C:$C,C2114,'inventory ledger'!$D:$D,D2114,'inventory ledger'!$E:$E,E2114,'inventory ledger'!$A:$A,"&lt;="&amp;B2114+TIME(23,59,59)))</f>
        <v/>
      </c>
      <c r="G2114" s="3">
        <f>IFERROR(__xludf.DUMMYFUNCTION("IF(F2114&lt;=0,0,IFERROR(ROUNDUP(F2114/INDEX(FILTER('warehouse config'!$D:$D,('warehouse config'!$B:$B=C2114)*('warehouse config'!$C:$C=D2114)*('warehouse config'!$G:$G&lt;=B2114)*(('warehouse config'!$H:$H&gt;=B2114)+ISBLANK('warehouse config'!$H:$H))),1)),0))"),0.0)</f>
        <v>0</v>
      </c>
      <c r="H2114" s="3">
        <f>IFERROR(__xludf.DUMMYFUNCTION("IFERROR(INDEX(FILTER('cost master'!$E:$E,('cost master'!$B:$B=C2114)*('cost master'!$D:$D=""Storage cost per pallet / week"")*('cost master'!$G:$G&lt;=B2114)*(('cost master'!$H:$H&gt;=B2114)+ISBLANK('cost master'!$H:$H))),1),0)"),0.0)</f>
        <v>0</v>
      </c>
      <c r="I2114" s="3">
        <f t="shared" si="4"/>
        <v>0</v>
      </c>
      <c r="J2114" s="27">
        <f t="shared" si="5"/>
        <v>693947</v>
      </c>
      <c r="K2114" s="27">
        <f t="shared" si="6"/>
        <v>693977</v>
      </c>
    </row>
    <row r="2115" hidden="1">
      <c r="A2115" s="3" t="str">
        <f t="shared" si="3"/>
        <v/>
      </c>
      <c r="B2115" s="2" t="str">
        <f t="array" ref="B2115">INDEX(helper!$A$3:$A3996,ROUNDUP((ROW()-1)/COUNTA(helper!$D$3:$D3996),0))</f>
        <v/>
      </c>
      <c r="C2115" s="5" t="str">
        <f t="array" ref="C2115">IF(B2115="","",INDEX(helper!$D$3:$D3996,MOD(ROW()-2,COUNTA(helper!$D$3:$D3996))+1))</f>
        <v/>
      </c>
      <c r="D2115" s="3" t="str">
        <f t="array" ref="D2115">IF(B2115="","",INDEX(helper!$E$3:$E3996,MOD(ROW()-2,COUNTA(helper!$D$3:$D3996))+1))</f>
        <v/>
      </c>
      <c r="E2115" s="3" t="str">
        <f t="array" ref="E2115">IF(B2115="","",INDEX(helper!$F$3:$F3996,MOD(ROW()-2,COUNTA(helper!$D$3:$D3996))+1))</f>
        <v/>
      </c>
      <c r="F2115" s="3" t="str">
        <f>IF(B2115="","",SUMIFS('inventory ledger'!$H:$H,'inventory ledger'!$C:$C,C2115,'inventory ledger'!$D:$D,D2115,'inventory ledger'!$E:$E,E2115,'inventory ledger'!$A:$A,"&lt;="&amp;B2115+TIME(23,59,59))-SUMIFS('inventory ledger'!$I:$I,'inventory ledger'!$C:$C,C2115,'inventory ledger'!$D:$D,D2115,'inventory ledger'!$E:$E,E2115,'inventory ledger'!$A:$A,"&lt;="&amp;B2115+TIME(23,59,59)))</f>
        <v/>
      </c>
      <c r="G2115" s="3">
        <f>IFERROR(__xludf.DUMMYFUNCTION("IF(F2115&lt;=0,0,IFERROR(ROUNDUP(F2115/INDEX(FILTER('warehouse config'!$D:$D,('warehouse config'!$B:$B=C2115)*('warehouse config'!$C:$C=D2115)*('warehouse config'!$G:$G&lt;=B2115)*(('warehouse config'!$H:$H&gt;=B2115)+ISBLANK('warehouse config'!$H:$H))),1)),0))"),0.0)</f>
        <v>0</v>
      </c>
      <c r="H2115" s="3">
        <f>IFERROR(__xludf.DUMMYFUNCTION("IFERROR(INDEX(FILTER('cost master'!$E:$E,('cost master'!$B:$B=C2115)*('cost master'!$D:$D=""Storage cost per pallet / week"")*('cost master'!$G:$G&lt;=B2115)*(('cost master'!$H:$H&gt;=B2115)+ISBLANK('cost master'!$H:$H))),1),0)"),0.0)</f>
        <v>0</v>
      </c>
      <c r="I2115" s="3">
        <f t="shared" si="4"/>
        <v>0</v>
      </c>
      <c r="J2115" s="27">
        <f t="shared" si="5"/>
        <v>693947</v>
      </c>
      <c r="K2115" s="27">
        <f t="shared" si="6"/>
        <v>693977</v>
      </c>
    </row>
    <row r="2116" hidden="1">
      <c r="A2116" s="3" t="str">
        <f t="shared" si="3"/>
        <v/>
      </c>
      <c r="B2116" s="2" t="str">
        <f t="array" ref="B2116">INDEX(helper!$A$3:$A3996,ROUNDUP((ROW()-1)/COUNTA(helper!$D$3:$D3996),0))</f>
        <v/>
      </c>
      <c r="C2116" s="5" t="str">
        <f t="array" ref="C2116">IF(B2116="","",INDEX(helper!$D$3:$D3996,MOD(ROW()-2,COUNTA(helper!$D$3:$D3996))+1))</f>
        <v/>
      </c>
      <c r="D2116" s="3" t="str">
        <f t="array" ref="D2116">IF(B2116="","",INDEX(helper!$E$3:$E3996,MOD(ROW()-2,COUNTA(helper!$D$3:$D3996))+1))</f>
        <v/>
      </c>
      <c r="E2116" s="3" t="str">
        <f t="array" ref="E2116">IF(B2116="","",INDEX(helper!$F$3:$F3996,MOD(ROW()-2,COUNTA(helper!$D$3:$D3996))+1))</f>
        <v/>
      </c>
      <c r="F2116" s="3" t="str">
        <f>IF(B2116="","",SUMIFS('inventory ledger'!$H:$H,'inventory ledger'!$C:$C,C2116,'inventory ledger'!$D:$D,D2116,'inventory ledger'!$E:$E,E2116,'inventory ledger'!$A:$A,"&lt;="&amp;B2116+TIME(23,59,59))-SUMIFS('inventory ledger'!$I:$I,'inventory ledger'!$C:$C,C2116,'inventory ledger'!$D:$D,D2116,'inventory ledger'!$E:$E,E2116,'inventory ledger'!$A:$A,"&lt;="&amp;B2116+TIME(23,59,59)))</f>
        <v/>
      </c>
      <c r="G2116" s="3">
        <f>IFERROR(__xludf.DUMMYFUNCTION("IF(F2116&lt;=0,0,IFERROR(ROUNDUP(F2116/INDEX(FILTER('warehouse config'!$D:$D,('warehouse config'!$B:$B=C2116)*('warehouse config'!$C:$C=D2116)*('warehouse config'!$G:$G&lt;=B2116)*(('warehouse config'!$H:$H&gt;=B2116)+ISBLANK('warehouse config'!$H:$H))),1)),0))"),0.0)</f>
        <v>0</v>
      </c>
      <c r="H2116" s="3">
        <f>IFERROR(__xludf.DUMMYFUNCTION("IFERROR(INDEX(FILTER('cost master'!$E:$E,('cost master'!$B:$B=C2116)*('cost master'!$D:$D=""Storage cost per pallet / week"")*('cost master'!$G:$G&lt;=B2116)*(('cost master'!$H:$H&gt;=B2116)+ISBLANK('cost master'!$H:$H))),1),0)"),0.0)</f>
        <v>0</v>
      </c>
      <c r="I2116" s="3">
        <f t="shared" si="4"/>
        <v>0</v>
      </c>
      <c r="J2116" s="27">
        <f t="shared" si="5"/>
        <v>693947</v>
      </c>
      <c r="K2116" s="27">
        <f t="shared" si="6"/>
        <v>693977</v>
      </c>
    </row>
    <row r="2117" hidden="1">
      <c r="A2117" s="3" t="str">
        <f t="shared" si="3"/>
        <v/>
      </c>
      <c r="B2117" s="2" t="str">
        <f t="array" ref="B2117">INDEX(helper!$A$3:$A3996,ROUNDUP((ROW()-1)/COUNTA(helper!$D$3:$D3996),0))</f>
        <v/>
      </c>
      <c r="C2117" s="5" t="str">
        <f t="array" ref="C2117">IF(B2117="","",INDEX(helper!$D$3:$D3996,MOD(ROW()-2,COUNTA(helper!$D$3:$D3996))+1))</f>
        <v/>
      </c>
      <c r="D2117" s="3" t="str">
        <f t="array" ref="D2117">IF(B2117="","",INDEX(helper!$E$3:$E3996,MOD(ROW()-2,COUNTA(helper!$D$3:$D3996))+1))</f>
        <v/>
      </c>
      <c r="E2117" s="3" t="str">
        <f t="array" ref="E2117">IF(B2117="","",INDEX(helper!$F$3:$F3996,MOD(ROW()-2,COUNTA(helper!$D$3:$D3996))+1))</f>
        <v/>
      </c>
      <c r="F2117" s="3" t="str">
        <f>IF(B2117="","",SUMIFS('inventory ledger'!$H:$H,'inventory ledger'!$C:$C,C2117,'inventory ledger'!$D:$D,D2117,'inventory ledger'!$E:$E,E2117,'inventory ledger'!$A:$A,"&lt;="&amp;B2117+TIME(23,59,59))-SUMIFS('inventory ledger'!$I:$I,'inventory ledger'!$C:$C,C2117,'inventory ledger'!$D:$D,D2117,'inventory ledger'!$E:$E,E2117,'inventory ledger'!$A:$A,"&lt;="&amp;B2117+TIME(23,59,59)))</f>
        <v/>
      </c>
      <c r="G2117" s="3">
        <f>IFERROR(__xludf.DUMMYFUNCTION("IF(F2117&lt;=0,0,IFERROR(ROUNDUP(F2117/INDEX(FILTER('warehouse config'!$D:$D,('warehouse config'!$B:$B=C2117)*('warehouse config'!$C:$C=D2117)*('warehouse config'!$G:$G&lt;=B2117)*(('warehouse config'!$H:$H&gt;=B2117)+ISBLANK('warehouse config'!$H:$H))),1)),0))"),0.0)</f>
        <v>0</v>
      </c>
      <c r="H2117" s="3">
        <f>IFERROR(__xludf.DUMMYFUNCTION("IFERROR(INDEX(FILTER('cost master'!$E:$E,('cost master'!$B:$B=C2117)*('cost master'!$D:$D=""Storage cost per pallet / week"")*('cost master'!$G:$G&lt;=B2117)*(('cost master'!$H:$H&gt;=B2117)+ISBLANK('cost master'!$H:$H))),1),0)"),0.0)</f>
        <v>0</v>
      </c>
      <c r="I2117" s="3">
        <f t="shared" si="4"/>
        <v>0</v>
      </c>
      <c r="J2117" s="27">
        <f t="shared" si="5"/>
        <v>693947</v>
      </c>
      <c r="K2117" s="27">
        <f t="shared" si="6"/>
        <v>693977</v>
      </c>
    </row>
    <row r="2118" hidden="1">
      <c r="A2118" s="3" t="str">
        <f t="shared" si="3"/>
        <v/>
      </c>
      <c r="B2118" s="2" t="str">
        <f t="array" ref="B2118">INDEX(helper!$A$3:$A3996,ROUNDUP((ROW()-1)/COUNTA(helper!$D$3:$D3996),0))</f>
        <v/>
      </c>
      <c r="C2118" s="5" t="str">
        <f t="array" ref="C2118">IF(B2118="","",INDEX(helper!$D$3:$D3996,MOD(ROW()-2,COUNTA(helper!$D$3:$D3996))+1))</f>
        <v/>
      </c>
      <c r="D2118" s="3" t="str">
        <f t="array" ref="D2118">IF(B2118="","",INDEX(helper!$E$3:$E3996,MOD(ROW()-2,COUNTA(helper!$D$3:$D3996))+1))</f>
        <v/>
      </c>
      <c r="E2118" s="3" t="str">
        <f t="array" ref="E2118">IF(B2118="","",INDEX(helper!$F$3:$F3996,MOD(ROW()-2,COUNTA(helper!$D$3:$D3996))+1))</f>
        <v/>
      </c>
      <c r="F2118" s="3" t="str">
        <f>IF(B2118="","",SUMIFS('inventory ledger'!$H:$H,'inventory ledger'!$C:$C,C2118,'inventory ledger'!$D:$D,D2118,'inventory ledger'!$E:$E,E2118,'inventory ledger'!$A:$A,"&lt;="&amp;B2118+TIME(23,59,59))-SUMIFS('inventory ledger'!$I:$I,'inventory ledger'!$C:$C,C2118,'inventory ledger'!$D:$D,D2118,'inventory ledger'!$E:$E,E2118,'inventory ledger'!$A:$A,"&lt;="&amp;B2118+TIME(23,59,59)))</f>
        <v/>
      </c>
      <c r="G2118" s="3">
        <f>IFERROR(__xludf.DUMMYFUNCTION("IF(F2118&lt;=0,0,IFERROR(ROUNDUP(F2118/INDEX(FILTER('warehouse config'!$D:$D,('warehouse config'!$B:$B=C2118)*('warehouse config'!$C:$C=D2118)*('warehouse config'!$G:$G&lt;=B2118)*(('warehouse config'!$H:$H&gt;=B2118)+ISBLANK('warehouse config'!$H:$H))),1)),0))"),0.0)</f>
        <v>0</v>
      </c>
      <c r="H2118" s="3">
        <f>IFERROR(__xludf.DUMMYFUNCTION("IFERROR(INDEX(FILTER('cost master'!$E:$E,('cost master'!$B:$B=C2118)*('cost master'!$D:$D=""Storage cost per pallet / week"")*('cost master'!$G:$G&lt;=B2118)*(('cost master'!$H:$H&gt;=B2118)+ISBLANK('cost master'!$H:$H))),1),0)"),0.0)</f>
        <v>0</v>
      </c>
      <c r="I2118" s="3">
        <f t="shared" si="4"/>
        <v>0</v>
      </c>
      <c r="J2118" s="27">
        <f t="shared" si="5"/>
        <v>693947</v>
      </c>
      <c r="K2118" s="27">
        <f t="shared" si="6"/>
        <v>693977</v>
      </c>
    </row>
    <row r="2119" hidden="1">
      <c r="A2119" s="3" t="str">
        <f t="shared" si="3"/>
        <v/>
      </c>
      <c r="B2119" s="2" t="str">
        <f t="array" ref="B2119">INDEX(helper!$A$3:$A3996,ROUNDUP((ROW()-1)/COUNTA(helper!$D$3:$D3996),0))</f>
        <v/>
      </c>
      <c r="C2119" s="5" t="str">
        <f t="array" ref="C2119">IF(B2119="","",INDEX(helper!$D$3:$D3996,MOD(ROW()-2,COUNTA(helper!$D$3:$D3996))+1))</f>
        <v/>
      </c>
      <c r="D2119" s="3" t="str">
        <f t="array" ref="D2119">IF(B2119="","",INDEX(helper!$E$3:$E3996,MOD(ROW()-2,COUNTA(helper!$D$3:$D3996))+1))</f>
        <v/>
      </c>
      <c r="E2119" s="3" t="str">
        <f t="array" ref="E2119">IF(B2119="","",INDEX(helper!$F$3:$F3996,MOD(ROW()-2,COUNTA(helper!$D$3:$D3996))+1))</f>
        <v/>
      </c>
      <c r="F2119" s="3" t="str">
        <f>IF(B2119="","",SUMIFS('inventory ledger'!$H:$H,'inventory ledger'!$C:$C,C2119,'inventory ledger'!$D:$D,D2119,'inventory ledger'!$E:$E,E2119,'inventory ledger'!$A:$A,"&lt;="&amp;B2119+TIME(23,59,59))-SUMIFS('inventory ledger'!$I:$I,'inventory ledger'!$C:$C,C2119,'inventory ledger'!$D:$D,D2119,'inventory ledger'!$E:$E,E2119,'inventory ledger'!$A:$A,"&lt;="&amp;B2119+TIME(23,59,59)))</f>
        <v/>
      </c>
      <c r="G2119" s="3">
        <f>IFERROR(__xludf.DUMMYFUNCTION("IF(F2119&lt;=0,0,IFERROR(ROUNDUP(F2119/INDEX(FILTER('warehouse config'!$D:$D,('warehouse config'!$B:$B=C2119)*('warehouse config'!$C:$C=D2119)*('warehouse config'!$G:$G&lt;=B2119)*(('warehouse config'!$H:$H&gt;=B2119)+ISBLANK('warehouse config'!$H:$H))),1)),0))"),0.0)</f>
        <v>0</v>
      </c>
      <c r="H2119" s="3">
        <f>IFERROR(__xludf.DUMMYFUNCTION("IFERROR(INDEX(FILTER('cost master'!$E:$E,('cost master'!$B:$B=C2119)*('cost master'!$D:$D=""Storage cost per pallet / week"")*('cost master'!$G:$G&lt;=B2119)*(('cost master'!$H:$H&gt;=B2119)+ISBLANK('cost master'!$H:$H))),1),0)"),0.0)</f>
        <v>0</v>
      </c>
      <c r="I2119" s="3">
        <f t="shared" si="4"/>
        <v>0</v>
      </c>
      <c r="J2119" s="27">
        <f t="shared" si="5"/>
        <v>693947</v>
      </c>
      <c r="K2119" s="27">
        <f t="shared" si="6"/>
        <v>693977</v>
      </c>
    </row>
    <row r="2120" hidden="1">
      <c r="A2120" s="3" t="str">
        <f t="shared" si="3"/>
        <v/>
      </c>
      <c r="B2120" s="2" t="str">
        <f t="array" ref="B2120">INDEX(helper!$A$3:$A3996,ROUNDUP((ROW()-1)/COUNTA(helper!$D$3:$D3996),0))</f>
        <v/>
      </c>
      <c r="C2120" s="5" t="str">
        <f t="array" ref="C2120">IF(B2120="","",INDEX(helper!$D$3:$D3996,MOD(ROW()-2,COUNTA(helper!$D$3:$D3996))+1))</f>
        <v/>
      </c>
      <c r="D2120" s="3" t="str">
        <f t="array" ref="D2120">IF(B2120="","",INDEX(helper!$E$3:$E3996,MOD(ROW()-2,COUNTA(helper!$D$3:$D3996))+1))</f>
        <v/>
      </c>
      <c r="E2120" s="3" t="str">
        <f t="array" ref="E2120">IF(B2120="","",INDEX(helper!$F$3:$F3996,MOD(ROW()-2,COUNTA(helper!$D$3:$D3996))+1))</f>
        <v/>
      </c>
      <c r="F2120" s="3" t="str">
        <f>IF(B2120="","",SUMIFS('inventory ledger'!$H:$H,'inventory ledger'!$C:$C,C2120,'inventory ledger'!$D:$D,D2120,'inventory ledger'!$E:$E,E2120,'inventory ledger'!$A:$A,"&lt;="&amp;B2120+TIME(23,59,59))-SUMIFS('inventory ledger'!$I:$I,'inventory ledger'!$C:$C,C2120,'inventory ledger'!$D:$D,D2120,'inventory ledger'!$E:$E,E2120,'inventory ledger'!$A:$A,"&lt;="&amp;B2120+TIME(23,59,59)))</f>
        <v/>
      </c>
      <c r="G2120" s="3">
        <f>IFERROR(__xludf.DUMMYFUNCTION("IF(F2120&lt;=0,0,IFERROR(ROUNDUP(F2120/INDEX(FILTER('warehouse config'!$D:$D,('warehouse config'!$B:$B=C2120)*('warehouse config'!$C:$C=D2120)*('warehouse config'!$G:$G&lt;=B2120)*(('warehouse config'!$H:$H&gt;=B2120)+ISBLANK('warehouse config'!$H:$H))),1)),0))"),0.0)</f>
        <v>0</v>
      </c>
      <c r="H2120" s="3">
        <f>IFERROR(__xludf.DUMMYFUNCTION("IFERROR(INDEX(FILTER('cost master'!$E:$E,('cost master'!$B:$B=C2120)*('cost master'!$D:$D=""Storage cost per pallet / week"")*('cost master'!$G:$G&lt;=B2120)*(('cost master'!$H:$H&gt;=B2120)+ISBLANK('cost master'!$H:$H))),1),0)"),0.0)</f>
        <v>0</v>
      </c>
      <c r="I2120" s="3">
        <f t="shared" si="4"/>
        <v>0</v>
      </c>
      <c r="J2120" s="27">
        <f t="shared" si="5"/>
        <v>693947</v>
      </c>
      <c r="K2120" s="27">
        <f t="shared" si="6"/>
        <v>693977</v>
      </c>
    </row>
    <row r="2121" hidden="1">
      <c r="A2121" s="3" t="str">
        <f t="shared" si="3"/>
        <v/>
      </c>
      <c r="B2121" s="2" t="str">
        <f t="array" ref="B2121">INDEX(helper!$A$3:$A3996,ROUNDUP((ROW()-1)/COUNTA(helper!$D$3:$D3996),0))</f>
        <v/>
      </c>
      <c r="C2121" s="5" t="str">
        <f t="array" ref="C2121">IF(B2121="","",INDEX(helper!$D$3:$D3996,MOD(ROW()-2,COUNTA(helper!$D$3:$D3996))+1))</f>
        <v/>
      </c>
      <c r="D2121" s="3" t="str">
        <f t="array" ref="D2121">IF(B2121="","",INDEX(helper!$E$3:$E3996,MOD(ROW()-2,COUNTA(helper!$D$3:$D3996))+1))</f>
        <v/>
      </c>
      <c r="E2121" s="3" t="str">
        <f t="array" ref="E2121">IF(B2121="","",INDEX(helper!$F$3:$F3996,MOD(ROW()-2,COUNTA(helper!$D$3:$D3996))+1))</f>
        <v/>
      </c>
      <c r="F2121" s="3" t="str">
        <f>IF(B2121="","",SUMIFS('inventory ledger'!$H:$H,'inventory ledger'!$C:$C,C2121,'inventory ledger'!$D:$D,D2121,'inventory ledger'!$E:$E,E2121,'inventory ledger'!$A:$A,"&lt;="&amp;B2121+TIME(23,59,59))-SUMIFS('inventory ledger'!$I:$I,'inventory ledger'!$C:$C,C2121,'inventory ledger'!$D:$D,D2121,'inventory ledger'!$E:$E,E2121,'inventory ledger'!$A:$A,"&lt;="&amp;B2121+TIME(23,59,59)))</f>
        <v/>
      </c>
      <c r="G2121" s="3">
        <f>IFERROR(__xludf.DUMMYFUNCTION("IF(F2121&lt;=0,0,IFERROR(ROUNDUP(F2121/INDEX(FILTER('warehouse config'!$D:$D,('warehouse config'!$B:$B=C2121)*('warehouse config'!$C:$C=D2121)*('warehouse config'!$G:$G&lt;=B2121)*(('warehouse config'!$H:$H&gt;=B2121)+ISBLANK('warehouse config'!$H:$H))),1)),0))"),0.0)</f>
        <v>0</v>
      </c>
      <c r="H2121" s="3">
        <f>IFERROR(__xludf.DUMMYFUNCTION("IFERROR(INDEX(FILTER('cost master'!$E:$E,('cost master'!$B:$B=C2121)*('cost master'!$D:$D=""Storage cost per pallet / week"")*('cost master'!$G:$G&lt;=B2121)*(('cost master'!$H:$H&gt;=B2121)+ISBLANK('cost master'!$H:$H))),1),0)"),0.0)</f>
        <v>0</v>
      </c>
      <c r="I2121" s="3">
        <f t="shared" si="4"/>
        <v>0</v>
      </c>
      <c r="J2121" s="27">
        <f t="shared" si="5"/>
        <v>693947</v>
      </c>
      <c r="K2121" s="27">
        <f t="shared" si="6"/>
        <v>693977</v>
      </c>
    </row>
    <row r="2122" hidden="1">
      <c r="A2122" s="3" t="str">
        <f t="shared" si="3"/>
        <v/>
      </c>
      <c r="B2122" s="2" t="str">
        <f t="array" ref="B2122">INDEX(helper!$A$3:$A3996,ROUNDUP((ROW()-1)/COUNTA(helper!$D$3:$D3996),0))</f>
        <v/>
      </c>
      <c r="C2122" s="5" t="str">
        <f t="array" ref="C2122">IF(B2122="","",INDEX(helper!$D$3:$D3996,MOD(ROW()-2,COUNTA(helper!$D$3:$D3996))+1))</f>
        <v/>
      </c>
      <c r="D2122" s="3" t="str">
        <f t="array" ref="D2122">IF(B2122="","",INDEX(helper!$E$3:$E3996,MOD(ROW()-2,COUNTA(helper!$D$3:$D3996))+1))</f>
        <v/>
      </c>
      <c r="E2122" s="3" t="str">
        <f t="array" ref="E2122">IF(B2122="","",INDEX(helper!$F$3:$F3996,MOD(ROW()-2,COUNTA(helper!$D$3:$D3996))+1))</f>
        <v/>
      </c>
      <c r="F2122" s="3" t="str">
        <f>IF(B2122="","",SUMIFS('inventory ledger'!$H:$H,'inventory ledger'!$C:$C,C2122,'inventory ledger'!$D:$D,D2122,'inventory ledger'!$E:$E,E2122,'inventory ledger'!$A:$A,"&lt;="&amp;B2122+TIME(23,59,59))-SUMIFS('inventory ledger'!$I:$I,'inventory ledger'!$C:$C,C2122,'inventory ledger'!$D:$D,D2122,'inventory ledger'!$E:$E,E2122,'inventory ledger'!$A:$A,"&lt;="&amp;B2122+TIME(23,59,59)))</f>
        <v/>
      </c>
      <c r="G2122" s="3">
        <f>IFERROR(__xludf.DUMMYFUNCTION("IF(F2122&lt;=0,0,IFERROR(ROUNDUP(F2122/INDEX(FILTER('warehouse config'!$D:$D,('warehouse config'!$B:$B=C2122)*('warehouse config'!$C:$C=D2122)*('warehouse config'!$G:$G&lt;=B2122)*(('warehouse config'!$H:$H&gt;=B2122)+ISBLANK('warehouse config'!$H:$H))),1)),0))"),0.0)</f>
        <v>0</v>
      </c>
      <c r="H2122" s="3">
        <f>IFERROR(__xludf.DUMMYFUNCTION("IFERROR(INDEX(FILTER('cost master'!$E:$E,('cost master'!$B:$B=C2122)*('cost master'!$D:$D=""Storage cost per pallet / week"")*('cost master'!$G:$G&lt;=B2122)*(('cost master'!$H:$H&gt;=B2122)+ISBLANK('cost master'!$H:$H))),1),0)"),0.0)</f>
        <v>0</v>
      </c>
      <c r="I2122" s="3">
        <f t="shared" si="4"/>
        <v>0</v>
      </c>
      <c r="J2122" s="27">
        <f t="shared" si="5"/>
        <v>693947</v>
      </c>
      <c r="K2122" s="27">
        <f t="shared" si="6"/>
        <v>693977</v>
      </c>
    </row>
    <row r="2123" hidden="1">
      <c r="A2123" s="3" t="str">
        <f t="shared" si="3"/>
        <v/>
      </c>
      <c r="B2123" s="2" t="str">
        <f t="array" ref="B2123">INDEX(helper!$A$3:$A3996,ROUNDUP((ROW()-1)/COUNTA(helper!$D$3:$D3996),0))</f>
        <v/>
      </c>
      <c r="C2123" s="5" t="str">
        <f t="array" ref="C2123">IF(B2123="","",INDEX(helper!$D$3:$D3996,MOD(ROW()-2,COUNTA(helper!$D$3:$D3996))+1))</f>
        <v/>
      </c>
      <c r="D2123" s="3" t="str">
        <f t="array" ref="D2123">IF(B2123="","",INDEX(helper!$E$3:$E3996,MOD(ROW()-2,COUNTA(helper!$D$3:$D3996))+1))</f>
        <v/>
      </c>
      <c r="E2123" s="3" t="str">
        <f t="array" ref="E2123">IF(B2123="","",INDEX(helper!$F$3:$F3996,MOD(ROW()-2,COUNTA(helper!$D$3:$D3996))+1))</f>
        <v/>
      </c>
      <c r="F2123" s="3" t="str">
        <f>IF(B2123="","",SUMIFS('inventory ledger'!$H:$H,'inventory ledger'!$C:$C,C2123,'inventory ledger'!$D:$D,D2123,'inventory ledger'!$E:$E,E2123,'inventory ledger'!$A:$A,"&lt;="&amp;B2123+TIME(23,59,59))-SUMIFS('inventory ledger'!$I:$I,'inventory ledger'!$C:$C,C2123,'inventory ledger'!$D:$D,D2123,'inventory ledger'!$E:$E,E2123,'inventory ledger'!$A:$A,"&lt;="&amp;B2123+TIME(23,59,59)))</f>
        <v/>
      </c>
      <c r="G2123" s="3">
        <f>IFERROR(__xludf.DUMMYFUNCTION("IF(F2123&lt;=0,0,IFERROR(ROUNDUP(F2123/INDEX(FILTER('warehouse config'!$D:$D,('warehouse config'!$B:$B=C2123)*('warehouse config'!$C:$C=D2123)*('warehouse config'!$G:$G&lt;=B2123)*(('warehouse config'!$H:$H&gt;=B2123)+ISBLANK('warehouse config'!$H:$H))),1)),0))"),0.0)</f>
        <v>0</v>
      </c>
      <c r="H2123" s="3">
        <f>IFERROR(__xludf.DUMMYFUNCTION("IFERROR(INDEX(FILTER('cost master'!$E:$E,('cost master'!$B:$B=C2123)*('cost master'!$D:$D=""Storage cost per pallet / week"")*('cost master'!$G:$G&lt;=B2123)*(('cost master'!$H:$H&gt;=B2123)+ISBLANK('cost master'!$H:$H))),1),0)"),0.0)</f>
        <v>0</v>
      </c>
      <c r="I2123" s="3">
        <f t="shared" si="4"/>
        <v>0</v>
      </c>
      <c r="J2123" s="27">
        <f t="shared" si="5"/>
        <v>693947</v>
      </c>
      <c r="K2123" s="27">
        <f t="shared" si="6"/>
        <v>693977</v>
      </c>
    </row>
    <row r="2124" hidden="1">
      <c r="A2124" s="3" t="str">
        <f t="shared" si="3"/>
        <v/>
      </c>
      <c r="B2124" s="2" t="str">
        <f t="array" ref="B2124">INDEX(helper!$A$3:$A3996,ROUNDUP((ROW()-1)/COUNTA(helper!$D$3:$D3996),0))</f>
        <v/>
      </c>
      <c r="C2124" s="5" t="str">
        <f t="array" ref="C2124">IF(B2124="","",INDEX(helper!$D$3:$D3996,MOD(ROW()-2,COUNTA(helper!$D$3:$D3996))+1))</f>
        <v/>
      </c>
      <c r="D2124" s="3" t="str">
        <f t="array" ref="D2124">IF(B2124="","",INDEX(helper!$E$3:$E3996,MOD(ROW()-2,COUNTA(helper!$D$3:$D3996))+1))</f>
        <v/>
      </c>
      <c r="E2124" s="3" t="str">
        <f t="array" ref="E2124">IF(B2124="","",INDEX(helper!$F$3:$F3996,MOD(ROW()-2,COUNTA(helper!$D$3:$D3996))+1))</f>
        <v/>
      </c>
      <c r="F2124" s="3" t="str">
        <f>IF(B2124="","",SUMIFS('inventory ledger'!$H:$H,'inventory ledger'!$C:$C,C2124,'inventory ledger'!$D:$D,D2124,'inventory ledger'!$E:$E,E2124,'inventory ledger'!$A:$A,"&lt;="&amp;B2124+TIME(23,59,59))-SUMIFS('inventory ledger'!$I:$I,'inventory ledger'!$C:$C,C2124,'inventory ledger'!$D:$D,D2124,'inventory ledger'!$E:$E,E2124,'inventory ledger'!$A:$A,"&lt;="&amp;B2124+TIME(23,59,59)))</f>
        <v/>
      </c>
      <c r="G2124" s="3">
        <f>IFERROR(__xludf.DUMMYFUNCTION("IF(F2124&lt;=0,0,IFERROR(ROUNDUP(F2124/INDEX(FILTER('warehouse config'!$D:$D,('warehouse config'!$B:$B=C2124)*('warehouse config'!$C:$C=D2124)*('warehouse config'!$G:$G&lt;=B2124)*(('warehouse config'!$H:$H&gt;=B2124)+ISBLANK('warehouse config'!$H:$H))),1)),0))"),0.0)</f>
        <v>0</v>
      </c>
      <c r="H2124" s="3">
        <f>IFERROR(__xludf.DUMMYFUNCTION("IFERROR(INDEX(FILTER('cost master'!$E:$E,('cost master'!$B:$B=C2124)*('cost master'!$D:$D=""Storage cost per pallet / week"")*('cost master'!$G:$G&lt;=B2124)*(('cost master'!$H:$H&gt;=B2124)+ISBLANK('cost master'!$H:$H))),1),0)"),0.0)</f>
        <v>0</v>
      </c>
      <c r="I2124" s="3">
        <f t="shared" si="4"/>
        <v>0</v>
      </c>
      <c r="J2124" s="27">
        <f t="shared" si="5"/>
        <v>693947</v>
      </c>
      <c r="K2124" s="27">
        <f t="shared" si="6"/>
        <v>693977</v>
      </c>
    </row>
    <row r="2125" hidden="1">
      <c r="A2125" s="3" t="str">
        <f t="shared" si="3"/>
        <v/>
      </c>
      <c r="B2125" s="2" t="str">
        <f t="array" ref="B2125">INDEX(helper!$A$3:$A3996,ROUNDUP((ROW()-1)/COUNTA(helper!$D$3:$D3996),0))</f>
        <v/>
      </c>
      <c r="C2125" s="5" t="str">
        <f t="array" ref="C2125">IF(B2125="","",INDEX(helper!$D$3:$D3996,MOD(ROW()-2,COUNTA(helper!$D$3:$D3996))+1))</f>
        <v/>
      </c>
      <c r="D2125" s="3" t="str">
        <f t="array" ref="D2125">IF(B2125="","",INDEX(helper!$E$3:$E3996,MOD(ROW()-2,COUNTA(helper!$D$3:$D3996))+1))</f>
        <v/>
      </c>
      <c r="E2125" s="3" t="str">
        <f t="array" ref="E2125">IF(B2125="","",INDEX(helper!$F$3:$F3996,MOD(ROW()-2,COUNTA(helper!$D$3:$D3996))+1))</f>
        <v/>
      </c>
      <c r="F2125" s="3" t="str">
        <f>IF(B2125="","",SUMIFS('inventory ledger'!$H:$H,'inventory ledger'!$C:$C,C2125,'inventory ledger'!$D:$D,D2125,'inventory ledger'!$E:$E,E2125,'inventory ledger'!$A:$A,"&lt;="&amp;B2125+TIME(23,59,59))-SUMIFS('inventory ledger'!$I:$I,'inventory ledger'!$C:$C,C2125,'inventory ledger'!$D:$D,D2125,'inventory ledger'!$E:$E,E2125,'inventory ledger'!$A:$A,"&lt;="&amp;B2125+TIME(23,59,59)))</f>
        <v/>
      </c>
      <c r="G2125" s="3">
        <f>IFERROR(__xludf.DUMMYFUNCTION("IF(F2125&lt;=0,0,IFERROR(ROUNDUP(F2125/INDEX(FILTER('warehouse config'!$D:$D,('warehouse config'!$B:$B=C2125)*('warehouse config'!$C:$C=D2125)*('warehouse config'!$G:$G&lt;=B2125)*(('warehouse config'!$H:$H&gt;=B2125)+ISBLANK('warehouse config'!$H:$H))),1)),0))"),0.0)</f>
        <v>0</v>
      </c>
      <c r="H2125" s="3">
        <f>IFERROR(__xludf.DUMMYFUNCTION("IFERROR(INDEX(FILTER('cost master'!$E:$E,('cost master'!$B:$B=C2125)*('cost master'!$D:$D=""Storage cost per pallet / week"")*('cost master'!$G:$G&lt;=B2125)*(('cost master'!$H:$H&gt;=B2125)+ISBLANK('cost master'!$H:$H))),1),0)"),0.0)</f>
        <v>0</v>
      </c>
      <c r="I2125" s="3">
        <f t="shared" si="4"/>
        <v>0</v>
      </c>
      <c r="J2125" s="27">
        <f t="shared" si="5"/>
        <v>693947</v>
      </c>
      <c r="K2125" s="27">
        <f t="shared" si="6"/>
        <v>693977</v>
      </c>
    </row>
    <row r="2126" hidden="1">
      <c r="A2126" s="3" t="str">
        <f t="shared" si="3"/>
        <v/>
      </c>
      <c r="B2126" s="2" t="str">
        <f t="array" ref="B2126">INDEX(helper!$A$3:$A3996,ROUNDUP((ROW()-1)/COUNTA(helper!$D$3:$D3996),0))</f>
        <v/>
      </c>
      <c r="C2126" s="5" t="str">
        <f t="array" ref="C2126">IF(B2126="","",INDEX(helper!$D$3:$D3996,MOD(ROW()-2,COUNTA(helper!$D$3:$D3996))+1))</f>
        <v/>
      </c>
      <c r="D2126" s="3" t="str">
        <f t="array" ref="D2126">IF(B2126="","",INDEX(helper!$E$3:$E3996,MOD(ROW()-2,COUNTA(helper!$D$3:$D3996))+1))</f>
        <v/>
      </c>
      <c r="E2126" s="3" t="str">
        <f t="array" ref="E2126">IF(B2126="","",INDEX(helper!$F$3:$F3996,MOD(ROW()-2,COUNTA(helper!$D$3:$D3996))+1))</f>
        <v/>
      </c>
      <c r="F2126" s="3" t="str">
        <f>IF(B2126="","",SUMIFS('inventory ledger'!$H:$H,'inventory ledger'!$C:$C,C2126,'inventory ledger'!$D:$D,D2126,'inventory ledger'!$E:$E,E2126,'inventory ledger'!$A:$A,"&lt;="&amp;B2126+TIME(23,59,59))-SUMIFS('inventory ledger'!$I:$I,'inventory ledger'!$C:$C,C2126,'inventory ledger'!$D:$D,D2126,'inventory ledger'!$E:$E,E2126,'inventory ledger'!$A:$A,"&lt;="&amp;B2126+TIME(23,59,59)))</f>
        <v/>
      </c>
      <c r="G2126" s="3">
        <f>IFERROR(__xludf.DUMMYFUNCTION("IF(F2126&lt;=0,0,IFERROR(ROUNDUP(F2126/INDEX(FILTER('warehouse config'!$D:$D,('warehouse config'!$B:$B=C2126)*('warehouse config'!$C:$C=D2126)*('warehouse config'!$G:$G&lt;=B2126)*(('warehouse config'!$H:$H&gt;=B2126)+ISBLANK('warehouse config'!$H:$H))),1)),0))"),0.0)</f>
        <v>0</v>
      </c>
      <c r="H2126" s="3">
        <f>IFERROR(__xludf.DUMMYFUNCTION("IFERROR(INDEX(FILTER('cost master'!$E:$E,('cost master'!$B:$B=C2126)*('cost master'!$D:$D=""Storage cost per pallet / week"")*('cost master'!$G:$G&lt;=B2126)*(('cost master'!$H:$H&gt;=B2126)+ISBLANK('cost master'!$H:$H))),1),0)"),0.0)</f>
        <v>0</v>
      </c>
      <c r="I2126" s="3">
        <f t="shared" si="4"/>
        <v>0</v>
      </c>
      <c r="J2126" s="27">
        <f t="shared" si="5"/>
        <v>693947</v>
      </c>
      <c r="K2126" s="27">
        <f t="shared" si="6"/>
        <v>693977</v>
      </c>
    </row>
    <row r="2127" hidden="1">
      <c r="A2127" s="3" t="str">
        <f t="shared" si="3"/>
        <v/>
      </c>
      <c r="B2127" s="2" t="str">
        <f t="array" ref="B2127">INDEX(helper!$A$3:$A3996,ROUNDUP((ROW()-1)/COUNTA(helper!$D$3:$D3996),0))</f>
        <v/>
      </c>
      <c r="C2127" s="5" t="str">
        <f t="array" ref="C2127">IF(B2127="","",INDEX(helper!$D$3:$D3996,MOD(ROW()-2,COUNTA(helper!$D$3:$D3996))+1))</f>
        <v/>
      </c>
      <c r="D2127" s="3" t="str">
        <f t="array" ref="D2127">IF(B2127="","",INDEX(helper!$E$3:$E3996,MOD(ROW()-2,COUNTA(helper!$D$3:$D3996))+1))</f>
        <v/>
      </c>
      <c r="E2127" s="3" t="str">
        <f t="array" ref="E2127">IF(B2127="","",INDEX(helper!$F$3:$F3996,MOD(ROW()-2,COUNTA(helper!$D$3:$D3996))+1))</f>
        <v/>
      </c>
      <c r="F2127" s="3" t="str">
        <f>IF(B2127="","",SUMIFS('inventory ledger'!$H:$H,'inventory ledger'!$C:$C,C2127,'inventory ledger'!$D:$D,D2127,'inventory ledger'!$E:$E,E2127,'inventory ledger'!$A:$A,"&lt;="&amp;B2127+TIME(23,59,59))-SUMIFS('inventory ledger'!$I:$I,'inventory ledger'!$C:$C,C2127,'inventory ledger'!$D:$D,D2127,'inventory ledger'!$E:$E,E2127,'inventory ledger'!$A:$A,"&lt;="&amp;B2127+TIME(23,59,59)))</f>
        <v/>
      </c>
      <c r="G2127" s="3">
        <f>IFERROR(__xludf.DUMMYFUNCTION("IF(F2127&lt;=0,0,IFERROR(ROUNDUP(F2127/INDEX(FILTER('warehouse config'!$D:$D,('warehouse config'!$B:$B=C2127)*('warehouse config'!$C:$C=D2127)*('warehouse config'!$G:$G&lt;=B2127)*(('warehouse config'!$H:$H&gt;=B2127)+ISBLANK('warehouse config'!$H:$H))),1)),0))"),0.0)</f>
        <v>0</v>
      </c>
      <c r="H2127" s="3">
        <f>IFERROR(__xludf.DUMMYFUNCTION("IFERROR(INDEX(FILTER('cost master'!$E:$E,('cost master'!$B:$B=C2127)*('cost master'!$D:$D=""Storage cost per pallet / week"")*('cost master'!$G:$G&lt;=B2127)*(('cost master'!$H:$H&gt;=B2127)+ISBLANK('cost master'!$H:$H))),1),0)"),0.0)</f>
        <v>0</v>
      </c>
      <c r="I2127" s="3">
        <f t="shared" si="4"/>
        <v>0</v>
      </c>
      <c r="J2127" s="27">
        <f t="shared" si="5"/>
        <v>693947</v>
      </c>
      <c r="K2127" s="27">
        <f t="shared" si="6"/>
        <v>693977</v>
      </c>
    </row>
    <row r="2128" hidden="1">
      <c r="A2128" s="3" t="str">
        <f t="shared" si="3"/>
        <v/>
      </c>
      <c r="B2128" s="2" t="str">
        <f t="array" ref="B2128">INDEX(helper!$A$3:$A3996,ROUNDUP((ROW()-1)/COUNTA(helper!$D$3:$D3996),0))</f>
        <v/>
      </c>
      <c r="C2128" s="5" t="str">
        <f t="array" ref="C2128">IF(B2128="","",INDEX(helper!$D$3:$D3996,MOD(ROW()-2,COUNTA(helper!$D$3:$D3996))+1))</f>
        <v/>
      </c>
      <c r="D2128" s="3" t="str">
        <f t="array" ref="D2128">IF(B2128="","",INDEX(helper!$E$3:$E3996,MOD(ROW()-2,COUNTA(helper!$D$3:$D3996))+1))</f>
        <v/>
      </c>
      <c r="E2128" s="3" t="str">
        <f t="array" ref="E2128">IF(B2128="","",INDEX(helper!$F$3:$F3996,MOD(ROW()-2,COUNTA(helper!$D$3:$D3996))+1))</f>
        <v/>
      </c>
      <c r="F2128" s="3" t="str">
        <f>IF(B2128="","",SUMIFS('inventory ledger'!$H:$H,'inventory ledger'!$C:$C,C2128,'inventory ledger'!$D:$D,D2128,'inventory ledger'!$E:$E,E2128,'inventory ledger'!$A:$A,"&lt;="&amp;B2128+TIME(23,59,59))-SUMIFS('inventory ledger'!$I:$I,'inventory ledger'!$C:$C,C2128,'inventory ledger'!$D:$D,D2128,'inventory ledger'!$E:$E,E2128,'inventory ledger'!$A:$A,"&lt;="&amp;B2128+TIME(23,59,59)))</f>
        <v/>
      </c>
      <c r="G2128" s="3">
        <f>IFERROR(__xludf.DUMMYFUNCTION("IF(F2128&lt;=0,0,IFERROR(ROUNDUP(F2128/INDEX(FILTER('warehouse config'!$D:$D,('warehouse config'!$B:$B=C2128)*('warehouse config'!$C:$C=D2128)*('warehouse config'!$G:$G&lt;=B2128)*(('warehouse config'!$H:$H&gt;=B2128)+ISBLANK('warehouse config'!$H:$H))),1)),0))"),0.0)</f>
        <v>0</v>
      </c>
      <c r="H2128" s="3">
        <f>IFERROR(__xludf.DUMMYFUNCTION("IFERROR(INDEX(FILTER('cost master'!$E:$E,('cost master'!$B:$B=C2128)*('cost master'!$D:$D=""Storage cost per pallet / week"")*('cost master'!$G:$G&lt;=B2128)*(('cost master'!$H:$H&gt;=B2128)+ISBLANK('cost master'!$H:$H))),1),0)"),0.0)</f>
        <v>0</v>
      </c>
      <c r="I2128" s="3">
        <f t="shared" si="4"/>
        <v>0</v>
      </c>
      <c r="J2128" s="27">
        <f t="shared" si="5"/>
        <v>693947</v>
      </c>
      <c r="K2128" s="27">
        <f t="shared" si="6"/>
        <v>693977</v>
      </c>
    </row>
    <row r="2129" hidden="1">
      <c r="A2129" s="3" t="str">
        <f t="shared" si="3"/>
        <v/>
      </c>
      <c r="B2129" s="2" t="str">
        <f t="array" ref="B2129">INDEX(helper!$A$3:$A3996,ROUNDUP((ROW()-1)/COUNTA(helper!$D$3:$D3996),0))</f>
        <v/>
      </c>
      <c r="C2129" s="5" t="str">
        <f t="array" ref="C2129">IF(B2129="","",INDEX(helper!$D$3:$D3996,MOD(ROW()-2,COUNTA(helper!$D$3:$D3996))+1))</f>
        <v/>
      </c>
      <c r="D2129" s="3" t="str">
        <f t="array" ref="D2129">IF(B2129="","",INDEX(helper!$E$3:$E3996,MOD(ROW()-2,COUNTA(helper!$D$3:$D3996))+1))</f>
        <v/>
      </c>
      <c r="E2129" s="3" t="str">
        <f t="array" ref="E2129">IF(B2129="","",INDEX(helper!$F$3:$F3996,MOD(ROW()-2,COUNTA(helper!$D$3:$D3996))+1))</f>
        <v/>
      </c>
      <c r="F2129" s="3" t="str">
        <f>IF(B2129="","",SUMIFS('inventory ledger'!$H:$H,'inventory ledger'!$C:$C,C2129,'inventory ledger'!$D:$D,D2129,'inventory ledger'!$E:$E,E2129,'inventory ledger'!$A:$A,"&lt;="&amp;B2129+TIME(23,59,59))-SUMIFS('inventory ledger'!$I:$I,'inventory ledger'!$C:$C,C2129,'inventory ledger'!$D:$D,D2129,'inventory ledger'!$E:$E,E2129,'inventory ledger'!$A:$A,"&lt;="&amp;B2129+TIME(23,59,59)))</f>
        <v/>
      </c>
      <c r="G2129" s="3">
        <f>IFERROR(__xludf.DUMMYFUNCTION("IF(F2129&lt;=0,0,IFERROR(ROUNDUP(F2129/INDEX(FILTER('warehouse config'!$D:$D,('warehouse config'!$B:$B=C2129)*('warehouse config'!$C:$C=D2129)*('warehouse config'!$G:$G&lt;=B2129)*(('warehouse config'!$H:$H&gt;=B2129)+ISBLANK('warehouse config'!$H:$H))),1)),0))"),0.0)</f>
        <v>0</v>
      </c>
      <c r="H2129" s="3">
        <f>IFERROR(__xludf.DUMMYFUNCTION("IFERROR(INDEX(FILTER('cost master'!$E:$E,('cost master'!$B:$B=C2129)*('cost master'!$D:$D=""Storage cost per pallet / week"")*('cost master'!$G:$G&lt;=B2129)*(('cost master'!$H:$H&gt;=B2129)+ISBLANK('cost master'!$H:$H))),1),0)"),0.0)</f>
        <v>0</v>
      </c>
      <c r="I2129" s="3">
        <f t="shared" si="4"/>
        <v>0</v>
      </c>
      <c r="J2129" s="27">
        <f t="shared" si="5"/>
        <v>693947</v>
      </c>
      <c r="K2129" s="27">
        <f t="shared" si="6"/>
        <v>693977</v>
      </c>
    </row>
    <row r="2130" hidden="1">
      <c r="A2130" s="3" t="str">
        <f t="shared" si="3"/>
        <v/>
      </c>
      <c r="B2130" s="2" t="str">
        <f t="array" ref="B2130">INDEX(helper!$A$3:$A3996,ROUNDUP((ROW()-1)/COUNTA(helper!$D$3:$D3996),0))</f>
        <v/>
      </c>
      <c r="C2130" s="5" t="str">
        <f t="array" ref="C2130">IF(B2130="","",INDEX(helper!$D$3:$D3996,MOD(ROW()-2,COUNTA(helper!$D$3:$D3996))+1))</f>
        <v/>
      </c>
      <c r="D2130" s="3" t="str">
        <f t="array" ref="D2130">IF(B2130="","",INDEX(helper!$E$3:$E3996,MOD(ROW()-2,COUNTA(helper!$D$3:$D3996))+1))</f>
        <v/>
      </c>
      <c r="E2130" s="3" t="str">
        <f t="array" ref="E2130">IF(B2130="","",INDEX(helper!$F$3:$F3996,MOD(ROW()-2,COUNTA(helper!$D$3:$D3996))+1))</f>
        <v/>
      </c>
      <c r="F2130" s="3" t="str">
        <f>IF(B2130="","",SUMIFS('inventory ledger'!$H:$H,'inventory ledger'!$C:$C,C2130,'inventory ledger'!$D:$D,D2130,'inventory ledger'!$E:$E,E2130,'inventory ledger'!$A:$A,"&lt;="&amp;B2130+TIME(23,59,59))-SUMIFS('inventory ledger'!$I:$I,'inventory ledger'!$C:$C,C2130,'inventory ledger'!$D:$D,D2130,'inventory ledger'!$E:$E,E2130,'inventory ledger'!$A:$A,"&lt;="&amp;B2130+TIME(23,59,59)))</f>
        <v/>
      </c>
      <c r="G2130" s="3">
        <f>IFERROR(__xludf.DUMMYFUNCTION("IF(F2130&lt;=0,0,IFERROR(ROUNDUP(F2130/INDEX(FILTER('warehouse config'!$D:$D,('warehouse config'!$B:$B=C2130)*('warehouse config'!$C:$C=D2130)*('warehouse config'!$G:$G&lt;=B2130)*(('warehouse config'!$H:$H&gt;=B2130)+ISBLANK('warehouse config'!$H:$H))),1)),0))"),0.0)</f>
        <v>0</v>
      </c>
      <c r="H2130" s="3">
        <f>IFERROR(__xludf.DUMMYFUNCTION("IFERROR(INDEX(FILTER('cost master'!$E:$E,('cost master'!$B:$B=C2130)*('cost master'!$D:$D=""Storage cost per pallet / week"")*('cost master'!$G:$G&lt;=B2130)*(('cost master'!$H:$H&gt;=B2130)+ISBLANK('cost master'!$H:$H))),1),0)"),0.0)</f>
        <v>0</v>
      </c>
      <c r="I2130" s="3">
        <f t="shared" si="4"/>
        <v>0</v>
      </c>
      <c r="J2130" s="27">
        <f t="shared" si="5"/>
        <v>693947</v>
      </c>
      <c r="K2130" s="27">
        <f t="shared" si="6"/>
        <v>693977</v>
      </c>
    </row>
    <row r="2131" hidden="1">
      <c r="A2131" s="3" t="str">
        <f t="shared" si="3"/>
        <v/>
      </c>
      <c r="B2131" s="2" t="str">
        <f t="array" ref="B2131">INDEX(helper!$A$3:$A3996,ROUNDUP((ROW()-1)/COUNTA(helper!$D$3:$D3996),0))</f>
        <v/>
      </c>
      <c r="C2131" s="5" t="str">
        <f t="array" ref="C2131">IF(B2131="","",INDEX(helper!$D$3:$D3996,MOD(ROW()-2,COUNTA(helper!$D$3:$D3996))+1))</f>
        <v/>
      </c>
      <c r="D2131" s="3" t="str">
        <f t="array" ref="D2131">IF(B2131="","",INDEX(helper!$E$3:$E3996,MOD(ROW()-2,COUNTA(helper!$D$3:$D3996))+1))</f>
        <v/>
      </c>
      <c r="E2131" s="3" t="str">
        <f t="array" ref="E2131">IF(B2131="","",INDEX(helper!$F$3:$F3996,MOD(ROW()-2,COUNTA(helper!$D$3:$D3996))+1))</f>
        <v/>
      </c>
      <c r="F2131" s="3" t="str">
        <f>IF(B2131="","",SUMIFS('inventory ledger'!$H:$H,'inventory ledger'!$C:$C,C2131,'inventory ledger'!$D:$D,D2131,'inventory ledger'!$E:$E,E2131,'inventory ledger'!$A:$A,"&lt;="&amp;B2131+TIME(23,59,59))-SUMIFS('inventory ledger'!$I:$I,'inventory ledger'!$C:$C,C2131,'inventory ledger'!$D:$D,D2131,'inventory ledger'!$E:$E,E2131,'inventory ledger'!$A:$A,"&lt;="&amp;B2131+TIME(23,59,59)))</f>
        <v/>
      </c>
      <c r="G2131" s="3">
        <f>IFERROR(__xludf.DUMMYFUNCTION("IF(F2131&lt;=0,0,IFERROR(ROUNDUP(F2131/INDEX(FILTER('warehouse config'!$D:$D,('warehouse config'!$B:$B=C2131)*('warehouse config'!$C:$C=D2131)*('warehouse config'!$G:$G&lt;=B2131)*(('warehouse config'!$H:$H&gt;=B2131)+ISBLANK('warehouse config'!$H:$H))),1)),0))"),0.0)</f>
        <v>0</v>
      </c>
      <c r="H2131" s="3">
        <f>IFERROR(__xludf.DUMMYFUNCTION("IFERROR(INDEX(FILTER('cost master'!$E:$E,('cost master'!$B:$B=C2131)*('cost master'!$D:$D=""Storage cost per pallet / week"")*('cost master'!$G:$G&lt;=B2131)*(('cost master'!$H:$H&gt;=B2131)+ISBLANK('cost master'!$H:$H))),1),0)"),0.0)</f>
        <v>0</v>
      </c>
      <c r="I2131" s="3">
        <f t="shared" si="4"/>
        <v>0</v>
      </c>
      <c r="J2131" s="27">
        <f t="shared" si="5"/>
        <v>693947</v>
      </c>
      <c r="K2131" s="27">
        <f t="shared" si="6"/>
        <v>693977</v>
      </c>
    </row>
    <row r="2132" hidden="1">
      <c r="A2132" s="3" t="str">
        <f t="shared" si="3"/>
        <v/>
      </c>
      <c r="B2132" s="2" t="str">
        <f t="array" ref="B2132">INDEX(helper!$A$3:$A3996,ROUNDUP((ROW()-1)/COUNTA(helper!$D$3:$D3996),0))</f>
        <v/>
      </c>
      <c r="C2132" s="5" t="str">
        <f t="array" ref="C2132">IF(B2132="","",INDEX(helper!$D$3:$D3996,MOD(ROW()-2,COUNTA(helper!$D$3:$D3996))+1))</f>
        <v/>
      </c>
      <c r="D2132" s="3" t="str">
        <f t="array" ref="D2132">IF(B2132="","",INDEX(helper!$E$3:$E3996,MOD(ROW()-2,COUNTA(helper!$D$3:$D3996))+1))</f>
        <v/>
      </c>
      <c r="E2132" s="3" t="str">
        <f t="array" ref="E2132">IF(B2132="","",INDEX(helper!$F$3:$F3996,MOD(ROW()-2,COUNTA(helper!$D$3:$D3996))+1))</f>
        <v/>
      </c>
      <c r="F2132" s="3" t="str">
        <f>IF(B2132="","",SUMIFS('inventory ledger'!$H:$H,'inventory ledger'!$C:$C,C2132,'inventory ledger'!$D:$D,D2132,'inventory ledger'!$E:$E,E2132,'inventory ledger'!$A:$A,"&lt;="&amp;B2132+TIME(23,59,59))-SUMIFS('inventory ledger'!$I:$I,'inventory ledger'!$C:$C,C2132,'inventory ledger'!$D:$D,D2132,'inventory ledger'!$E:$E,E2132,'inventory ledger'!$A:$A,"&lt;="&amp;B2132+TIME(23,59,59)))</f>
        <v/>
      </c>
      <c r="G2132" s="3">
        <f>IFERROR(__xludf.DUMMYFUNCTION("IF(F2132&lt;=0,0,IFERROR(ROUNDUP(F2132/INDEX(FILTER('warehouse config'!$D:$D,('warehouse config'!$B:$B=C2132)*('warehouse config'!$C:$C=D2132)*('warehouse config'!$G:$G&lt;=B2132)*(('warehouse config'!$H:$H&gt;=B2132)+ISBLANK('warehouse config'!$H:$H))),1)),0))"),0.0)</f>
        <v>0</v>
      </c>
      <c r="H2132" s="3">
        <f>IFERROR(__xludf.DUMMYFUNCTION("IFERROR(INDEX(FILTER('cost master'!$E:$E,('cost master'!$B:$B=C2132)*('cost master'!$D:$D=""Storage cost per pallet / week"")*('cost master'!$G:$G&lt;=B2132)*(('cost master'!$H:$H&gt;=B2132)+ISBLANK('cost master'!$H:$H))),1),0)"),0.0)</f>
        <v>0</v>
      </c>
      <c r="I2132" s="3">
        <f t="shared" si="4"/>
        <v>0</v>
      </c>
      <c r="J2132" s="27">
        <f t="shared" si="5"/>
        <v>693947</v>
      </c>
      <c r="K2132" s="27">
        <f t="shared" si="6"/>
        <v>693977</v>
      </c>
    </row>
    <row r="2133" hidden="1">
      <c r="A2133" s="3" t="str">
        <f t="shared" si="3"/>
        <v/>
      </c>
      <c r="B2133" s="2" t="str">
        <f t="array" ref="B2133">INDEX(helper!$A$3:$A3996,ROUNDUP((ROW()-1)/COUNTA(helper!$D$3:$D3996),0))</f>
        <v/>
      </c>
      <c r="C2133" s="5" t="str">
        <f t="array" ref="C2133">IF(B2133="","",INDEX(helper!$D$3:$D3996,MOD(ROW()-2,COUNTA(helper!$D$3:$D3996))+1))</f>
        <v/>
      </c>
      <c r="D2133" s="3" t="str">
        <f t="array" ref="D2133">IF(B2133="","",INDEX(helper!$E$3:$E3996,MOD(ROW()-2,COUNTA(helper!$D$3:$D3996))+1))</f>
        <v/>
      </c>
      <c r="E2133" s="3" t="str">
        <f t="array" ref="E2133">IF(B2133="","",INDEX(helper!$F$3:$F3996,MOD(ROW()-2,COUNTA(helper!$D$3:$D3996))+1))</f>
        <v/>
      </c>
      <c r="F2133" s="3" t="str">
        <f>IF(B2133="","",SUMIFS('inventory ledger'!$H:$H,'inventory ledger'!$C:$C,C2133,'inventory ledger'!$D:$D,D2133,'inventory ledger'!$E:$E,E2133,'inventory ledger'!$A:$A,"&lt;="&amp;B2133+TIME(23,59,59))-SUMIFS('inventory ledger'!$I:$I,'inventory ledger'!$C:$C,C2133,'inventory ledger'!$D:$D,D2133,'inventory ledger'!$E:$E,E2133,'inventory ledger'!$A:$A,"&lt;="&amp;B2133+TIME(23,59,59)))</f>
        <v/>
      </c>
      <c r="G2133" s="3">
        <f>IFERROR(__xludf.DUMMYFUNCTION("IF(F2133&lt;=0,0,IFERROR(ROUNDUP(F2133/INDEX(FILTER('warehouse config'!$D:$D,('warehouse config'!$B:$B=C2133)*('warehouse config'!$C:$C=D2133)*('warehouse config'!$G:$G&lt;=B2133)*(('warehouse config'!$H:$H&gt;=B2133)+ISBLANK('warehouse config'!$H:$H))),1)),0))"),0.0)</f>
        <v>0</v>
      </c>
      <c r="H2133" s="3">
        <f>IFERROR(__xludf.DUMMYFUNCTION("IFERROR(INDEX(FILTER('cost master'!$E:$E,('cost master'!$B:$B=C2133)*('cost master'!$D:$D=""Storage cost per pallet / week"")*('cost master'!$G:$G&lt;=B2133)*(('cost master'!$H:$H&gt;=B2133)+ISBLANK('cost master'!$H:$H))),1),0)"),0.0)</f>
        <v>0</v>
      </c>
      <c r="I2133" s="3">
        <f t="shared" si="4"/>
        <v>0</v>
      </c>
      <c r="J2133" s="27">
        <f t="shared" si="5"/>
        <v>693947</v>
      </c>
      <c r="K2133" s="27">
        <f t="shared" si="6"/>
        <v>693977</v>
      </c>
    </row>
    <row r="2134" hidden="1">
      <c r="A2134" s="3" t="str">
        <f t="shared" si="3"/>
        <v/>
      </c>
      <c r="B2134" s="2" t="str">
        <f t="array" ref="B2134">INDEX(helper!$A$3:$A3996,ROUNDUP((ROW()-1)/COUNTA(helper!$D$3:$D3996),0))</f>
        <v/>
      </c>
      <c r="C2134" s="5" t="str">
        <f t="array" ref="C2134">IF(B2134="","",INDEX(helper!$D$3:$D3996,MOD(ROW()-2,COUNTA(helper!$D$3:$D3996))+1))</f>
        <v/>
      </c>
      <c r="D2134" s="3" t="str">
        <f t="array" ref="D2134">IF(B2134="","",INDEX(helper!$E$3:$E3996,MOD(ROW()-2,COUNTA(helper!$D$3:$D3996))+1))</f>
        <v/>
      </c>
      <c r="E2134" s="3" t="str">
        <f t="array" ref="E2134">IF(B2134="","",INDEX(helper!$F$3:$F3996,MOD(ROW()-2,COUNTA(helper!$D$3:$D3996))+1))</f>
        <v/>
      </c>
      <c r="F2134" s="3" t="str">
        <f>IF(B2134="","",SUMIFS('inventory ledger'!$H:$H,'inventory ledger'!$C:$C,C2134,'inventory ledger'!$D:$D,D2134,'inventory ledger'!$E:$E,E2134,'inventory ledger'!$A:$A,"&lt;="&amp;B2134+TIME(23,59,59))-SUMIFS('inventory ledger'!$I:$I,'inventory ledger'!$C:$C,C2134,'inventory ledger'!$D:$D,D2134,'inventory ledger'!$E:$E,E2134,'inventory ledger'!$A:$A,"&lt;="&amp;B2134+TIME(23,59,59)))</f>
        <v/>
      </c>
      <c r="G2134" s="3">
        <f>IFERROR(__xludf.DUMMYFUNCTION("IF(F2134&lt;=0,0,IFERROR(ROUNDUP(F2134/INDEX(FILTER('warehouse config'!$D:$D,('warehouse config'!$B:$B=C2134)*('warehouse config'!$C:$C=D2134)*('warehouse config'!$G:$G&lt;=B2134)*(('warehouse config'!$H:$H&gt;=B2134)+ISBLANK('warehouse config'!$H:$H))),1)),0))"),0.0)</f>
        <v>0</v>
      </c>
      <c r="H2134" s="3">
        <f>IFERROR(__xludf.DUMMYFUNCTION("IFERROR(INDEX(FILTER('cost master'!$E:$E,('cost master'!$B:$B=C2134)*('cost master'!$D:$D=""Storage cost per pallet / week"")*('cost master'!$G:$G&lt;=B2134)*(('cost master'!$H:$H&gt;=B2134)+ISBLANK('cost master'!$H:$H))),1),0)"),0.0)</f>
        <v>0</v>
      </c>
      <c r="I2134" s="3">
        <f t="shared" si="4"/>
        <v>0</v>
      </c>
      <c r="J2134" s="27">
        <f t="shared" si="5"/>
        <v>693947</v>
      </c>
      <c r="K2134" s="27">
        <f t="shared" si="6"/>
        <v>693977</v>
      </c>
    </row>
    <row r="2135" hidden="1">
      <c r="A2135" s="3" t="str">
        <f t="shared" si="3"/>
        <v/>
      </c>
      <c r="B2135" s="2" t="str">
        <f t="array" ref="B2135">INDEX(helper!$A$3:$A3996,ROUNDUP((ROW()-1)/COUNTA(helper!$D$3:$D3996),0))</f>
        <v/>
      </c>
      <c r="C2135" s="5" t="str">
        <f t="array" ref="C2135">IF(B2135="","",INDEX(helper!$D$3:$D3996,MOD(ROW()-2,COUNTA(helper!$D$3:$D3996))+1))</f>
        <v/>
      </c>
      <c r="D2135" s="3" t="str">
        <f t="array" ref="D2135">IF(B2135="","",INDEX(helper!$E$3:$E3996,MOD(ROW()-2,COUNTA(helper!$D$3:$D3996))+1))</f>
        <v/>
      </c>
      <c r="E2135" s="3" t="str">
        <f t="array" ref="E2135">IF(B2135="","",INDEX(helper!$F$3:$F3996,MOD(ROW()-2,COUNTA(helper!$D$3:$D3996))+1))</f>
        <v/>
      </c>
      <c r="F2135" s="3" t="str">
        <f>IF(B2135="","",SUMIFS('inventory ledger'!$H:$H,'inventory ledger'!$C:$C,C2135,'inventory ledger'!$D:$D,D2135,'inventory ledger'!$E:$E,E2135,'inventory ledger'!$A:$A,"&lt;="&amp;B2135+TIME(23,59,59))-SUMIFS('inventory ledger'!$I:$I,'inventory ledger'!$C:$C,C2135,'inventory ledger'!$D:$D,D2135,'inventory ledger'!$E:$E,E2135,'inventory ledger'!$A:$A,"&lt;="&amp;B2135+TIME(23,59,59)))</f>
        <v/>
      </c>
      <c r="G2135" s="3">
        <f>IFERROR(__xludf.DUMMYFUNCTION("IF(F2135&lt;=0,0,IFERROR(ROUNDUP(F2135/INDEX(FILTER('warehouse config'!$D:$D,('warehouse config'!$B:$B=C2135)*('warehouse config'!$C:$C=D2135)*('warehouse config'!$G:$G&lt;=B2135)*(('warehouse config'!$H:$H&gt;=B2135)+ISBLANK('warehouse config'!$H:$H))),1)),0))"),0.0)</f>
        <v>0</v>
      </c>
      <c r="H2135" s="3">
        <f>IFERROR(__xludf.DUMMYFUNCTION("IFERROR(INDEX(FILTER('cost master'!$E:$E,('cost master'!$B:$B=C2135)*('cost master'!$D:$D=""Storage cost per pallet / week"")*('cost master'!$G:$G&lt;=B2135)*(('cost master'!$H:$H&gt;=B2135)+ISBLANK('cost master'!$H:$H))),1),0)"),0.0)</f>
        <v>0</v>
      </c>
      <c r="I2135" s="3">
        <f t="shared" si="4"/>
        <v>0</v>
      </c>
      <c r="J2135" s="27">
        <f t="shared" si="5"/>
        <v>693947</v>
      </c>
      <c r="K2135" s="27">
        <f t="shared" si="6"/>
        <v>693977</v>
      </c>
    </row>
    <row r="2136" hidden="1">
      <c r="A2136" s="3" t="str">
        <f t="shared" si="3"/>
        <v/>
      </c>
      <c r="B2136" s="2" t="str">
        <f t="array" ref="B2136">INDEX(helper!$A$3:$A3996,ROUNDUP((ROW()-1)/COUNTA(helper!$D$3:$D3996),0))</f>
        <v/>
      </c>
      <c r="C2136" s="5" t="str">
        <f t="array" ref="C2136">IF(B2136="","",INDEX(helper!$D$3:$D3996,MOD(ROW()-2,COUNTA(helper!$D$3:$D3996))+1))</f>
        <v/>
      </c>
      <c r="D2136" s="3" t="str">
        <f t="array" ref="D2136">IF(B2136="","",INDEX(helper!$E$3:$E3996,MOD(ROW()-2,COUNTA(helper!$D$3:$D3996))+1))</f>
        <v/>
      </c>
      <c r="E2136" s="3" t="str">
        <f t="array" ref="E2136">IF(B2136="","",INDEX(helper!$F$3:$F3996,MOD(ROW()-2,COUNTA(helper!$D$3:$D3996))+1))</f>
        <v/>
      </c>
      <c r="F2136" s="3" t="str">
        <f>IF(B2136="","",SUMIFS('inventory ledger'!$H:$H,'inventory ledger'!$C:$C,C2136,'inventory ledger'!$D:$D,D2136,'inventory ledger'!$E:$E,E2136,'inventory ledger'!$A:$A,"&lt;="&amp;B2136+TIME(23,59,59))-SUMIFS('inventory ledger'!$I:$I,'inventory ledger'!$C:$C,C2136,'inventory ledger'!$D:$D,D2136,'inventory ledger'!$E:$E,E2136,'inventory ledger'!$A:$A,"&lt;="&amp;B2136+TIME(23,59,59)))</f>
        <v/>
      </c>
      <c r="G2136" s="3">
        <f>IFERROR(__xludf.DUMMYFUNCTION("IF(F2136&lt;=0,0,IFERROR(ROUNDUP(F2136/INDEX(FILTER('warehouse config'!$D:$D,('warehouse config'!$B:$B=C2136)*('warehouse config'!$C:$C=D2136)*('warehouse config'!$G:$G&lt;=B2136)*(('warehouse config'!$H:$H&gt;=B2136)+ISBLANK('warehouse config'!$H:$H))),1)),0))"),0.0)</f>
        <v>0</v>
      </c>
      <c r="H2136" s="3">
        <f>IFERROR(__xludf.DUMMYFUNCTION("IFERROR(INDEX(FILTER('cost master'!$E:$E,('cost master'!$B:$B=C2136)*('cost master'!$D:$D=""Storage cost per pallet / week"")*('cost master'!$G:$G&lt;=B2136)*(('cost master'!$H:$H&gt;=B2136)+ISBLANK('cost master'!$H:$H))),1),0)"),0.0)</f>
        <v>0</v>
      </c>
      <c r="I2136" s="3">
        <f t="shared" si="4"/>
        <v>0</v>
      </c>
      <c r="J2136" s="27">
        <f t="shared" si="5"/>
        <v>693947</v>
      </c>
      <c r="K2136" s="27">
        <f t="shared" si="6"/>
        <v>693977</v>
      </c>
    </row>
    <row r="2137" hidden="1">
      <c r="A2137" s="3" t="str">
        <f t="shared" si="3"/>
        <v/>
      </c>
      <c r="B2137" s="2" t="str">
        <f t="array" ref="B2137">INDEX(helper!$A$3:$A3996,ROUNDUP((ROW()-1)/COUNTA(helper!$D$3:$D3996),0))</f>
        <v/>
      </c>
      <c r="C2137" s="5" t="str">
        <f t="array" ref="C2137">IF(B2137="","",INDEX(helper!$D$3:$D3996,MOD(ROW()-2,COUNTA(helper!$D$3:$D3996))+1))</f>
        <v/>
      </c>
      <c r="D2137" s="3" t="str">
        <f t="array" ref="D2137">IF(B2137="","",INDEX(helper!$E$3:$E3996,MOD(ROW()-2,COUNTA(helper!$D$3:$D3996))+1))</f>
        <v/>
      </c>
      <c r="E2137" s="3" t="str">
        <f t="array" ref="E2137">IF(B2137="","",INDEX(helper!$F$3:$F3996,MOD(ROW()-2,COUNTA(helper!$D$3:$D3996))+1))</f>
        <v/>
      </c>
      <c r="F2137" s="3" t="str">
        <f>IF(B2137="","",SUMIFS('inventory ledger'!$H:$H,'inventory ledger'!$C:$C,C2137,'inventory ledger'!$D:$D,D2137,'inventory ledger'!$E:$E,E2137,'inventory ledger'!$A:$A,"&lt;="&amp;B2137+TIME(23,59,59))-SUMIFS('inventory ledger'!$I:$I,'inventory ledger'!$C:$C,C2137,'inventory ledger'!$D:$D,D2137,'inventory ledger'!$E:$E,E2137,'inventory ledger'!$A:$A,"&lt;="&amp;B2137+TIME(23,59,59)))</f>
        <v/>
      </c>
      <c r="G2137" s="3">
        <f>IFERROR(__xludf.DUMMYFUNCTION("IF(F2137&lt;=0,0,IFERROR(ROUNDUP(F2137/INDEX(FILTER('warehouse config'!$D:$D,('warehouse config'!$B:$B=C2137)*('warehouse config'!$C:$C=D2137)*('warehouse config'!$G:$G&lt;=B2137)*(('warehouse config'!$H:$H&gt;=B2137)+ISBLANK('warehouse config'!$H:$H))),1)),0))"),0.0)</f>
        <v>0</v>
      </c>
      <c r="H2137" s="3">
        <f>IFERROR(__xludf.DUMMYFUNCTION("IFERROR(INDEX(FILTER('cost master'!$E:$E,('cost master'!$B:$B=C2137)*('cost master'!$D:$D=""Storage cost per pallet / week"")*('cost master'!$G:$G&lt;=B2137)*(('cost master'!$H:$H&gt;=B2137)+ISBLANK('cost master'!$H:$H))),1),0)"),0.0)</f>
        <v>0</v>
      </c>
      <c r="I2137" s="3">
        <f t="shared" si="4"/>
        <v>0</v>
      </c>
      <c r="J2137" s="27">
        <f t="shared" si="5"/>
        <v>693947</v>
      </c>
      <c r="K2137" s="27">
        <f t="shared" si="6"/>
        <v>693977</v>
      </c>
    </row>
    <row r="2138" hidden="1">
      <c r="A2138" s="3" t="str">
        <f t="shared" si="3"/>
        <v/>
      </c>
      <c r="B2138" s="2" t="str">
        <f t="array" ref="B2138">INDEX(helper!$A$3:$A3996,ROUNDUP((ROW()-1)/COUNTA(helper!$D$3:$D3996),0))</f>
        <v/>
      </c>
      <c r="C2138" s="5" t="str">
        <f t="array" ref="C2138">IF(B2138="","",INDEX(helper!$D$3:$D3996,MOD(ROW()-2,COUNTA(helper!$D$3:$D3996))+1))</f>
        <v/>
      </c>
      <c r="D2138" s="3" t="str">
        <f t="array" ref="D2138">IF(B2138="","",INDEX(helper!$E$3:$E3996,MOD(ROW()-2,COUNTA(helper!$D$3:$D3996))+1))</f>
        <v/>
      </c>
      <c r="E2138" s="3" t="str">
        <f t="array" ref="E2138">IF(B2138="","",INDEX(helper!$F$3:$F3996,MOD(ROW()-2,COUNTA(helper!$D$3:$D3996))+1))</f>
        <v/>
      </c>
      <c r="F2138" s="3" t="str">
        <f>IF(B2138="","",SUMIFS('inventory ledger'!$H:$H,'inventory ledger'!$C:$C,C2138,'inventory ledger'!$D:$D,D2138,'inventory ledger'!$E:$E,E2138,'inventory ledger'!$A:$A,"&lt;="&amp;B2138+TIME(23,59,59))-SUMIFS('inventory ledger'!$I:$I,'inventory ledger'!$C:$C,C2138,'inventory ledger'!$D:$D,D2138,'inventory ledger'!$E:$E,E2138,'inventory ledger'!$A:$A,"&lt;="&amp;B2138+TIME(23,59,59)))</f>
        <v/>
      </c>
      <c r="G2138" s="3">
        <f>IFERROR(__xludf.DUMMYFUNCTION("IF(F2138&lt;=0,0,IFERROR(ROUNDUP(F2138/INDEX(FILTER('warehouse config'!$D:$D,('warehouse config'!$B:$B=C2138)*('warehouse config'!$C:$C=D2138)*('warehouse config'!$G:$G&lt;=B2138)*(('warehouse config'!$H:$H&gt;=B2138)+ISBLANK('warehouse config'!$H:$H))),1)),0))"),0.0)</f>
        <v>0</v>
      </c>
      <c r="H2138" s="3">
        <f>IFERROR(__xludf.DUMMYFUNCTION("IFERROR(INDEX(FILTER('cost master'!$E:$E,('cost master'!$B:$B=C2138)*('cost master'!$D:$D=""Storage cost per pallet / week"")*('cost master'!$G:$G&lt;=B2138)*(('cost master'!$H:$H&gt;=B2138)+ISBLANK('cost master'!$H:$H))),1),0)"),0.0)</f>
        <v>0</v>
      </c>
      <c r="I2138" s="3">
        <f t="shared" si="4"/>
        <v>0</v>
      </c>
      <c r="J2138" s="27">
        <f t="shared" si="5"/>
        <v>693947</v>
      </c>
      <c r="K2138" s="27">
        <f t="shared" si="6"/>
        <v>693977</v>
      </c>
    </row>
    <row r="2139" hidden="1">
      <c r="A2139" s="3" t="str">
        <f t="shared" si="3"/>
        <v/>
      </c>
      <c r="B2139" s="2" t="str">
        <f t="array" ref="B2139">INDEX(helper!$A$3:$A3996,ROUNDUP((ROW()-1)/COUNTA(helper!$D$3:$D3996),0))</f>
        <v/>
      </c>
      <c r="C2139" s="5" t="str">
        <f t="array" ref="C2139">IF(B2139="","",INDEX(helper!$D$3:$D3996,MOD(ROW()-2,COUNTA(helper!$D$3:$D3996))+1))</f>
        <v/>
      </c>
      <c r="D2139" s="3" t="str">
        <f t="array" ref="D2139">IF(B2139="","",INDEX(helper!$E$3:$E3996,MOD(ROW()-2,COUNTA(helper!$D$3:$D3996))+1))</f>
        <v/>
      </c>
      <c r="E2139" s="3" t="str">
        <f t="array" ref="E2139">IF(B2139="","",INDEX(helper!$F$3:$F3996,MOD(ROW()-2,COUNTA(helper!$D$3:$D3996))+1))</f>
        <v/>
      </c>
      <c r="F2139" s="3" t="str">
        <f>IF(B2139="","",SUMIFS('inventory ledger'!$H:$H,'inventory ledger'!$C:$C,C2139,'inventory ledger'!$D:$D,D2139,'inventory ledger'!$E:$E,E2139,'inventory ledger'!$A:$A,"&lt;="&amp;B2139+TIME(23,59,59))-SUMIFS('inventory ledger'!$I:$I,'inventory ledger'!$C:$C,C2139,'inventory ledger'!$D:$D,D2139,'inventory ledger'!$E:$E,E2139,'inventory ledger'!$A:$A,"&lt;="&amp;B2139+TIME(23,59,59)))</f>
        <v/>
      </c>
      <c r="G2139" s="3">
        <f>IFERROR(__xludf.DUMMYFUNCTION("IF(F2139&lt;=0,0,IFERROR(ROUNDUP(F2139/INDEX(FILTER('warehouse config'!$D:$D,('warehouse config'!$B:$B=C2139)*('warehouse config'!$C:$C=D2139)*('warehouse config'!$G:$G&lt;=B2139)*(('warehouse config'!$H:$H&gt;=B2139)+ISBLANK('warehouse config'!$H:$H))),1)),0))"),0.0)</f>
        <v>0</v>
      </c>
      <c r="H2139" s="3">
        <f>IFERROR(__xludf.DUMMYFUNCTION("IFERROR(INDEX(FILTER('cost master'!$E:$E,('cost master'!$B:$B=C2139)*('cost master'!$D:$D=""Storage cost per pallet / week"")*('cost master'!$G:$G&lt;=B2139)*(('cost master'!$H:$H&gt;=B2139)+ISBLANK('cost master'!$H:$H))),1),0)"),0.0)</f>
        <v>0</v>
      </c>
      <c r="I2139" s="3">
        <f t="shared" si="4"/>
        <v>0</v>
      </c>
      <c r="J2139" s="27">
        <f t="shared" si="5"/>
        <v>693947</v>
      </c>
      <c r="K2139" s="27">
        <f t="shared" si="6"/>
        <v>693977</v>
      </c>
    </row>
    <row r="2140" hidden="1">
      <c r="A2140" s="3" t="str">
        <f t="shared" si="3"/>
        <v/>
      </c>
      <c r="B2140" s="2" t="str">
        <f t="array" ref="B2140">INDEX(helper!$A$3:$A3996,ROUNDUP((ROW()-1)/COUNTA(helper!$D$3:$D3996),0))</f>
        <v/>
      </c>
      <c r="C2140" s="5" t="str">
        <f t="array" ref="C2140">IF(B2140="","",INDEX(helper!$D$3:$D3996,MOD(ROW()-2,COUNTA(helper!$D$3:$D3996))+1))</f>
        <v/>
      </c>
      <c r="D2140" s="3" t="str">
        <f t="array" ref="D2140">IF(B2140="","",INDEX(helper!$E$3:$E3996,MOD(ROW()-2,COUNTA(helper!$D$3:$D3996))+1))</f>
        <v/>
      </c>
      <c r="E2140" s="3" t="str">
        <f t="array" ref="E2140">IF(B2140="","",INDEX(helper!$F$3:$F3996,MOD(ROW()-2,COUNTA(helper!$D$3:$D3996))+1))</f>
        <v/>
      </c>
      <c r="F2140" s="3" t="str">
        <f>IF(B2140="","",SUMIFS('inventory ledger'!$H:$H,'inventory ledger'!$C:$C,C2140,'inventory ledger'!$D:$D,D2140,'inventory ledger'!$E:$E,E2140,'inventory ledger'!$A:$A,"&lt;="&amp;B2140+TIME(23,59,59))-SUMIFS('inventory ledger'!$I:$I,'inventory ledger'!$C:$C,C2140,'inventory ledger'!$D:$D,D2140,'inventory ledger'!$E:$E,E2140,'inventory ledger'!$A:$A,"&lt;="&amp;B2140+TIME(23,59,59)))</f>
        <v/>
      </c>
      <c r="G2140" s="3">
        <f>IFERROR(__xludf.DUMMYFUNCTION("IF(F2140&lt;=0,0,IFERROR(ROUNDUP(F2140/INDEX(FILTER('warehouse config'!$D:$D,('warehouse config'!$B:$B=C2140)*('warehouse config'!$C:$C=D2140)*('warehouse config'!$G:$G&lt;=B2140)*(('warehouse config'!$H:$H&gt;=B2140)+ISBLANK('warehouse config'!$H:$H))),1)),0))"),0.0)</f>
        <v>0</v>
      </c>
      <c r="H2140" s="3">
        <f>IFERROR(__xludf.DUMMYFUNCTION("IFERROR(INDEX(FILTER('cost master'!$E:$E,('cost master'!$B:$B=C2140)*('cost master'!$D:$D=""Storage cost per pallet / week"")*('cost master'!$G:$G&lt;=B2140)*(('cost master'!$H:$H&gt;=B2140)+ISBLANK('cost master'!$H:$H))),1),0)"),0.0)</f>
        <v>0</v>
      </c>
      <c r="I2140" s="3">
        <f t="shared" si="4"/>
        <v>0</v>
      </c>
      <c r="J2140" s="27">
        <f t="shared" si="5"/>
        <v>693947</v>
      </c>
      <c r="K2140" s="27">
        <f t="shared" si="6"/>
        <v>693977</v>
      </c>
    </row>
    <row r="2141" hidden="1">
      <c r="A2141" s="3" t="str">
        <f t="shared" si="3"/>
        <v/>
      </c>
      <c r="B2141" s="2" t="str">
        <f t="array" ref="B2141">INDEX(helper!$A$3:$A3996,ROUNDUP((ROW()-1)/COUNTA(helper!$D$3:$D3996),0))</f>
        <v/>
      </c>
      <c r="C2141" s="5" t="str">
        <f t="array" ref="C2141">IF(B2141="","",INDEX(helper!$D$3:$D3996,MOD(ROW()-2,COUNTA(helper!$D$3:$D3996))+1))</f>
        <v/>
      </c>
      <c r="D2141" s="3" t="str">
        <f t="array" ref="D2141">IF(B2141="","",INDEX(helper!$E$3:$E3996,MOD(ROW()-2,COUNTA(helper!$D$3:$D3996))+1))</f>
        <v/>
      </c>
      <c r="E2141" s="3" t="str">
        <f t="array" ref="E2141">IF(B2141="","",INDEX(helper!$F$3:$F3996,MOD(ROW()-2,COUNTA(helper!$D$3:$D3996))+1))</f>
        <v/>
      </c>
      <c r="F2141" s="3" t="str">
        <f>IF(B2141="","",SUMIFS('inventory ledger'!$H:$H,'inventory ledger'!$C:$C,C2141,'inventory ledger'!$D:$D,D2141,'inventory ledger'!$E:$E,E2141,'inventory ledger'!$A:$A,"&lt;="&amp;B2141+TIME(23,59,59))-SUMIFS('inventory ledger'!$I:$I,'inventory ledger'!$C:$C,C2141,'inventory ledger'!$D:$D,D2141,'inventory ledger'!$E:$E,E2141,'inventory ledger'!$A:$A,"&lt;="&amp;B2141+TIME(23,59,59)))</f>
        <v/>
      </c>
      <c r="G2141" s="3">
        <f>IFERROR(__xludf.DUMMYFUNCTION("IF(F2141&lt;=0,0,IFERROR(ROUNDUP(F2141/INDEX(FILTER('warehouse config'!$D:$D,('warehouse config'!$B:$B=C2141)*('warehouse config'!$C:$C=D2141)*('warehouse config'!$G:$G&lt;=B2141)*(('warehouse config'!$H:$H&gt;=B2141)+ISBLANK('warehouse config'!$H:$H))),1)),0))"),0.0)</f>
        <v>0</v>
      </c>
      <c r="H2141" s="3">
        <f>IFERROR(__xludf.DUMMYFUNCTION("IFERROR(INDEX(FILTER('cost master'!$E:$E,('cost master'!$B:$B=C2141)*('cost master'!$D:$D=""Storage cost per pallet / week"")*('cost master'!$G:$G&lt;=B2141)*(('cost master'!$H:$H&gt;=B2141)+ISBLANK('cost master'!$H:$H))),1),0)"),0.0)</f>
        <v>0</v>
      </c>
      <c r="I2141" s="3">
        <f t="shared" si="4"/>
        <v>0</v>
      </c>
      <c r="J2141" s="27">
        <f t="shared" si="5"/>
        <v>693947</v>
      </c>
      <c r="K2141" s="27">
        <f t="shared" si="6"/>
        <v>693977</v>
      </c>
    </row>
    <row r="2142" hidden="1">
      <c r="A2142" s="3" t="str">
        <f t="shared" si="3"/>
        <v/>
      </c>
      <c r="B2142" s="2" t="str">
        <f t="array" ref="B2142">INDEX(helper!$A$3:$A3996,ROUNDUP((ROW()-1)/COUNTA(helper!$D$3:$D3996),0))</f>
        <v/>
      </c>
      <c r="C2142" s="5" t="str">
        <f t="array" ref="C2142">IF(B2142="","",INDEX(helper!$D$3:$D3996,MOD(ROW()-2,COUNTA(helper!$D$3:$D3996))+1))</f>
        <v/>
      </c>
      <c r="D2142" s="3" t="str">
        <f t="array" ref="D2142">IF(B2142="","",INDEX(helper!$E$3:$E3996,MOD(ROW()-2,COUNTA(helper!$D$3:$D3996))+1))</f>
        <v/>
      </c>
      <c r="E2142" s="3" t="str">
        <f t="array" ref="E2142">IF(B2142="","",INDEX(helper!$F$3:$F3996,MOD(ROW()-2,COUNTA(helper!$D$3:$D3996))+1))</f>
        <v/>
      </c>
      <c r="F2142" s="3" t="str">
        <f>IF(B2142="","",SUMIFS('inventory ledger'!$H:$H,'inventory ledger'!$C:$C,C2142,'inventory ledger'!$D:$D,D2142,'inventory ledger'!$E:$E,E2142,'inventory ledger'!$A:$A,"&lt;="&amp;B2142+TIME(23,59,59))-SUMIFS('inventory ledger'!$I:$I,'inventory ledger'!$C:$C,C2142,'inventory ledger'!$D:$D,D2142,'inventory ledger'!$E:$E,E2142,'inventory ledger'!$A:$A,"&lt;="&amp;B2142+TIME(23,59,59)))</f>
        <v/>
      </c>
      <c r="G2142" s="3">
        <f>IFERROR(__xludf.DUMMYFUNCTION("IF(F2142&lt;=0,0,IFERROR(ROUNDUP(F2142/INDEX(FILTER('warehouse config'!$D:$D,('warehouse config'!$B:$B=C2142)*('warehouse config'!$C:$C=D2142)*('warehouse config'!$G:$G&lt;=B2142)*(('warehouse config'!$H:$H&gt;=B2142)+ISBLANK('warehouse config'!$H:$H))),1)),0))"),0.0)</f>
        <v>0</v>
      </c>
      <c r="H2142" s="3">
        <f>IFERROR(__xludf.DUMMYFUNCTION("IFERROR(INDEX(FILTER('cost master'!$E:$E,('cost master'!$B:$B=C2142)*('cost master'!$D:$D=""Storage cost per pallet / week"")*('cost master'!$G:$G&lt;=B2142)*(('cost master'!$H:$H&gt;=B2142)+ISBLANK('cost master'!$H:$H))),1),0)"),0.0)</f>
        <v>0</v>
      </c>
      <c r="I2142" s="3">
        <f t="shared" si="4"/>
        <v>0</v>
      </c>
      <c r="J2142" s="27">
        <f t="shared" si="5"/>
        <v>693947</v>
      </c>
      <c r="K2142" s="27">
        <f t="shared" si="6"/>
        <v>693977</v>
      </c>
    </row>
    <row r="2143" hidden="1">
      <c r="A2143" s="3" t="str">
        <f t="shared" si="3"/>
        <v/>
      </c>
      <c r="B2143" s="2" t="str">
        <f t="array" ref="B2143">INDEX(helper!$A$3:$A3996,ROUNDUP((ROW()-1)/COUNTA(helper!$D$3:$D3996),0))</f>
        <v/>
      </c>
      <c r="C2143" s="5" t="str">
        <f t="array" ref="C2143">IF(B2143="","",INDEX(helper!$D$3:$D3996,MOD(ROW()-2,COUNTA(helper!$D$3:$D3996))+1))</f>
        <v/>
      </c>
      <c r="D2143" s="3" t="str">
        <f t="array" ref="D2143">IF(B2143="","",INDEX(helper!$E$3:$E3996,MOD(ROW()-2,COUNTA(helper!$D$3:$D3996))+1))</f>
        <v/>
      </c>
      <c r="E2143" s="3" t="str">
        <f t="array" ref="E2143">IF(B2143="","",INDEX(helper!$F$3:$F3996,MOD(ROW()-2,COUNTA(helper!$D$3:$D3996))+1))</f>
        <v/>
      </c>
      <c r="F2143" s="3" t="str">
        <f>IF(B2143="","",SUMIFS('inventory ledger'!$H:$H,'inventory ledger'!$C:$C,C2143,'inventory ledger'!$D:$D,D2143,'inventory ledger'!$E:$E,E2143,'inventory ledger'!$A:$A,"&lt;="&amp;B2143+TIME(23,59,59))-SUMIFS('inventory ledger'!$I:$I,'inventory ledger'!$C:$C,C2143,'inventory ledger'!$D:$D,D2143,'inventory ledger'!$E:$E,E2143,'inventory ledger'!$A:$A,"&lt;="&amp;B2143+TIME(23,59,59)))</f>
        <v/>
      </c>
      <c r="G2143" s="3">
        <f>IFERROR(__xludf.DUMMYFUNCTION("IF(F2143&lt;=0,0,IFERROR(ROUNDUP(F2143/INDEX(FILTER('warehouse config'!$D:$D,('warehouse config'!$B:$B=C2143)*('warehouse config'!$C:$C=D2143)*('warehouse config'!$G:$G&lt;=B2143)*(('warehouse config'!$H:$H&gt;=B2143)+ISBLANK('warehouse config'!$H:$H))),1)),0))"),0.0)</f>
        <v>0</v>
      </c>
      <c r="H2143" s="3">
        <f>IFERROR(__xludf.DUMMYFUNCTION("IFERROR(INDEX(FILTER('cost master'!$E:$E,('cost master'!$B:$B=C2143)*('cost master'!$D:$D=""Storage cost per pallet / week"")*('cost master'!$G:$G&lt;=B2143)*(('cost master'!$H:$H&gt;=B2143)+ISBLANK('cost master'!$H:$H))),1),0)"),0.0)</f>
        <v>0</v>
      </c>
      <c r="I2143" s="3">
        <f t="shared" si="4"/>
        <v>0</v>
      </c>
      <c r="J2143" s="27">
        <f t="shared" si="5"/>
        <v>693947</v>
      </c>
      <c r="K2143" s="27">
        <f t="shared" si="6"/>
        <v>693977</v>
      </c>
    </row>
    <row r="2144" hidden="1">
      <c r="A2144" s="3" t="str">
        <f t="shared" si="3"/>
        <v/>
      </c>
      <c r="B2144" s="2" t="str">
        <f t="array" ref="B2144">INDEX(helper!$A$3:$A3996,ROUNDUP((ROW()-1)/COUNTA(helper!$D$3:$D3996),0))</f>
        <v/>
      </c>
      <c r="C2144" s="5" t="str">
        <f t="array" ref="C2144">IF(B2144="","",INDEX(helper!$D$3:$D3996,MOD(ROW()-2,COUNTA(helper!$D$3:$D3996))+1))</f>
        <v/>
      </c>
      <c r="D2144" s="3" t="str">
        <f t="array" ref="D2144">IF(B2144="","",INDEX(helper!$E$3:$E3996,MOD(ROW()-2,COUNTA(helper!$D$3:$D3996))+1))</f>
        <v/>
      </c>
      <c r="E2144" s="3" t="str">
        <f t="array" ref="E2144">IF(B2144="","",INDEX(helper!$F$3:$F3996,MOD(ROW()-2,COUNTA(helper!$D$3:$D3996))+1))</f>
        <v/>
      </c>
      <c r="F2144" s="3" t="str">
        <f>IF(B2144="","",SUMIFS('inventory ledger'!$H:$H,'inventory ledger'!$C:$C,C2144,'inventory ledger'!$D:$D,D2144,'inventory ledger'!$E:$E,E2144,'inventory ledger'!$A:$A,"&lt;="&amp;B2144+TIME(23,59,59))-SUMIFS('inventory ledger'!$I:$I,'inventory ledger'!$C:$C,C2144,'inventory ledger'!$D:$D,D2144,'inventory ledger'!$E:$E,E2144,'inventory ledger'!$A:$A,"&lt;="&amp;B2144+TIME(23,59,59)))</f>
        <v/>
      </c>
      <c r="G2144" s="3">
        <f>IFERROR(__xludf.DUMMYFUNCTION("IF(F2144&lt;=0,0,IFERROR(ROUNDUP(F2144/INDEX(FILTER('warehouse config'!$D:$D,('warehouse config'!$B:$B=C2144)*('warehouse config'!$C:$C=D2144)*('warehouse config'!$G:$G&lt;=B2144)*(('warehouse config'!$H:$H&gt;=B2144)+ISBLANK('warehouse config'!$H:$H))),1)),0))"),0.0)</f>
        <v>0</v>
      </c>
      <c r="H2144" s="3">
        <f>IFERROR(__xludf.DUMMYFUNCTION("IFERROR(INDEX(FILTER('cost master'!$E:$E,('cost master'!$B:$B=C2144)*('cost master'!$D:$D=""Storage cost per pallet / week"")*('cost master'!$G:$G&lt;=B2144)*(('cost master'!$H:$H&gt;=B2144)+ISBLANK('cost master'!$H:$H))),1),0)"),0.0)</f>
        <v>0</v>
      </c>
      <c r="I2144" s="3">
        <f t="shared" si="4"/>
        <v>0</v>
      </c>
      <c r="J2144" s="27">
        <f t="shared" si="5"/>
        <v>693947</v>
      </c>
      <c r="K2144" s="27">
        <f t="shared" si="6"/>
        <v>693977</v>
      </c>
    </row>
    <row r="2145" hidden="1">
      <c r="A2145" s="3" t="str">
        <f t="shared" si="3"/>
        <v/>
      </c>
      <c r="B2145" s="2" t="str">
        <f t="array" ref="B2145">INDEX(helper!$A$3:$A3996,ROUNDUP((ROW()-1)/COUNTA(helper!$D$3:$D3996),0))</f>
        <v/>
      </c>
      <c r="C2145" s="5" t="str">
        <f t="array" ref="C2145">IF(B2145="","",INDEX(helper!$D$3:$D3996,MOD(ROW()-2,COUNTA(helper!$D$3:$D3996))+1))</f>
        <v/>
      </c>
      <c r="D2145" s="3" t="str">
        <f t="array" ref="D2145">IF(B2145="","",INDEX(helper!$E$3:$E3996,MOD(ROW()-2,COUNTA(helper!$D$3:$D3996))+1))</f>
        <v/>
      </c>
      <c r="E2145" s="3" t="str">
        <f t="array" ref="E2145">IF(B2145="","",INDEX(helper!$F$3:$F3996,MOD(ROW()-2,COUNTA(helper!$D$3:$D3996))+1))</f>
        <v/>
      </c>
      <c r="F2145" s="3" t="str">
        <f>IF(B2145="","",SUMIFS('inventory ledger'!$H:$H,'inventory ledger'!$C:$C,C2145,'inventory ledger'!$D:$D,D2145,'inventory ledger'!$E:$E,E2145,'inventory ledger'!$A:$A,"&lt;="&amp;B2145+TIME(23,59,59))-SUMIFS('inventory ledger'!$I:$I,'inventory ledger'!$C:$C,C2145,'inventory ledger'!$D:$D,D2145,'inventory ledger'!$E:$E,E2145,'inventory ledger'!$A:$A,"&lt;="&amp;B2145+TIME(23,59,59)))</f>
        <v/>
      </c>
      <c r="G2145" s="3">
        <f>IFERROR(__xludf.DUMMYFUNCTION("IF(F2145&lt;=0,0,IFERROR(ROUNDUP(F2145/INDEX(FILTER('warehouse config'!$D:$D,('warehouse config'!$B:$B=C2145)*('warehouse config'!$C:$C=D2145)*('warehouse config'!$G:$G&lt;=B2145)*(('warehouse config'!$H:$H&gt;=B2145)+ISBLANK('warehouse config'!$H:$H))),1)),0))"),0.0)</f>
        <v>0</v>
      </c>
      <c r="H2145" s="3">
        <f>IFERROR(__xludf.DUMMYFUNCTION("IFERROR(INDEX(FILTER('cost master'!$E:$E,('cost master'!$B:$B=C2145)*('cost master'!$D:$D=""Storage cost per pallet / week"")*('cost master'!$G:$G&lt;=B2145)*(('cost master'!$H:$H&gt;=B2145)+ISBLANK('cost master'!$H:$H))),1),0)"),0.0)</f>
        <v>0</v>
      </c>
      <c r="I2145" s="3">
        <f t="shared" si="4"/>
        <v>0</v>
      </c>
      <c r="J2145" s="27">
        <f t="shared" si="5"/>
        <v>693947</v>
      </c>
      <c r="K2145" s="27">
        <f t="shared" si="6"/>
        <v>693977</v>
      </c>
    </row>
    <row r="2146" hidden="1">
      <c r="A2146" s="3" t="str">
        <f t="shared" si="3"/>
        <v/>
      </c>
      <c r="B2146" s="2" t="str">
        <f t="array" ref="B2146">INDEX(helper!$A$3:$A3996,ROUNDUP((ROW()-1)/COUNTA(helper!$D$3:$D3996),0))</f>
        <v/>
      </c>
      <c r="C2146" s="5" t="str">
        <f t="array" ref="C2146">IF(B2146="","",INDEX(helper!$D$3:$D3996,MOD(ROW()-2,COUNTA(helper!$D$3:$D3996))+1))</f>
        <v/>
      </c>
      <c r="D2146" s="3" t="str">
        <f t="array" ref="D2146">IF(B2146="","",INDEX(helper!$E$3:$E3996,MOD(ROW()-2,COUNTA(helper!$D$3:$D3996))+1))</f>
        <v/>
      </c>
      <c r="E2146" s="3" t="str">
        <f t="array" ref="E2146">IF(B2146="","",INDEX(helper!$F$3:$F3996,MOD(ROW()-2,COUNTA(helper!$D$3:$D3996))+1))</f>
        <v/>
      </c>
      <c r="F2146" s="3" t="str">
        <f>IF(B2146="","",SUMIFS('inventory ledger'!$H:$H,'inventory ledger'!$C:$C,C2146,'inventory ledger'!$D:$D,D2146,'inventory ledger'!$E:$E,E2146,'inventory ledger'!$A:$A,"&lt;="&amp;B2146+TIME(23,59,59))-SUMIFS('inventory ledger'!$I:$I,'inventory ledger'!$C:$C,C2146,'inventory ledger'!$D:$D,D2146,'inventory ledger'!$E:$E,E2146,'inventory ledger'!$A:$A,"&lt;="&amp;B2146+TIME(23,59,59)))</f>
        <v/>
      </c>
      <c r="G2146" s="3">
        <f>IFERROR(__xludf.DUMMYFUNCTION("IF(F2146&lt;=0,0,IFERROR(ROUNDUP(F2146/INDEX(FILTER('warehouse config'!$D:$D,('warehouse config'!$B:$B=C2146)*('warehouse config'!$C:$C=D2146)*('warehouse config'!$G:$G&lt;=B2146)*(('warehouse config'!$H:$H&gt;=B2146)+ISBLANK('warehouse config'!$H:$H))),1)),0))"),0.0)</f>
        <v>0</v>
      </c>
      <c r="H2146" s="3">
        <f>IFERROR(__xludf.DUMMYFUNCTION("IFERROR(INDEX(FILTER('cost master'!$E:$E,('cost master'!$B:$B=C2146)*('cost master'!$D:$D=""Storage cost per pallet / week"")*('cost master'!$G:$G&lt;=B2146)*(('cost master'!$H:$H&gt;=B2146)+ISBLANK('cost master'!$H:$H))),1),0)"),0.0)</f>
        <v>0</v>
      </c>
      <c r="I2146" s="3">
        <f t="shared" si="4"/>
        <v>0</v>
      </c>
      <c r="J2146" s="27">
        <f t="shared" si="5"/>
        <v>693947</v>
      </c>
      <c r="K2146" s="27">
        <f t="shared" si="6"/>
        <v>693977</v>
      </c>
    </row>
    <row r="2147" hidden="1">
      <c r="A2147" s="3" t="str">
        <f t="shared" si="3"/>
        <v/>
      </c>
      <c r="B2147" s="2" t="str">
        <f t="array" ref="B2147">INDEX(helper!$A$3:$A3996,ROUNDUP((ROW()-1)/COUNTA(helper!$D$3:$D3996),0))</f>
        <v/>
      </c>
      <c r="C2147" s="5" t="str">
        <f t="array" ref="C2147">IF(B2147="","",INDEX(helper!$D$3:$D3996,MOD(ROW()-2,COUNTA(helper!$D$3:$D3996))+1))</f>
        <v/>
      </c>
      <c r="D2147" s="3" t="str">
        <f t="array" ref="D2147">IF(B2147="","",INDEX(helper!$E$3:$E3996,MOD(ROW()-2,COUNTA(helper!$D$3:$D3996))+1))</f>
        <v/>
      </c>
      <c r="E2147" s="3" t="str">
        <f t="array" ref="E2147">IF(B2147="","",INDEX(helper!$F$3:$F3996,MOD(ROW()-2,COUNTA(helper!$D$3:$D3996))+1))</f>
        <v/>
      </c>
      <c r="F2147" s="3" t="str">
        <f>IF(B2147="","",SUMIFS('inventory ledger'!$H:$H,'inventory ledger'!$C:$C,C2147,'inventory ledger'!$D:$D,D2147,'inventory ledger'!$E:$E,E2147,'inventory ledger'!$A:$A,"&lt;="&amp;B2147+TIME(23,59,59))-SUMIFS('inventory ledger'!$I:$I,'inventory ledger'!$C:$C,C2147,'inventory ledger'!$D:$D,D2147,'inventory ledger'!$E:$E,E2147,'inventory ledger'!$A:$A,"&lt;="&amp;B2147+TIME(23,59,59)))</f>
        <v/>
      </c>
      <c r="G2147" s="3">
        <f>IFERROR(__xludf.DUMMYFUNCTION("IF(F2147&lt;=0,0,IFERROR(ROUNDUP(F2147/INDEX(FILTER('warehouse config'!$D:$D,('warehouse config'!$B:$B=C2147)*('warehouse config'!$C:$C=D2147)*('warehouse config'!$G:$G&lt;=B2147)*(('warehouse config'!$H:$H&gt;=B2147)+ISBLANK('warehouse config'!$H:$H))),1)),0))"),0.0)</f>
        <v>0</v>
      </c>
      <c r="H2147" s="3">
        <f>IFERROR(__xludf.DUMMYFUNCTION("IFERROR(INDEX(FILTER('cost master'!$E:$E,('cost master'!$B:$B=C2147)*('cost master'!$D:$D=""Storage cost per pallet / week"")*('cost master'!$G:$G&lt;=B2147)*(('cost master'!$H:$H&gt;=B2147)+ISBLANK('cost master'!$H:$H))),1),0)"),0.0)</f>
        <v>0</v>
      </c>
      <c r="I2147" s="3">
        <f t="shared" si="4"/>
        <v>0</v>
      </c>
      <c r="J2147" s="27">
        <f t="shared" si="5"/>
        <v>693947</v>
      </c>
      <c r="K2147" s="27">
        <f t="shared" si="6"/>
        <v>693977</v>
      </c>
    </row>
    <row r="2148" hidden="1">
      <c r="A2148" s="3" t="str">
        <f t="shared" si="3"/>
        <v/>
      </c>
      <c r="B2148" s="2" t="str">
        <f t="array" ref="B2148">INDEX(helper!$A$3:$A3996,ROUNDUP((ROW()-1)/COUNTA(helper!$D$3:$D3996),0))</f>
        <v/>
      </c>
      <c r="C2148" s="5" t="str">
        <f t="array" ref="C2148">IF(B2148="","",INDEX(helper!$D$3:$D3996,MOD(ROW()-2,COUNTA(helper!$D$3:$D3996))+1))</f>
        <v/>
      </c>
      <c r="D2148" s="3" t="str">
        <f t="array" ref="D2148">IF(B2148="","",INDEX(helper!$E$3:$E3996,MOD(ROW()-2,COUNTA(helper!$D$3:$D3996))+1))</f>
        <v/>
      </c>
      <c r="E2148" s="3" t="str">
        <f t="array" ref="E2148">IF(B2148="","",INDEX(helper!$F$3:$F3996,MOD(ROW()-2,COUNTA(helper!$D$3:$D3996))+1))</f>
        <v/>
      </c>
      <c r="F2148" s="3" t="str">
        <f>IF(B2148="","",SUMIFS('inventory ledger'!$H:$H,'inventory ledger'!$C:$C,C2148,'inventory ledger'!$D:$D,D2148,'inventory ledger'!$E:$E,E2148,'inventory ledger'!$A:$A,"&lt;="&amp;B2148+TIME(23,59,59))-SUMIFS('inventory ledger'!$I:$I,'inventory ledger'!$C:$C,C2148,'inventory ledger'!$D:$D,D2148,'inventory ledger'!$E:$E,E2148,'inventory ledger'!$A:$A,"&lt;="&amp;B2148+TIME(23,59,59)))</f>
        <v/>
      </c>
      <c r="G2148" s="3">
        <f>IFERROR(__xludf.DUMMYFUNCTION("IF(F2148&lt;=0,0,IFERROR(ROUNDUP(F2148/INDEX(FILTER('warehouse config'!$D:$D,('warehouse config'!$B:$B=C2148)*('warehouse config'!$C:$C=D2148)*('warehouse config'!$G:$G&lt;=B2148)*(('warehouse config'!$H:$H&gt;=B2148)+ISBLANK('warehouse config'!$H:$H))),1)),0))"),0.0)</f>
        <v>0</v>
      </c>
      <c r="H2148" s="3">
        <f>IFERROR(__xludf.DUMMYFUNCTION("IFERROR(INDEX(FILTER('cost master'!$E:$E,('cost master'!$B:$B=C2148)*('cost master'!$D:$D=""Storage cost per pallet / week"")*('cost master'!$G:$G&lt;=B2148)*(('cost master'!$H:$H&gt;=B2148)+ISBLANK('cost master'!$H:$H))),1),0)"),0.0)</f>
        <v>0</v>
      </c>
      <c r="I2148" s="3">
        <f t="shared" si="4"/>
        <v>0</v>
      </c>
      <c r="J2148" s="27">
        <f t="shared" si="5"/>
        <v>693947</v>
      </c>
      <c r="K2148" s="27">
        <f t="shared" si="6"/>
        <v>693977</v>
      </c>
    </row>
    <row r="2149" hidden="1">
      <c r="A2149" s="3" t="str">
        <f t="shared" si="3"/>
        <v/>
      </c>
      <c r="B2149" s="2" t="str">
        <f t="array" ref="B2149">INDEX(helper!$A$3:$A3996,ROUNDUP((ROW()-1)/COUNTA(helper!$D$3:$D3996),0))</f>
        <v/>
      </c>
      <c r="C2149" s="5" t="str">
        <f t="array" ref="C2149">IF(B2149="","",INDEX(helper!$D$3:$D3996,MOD(ROW()-2,COUNTA(helper!$D$3:$D3996))+1))</f>
        <v/>
      </c>
      <c r="D2149" s="3" t="str">
        <f t="array" ref="D2149">IF(B2149="","",INDEX(helper!$E$3:$E3996,MOD(ROW()-2,COUNTA(helper!$D$3:$D3996))+1))</f>
        <v/>
      </c>
      <c r="E2149" s="3" t="str">
        <f t="array" ref="E2149">IF(B2149="","",INDEX(helper!$F$3:$F3996,MOD(ROW()-2,COUNTA(helper!$D$3:$D3996))+1))</f>
        <v/>
      </c>
      <c r="F2149" s="3" t="str">
        <f>IF(B2149="","",SUMIFS('inventory ledger'!$H:$H,'inventory ledger'!$C:$C,C2149,'inventory ledger'!$D:$D,D2149,'inventory ledger'!$E:$E,E2149,'inventory ledger'!$A:$A,"&lt;="&amp;B2149+TIME(23,59,59))-SUMIFS('inventory ledger'!$I:$I,'inventory ledger'!$C:$C,C2149,'inventory ledger'!$D:$D,D2149,'inventory ledger'!$E:$E,E2149,'inventory ledger'!$A:$A,"&lt;="&amp;B2149+TIME(23,59,59)))</f>
        <v/>
      </c>
      <c r="G2149" s="3">
        <f>IFERROR(__xludf.DUMMYFUNCTION("IF(F2149&lt;=0,0,IFERROR(ROUNDUP(F2149/INDEX(FILTER('warehouse config'!$D:$D,('warehouse config'!$B:$B=C2149)*('warehouse config'!$C:$C=D2149)*('warehouse config'!$G:$G&lt;=B2149)*(('warehouse config'!$H:$H&gt;=B2149)+ISBLANK('warehouse config'!$H:$H))),1)),0))"),0.0)</f>
        <v>0</v>
      </c>
      <c r="H2149" s="3">
        <f>IFERROR(__xludf.DUMMYFUNCTION("IFERROR(INDEX(FILTER('cost master'!$E:$E,('cost master'!$B:$B=C2149)*('cost master'!$D:$D=""Storage cost per pallet / week"")*('cost master'!$G:$G&lt;=B2149)*(('cost master'!$H:$H&gt;=B2149)+ISBLANK('cost master'!$H:$H))),1),0)"),0.0)</f>
        <v>0</v>
      </c>
      <c r="I2149" s="3">
        <f t="shared" si="4"/>
        <v>0</v>
      </c>
      <c r="J2149" s="27">
        <f t="shared" si="5"/>
        <v>693947</v>
      </c>
      <c r="K2149" s="27">
        <f t="shared" si="6"/>
        <v>693977</v>
      </c>
    </row>
    <row r="2150" hidden="1">
      <c r="A2150" s="3" t="str">
        <f t="shared" si="3"/>
        <v/>
      </c>
      <c r="B2150" s="2" t="str">
        <f t="array" ref="B2150">INDEX(helper!$A$3:$A3996,ROUNDUP((ROW()-1)/COUNTA(helper!$D$3:$D3996),0))</f>
        <v/>
      </c>
      <c r="C2150" s="5" t="str">
        <f t="array" ref="C2150">IF(B2150="","",INDEX(helper!$D$3:$D3996,MOD(ROW()-2,COUNTA(helper!$D$3:$D3996))+1))</f>
        <v/>
      </c>
      <c r="D2150" s="3" t="str">
        <f t="array" ref="D2150">IF(B2150="","",INDEX(helper!$E$3:$E3996,MOD(ROW()-2,COUNTA(helper!$D$3:$D3996))+1))</f>
        <v/>
      </c>
      <c r="E2150" s="3" t="str">
        <f t="array" ref="E2150">IF(B2150="","",INDEX(helper!$F$3:$F3996,MOD(ROW()-2,COUNTA(helper!$D$3:$D3996))+1))</f>
        <v/>
      </c>
      <c r="F2150" s="3" t="str">
        <f>IF(B2150="","",SUMIFS('inventory ledger'!$H:$H,'inventory ledger'!$C:$C,C2150,'inventory ledger'!$D:$D,D2150,'inventory ledger'!$E:$E,E2150,'inventory ledger'!$A:$A,"&lt;="&amp;B2150+TIME(23,59,59))-SUMIFS('inventory ledger'!$I:$I,'inventory ledger'!$C:$C,C2150,'inventory ledger'!$D:$D,D2150,'inventory ledger'!$E:$E,E2150,'inventory ledger'!$A:$A,"&lt;="&amp;B2150+TIME(23,59,59)))</f>
        <v/>
      </c>
      <c r="G2150" s="3">
        <f>IFERROR(__xludf.DUMMYFUNCTION("IF(F2150&lt;=0,0,IFERROR(ROUNDUP(F2150/INDEX(FILTER('warehouse config'!$D:$D,('warehouse config'!$B:$B=C2150)*('warehouse config'!$C:$C=D2150)*('warehouse config'!$G:$G&lt;=B2150)*(('warehouse config'!$H:$H&gt;=B2150)+ISBLANK('warehouse config'!$H:$H))),1)),0))"),0.0)</f>
        <v>0</v>
      </c>
      <c r="H2150" s="3">
        <f>IFERROR(__xludf.DUMMYFUNCTION("IFERROR(INDEX(FILTER('cost master'!$E:$E,('cost master'!$B:$B=C2150)*('cost master'!$D:$D=""Storage cost per pallet / week"")*('cost master'!$G:$G&lt;=B2150)*(('cost master'!$H:$H&gt;=B2150)+ISBLANK('cost master'!$H:$H))),1),0)"),0.0)</f>
        <v>0</v>
      </c>
      <c r="I2150" s="3">
        <f t="shared" si="4"/>
        <v>0</v>
      </c>
      <c r="J2150" s="27">
        <f t="shared" si="5"/>
        <v>693947</v>
      </c>
      <c r="K2150" s="27">
        <f t="shared" si="6"/>
        <v>693977</v>
      </c>
    </row>
    <row r="2151" hidden="1">
      <c r="A2151" s="3" t="str">
        <f t="shared" si="3"/>
        <v/>
      </c>
      <c r="B2151" s="2" t="str">
        <f t="array" ref="B2151">INDEX(helper!$A$3:$A3996,ROUNDUP((ROW()-1)/COUNTA(helper!$D$3:$D3996),0))</f>
        <v/>
      </c>
      <c r="C2151" s="5" t="str">
        <f t="array" ref="C2151">IF(B2151="","",INDEX(helper!$D$3:$D3996,MOD(ROW()-2,COUNTA(helper!$D$3:$D3996))+1))</f>
        <v/>
      </c>
      <c r="D2151" s="3" t="str">
        <f t="array" ref="D2151">IF(B2151="","",INDEX(helper!$E$3:$E3996,MOD(ROW()-2,COUNTA(helper!$D$3:$D3996))+1))</f>
        <v/>
      </c>
      <c r="E2151" s="3" t="str">
        <f t="array" ref="E2151">IF(B2151="","",INDEX(helper!$F$3:$F3996,MOD(ROW()-2,COUNTA(helper!$D$3:$D3996))+1))</f>
        <v/>
      </c>
      <c r="F2151" s="3" t="str">
        <f>IF(B2151="","",SUMIFS('inventory ledger'!$H:$H,'inventory ledger'!$C:$C,C2151,'inventory ledger'!$D:$D,D2151,'inventory ledger'!$E:$E,E2151,'inventory ledger'!$A:$A,"&lt;="&amp;B2151+TIME(23,59,59))-SUMIFS('inventory ledger'!$I:$I,'inventory ledger'!$C:$C,C2151,'inventory ledger'!$D:$D,D2151,'inventory ledger'!$E:$E,E2151,'inventory ledger'!$A:$A,"&lt;="&amp;B2151+TIME(23,59,59)))</f>
        <v/>
      </c>
      <c r="G2151" s="3">
        <f>IFERROR(__xludf.DUMMYFUNCTION("IF(F2151&lt;=0,0,IFERROR(ROUNDUP(F2151/INDEX(FILTER('warehouse config'!$D:$D,('warehouse config'!$B:$B=C2151)*('warehouse config'!$C:$C=D2151)*('warehouse config'!$G:$G&lt;=B2151)*(('warehouse config'!$H:$H&gt;=B2151)+ISBLANK('warehouse config'!$H:$H))),1)),0))"),0.0)</f>
        <v>0</v>
      </c>
      <c r="H2151" s="3">
        <f>IFERROR(__xludf.DUMMYFUNCTION("IFERROR(INDEX(FILTER('cost master'!$E:$E,('cost master'!$B:$B=C2151)*('cost master'!$D:$D=""Storage cost per pallet / week"")*('cost master'!$G:$G&lt;=B2151)*(('cost master'!$H:$H&gt;=B2151)+ISBLANK('cost master'!$H:$H))),1),0)"),0.0)</f>
        <v>0</v>
      </c>
      <c r="I2151" s="3">
        <f t="shared" si="4"/>
        <v>0</v>
      </c>
      <c r="J2151" s="27">
        <f t="shared" si="5"/>
        <v>693947</v>
      </c>
      <c r="K2151" s="27">
        <f t="shared" si="6"/>
        <v>693977</v>
      </c>
    </row>
    <row r="2152" hidden="1">
      <c r="A2152" s="3" t="str">
        <f t="shared" si="3"/>
        <v/>
      </c>
      <c r="B2152" s="2" t="str">
        <f t="array" ref="B2152">INDEX(helper!$A$3:$A3996,ROUNDUP((ROW()-1)/COUNTA(helper!$D$3:$D3996),0))</f>
        <v/>
      </c>
      <c r="C2152" s="5" t="str">
        <f t="array" ref="C2152">IF(B2152="","",INDEX(helper!$D$3:$D3996,MOD(ROW()-2,COUNTA(helper!$D$3:$D3996))+1))</f>
        <v/>
      </c>
      <c r="D2152" s="3" t="str">
        <f t="array" ref="D2152">IF(B2152="","",INDEX(helper!$E$3:$E3996,MOD(ROW()-2,COUNTA(helper!$D$3:$D3996))+1))</f>
        <v/>
      </c>
      <c r="E2152" s="3" t="str">
        <f t="array" ref="E2152">IF(B2152="","",INDEX(helper!$F$3:$F3996,MOD(ROW()-2,COUNTA(helper!$D$3:$D3996))+1))</f>
        <v/>
      </c>
      <c r="F2152" s="3" t="str">
        <f>IF(B2152="","",SUMIFS('inventory ledger'!$H:$H,'inventory ledger'!$C:$C,C2152,'inventory ledger'!$D:$D,D2152,'inventory ledger'!$E:$E,E2152,'inventory ledger'!$A:$A,"&lt;="&amp;B2152+TIME(23,59,59))-SUMIFS('inventory ledger'!$I:$I,'inventory ledger'!$C:$C,C2152,'inventory ledger'!$D:$D,D2152,'inventory ledger'!$E:$E,E2152,'inventory ledger'!$A:$A,"&lt;="&amp;B2152+TIME(23,59,59)))</f>
        <v/>
      </c>
      <c r="G2152" s="3">
        <f>IFERROR(__xludf.DUMMYFUNCTION("IF(F2152&lt;=0,0,IFERROR(ROUNDUP(F2152/INDEX(FILTER('warehouse config'!$D:$D,('warehouse config'!$B:$B=C2152)*('warehouse config'!$C:$C=D2152)*('warehouse config'!$G:$G&lt;=B2152)*(('warehouse config'!$H:$H&gt;=B2152)+ISBLANK('warehouse config'!$H:$H))),1)),0))"),0.0)</f>
        <v>0</v>
      </c>
      <c r="H2152" s="3">
        <f>IFERROR(__xludf.DUMMYFUNCTION("IFERROR(INDEX(FILTER('cost master'!$E:$E,('cost master'!$B:$B=C2152)*('cost master'!$D:$D=""Storage cost per pallet / week"")*('cost master'!$G:$G&lt;=B2152)*(('cost master'!$H:$H&gt;=B2152)+ISBLANK('cost master'!$H:$H))),1),0)"),0.0)</f>
        <v>0</v>
      </c>
      <c r="I2152" s="3">
        <f t="shared" si="4"/>
        <v>0</v>
      </c>
      <c r="J2152" s="27">
        <f t="shared" si="5"/>
        <v>693947</v>
      </c>
      <c r="K2152" s="27">
        <f t="shared" si="6"/>
        <v>693977</v>
      </c>
    </row>
    <row r="2153" hidden="1">
      <c r="A2153" s="3" t="str">
        <f t="shared" si="3"/>
        <v/>
      </c>
      <c r="B2153" s="2" t="str">
        <f t="array" ref="B2153">INDEX(helper!$A$3:$A3996,ROUNDUP((ROW()-1)/COUNTA(helper!$D$3:$D3996),0))</f>
        <v/>
      </c>
      <c r="C2153" s="5" t="str">
        <f t="array" ref="C2153">IF(B2153="","",INDEX(helper!$D$3:$D3996,MOD(ROW()-2,COUNTA(helper!$D$3:$D3996))+1))</f>
        <v/>
      </c>
      <c r="D2153" s="3" t="str">
        <f t="array" ref="D2153">IF(B2153="","",INDEX(helper!$E$3:$E3996,MOD(ROW()-2,COUNTA(helper!$D$3:$D3996))+1))</f>
        <v/>
      </c>
      <c r="E2153" s="3" t="str">
        <f t="array" ref="E2153">IF(B2153="","",INDEX(helper!$F$3:$F3996,MOD(ROW()-2,COUNTA(helper!$D$3:$D3996))+1))</f>
        <v/>
      </c>
      <c r="F2153" s="3" t="str">
        <f>IF(B2153="","",SUMIFS('inventory ledger'!$H:$H,'inventory ledger'!$C:$C,C2153,'inventory ledger'!$D:$D,D2153,'inventory ledger'!$E:$E,E2153,'inventory ledger'!$A:$A,"&lt;="&amp;B2153+TIME(23,59,59))-SUMIFS('inventory ledger'!$I:$I,'inventory ledger'!$C:$C,C2153,'inventory ledger'!$D:$D,D2153,'inventory ledger'!$E:$E,E2153,'inventory ledger'!$A:$A,"&lt;="&amp;B2153+TIME(23,59,59)))</f>
        <v/>
      </c>
      <c r="G2153" s="3">
        <f>IFERROR(__xludf.DUMMYFUNCTION("IF(F2153&lt;=0,0,IFERROR(ROUNDUP(F2153/INDEX(FILTER('warehouse config'!$D:$D,('warehouse config'!$B:$B=C2153)*('warehouse config'!$C:$C=D2153)*('warehouse config'!$G:$G&lt;=B2153)*(('warehouse config'!$H:$H&gt;=B2153)+ISBLANK('warehouse config'!$H:$H))),1)),0))"),0.0)</f>
        <v>0</v>
      </c>
      <c r="H2153" s="3">
        <f>IFERROR(__xludf.DUMMYFUNCTION("IFERROR(INDEX(FILTER('cost master'!$E:$E,('cost master'!$B:$B=C2153)*('cost master'!$D:$D=""Storage cost per pallet / week"")*('cost master'!$G:$G&lt;=B2153)*(('cost master'!$H:$H&gt;=B2153)+ISBLANK('cost master'!$H:$H))),1),0)"),0.0)</f>
        <v>0</v>
      </c>
      <c r="I2153" s="3">
        <f t="shared" si="4"/>
        <v>0</v>
      </c>
      <c r="J2153" s="27">
        <f t="shared" si="5"/>
        <v>693947</v>
      </c>
      <c r="K2153" s="27">
        <f t="shared" si="6"/>
        <v>693977</v>
      </c>
    </row>
    <row r="2154" hidden="1">
      <c r="A2154" s="3" t="str">
        <f t="shared" si="3"/>
        <v/>
      </c>
      <c r="B2154" s="2" t="str">
        <f t="array" ref="B2154">INDEX(helper!$A$3:$A3996,ROUNDUP((ROW()-1)/COUNTA(helper!$D$3:$D3996),0))</f>
        <v/>
      </c>
      <c r="C2154" s="5" t="str">
        <f t="array" ref="C2154">IF(B2154="","",INDEX(helper!$D$3:$D3996,MOD(ROW()-2,COUNTA(helper!$D$3:$D3996))+1))</f>
        <v/>
      </c>
      <c r="D2154" s="3" t="str">
        <f t="array" ref="D2154">IF(B2154="","",INDEX(helper!$E$3:$E3996,MOD(ROW()-2,COUNTA(helper!$D$3:$D3996))+1))</f>
        <v/>
      </c>
      <c r="E2154" s="3" t="str">
        <f t="array" ref="E2154">IF(B2154="","",INDEX(helper!$F$3:$F3996,MOD(ROW()-2,COUNTA(helper!$D$3:$D3996))+1))</f>
        <v/>
      </c>
      <c r="F2154" s="3" t="str">
        <f>IF(B2154="","",SUMIFS('inventory ledger'!$H:$H,'inventory ledger'!$C:$C,C2154,'inventory ledger'!$D:$D,D2154,'inventory ledger'!$E:$E,E2154,'inventory ledger'!$A:$A,"&lt;="&amp;B2154+TIME(23,59,59))-SUMIFS('inventory ledger'!$I:$I,'inventory ledger'!$C:$C,C2154,'inventory ledger'!$D:$D,D2154,'inventory ledger'!$E:$E,E2154,'inventory ledger'!$A:$A,"&lt;="&amp;B2154+TIME(23,59,59)))</f>
        <v/>
      </c>
      <c r="G2154" s="3">
        <f>IFERROR(__xludf.DUMMYFUNCTION("IF(F2154&lt;=0,0,IFERROR(ROUNDUP(F2154/INDEX(FILTER('warehouse config'!$D:$D,('warehouse config'!$B:$B=C2154)*('warehouse config'!$C:$C=D2154)*('warehouse config'!$G:$G&lt;=B2154)*(('warehouse config'!$H:$H&gt;=B2154)+ISBLANK('warehouse config'!$H:$H))),1)),0))"),0.0)</f>
        <v>0</v>
      </c>
      <c r="H2154" s="3">
        <f>IFERROR(__xludf.DUMMYFUNCTION("IFERROR(INDEX(FILTER('cost master'!$E:$E,('cost master'!$B:$B=C2154)*('cost master'!$D:$D=""Storage cost per pallet / week"")*('cost master'!$G:$G&lt;=B2154)*(('cost master'!$H:$H&gt;=B2154)+ISBLANK('cost master'!$H:$H))),1),0)"),0.0)</f>
        <v>0</v>
      </c>
      <c r="I2154" s="3">
        <f t="shared" si="4"/>
        <v>0</v>
      </c>
      <c r="J2154" s="27">
        <f t="shared" si="5"/>
        <v>693947</v>
      </c>
      <c r="K2154" s="27">
        <f t="shared" si="6"/>
        <v>693977</v>
      </c>
    </row>
    <row r="2155" hidden="1">
      <c r="A2155" s="3" t="str">
        <f t="shared" si="3"/>
        <v/>
      </c>
      <c r="B2155" s="2" t="str">
        <f t="array" ref="B2155">INDEX(helper!$A$3:$A3996,ROUNDUP((ROW()-1)/COUNTA(helper!$D$3:$D3996),0))</f>
        <v/>
      </c>
      <c r="C2155" s="5" t="str">
        <f t="array" ref="C2155">IF(B2155="","",INDEX(helper!$D$3:$D3996,MOD(ROW()-2,COUNTA(helper!$D$3:$D3996))+1))</f>
        <v/>
      </c>
      <c r="D2155" s="3" t="str">
        <f t="array" ref="D2155">IF(B2155="","",INDEX(helper!$E$3:$E3996,MOD(ROW()-2,COUNTA(helper!$D$3:$D3996))+1))</f>
        <v/>
      </c>
      <c r="E2155" s="3" t="str">
        <f t="array" ref="E2155">IF(B2155="","",INDEX(helper!$F$3:$F3996,MOD(ROW()-2,COUNTA(helper!$D$3:$D3996))+1))</f>
        <v/>
      </c>
      <c r="F2155" s="3" t="str">
        <f>IF(B2155="","",SUMIFS('inventory ledger'!$H:$H,'inventory ledger'!$C:$C,C2155,'inventory ledger'!$D:$D,D2155,'inventory ledger'!$E:$E,E2155,'inventory ledger'!$A:$A,"&lt;="&amp;B2155+TIME(23,59,59))-SUMIFS('inventory ledger'!$I:$I,'inventory ledger'!$C:$C,C2155,'inventory ledger'!$D:$D,D2155,'inventory ledger'!$E:$E,E2155,'inventory ledger'!$A:$A,"&lt;="&amp;B2155+TIME(23,59,59)))</f>
        <v/>
      </c>
      <c r="G2155" s="3">
        <f>IFERROR(__xludf.DUMMYFUNCTION("IF(F2155&lt;=0,0,IFERROR(ROUNDUP(F2155/INDEX(FILTER('warehouse config'!$D:$D,('warehouse config'!$B:$B=C2155)*('warehouse config'!$C:$C=D2155)*('warehouse config'!$G:$G&lt;=B2155)*(('warehouse config'!$H:$H&gt;=B2155)+ISBLANK('warehouse config'!$H:$H))),1)),0))"),0.0)</f>
        <v>0</v>
      </c>
      <c r="H2155" s="3">
        <f>IFERROR(__xludf.DUMMYFUNCTION("IFERROR(INDEX(FILTER('cost master'!$E:$E,('cost master'!$B:$B=C2155)*('cost master'!$D:$D=""Storage cost per pallet / week"")*('cost master'!$G:$G&lt;=B2155)*(('cost master'!$H:$H&gt;=B2155)+ISBLANK('cost master'!$H:$H))),1),0)"),0.0)</f>
        <v>0</v>
      </c>
      <c r="I2155" s="3">
        <f t="shared" si="4"/>
        <v>0</v>
      </c>
      <c r="J2155" s="27">
        <f t="shared" si="5"/>
        <v>693947</v>
      </c>
      <c r="K2155" s="27">
        <f t="shared" si="6"/>
        <v>693977</v>
      </c>
    </row>
    <row r="2156" hidden="1">
      <c r="A2156" s="3" t="str">
        <f t="shared" si="3"/>
        <v/>
      </c>
      <c r="B2156" s="2" t="str">
        <f t="array" ref="B2156">INDEX(helper!$A$3:$A3996,ROUNDUP((ROW()-1)/COUNTA(helper!$D$3:$D3996),0))</f>
        <v/>
      </c>
      <c r="C2156" s="5" t="str">
        <f t="array" ref="C2156">IF(B2156="","",INDEX(helper!$D$3:$D3996,MOD(ROW()-2,COUNTA(helper!$D$3:$D3996))+1))</f>
        <v/>
      </c>
      <c r="D2156" s="3" t="str">
        <f t="array" ref="D2156">IF(B2156="","",INDEX(helper!$E$3:$E3996,MOD(ROW()-2,COUNTA(helper!$D$3:$D3996))+1))</f>
        <v/>
      </c>
      <c r="E2156" s="3" t="str">
        <f t="array" ref="E2156">IF(B2156="","",INDEX(helper!$F$3:$F3996,MOD(ROW()-2,COUNTA(helper!$D$3:$D3996))+1))</f>
        <v/>
      </c>
      <c r="F2156" s="3" t="str">
        <f>IF(B2156="","",SUMIFS('inventory ledger'!$H:$H,'inventory ledger'!$C:$C,C2156,'inventory ledger'!$D:$D,D2156,'inventory ledger'!$E:$E,E2156,'inventory ledger'!$A:$A,"&lt;="&amp;B2156+TIME(23,59,59))-SUMIFS('inventory ledger'!$I:$I,'inventory ledger'!$C:$C,C2156,'inventory ledger'!$D:$D,D2156,'inventory ledger'!$E:$E,E2156,'inventory ledger'!$A:$A,"&lt;="&amp;B2156+TIME(23,59,59)))</f>
        <v/>
      </c>
      <c r="G2156" s="3">
        <f>IFERROR(__xludf.DUMMYFUNCTION("IF(F2156&lt;=0,0,IFERROR(ROUNDUP(F2156/INDEX(FILTER('warehouse config'!$D:$D,('warehouse config'!$B:$B=C2156)*('warehouse config'!$C:$C=D2156)*('warehouse config'!$G:$G&lt;=B2156)*(('warehouse config'!$H:$H&gt;=B2156)+ISBLANK('warehouse config'!$H:$H))),1)),0))"),0.0)</f>
        <v>0</v>
      </c>
      <c r="H2156" s="3">
        <f>IFERROR(__xludf.DUMMYFUNCTION("IFERROR(INDEX(FILTER('cost master'!$E:$E,('cost master'!$B:$B=C2156)*('cost master'!$D:$D=""Storage cost per pallet / week"")*('cost master'!$G:$G&lt;=B2156)*(('cost master'!$H:$H&gt;=B2156)+ISBLANK('cost master'!$H:$H))),1),0)"),0.0)</f>
        <v>0</v>
      </c>
      <c r="I2156" s="3">
        <f t="shared" si="4"/>
        <v>0</v>
      </c>
      <c r="J2156" s="27">
        <f t="shared" si="5"/>
        <v>693947</v>
      </c>
      <c r="K2156" s="27">
        <f t="shared" si="6"/>
        <v>693977</v>
      </c>
    </row>
    <row r="2157" hidden="1">
      <c r="A2157" s="3" t="str">
        <f t="shared" si="3"/>
        <v/>
      </c>
      <c r="B2157" s="2" t="str">
        <f t="array" ref="B2157">INDEX(helper!$A$3:$A3996,ROUNDUP((ROW()-1)/COUNTA(helper!$D$3:$D3996),0))</f>
        <v/>
      </c>
      <c r="C2157" s="5" t="str">
        <f t="array" ref="C2157">IF(B2157="","",INDEX(helper!$D$3:$D3996,MOD(ROW()-2,COUNTA(helper!$D$3:$D3996))+1))</f>
        <v/>
      </c>
      <c r="D2157" s="3" t="str">
        <f t="array" ref="D2157">IF(B2157="","",INDEX(helper!$E$3:$E3996,MOD(ROW()-2,COUNTA(helper!$D$3:$D3996))+1))</f>
        <v/>
      </c>
      <c r="E2157" s="3" t="str">
        <f t="array" ref="E2157">IF(B2157="","",INDEX(helper!$F$3:$F3996,MOD(ROW()-2,COUNTA(helper!$D$3:$D3996))+1))</f>
        <v/>
      </c>
      <c r="F2157" s="3" t="str">
        <f>IF(B2157="","",SUMIFS('inventory ledger'!$H:$H,'inventory ledger'!$C:$C,C2157,'inventory ledger'!$D:$D,D2157,'inventory ledger'!$E:$E,E2157,'inventory ledger'!$A:$A,"&lt;="&amp;B2157+TIME(23,59,59))-SUMIFS('inventory ledger'!$I:$I,'inventory ledger'!$C:$C,C2157,'inventory ledger'!$D:$D,D2157,'inventory ledger'!$E:$E,E2157,'inventory ledger'!$A:$A,"&lt;="&amp;B2157+TIME(23,59,59)))</f>
        <v/>
      </c>
      <c r="G2157" s="3">
        <f>IFERROR(__xludf.DUMMYFUNCTION("IF(F2157&lt;=0,0,IFERROR(ROUNDUP(F2157/INDEX(FILTER('warehouse config'!$D:$D,('warehouse config'!$B:$B=C2157)*('warehouse config'!$C:$C=D2157)*('warehouse config'!$G:$G&lt;=B2157)*(('warehouse config'!$H:$H&gt;=B2157)+ISBLANK('warehouse config'!$H:$H))),1)),0))"),0.0)</f>
        <v>0</v>
      </c>
      <c r="H2157" s="3">
        <f>IFERROR(__xludf.DUMMYFUNCTION("IFERROR(INDEX(FILTER('cost master'!$E:$E,('cost master'!$B:$B=C2157)*('cost master'!$D:$D=""Storage cost per pallet / week"")*('cost master'!$G:$G&lt;=B2157)*(('cost master'!$H:$H&gt;=B2157)+ISBLANK('cost master'!$H:$H))),1),0)"),0.0)</f>
        <v>0</v>
      </c>
      <c r="I2157" s="3">
        <f t="shared" si="4"/>
        <v>0</v>
      </c>
      <c r="J2157" s="27">
        <f t="shared" si="5"/>
        <v>693947</v>
      </c>
      <c r="K2157" s="27">
        <f t="shared" si="6"/>
        <v>693977</v>
      </c>
    </row>
    <row r="2158" hidden="1">
      <c r="A2158" s="3" t="str">
        <f t="shared" si="3"/>
        <v/>
      </c>
      <c r="B2158" s="2" t="str">
        <f t="array" ref="B2158">INDEX(helper!$A$3:$A3996,ROUNDUP((ROW()-1)/COUNTA(helper!$D$3:$D3996),0))</f>
        <v/>
      </c>
      <c r="C2158" s="5" t="str">
        <f t="array" ref="C2158">IF(B2158="","",INDEX(helper!$D$3:$D3996,MOD(ROW()-2,COUNTA(helper!$D$3:$D3996))+1))</f>
        <v/>
      </c>
      <c r="D2158" s="3" t="str">
        <f t="array" ref="D2158">IF(B2158="","",INDEX(helper!$E$3:$E3996,MOD(ROW()-2,COUNTA(helper!$D$3:$D3996))+1))</f>
        <v/>
      </c>
      <c r="E2158" s="3" t="str">
        <f t="array" ref="E2158">IF(B2158="","",INDEX(helper!$F$3:$F3996,MOD(ROW()-2,COUNTA(helper!$D$3:$D3996))+1))</f>
        <v/>
      </c>
      <c r="F2158" s="3" t="str">
        <f>IF(B2158="","",SUMIFS('inventory ledger'!$H:$H,'inventory ledger'!$C:$C,C2158,'inventory ledger'!$D:$D,D2158,'inventory ledger'!$E:$E,E2158,'inventory ledger'!$A:$A,"&lt;="&amp;B2158+TIME(23,59,59))-SUMIFS('inventory ledger'!$I:$I,'inventory ledger'!$C:$C,C2158,'inventory ledger'!$D:$D,D2158,'inventory ledger'!$E:$E,E2158,'inventory ledger'!$A:$A,"&lt;="&amp;B2158+TIME(23,59,59)))</f>
        <v/>
      </c>
      <c r="G2158" s="3">
        <f>IFERROR(__xludf.DUMMYFUNCTION("IF(F2158&lt;=0,0,IFERROR(ROUNDUP(F2158/INDEX(FILTER('warehouse config'!$D:$D,('warehouse config'!$B:$B=C2158)*('warehouse config'!$C:$C=D2158)*('warehouse config'!$G:$G&lt;=B2158)*(('warehouse config'!$H:$H&gt;=B2158)+ISBLANK('warehouse config'!$H:$H))),1)),0))"),0.0)</f>
        <v>0</v>
      </c>
      <c r="H2158" s="3">
        <f>IFERROR(__xludf.DUMMYFUNCTION("IFERROR(INDEX(FILTER('cost master'!$E:$E,('cost master'!$B:$B=C2158)*('cost master'!$D:$D=""Storage cost per pallet / week"")*('cost master'!$G:$G&lt;=B2158)*(('cost master'!$H:$H&gt;=B2158)+ISBLANK('cost master'!$H:$H))),1),0)"),0.0)</f>
        <v>0</v>
      </c>
      <c r="I2158" s="3">
        <f t="shared" si="4"/>
        <v>0</v>
      </c>
      <c r="J2158" s="27">
        <f t="shared" si="5"/>
        <v>693947</v>
      </c>
      <c r="K2158" s="27">
        <f t="shared" si="6"/>
        <v>693977</v>
      </c>
    </row>
    <row r="2159" hidden="1">
      <c r="A2159" s="3" t="str">
        <f t="shared" si="3"/>
        <v/>
      </c>
      <c r="B2159" s="2" t="str">
        <f t="array" ref="B2159">INDEX(helper!$A$3:$A3996,ROUNDUP((ROW()-1)/COUNTA(helper!$D$3:$D3996),0))</f>
        <v/>
      </c>
      <c r="C2159" s="5" t="str">
        <f t="array" ref="C2159">IF(B2159="","",INDEX(helper!$D$3:$D3996,MOD(ROW()-2,COUNTA(helper!$D$3:$D3996))+1))</f>
        <v/>
      </c>
      <c r="D2159" s="3" t="str">
        <f t="array" ref="D2159">IF(B2159="","",INDEX(helper!$E$3:$E3996,MOD(ROW()-2,COUNTA(helper!$D$3:$D3996))+1))</f>
        <v/>
      </c>
      <c r="E2159" s="3" t="str">
        <f t="array" ref="E2159">IF(B2159="","",INDEX(helper!$F$3:$F3996,MOD(ROW()-2,COUNTA(helper!$D$3:$D3996))+1))</f>
        <v/>
      </c>
      <c r="F2159" s="3" t="str">
        <f>IF(B2159="","",SUMIFS('inventory ledger'!$H:$H,'inventory ledger'!$C:$C,C2159,'inventory ledger'!$D:$D,D2159,'inventory ledger'!$E:$E,E2159,'inventory ledger'!$A:$A,"&lt;="&amp;B2159+TIME(23,59,59))-SUMIFS('inventory ledger'!$I:$I,'inventory ledger'!$C:$C,C2159,'inventory ledger'!$D:$D,D2159,'inventory ledger'!$E:$E,E2159,'inventory ledger'!$A:$A,"&lt;="&amp;B2159+TIME(23,59,59)))</f>
        <v/>
      </c>
      <c r="G2159" s="3">
        <f>IFERROR(__xludf.DUMMYFUNCTION("IF(F2159&lt;=0,0,IFERROR(ROUNDUP(F2159/INDEX(FILTER('warehouse config'!$D:$D,('warehouse config'!$B:$B=C2159)*('warehouse config'!$C:$C=D2159)*('warehouse config'!$G:$G&lt;=B2159)*(('warehouse config'!$H:$H&gt;=B2159)+ISBLANK('warehouse config'!$H:$H))),1)),0))"),0.0)</f>
        <v>0</v>
      </c>
      <c r="H2159" s="3">
        <f>IFERROR(__xludf.DUMMYFUNCTION("IFERROR(INDEX(FILTER('cost master'!$E:$E,('cost master'!$B:$B=C2159)*('cost master'!$D:$D=""Storage cost per pallet / week"")*('cost master'!$G:$G&lt;=B2159)*(('cost master'!$H:$H&gt;=B2159)+ISBLANK('cost master'!$H:$H))),1),0)"),0.0)</f>
        <v>0</v>
      </c>
      <c r="I2159" s="3">
        <f t="shared" si="4"/>
        <v>0</v>
      </c>
      <c r="J2159" s="27">
        <f t="shared" si="5"/>
        <v>693947</v>
      </c>
      <c r="K2159" s="27">
        <f t="shared" si="6"/>
        <v>693977</v>
      </c>
    </row>
    <row r="2160" hidden="1">
      <c r="A2160" s="3" t="str">
        <f t="shared" si="3"/>
        <v/>
      </c>
      <c r="B2160" s="2" t="str">
        <f t="array" ref="B2160">INDEX(helper!$A$3:$A3996,ROUNDUP((ROW()-1)/COUNTA(helper!$D$3:$D3996),0))</f>
        <v/>
      </c>
      <c r="C2160" s="5" t="str">
        <f t="array" ref="C2160">IF(B2160="","",INDEX(helper!$D$3:$D3996,MOD(ROW()-2,COUNTA(helper!$D$3:$D3996))+1))</f>
        <v/>
      </c>
      <c r="D2160" s="3" t="str">
        <f t="array" ref="D2160">IF(B2160="","",INDEX(helper!$E$3:$E3996,MOD(ROW()-2,COUNTA(helper!$D$3:$D3996))+1))</f>
        <v/>
      </c>
      <c r="E2160" s="3" t="str">
        <f t="array" ref="E2160">IF(B2160="","",INDEX(helper!$F$3:$F3996,MOD(ROW()-2,COUNTA(helper!$D$3:$D3996))+1))</f>
        <v/>
      </c>
      <c r="F2160" s="3" t="str">
        <f>IF(B2160="","",SUMIFS('inventory ledger'!$H:$H,'inventory ledger'!$C:$C,C2160,'inventory ledger'!$D:$D,D2160,'inventory ledger'!$E:$E,E2160,'inventory ledger'!$A:$A,"&lt;="&amp;B2160+TIME(23,59,59))-SUMIFS('inventory ledger'!$I:$I,'inventory ledger'!$C:$C,C2160,'inventory ledger'!$D:$D,D2160,'inventory ledger'!$E:$E,E2160,'inventory ledger'!$A:$A,"&lt;="&amp;B2160+TIME(23,59,59)))</f>
        <v/>
      </c>
      <c r="G2160" s="3">
        <f>IFERROR(__xludf.DUMMYFUNCTION("IF(F2160&lt;=0,0,IFERROR(ROUNDUP(F2160/INDEX(FILTER('warehouse config'!$D:$D,('warehouse config'!$B:$B=C2160)*('warehouse config'!$C:$C=D2160)*('warehouse config'!$G:$G&lt;=B2160)*(('warehouse config'!$H:$H&gt;=B2160)+ISBLANK('warehouse config'!$H:$H))),1)),0))"),0.0)</f>
        <v>0</v>
      </c>
      <c r="H2160" s="3">
        <f>IFERROR(__xludf.DUMMYFUNCTION("IFERROR(INDEX(FILTER('cost master'!$E:$E,('cost master'!$B:$B=C2160)*('cost master'!$D:$D=""Storage cost per pallet / week"")*('cost master'!$G:$G&lt;=B2160)*(('cost master'!$H:$H&gt;=B2160)+ISBLANK('cost master'!$H:$H))),1),0)"),0.0)</f>
        <v>0</v>
      </c>
      <c r="I2160" s="3">
        <f t="shared" si="4"/>
        <v>0</v>
      </c>
      <c r="J2160" s="27">
        <f t="shared" si="5"/>
        <v>693947</v>
      </c>
      <c r="K2160" s="27">
        <f t="shared" si="6"/>
        <v>693977</v>
      </c>
    </row>
    <row r="2161" hidden="1">
      <c r="A2161" s="3" t="str">
        <f t="shared" si="3"/>
        <v/>
      </c>
      <c r="B2161" s="2" t="str">
        <f t="array" ref="B2161">INDEX(helper!$A$3:$A3996,ROUNDUP((ROW()-1)/COUNTA(helper!$D$3:$D3996),0))</f>
        <v/>
      </c>
      <c r="C2161" s="5" t="str">
        <f t="array" ref="C2161">IF(B2161="","",INDEX(helper!$D$3:$D3996,MOD(ROW()-2,COUNTA(helper!$D$3:$D3996))+1))</f>
        <v/>
      </c>
      <c r="D2161" s="3" t="str">
        <f t="array" ref="D2161">IF(B2161="","",INDEX(helper!$E$3:$E3996,MOD(ROW()-2,COUNTA(helper!$D$3:$D3996))+1))</f>
        <v/>
      </c>
      <c r="E2161" s="3" t="str">
        <f t="array" ref="E2161">IF(B2161="","",INDEX(helper!$F$3:$F3996,MOD(ROW()-2,COUNTA(helper!$D$3:$D3996))+1))</f>
        <v/>
      </c>
      <c r="F2161" s="3" t="str">
        <f>IF(B2161="","",SUMIFS('inventory ledger'!$H:$H,'inventory ledger'!$C:$C,C2161,'inventory ledger'!$D:$D,D2161,'inventory ledger'!$E:$E,E2161,'inventory ledger'!$A:$A,"&lt;="&amp;B2161+TIME(23,59,59))-SUMIFS('inventory ledger'!$I:$I,'inventory ledger'!$C:$C,C2161,'inventory ledger'!$D:$D,D2161,'inventory ledger'!$E:$E,E2161,'inventory ledger'!$A:$A,"&lt;="&amp;B2161+TIME(23,59,59)))</f>
        <v/>
      </c>
      <c r="G2161" s="3">
        <f>IFERROR(__xludf.DUMMYFUNCTION("IF(F2161&lt;=0,0,IFERROR(ROUNDUP(F2161/INDEX(FILTER('warehouse config'!$D:$D,('warehouse config'!$B:$B=C2161)*('warehouse config'!$C:$C=D2161)*('warehouse config'!$G:$G&lt;=B2161)*(('warehouse config'!$H:$H&gt;=B2161)+ISBLANK('warehouse config'!$H:$H))),1)),0))"),0.0)</f>
        <v>0</v>
      </c>
      <c r="H2161" s="3">
        <f>IFERROR(__xludf.DUMMYFUNCTION("IFERROR(INDEX(FILTER('cost master'!$E:$E,('cost master'!$B:$B=C2161)*('cost master'!$D:$D=""Storage cost per pallet / week"")*('cost master'!$G:$G&lt;=B2161)*(('cost master'!$H:$H&gt;=B2161)+ISBLANK('cost master'!$H:$H))),1),0)"),0.0)</f>
        <v>0</v>
      </c>
      <c r="I2161" s="3">
        <f t="shared" si="4"/>
        <v>0</v>
      </c>
      <c r="J2161" s="27">
        <f t="shared" si="5"/>
        <v>693947</v>
      </c>
      <c r="K2161" s="27">
        <f t="shared" si="6"/>
        <v>693977</v>
      </c>
    </row>
    <row r="2162" hidden="1">
      <c r="A2162" s="3" t="str">
        <f t="shared" si="3"/>
        <v/>
      </c>
      <c r="B2162" s="2" t="str">
        <f t="array" ref="B2162">INDEX(helper!$A$3:$A3996,ROUNDUP((ROW()-1)/COUNTA(helper!$D$3:$D3996),0))</f>
        <v/>
      </c>
      <c r="C2162" s="5" t="str">
        <f t="array" ref="C2162">IF(B2162="","",INDEX(helper!$D$3:$D3996,MOD(ROW()-2,COUNTA(helper!$D$3:$D3996))+1))</f>
        <v/>
      </c>
      <c r="D2162" s="3" t="str">
        <f t="array" ref="D2162">IF(B2162="","",INDEX(helper!$E$3:$E3996,MOD(ROW()-2,COUNTA(helper!$D$3:$D3996))+1))</f>
        <v/>
      </c>
      <c r="E2162" s="3" t="str">
        <f t="array" ref="E2162">IF(B2162="","",INDEX(helper!$F$3:$F3996,MOD(ROW()-2,COUNTA(helper!$D$3:$D3996))+1))</f>
        <v/>
      </c>
      <c r="F2162" s="3" t="str">
        <f>IF(B2162="","",SUMIFS('inventory ledger'!$H:$H,'inventory ledger'!$C:$C,C2162,'inventory ledger'!$D:$D,D2162,'inventory ledger'!$E:$E,E2162,'inventory ledger'!$A:$A,"&lt;="&amp;B2162+TIME(23,59,59))-SUMIFS('inventory ledger'!$I:$I,'inventory ledger'!$C:$C,C2162,'inventory ledger'!$D:$D,D2162,'inventory ledger'!$E:$E,E2162,'inventory ledger'!$A:$A,"&lt;="&amp;B2162+TIME(23,59,59)))</f>
        <v/>
      </c>
      <c r="G2162" s="3">
        <f>IFERROR(__xludf.DUMMYFUNCTION("IF(F2162&lt;=0,0,IFERROR(ROUNDUP(F2162/INDEX(FILTER('warehouse config'!$D:$D,('warehouse config'!$B:$B=C2162)*('warehouse config'!$C:$C=D2162)*('warehouse config'!$G:$G&lt;=B2162)*(('warehouse config'!$H:$H&gt;=B2162)+ISBLANK('warehouse config'!$H:$H))),1)),0))"),0.0)</f>
        <v>0</v>
      </c>
      <c r="H2162" s="3">
        <f>IFERROR(__xludf.DUMMYFUNCTION("IFERROR(INDEX(FILTER('cost master'!$E:$E,('cost master'!$B:$B=C2162)*('cost master'!$D:$D=""Storage cost per pallet / week"")*('cost master'!$G:$G&lt;=B2162)*(('cost master'!$H:$H&gt;=B2162)+ISBLANK('cost master'!$H:$H))),1),0)"),0.0)</f>
        <v>0</v>
      </c>
      <c r="I2162" s="3">
        <f t="shared" si="4"/>
        <v>0</v>
      </c>
      <c r="J2162" s="27">
        <f t="shared" si="5"/>
        <v>693947</v>
      </c>
      <c r="K2162" s="27">
        <f t="shared" si="6"/>
        <v>693977</v>
      </c>
    </row>
    <row r="2163" hidden="1">
      <c r="A2163" s="3" t="str">
        <f t="shared" si="3"/>
        <v/>
      </c>
      <c r="B2163" s="2" t="str">
        <f t="array" ref="B2163">INDEX(helper!$A$3:$A3996,ROUNDUP((ROW()-1)/COUNTA(helper!$D$3:$D3996),0))</f>
        <v/>
      </c>
      <c r="C2163" s="5" t="str">
        <f t="array" ref="C2163">IF(B2163="","",INDEX(helper!$D$3:$D3996,MOD(ROW()-2,COUNTA(helper!$D$3:$D3996))+1))</f>
        <v/>
      </c>
      <c r="D2163" s="3" t="str">
        <f t="array" ref="D2163">IF(B2163="","",INDEX(helper!$E$3:$E3996,MOD(ROW()-2,COUNTA(helper!$D$3:$D3996))+1))</f>
        <v/>
      </c>
      <c r="E2163" s="3" t="str">
        <f t="array" ref="E2163">IF(B2163="","",INDEX(helper!$F$3:$F3996,MOD(ROW()-2,COUNTA(helper!$D$3:$D3996))+1))</f>
        <v/>
      </c>
      <c r="F2163" s="3" t="str">
        <f>IF(B2163="","",SUMIFS('inventory ledger'!$H:$H,'inventory ledger'!$C:$C,C2163,'inventory ledger'!$D:$D,D2163,'inventory ledger'!$E:$E,E2163,'inventory ledger'!$A:$A,"&lt;="&amp;B2163+TIME(23,59,59))-SUMIFS('inventory ledger'!$I:$I,'inventory ledger'!$C:$C,C2163,'inventory ledger'!$D:$D,D2163,'inventory ledger'!$E:$E,E2163,'inventory ledger'!$A:$A,"&lt;="&amp;B2163+TIME(23,59,59)))</f>
        <v/>
      </c>
      <c r="G2163" s="3">
        <f>IFERROR(__xludf.DUMMYFUNCTION("IF(F2163&lt;=0,0,IFERROR(ROUNDUP(F2163/INDEX(FILTER('warehouse config'!$D:$D,('warehouse config'!$B:$B=C2163)*('warehouse config'!$C:$C=D2163)*('warehouse config'!$G:$G&lt;=B2163)*(('warehouse config'!$H:$H&gt;=B2163)+ISBLANK('warehouse config'!$H:$H))),1)),0))"),0.0)</f>
        <v>0</v>
      </c>
      <c r="H2163" s="3">
        <f>IFERROR(__xludf.DUMMYFUNCTION("IFERROR(INDEX(FILTER('cost master'!$E:$E,('cost master'!$B:$B=C2163)*('cost master'!$D:$D=""Storage cost per pallet / week"")*('cost master'!$G:$G&lt;=B2163)*(('cost master'!$H:$H&gt;=B2163)+ISBLANK('cost master'!$H:$H))),1),0)"),0.0)</f>
        <v>0</v>
      </c>
      <c r="I2163" s="3">
        <f t="shared" si="4"/>
        <v>0</v>
      </c>
      <c r="J2163" s="27">
        <f t="shared" si="5"/>
        <v>693947</v>
      </c>
      <c r="K2163" s="27">
        <f t="shared" si="6"/>
        <v>693977</v>
      </c>
    </row>
    <row r="2164" hidden="1">
      <c r="A2164" s="3" t="str">
        <f t="shared" si="3"/>
        <v/>
      </c>
      <c r="B2164" s="2" t="str">
        <f t="array" ref="B2164">INDEX(helper!$A$3:$A3996,ROUNDUP((ROW()-1)/COUNTA(helper!$D$3:$D3996),0))</f>
        <v/>
      </c>
      <c r="C2164" s="5" t="str">
        <f t="array" ref="C2164">IF(B2164="","",INDEX(helper!$D$3:$D3996,MOD(ROW()-2,COUNTA(helper!$D$3:$D3996))+1))</f>
        <v/>
      </c>
      <c r="D2164" s="3" t="str">
        <f t="array" ref="D2164">IF(B2164="","",INDEX(helper!$E$3:$E3996,MOD(ROW()-2,COUNTA(helper!$D$3:$D3996))+1))</f>
        <v/>
      </c>
      <c r="E2164" s="3" t="str">
        <f t="array" ref="E2164">IF(B2164="","",INDEX(helper!$F$3:$F3996,MOD(ROW()-2,COUNTA(helper!$D$3:$D3996))+1))</f>
        <v/>
      </c>
      <c r="F2164" s="3" t="str">
        <f>IF(B2164="","",SUMIFS('inventory ledger'!$H:$H,'inventory ledger'!$C:$C,C2164,'inventory ledger'!$D:$D,D2164,'inventory ledger'!$E:$E,E2164,'inventory ledger'!$A:$A,"&lt;="&amp;B2164+TIME(23,59,59))-SUMIFS('inventory ledger'!$I:$I,'inventory ledger'!$C:$C,C2164,'inventory ledger'!$D:$D,D2164,'inventory ledger'!$E:$E,E2164,'inventory ledger'!$A:$A,"&lt;="&amp;B2164+TIME(23,59,59)))</f>
        <v/>
      </c>
      <c r="G2164" s="3">
        <f>IFERROR(__xludf.DUMMYFUNCTION("IF(F2164&lt;=0,0,IFERROR(ROUNDUP(F2164/INDEX(FILTER('warehouse config'!$D:$D,('warehouse config'!$B:$B=C2164)*('warehouse config'!$C:$C=D2164)*('warehouse config'!$G:$G&lt;=B2164)*(('warehouse config'!$H:$H&gt;=B2164)+ISBLANK('warehouse config'!$H:$H))),1)),0))"),0.0)</f>
        <v>0</v>
      </c>
      <c r="H2164" s="3">
        <f>IFERROR(__xludf.DUMMYFUNCTION("IFERROR(INDEX(FILTER('cost master'!$E:$E,('cost master'!$B:$B=C2164)*('cost master'!$D:$D=""Storage cost per pallet / week"")*('cost master'!$G:$G&lt;=B2164)*(('cost master'!$H:$H&gt;=B2164)+ISBLANK('cost master'!$H:$H))),1),0)"),0.0)</f>
        <v>0</v>
      </c>
      <c r="I2164" s="3">
        <f t="shared" si="4"/>
        <v>0</v>
      </c>
      <c r="J2164" s="27">
        <f t="shared" si="5"/>
        <v>693947</v>
      </c>
      <c r="K2164" s="27">
        <f t="shared" si="6"/>
        <v>693977</v>
      </c>
    </row>
    <row r="2165" hidden="1">
      <c r="A2165" s="3" t="str">
        <f t="shared" si="3"/>
        <v/>
      </c>
      <c r="B2165" s="2" t="str">
        <f t="array" ref="B2165">INDEX(helper!$A$3:$A3996,ROUNDUP((ROW()-1)/COUNTA(helper!$D$3:$D3996),0))</f>
        <v/>
      </c>
      <c r="C2165" s="5" t="str">
        <f t="array" ref="C2165">IF(B2165="","",INDEX(helper!$D$3:$D3996,MOD(ROW()-2,COUNTA(helper!$D$3:$D3996))+1))</f>
        <v/>
      </c>
      <c r="D2165" s="3" t="str">
        <f t="array" ref="D2165">IF(B2165="","",INDEX(helper!$E$3:$E3996,MOD(ROW()-2,COUNTA(helper!$D$3:$D3996))+1))</f>
        <v/>
      </c>
      <c r="E2165" s="3" t="str">
        <f t="array" ref="E2165">IF(B2165="","",INDEX(helper!$F$3:$F3996,MOD(ROW()-2,COUNTA(helper!$D$3:$D3996))+1))</f>
        <v/>
      </c>
      <c r="F2165" s="3" t="str">
        <f>IF(B2165="","",SUMIFS('inventory ledger'!$H:$H,'inventory ledger'!$C:$C,C2165,'inventory ledger'!$D:$D,D2165,'inventory ledger'!$E:$E,E2165,'inventory ledger'!$A:$A,"&lt;="&amp;B2165+TIME(23,59,59))-SUMIFS('inventory ledger'!$I:$I,'inventory ledger'!$C:$C,C2165,'inventory ledger'!$D:$D,D2165,'inventory ledger'!$E:$E,E2165,'inventory ledger'!$A:$A,"&lt;="&amp;B2165+TIME(23,59,59)))</f>
        <v/>
      </c>
      <c r="G2165" s="3">
        <f>IFERROR(__xludf.DUMMYFUNCTION("IF(F2165&lt;=0,0,IFERROR(ROUNDUP(F2165/INDEX(FILTER('warehouse config'!$D:$D,('warehouse config'!$B:$B=C2165)*('warehouse config'!$C:$C=D2165)*('warehouse config'!$G:$G&lt;=B2165)*(('warehouse config'!$H:$H&gt;=B2165)+ISBLANK('warehouse config'!$H:$H))),1)),0))"),0.0)</f>
        <v>0</v>
      </c>
      <c r="H2165" s="3">
        <f>IFERROR(__xludf.DUMMYFUNCTION("IFERROR(INDEX(FILTER('cost master'!$E:$E,('cost master'!$B:$B=C2165)*('cost master'!$D:$D=""Storage cost per pallet / week"")*('cost master'!$G:$G&lt;=B2165)*(('cost master'!$H:$H&gt;=B2165)+ISBLANK('cost master'!$H:$H))),1),0)"),0.0)</f>
        <v>0</v>
      </c>
      <c r="I2165" s="3">
        <f t="shared" si="4"/>
        <v>0</v>
      </c>
      <c r="J2165" s="27">
        <f t="shared" si="5"/>
        <v>693947</v>
      </c>
      <c r="K2165" s="27">
        <f t="shared" si="6"/>
        <v>693977</v>
      </c>
    </row>
    <row r="2166" hidden="1">
      <c r="A2166" s="3" t="str">
        <f t="shared" si="3"/>
        <v/>
      </c>
      <c r="B2166" s="2" t="str">
        <f t="array" ref="B2166">INDEX(helper!$A$3:$A3996,ROUNDUP((ROW()-1)/COUNTA(helper!$D$3:$D3996),0))</f>
        <v/>
      </c>
      <c r="C2166" s="5" t="str">
        <f t="array" ref="C2166">IF(B2166="","",INDEX(helper!$D$3:$D3996,MOD(ROW()-2,COUNTA(helper!$D$3:$D3996))+1))</f>
        <v/>
      </c>
      <c r="D2166" s="3" t="str">
        <f t="array" ref="D2166">IF(B2166="","",INDEX(helper!$E$3:$E3996,MOD(ROW()-2,COUNTA(helper!$D$3:$D3996))+1))</f>
        <v/>
      </c>
      <c r="E2166" s="3" t="str">
        <f t="array" ref="E2166">IF(B2166="","",INDEX(helper!$F$3:$F3996,MOD(ROW()-2,COUNTA(helper!$D$3:$D3996))+1))</f>
        <v/>
      </c>
      <c r="F2166" s="3" t="str">
        <f>IF(B2166="","",SUMIFS('inventory ledger'!$H:$H,'inventory ledger'!$C:$C,C2166,'inventory ledger'!$D:$D,D2166,'inventory ledger'!$E:$E,E2166,'inventory ledger'!$A:$A,"&lt;="&amp;B2166+TIME(23,59,59))-SUMIFS('inventory ledger'!$I:$I,'inventory ledger'!$C:$C,C2166,'inventory ledger'!$D:$D,D2166,'inventory ledger'!$E:$E,E2166,'inventory ledger'!$A:$A,"&lt;="&amp;B2166+TIME(23,59,59)))</f>
        <v/>
      </c>
      <c r="G2166" s="3">
        <f>IFERROR(__xludf.DUMMYFUNCTION("IF(F2166&lt;=0,0,IFERROR(ROUNDUP(F2166/INDEX(FILTER('warehouse config'!$D:$D,('warehouse config'!$B:$B=C2166)*('warehouse config'!$C:$C=D2166)*('warehouse config'!$G:$G&lt;=B2166)*(('warehouse config'!$H:$H&gt;=B2166)+ISBLANK('warehouse config'!$H:$H))),1)),0))"),0.0)</f>
        <v>0</v>
      </c>
      <c r="H2166" s="3">
        <f>IFERROR(__xludf.DUMMYFUNCTION("IFERROR(INDEX(FILTER('cost master'!$E:$E,('cost master'!$B:$B=C2166)*('cost master'!$D:$D=""Storage cost per pallet / week"")*('cost master'!$G:$G&lt;=B2166)*(('cost master'!$H:$H&gt;=B2166)+ISBLANK('cost master'!$H:$H))),1),0)"),0.0)</f>
        <v>0</v>
      </c>
      <c r="I2166" s="3">
        <f t="shared" si="4"/>
        <v>0</v>
      </c>
      <c r="J2166" s="27">
        <f t="shared" si="5"/>
        <v>693947</v>
      </c>
      <c r="K2166" s="27">
        <f t="shared" si="6"/>
        <v>693977</v>
      </c>
    </row>
    <row r="2167" hidden="1">
      <c r="A2167" s="3" t="str">
        <f t="shared" si="3"/>
        <v/>
      </c>
      <c r="B2167" s="2" t="str">
        <f t="array" ref="B2167">INDEX(helper!$A$3:$A3996,ROUNDUP((ROW()-1)/COUNTA(helper!$D$3:$D3996),0))</f>
        <v/>
      </c>
      <c r="C2167" s="5" t="str">
        <f t="array" ref="C2167">IF(B2167="","",INDEX(helper!$D$3:$D3996,MOD(ROW()-2,COUNTA(helper!$D$3:$D3996))+1))</f>
        <v/>
      </c>
      <c r="D2167" s="3" t="str">
        <f t="array" ref="D2167">IF(B2167="","",INDEX(helper!$E$3:$E3996,MOD(ROW()-2,COUNTA(helper!$D$3:$D3996))+1))</f>
        <v/>
      </c>
      <c r="E2167" s="3" t="str">
        <f t="array" ref="E2167">IF(B2167="","",INDEX(helper!$F$3:$F3996,MOD(ROW()-2,COUNTA(helper!$D$3:$D3996))+1))</f>
        <v/>
      </c>
      <c r="F2167" s="3" t="str">
        <f>IF(B2167="","",SUMIFS('inventory ledger'!$H:$H,'inventory ledger'!$C:$C,C2167,'inventory ledger'!$D:$D,D2167,'inventory ledger'!$E:$E,E2167,'inventory ledger'!$A:$A,"&lt;="&amp;B2167+TIME(23,59,59))-SUMIFS('inventory ledger'!$I:$I,'inventory ledger'!$C:$C,C2167,'inventory ledger'!$D:$D,D2167,'inventory ledger'!$E:$E,E2167,'inventory ledger'!$A:$A,"&lt;="&amp;B2167+TIME(23,59,59)))</f>
        <v/>
      </c>
      <c r="G2167" s="3">
        <f>IFERROR(__xludf.DUMMYFUNCTION("IF(F2167&lt;=0,0,IFERROR(ROUNDUP(F2167/INDEX(FILTER('warehouse config'!$D:$D,('warehouse config'!$B:$B=C2167)*('warehouse config'!$C:$C=D2167)*('warehouse config'!$G:$G&lt;=B2167)*(('warehouse config'!$H:$H&gt;=B2167)+ISBLANK('warehouse config'!$H:$H))),1)),0))"),0.0)</f>
        <v>0</v>
      </c>
      <c r="H2167" s="3">
        <f>IFERROR(__xludf.DUMMYFUNCTION("IFERROR(INDEX(FILTER('cost master'!$E:$E,('cost master'!$B:$B=C2167)*('cost master'!$D:$D=""Storage cost per pallet / week"")*('cost master'!$G:$G&lt;=B2167)*(('cost master'!$H:$H&gt;=B2167)+ISBLANK('cost master'!$H:$H))),1),0)"),0.0)</f>
        <v>0</v>
      </c>
      <c r="I2167" s="3">
        <f t="shared" si="4"/>
        <v>0</v>
      </c>
      <c r="J2167" s="27">
        <f t="shared" si="5"/>
        <v>693947</v>
      </c>
      <c r="K2167" s="27">
        <f t="shared" si="6"/>
        <v>693977</v>
      </c>
    </row>
    <row r="2168" hidden="1">
      <c r="A2168" s="3" t="str">
        <f t="shared" si="3"/>
        <v/>
      </c>
      <c r="B2168" s="2" t="str">
        <f t="array" ref="B2168">INDEX(helper!$A$3:$A3996,ROUNDUP((ROW()-1)/COUNTA(helper!$D$3:$D3996),0))</f>
        <v/>
      </c>
      <c r="C2168" s="5" t="str">
        <f t="array" ref="C2168">IF(B2168="","",INDEX(helper!$D$3:$D3996,MOD(ROW()-2,COUNTA(helper!$D$3:$D3996))+1))</f>
        <v/>
      </c>
      <c r="D2168" s="3" t="str">
        <f t="array" ref="D2168">IF(B2168="","",INDEX(helper!$E$3:$E3996,MOD(ROW()-2,COUNTA(helper!$D$3:$D3996))+1))</f>
        <v/>
      </c>
      <c r="E2168" s="3" t="str">
        <f t="array" ref="E2168">IF(B2168="","",INDEX(helper!$F$3:$F3996,MOD(ROW()-2,COUNTA(helper!$D$3:$D3996))+1))</f>
        <v/>
      </c>
      <c r="F2168" s="3" t="str">
        <f>IF(B2168="","",SUMIFS('inventory ledger'!$H:$H,'inventory ledger'!$C:$C,C2168,'inventory ledger'!$D:$D,D2168,'inventory ledger'!$E:$E,E2168,'inventory ledger'!$A:$A,"&lt;="&amp;B2168+TIME(23,59,59))-SUMIFS('inventory ledger'!$I:$I,'inventory ledger'!$C:$C,C2168,'inventory ledger'!$D:$D,D2168,'inventory ledger'!$E:$E,E2168,'inventory ledger'!$A:$A,"&lt;="&amp;B2168+TIME(23,59,59)))</f>
        <v/>
      </c>
      <c r="G2168" s="3">
        <f>IFERROR(__xludf.DUMMYFUNCTION("IF(F2168&lt;=0,0,IFERROR(ROUNDUP(F2168/INDEX(FILTER('warehouse config'!$D:$D,('warehouse config'!$B:$B=C2168)*('warehouse config'!$C:$C=D2168)*('warehouse config'!$G:$G&lt;=B2168)*(('warehouse config'!$H:$H&gt;=B2168)+ISBLANK('warehouse config'!$H:$H))),1)),0))"),0.0)</f>
        <v>0</v>
      </c>
      <c r="H2168" s="3">
        <f>IFERROR(__xludf.DUMMYFUNCTION("IFERROR(INDEX(FILTER('cost master'!$E:$E,('cost master'!$B:$B=C2168)*('cost master'!$D:$D=""Storage cost per pallet / week"")*('cost master'!$G:$G&lt;=B2168)*(('cost master'!$H:$H&gt;=B2168)+ISBLANK('cost master'!$H:$H))),1),0)"),0.0)</f>
        <v>0</v>
      </c>
      <c r="I2168" s="3">
        <f t="shared" si="4"/>
        <v>0</v>
      </c>
      <c r="J2168" s="27">
        <f t="shared" si="5"/>
        <v>693947</v>
      </c>
      <c r="K2168" s="27">
        <f t="shared" si="6"/>
        <v>693977</v>
      </c>
    </row>
    <row r="2169" hidden="1">
      <c r="A2169" s="3" t="str">
        <f t="shared" si="3"/>
        <v/>
      </c>
      <c r="B2169" s="2" t="str">
        <f t="array" ref="B2169">INDEX(helper!$A$3:$A3996,ROUNDUP((ROW()-1)/COUNTA(helper!$D$3:$D3996),0))</f>
        <v/>
      </c>
      <c r="C2169" s="5" t="str">
        <f t="array" ref="C2169">IF(B2169="","",INDEX(helper!$D$3:$D3996,MOD(ROW()-2,COUNTA(helper!$D$3:$D3996))+1))</f>
        <v/>
      </c>
      <c r="D2169" s="3" t="str">
        <f t="array" ref="D2169">IF(B2169="","",INDEX(helper!$E$3:$E3996,MOD(ROW()-2,COUNTA(helper!$D$3:$D3996))+1))</f>
        <v/>
      </c>
      <c r="E2169" s="3" t="str">
        <f t="array" ref="E2169">IF(B2169="","",INDEX(helper!$F$3:$F3996,MOD(ROW()-2,COUNTA(helper!$D$3:$D3996))+1))</f>
        <v/>
      </c>
      <c r="F2169" s="3" t="str">
        <f>IF(B2169="","",SUMIFS('inventory ledger'!$H:$H,'inventory ledger'!$C:$C,C2169,'inventory ledger'!$D:$D,D2169,'inventory ledger'!$E:$E,E2169,'inventory ledger'!$A:$A,"&lt;="&amp;B2169+TIME(23,59,59))-SUMIFS('inventory ledger'!$I:$I,'inventory ledger'!$C:$C,C2169,'inventory ledger'!$D:$D,D2169,'inventory ledger'!$E:$E,E2169,'inventory ledger'!$A:$A,"&lt;="&amp;B2169+TIME(23,59,59)))</f>
        <v/>
      </c>
      <c r="G2169" s="3">
        <f>IFERROR(__xludf.DUMMYFUNCTION("IF(F2169&lt;=0,0,IFERROR(ROUNDUP(F2169/INDEX(FILTER('warehouse config'!$D:$D,('warehouse config'!$B:$B=C2169)*('warehouse config'!$C:$C=D2169)*('warehouse config'!$G:$G&lt;=B2169)*(('warehouse config'!$H:$H&gt;=B2169)+ISBLANK('warehouse config'!$H:$H))),1)),0))"),0.0)</f>
        <v>0</v>
      </c>
      <c r="H2169" s="3">
        <f>IFERROR(__xludf.DUMMYFUNCTION("IFERROR(INDEX(FILTER('cost master'!$E:$E,('cost master'!$B:$B=C2169)*('cost master'!$D:$D=""Storage cost per pallet / week"")*('cost master'!$G:$G&lt;=B2169)*(('cost master'!$H:$H&gt;=B2169)+ISBLANK('cost master'!$H:$H))),1),0)"),0.0)</f>
        <v>0</v>
      </c>
      <c r="I2169" s="3">
        <f t="shared" si="4"/>
        <v>0</v>
      </c>
      <c r="J2169" s="27">
        <f t="shared" si="5"/>
        <v>693947</v>
      </c>
      <c r="K2169" s="27">
        <f t="shared" si="6"/>
        <v>693977</v>
      </c>
    </row>
    <row r="2170" hidden="1">
      <c r="A2170" s="3" t="str">
        <f t="shared" si="3"/>
        <v/>
      </c>
      <c r="B2170" s="2" t="str">
        <f t="array" ref="B2170">INDEX(helper!$A$3:$A3996,ROUNDUP((ROW()-1)/COUNTA(helper!$D$3:$D3996),0))</f>
        <v/>
      </c>
      <c r="C2170" s="5" t="str">
        <f t="array" ref="C2170">IF(B2170="","",INDEX(helper!$D$3:$D3996,MOD(ROW()-2,COUNTA(helper!$D$3:$D3996))+1))</f>
        <v/>
      </c>
      <c r="D2170" s="3" t="str">
        <f t="array" ref="D2170">IF(B2170="","",INDEX(helper!$E$3:$E3996,MOD(ROW()-2,COUNTA(helper!$D$3:$D3996))+1))</f>
        <v/>
      </c>
      <c r="E2170" s="3" t="str">
        <f t="array" ref="E2170">IF(B2170="","",INDEX(helper!$F$3:$F3996,MOD(ROW()-2,COUNTA(helper!$D$3:$D3996))+1))</f>
        <v/>
      </c>
      <c r="F2170" s="3" t="str">
        <f>IF(B2170="","",SUMIFS('inventory ledger'!$H:$H,'inventory ledger'!$C:$C,C2170,'inventory ledger'!$D:$D,D2170,'inventory ledger'!$E:$E,E2170,'inventory ledger'!$A:$A,"&lt;="&amp;B2170+TIME(23,59,59))-SUMIFS('inventory ledger'!$I:$I,'inventory ledger'!$C:$C,C2170,'inventory ledger'!$D:$D,D2170,'inventory ledger'!$E:$E,E2170,'inventory ledger'!$A:$A,"&lt;="&amp;B2170+TIME(23,59,59)))</f>
        <v/>
      </c>
      <c r="G2170" s="3">
        <f>IFERROR(__xludf.DUMMYFUNCTION("IF(F2170&lt;=0,0,IFERROR(ROUNDUP(F2170/INDEX(FILTER('warehouse config'!$D:$D,('warehouse config'!$B:$B=C2170)*('warehouse config'!$C:$C=D2170)*('warehouse config'!$G:$G&lt;=B2170)*(('warehouse config'!$H:$H&gt;=B2170)+ISBLANK('warehouse config'!$H:$H))),1)),0))"),0.0)</f>
        <v>0</v>
      </c>
      <c r="H2170" s="3">
        <f>IFERROR(__xludf.DUMMYFUNCTION("IFERROR(INDEX(FILTER('cost master'!$E:$E,('cost master'!$B:$B=C2170)*('cost master'!$D:$D=""Storage cost per pallet / week"")*('cost master'!$G:$G&lt;=B2170)*(('cost master'!$H:$H&gt;=B2170)+ISBLANK('cost master'!$H:$H))),1),0)"),0.0)</f>
        <v>0</v>
      </c>
      <c r="I2170" s="3">
        <f t="shared" si="4"/>
        <v>0</v>
      </c>
      <c r="J2170" s="27">
        <f t="shared" si="5"/>
        <v>693947</v>
      </c>
      <c r="K2170" s="27">
        <f t="shared" si="6"/>
        <v>693977</v>
      </c>
    </row>
    <row r="2171" hidden="1">
      <c r="A2171" s="3" t="str">
        <f t="shared" si="3"/>
        <v/>
      </c>
      <c r="B2171" s="2" t="str">
        <f t="array" ref="B2171">INDEX(helper!$A$3:$A3996,ROUNDUP((ROW()-1)/COUNTA(helper!$D$3:$D3996),0))</f>
        <v/>
      </c>
      <c r="C2171" s="5" t="str">
        <f t="array" ref="C2171">IF(B2171="","",INDEX(helper!$D$3:$D3996,MOD(ROW()-2,COUNTA(helper!$D$3:$D3996))+1))</f>
        <v/>
      </c>
      <c r="D2171" s="3" t="str">
        <f t="array" ref="D2171">IF(B2171="","",INDEX(helper!$E$3:$E3996,MOD(ROW()-2,COUNTA(helper!$D$3:$D3996))+1))</f>
        <v/>
      </c>
      <c r="E2171" s="3" t="str">
        <f t="array" ref="E2171">IF(B2171="","",INDEX(helper!$F$3:$F3996,MOD(ROW()-2,COUNTA(helper!$D$3:$D3996))+1))</f>
        <v/>
      </c>
      <c r="F2171" s="3" t="str">
        <f>IF(B2171="","",SUMIFS('inventory ledger'!$H:$H,'inventory ledger'!$C:$C,C2171,'inventory ledger'!$D:$D,D2171,'inventory ledger'!$E:$E,E2171,'inventory ledger'!$A:$A,"&lt;="&amp;B2171+TIME(23,59,59))-SUMIFS('inventory ledger'!$I:$I,'inventory ledger'!$C:$C,C2171,'inventory ledger'!$D:$D,D2171,'inventory ledger'!$E:$E,E2171,'inventory ledger'!$A:$A,"&lt;="&amp;B2171+TIME(23,59,59)))</f>
        <v/>
      </c>
      <c r="G2171" s="3">
        <f>IFERROR(__xludf.DUMMYFUNCTION("IF(F2171&lt;=0,0,IFERROR(ROUNDUP(F2171/INDEX(FILTER('warehouse config'!$D:$D,('warehouse config'!$B:$B=C2171)*('warehouse config'!$C:$C=D2171)*('warehouse config'!$G:$G&lt;=B2171)*(('warehouse config'!$H:$H&gt;=B2171)+ISBLANK('warehouse config'!$H:$H))),1)),0))"),0.0)</f>
        <v>0</v>
      </c>
      <c r="H2171" s="3">
        <f>IFERROR(__xludf.DUMMYFUNCTION("IFERROR(INDEX(FILTER('cost master'!$E:$E,('cost master'!$B:$B=C2171)*('cost master'!$D:$D=""Storage cost per pallet / week"")*('cost master'!$G:$G&lt;=B2171)*(('cost master'!$H:$H&gt;=B2171)+ISBLANK('cost master'!$H:$H))),1),0)"),0.0)</f>
        <v>0</v>
      </c>
      <c r="I2171" s="3">
        <f t="shared" si="4"/>
        <v>0</v>
      </c>
      <c r="J2171" s="27">
        <f t="shared" si="5"/>
        <v>693947</v>
      </c>
      <c r="K2171" s="27">
        <f t="shared" si="6"/>
        <v>693977</v>
      </c>
    </row>
    <row r="2172" hidden="1">
      <c r="A2172" s="3" t="str">
        <f t="shared" si="3"/>
        <v/>
      </c>
      <c r="B2172" s="2" t="str">
        <f t="array" ref="B2172">INDEX(helper!$A$3:$A3996,ROUNDUP((ROW()-1)/COUNTA(helper!$D$3:$D3996),0))</f>
        <v/>
      </c>
      <c r="C2172" s="5" t="str">
        <f t="array" ref="C2172">IF(B2172="","",INDEX(helper!$D$3:$D3996,MOD(ROW()-2,COUNTA(helper!$D$3:$D3996))+1))</f>
        <v/>
      </c>
      <c r="D2172" s="3" t="str">
        <f t="array" ref="D2172">IF(B2172="","",INDEX(helper!$E$3:$E3996,MOD(ROW()-2,COUNTA(helper!$D$3:$D3996))+1))</f>
        <v/>
      </c>
      <c r="E2172" s="3" t="str">
        <f t="array" ref="E2172">IF(B2172="","",INDEX(helper!$F$3:$F3996,MOD(ROW()-2,COUNTA(helper!$D$3:$D3996))+1))</f>
        <v/>
      </c>
      <c r="F2172" s="3" t="str">
        <f>IF(B2172="","",SUMIFS('inventory ledger'!$H:$H,'inventory ledger'!$C:$C,C2172,'inventory ledger'!$D:$D,D2172,'inventory ledger'!$E:$E,E2172,'inventory ledger'!$A:$A,"&lt;="&amp;B2172+TIME(23,59,59))-SUMIFS('inventory ledger'!$I:$I,'inventory ledger'!$C:$C,C2172,'inventory ledger'!$D:$D,D2172,'inventory ledger'!$E:$E,E2172,'inventory ledger'!$A:$A,"&lt;="&amp;B2172+TIME(23,59,59)))</f>
        <v/>
      </c>
      <c r="G2172" s="3">
        <f>IFERROR(__xludf.DUMMYFUNCTION("IF(F2172&lt;=0,0,IFERROR(ROUNDUP(F2172/INDEX(FILTER('warehouse config'!$D:$D,('warehouse config'!$B:$B=C2172)*('warehouse config'!$C:$C=D2172)*('warehouse config'!$G:$G&lt;=B2172)*(('warehouse config'!$H:$H&gt;=B2172)+ISBLANK('warehouse config'!$H:$H))),1)),0))"),0.0)</f>
        <v>0</v>
      </c>
      <c r="H2172" s="3">
        <f>IFERROR(__xludf.DUMMYFUNCTION("IFERROR(INDEX(FILTER('cost master'!$E:$E,('cost master'!$B:$B=C2172)*('cost master'!$D:$D=""Storage cost per pallet / week"")*('cost master'!$G:$G&lt;=B2172)*(('cost master'!$H:$H&gt;=B2172)+ISBLANK('cost master'!$H:$H))),1),0)"),0.0)</f>
        <v>0</v>
      </c>
      <c r="I2172" s="3">
        <f t="shared" si="4"/>
        <v>0</v>
      </c>
      <c r="J2172" s="27">
        <f t="shared" si="5"/>
        <v>693947</v>
      </c>
      <c r="K2172" s="27">
        <f t="shared" si="6"/>
        <v>693977</v>
      </c>
    </row>
    <row r="2173" hidden="1">
      <c r="A2173" s="3" t="str">
        <f t="shared" si="3"/>
        <v/>
      </c>
      <c r="B2173" s="2" t="str">
        <f t="array" ref="B2173">INDEX(helper!$A$3:$A3996,ROUNDUP((ROW()-1)/COUNTA(helper!$D$3:$D3996),0))</f>
        <v/>
      </c>
      <c r="C2173" s="5" t="str">
        <f t="array" ref="C2173">IF(B2173="","",INDEX(helper!$D$3:$D3996,MOD(ROW()-2,COUNTA(helper!$D$3:$D3996))+1))</f>
        <v/>
      </c>
      <c r="D2173" s="3" t="str">
        <f t="array" ref="D2173">IF(B2173="","",INDEX(helper!$E$3:$E3996,MOD(ROW()-2,COUNTA(helper!$D$3:$D3996))+1))</f>
        <v/>
      </c>
      <c r="E2173" s="3" t="str">
        <f t="array" ref="E2173">IF(B2173="","",INDEX(helper!$F$3:$F3996,MOD(ROW()-2,COUNTA(helper!$D$3:$D3996))+1))</f>
        <v/>
      </c>
      <c r="F2173" s="3" t="str">
        <f>IF(B2173="","",SUMIFS('inventory ledger'!$H:$H,'inventory ledger'!$C:$C,C2173,'inventory ledger'!$D:$D,D2173,'inventory ledger'!$E:$E,E2173,'inventory ledger'!$A:$A,"&lt;="&amp;B2173+TIME(23,59,59))-SUMIFS('inventory ledger'!$I:$I,'inventory ledger'!$C:$C,C2173,'inventory ledger'!$D:$D,D2173,'inventory ledger'!$E:$E,E2173,'inventory ledger'!$A:$A,"&lt;="&amp;B2173+TIME(23,59,59)))</f>
        <v/>
      </c>
      <c r="G2173" s="3">
        <f>IFERROR(__xludf.DUMMYFUNCTION("IF(F2173&lt;=0,0,IFERROR(ROUNDUP(F2173/INDEX(FILTER('warehouse config'!$D:$D,('warehouse config'!$B:$B=C2173)*('warehouse config'!$C:$C=D2173)*('warehouse config'!$G:$G&lt;=B2173)*(('warehouse config'!$H:$H&gt;=B2173)+ISBLANK('warehouse config'!$H:$H))),1)),0))"),0.0)</f>
        <v>0</v>
      </c>
      <c r="H2173" s="3">
        <f>IFERROR(__xludf.DUMMYFUNCTION("IFERROR(INDEX(FILTER('cost master'!$E:$E,('cost master'!$B:$B=C2173)*('cost master'!$D:$D=""Storage cost per pallet / week"")*('cost master'!$G:$G&lt;=B2173)*(('cost master'!$H:$H&gt;=B2173)+ISBLANK('cost master'!$H:$H))),1),0)"),0.0)</f>
        <v>0</v>
      </c>
      <c r="I2173" s="3">
        <f t="shared" si="4"/>
        <v>0</v>
      </c>
      <c r="J2173" s="27">
        <f t="shared" si="5"/>
        <v>693947</v>
      </c>
      <c r="K2173" s="27">
        <f t="shared" si="6"/>
        <v>693977</v>
      </c>
    </row>
    <row r="2174" hidden="1">
      <c r="A2174" s="3" t="str">
        <f t="shared" si="3"/>
        <v/>
      </c>
      <c r="B2174" s="2" t="str">
        <f t="array" ref="B2174">INDEX(helper!$A$3:$A3996,ROUNDUP((ROW()-1)/COUNTA(helper!$D$3:$D3996),0))</f>
        <v/>
      </c>
      <c r="C2174" s="5" t="str">
        <f t="array" ref="C2174">IF(B2174="","",INDEX(helper!$D$3:$D3996,MOD(ROW()-2,COUNTA(helper!$D$3:$D3996))+1))</f>
        <v/>
      </c>
      <c r="D2174" s="3" t="str">
        <f t="array" ref="D2174">IF(B2174="","",INDEX(helper!$E$3:$E3996,MOD(ROW()-2,COUNTA(helper!$D$3:$D3996))+1))</f>
        <v/>
      </c>
      <c r="E2174" s="3" t="str">
        <f t="array" ref="E2174">IF(B2174="","",INDEX(helper!$F$3:$F3996,MOD(ROW()-2,COUNTA(helper!$D$3:$D3996))+1))</f>
        <v/>
      </c>
      <c r="F2174" s="3" t="str">
        <f>IF(B2174="","",SUMIFS('inventory ledger'!$H:$H,'inventory ledger'!$C:$C,C2174,'inventory ledger'!$D:$D,D2174,'inventory ledger'!$E:$E,E2174,'inventory ledger'!$A:$A,"&lt;="&amp;B2174+TIME(23,59,59))-SUMIFS('inventory ledger'!$I:$I,'inventory ledger'!$C:$C,C2174,'inventory ledger'!$D:$D,D2174,'inventory ledger'!$E:$E,E2174,'inventory ledger'!$A:$A,"&lt;="&amp;B2174+TIME(23,59,59)))</f>
        <v/>
      </c>
      <c r="G2174" s="3">
        <f>IFERROR(__xludf.DUMMYFUNCTION("IF(F2174&lt;=0,0,IFERROR(ROUNDUP(F2174/INDEX(FILTER('warehouse config'!$D:$D,('warehouse config'!$B:$B=C2174)*('warehouse config'!$C:$C=D2174)*('warehouse config'!$G:$G&lt;=B2174)*(('warehouse config'!$H:$H&gt;=B2174)+ISBLANK('warehouse config'!$H:$H))),1)),0))"),0.0)</f>
        <v>0</v>
      </c>
      <c r="H2174" s="3">
        <f>IFERROR(__xludf.DUMMYFUNCTION("IFERROR(INDEX(FILTER('cost master'!$E:$E,('cost master'!$B:$B=C2174)*('cost master'!$D:$D=""Storage cost per pallet / week"")*('cost master'!$G:$G&lt;=B2174)*(('cost master'!$H:$H&gt;=B2174)+ISBLANK('cost master'!$H:$H))),1),0)"),0.0)</f>
        <v>0</v>
      </c>
      <c r="I2174" s="3">
        <f t="shared" si="4"/>
        <v>0</v>
      </c>
      <c r="J2174" s="27">
        <f t="shared" si="5"/>
        <v>693947</v>
      </c>
      <c r="K2174" s="27">
        <f t="shared" si="6"/>
        <v>693977</v>
      </c>
    </row>
    <row r="2175" hidden="1">
      <c r="A2175" s="3" t="str">
        <f t="shared" si="3"/>
        <v/>
      </c>
      <c r="B2175" s="2" t="str">
        <f t="array" ref="B2175">INDEX(helper!$A$3:$A3996,ROUNDUP((ROW()-1)/COUNTA(helper!$D$3:$D3996),0))</f>
        <v/>
      </c>
      <c r="C2175" s="5" t="str">
        <f t="array" ref="C2175">IF(B2175="","",INDEX(helper!$D$3:$D3996,MOD(ROW()-2,COUNTA(helper!$D$3:$D3996))+1))</f>
        <v/>
      </c>
      <c r="D2175" s="3" t="str">
        <f t="array" ref="D2175">IF(B2175="","",INDEX(helper!$E$3:$E3996,MOD(ROW()-2,COUNTA(helper!$D$3:$D3996))+1))</f>
        <v/>
      </c>
      <c r="E2175" s="3" t="str">
        <f t="array" ref="E2175">IF(B2175="","",INDEX(helper!$F$3:$F3996,MOD(ROW()-2,COUNTA(helper!$D$3:$D3996))+1))</f>
        <v/>
      </c>
      <c r="F2175" s="3" t="str">
        <f>IF(B2175="","",SUMIFS('inventory ledger'!$H:$H,'inventory ledger'!$C:$C,C2175,'inventory ledger'!$D:$D,D2175,'inventory ledger'!$E:$E,E2175,'inventory ledger'!$A:$A,"&lt;="&amp;B2175+TIME(23,59,59))-SUMIFS('inventory ledger'!$I:$I,'inventory ledger'!$C:$C,C2175,'inventory ledger'!$D:$D,D2175,'inventory ledger'!$E:$E,E2175,'inventory ledger'!$A:$A,"&lt;="&amp;B2175+TIME(23,59,59)))</f>
        <v/>
      </c>
      <c r="G2175" s="3">
        <f>IFERROR(__xludf.DUMMYFUNCTION("IF(F2175&lt;=0,0,IFERROR(ROUNDUP(F2175/INDEX(FILTER('warehouse config'!$D:$D,('warehouse config'!$B:$B=C2175)*('warehouse config'!$C:$C=D2175)*('warehouse config'!$G:$G&lt;=B2175)*(('warehouse config'!$H:$H&gt;=B2175)+ISBLANK('warehouse config'!$H:$H))),1)),0))"),0.0)</f>
        <v>0</v>
      </c>
      <c r="H2175" s="3">
        <f>IFERROR(__xludf.DUMMYFUNCTION("IFERROR(INDEX(FILTER('cost master'!$E:$E,('cost master'!$B:$B=C2175)*('cost master'!$D:$D=""Storage cost per pallet / week"")*('cost master'!$G:$G&lt;=B2175)*(('cost master'!$H:$H&gt;=B2175)+ISBLANK('cost master'!$H:$H))),1),0)"),0.0)</f>
        <v>0</v>
      </c>
      <c r="I2175" s="3">
        <f t="shared" si="4"/>
        <v>0</v>
      </c>
      <c r="J2175" s="27">
        <f t="shared" si="5"/>
        <v>693947</v>
      </c>
      <c r="K2175" s="27">
        <f t="shared" si="6"/>
        <v>693977</v>
      </c>
    </row>
    <row r="2176" hidden="1">
      <c r="A2176" s="3" t="str">
        <f t="shared" si="3"/>
        <v/>
      </c>
      <c r="B2176" s="2" t="str">
        <f t="array" ref="B2176">INDEX(helper!$A$3:$A3996,ROUNDUP((ROW()-1)/COUNTA(helper!$D$3:$D3996),0))</f>
        <v/>
      </c>
      <c r="C2176" s="5" t="str">
        <f t="array" ref="C2176">IF(B2176="","",INDEX(helper!$D$3:$D3996,MOD(ROW()-2,COUNTA(helper!$D$3:$D3996))+1))</f>
        <v/>
      </c>
      <c r="D2176" s="3" t="str">
        <f t="array" ref="D2176">IF(B2176="","",INDEX(helper!$E$3:$E3996,MOD(ROW()-2,COUNTA(helper!$D$3:$D3996))+1))</f>
        <v/>
      </c>
      <c r="E2176" s="3" t="str">
        <f t="array" ref="E2176">IF(B2176="","",INDEX(helper!$F$3:$F3996,MOD(ROW()-2,COUNTA(helper!$D$3:$D3996))+1))</f>
        <v/>
      </c>
      <c r="F2176" s="3" t="str">
        <f>IF(B2176="","",SUMIFS('inventory ledger'!$H:$H,'inventory ledger'!$C:$C,C2176,'inventory ledger'!$D:$D,D2176,'inventory ledger'!$E:$E,E2176,'inventory ledger'!$A:$A,"&lt;="&amp;B2176+TIME(23,59,59))-SUMIFS('inventory ledger'!$I:$I,'inventory ledger'!$C:$C,C2176,'inventory ledger'!$D:$D,D2176,'inventory ledger'!$E:$E,E2176,'inventory ledger'!$A:$A,"&lt;="&amp;B2176+TIME(23,59,59)))</f>
        <v/>
      </c>
      <c r="G2176" s="3">
        <f>IFERROR(__xludf.DUMMYFUNCTION("IF(F2176&lt;=0,0,IFERROR(ROUNDUP(F2176/INDEX(FILTER('warehouse config'!$D:$D,('warehouse config'!$B:$B=C2176)*('warehouse config'!$C:$C=D2176)*('warehouse config'!$G:$G&lt;=B2176)*(('warehouse config'!$H:$H&gt;=B2176)+ISBLANK('warehouse config'!$H:$H))),1)),0))"),0.0)</f>
        <v>0</v>
      </c>
      <c r="H2176" s="3">
        <f>IFERROR(__xludf.DUMMYFUNCTION("IFERROR(INDEX(FILTER('cost master'!$E:$E,('cost master'!$B:$B=C2176)*('cost master'!$D:$D=""Storage cost per pallet / week"")*('cost master'!$G:$G&lt;=B2176)*(('cost master'!$H:$H&gt;=B2176)+ISBLANK('cost master'!$H:$H))),1),0)"),0.0)</f>
        <v>0</v>
      </c>
      <c r="I2176" s="3">
        <f t="shared" si="4"/>
        <v>0</v>
      </c>
      <c r="J2176" s="27">
        <f t="shared" si="5"/>
        <v>693947</v>
      </c>
      <c r="K2176" s="27">
        <f t="shared" si="6"/>
        <v>693977</v>
      </c>
    </row>
    <row r="2177" hidden="1">
      <c r="A2177" s="3" t="str">
        <f t="shared" si="3"/>
        <v/>
      </c>
      <c r="B2177" s="2" t="str">
        <f t="array" ref="B2177">INDEX(helper!$A$3:$A3996,ROUNDUP((ROW()-1)/COUNTA(helper!$D$3:$D3996),0))</f>
        <v/>
      </c>
      <c r="C2177" s="5" t="str">
        <f t="array" ref="C2177">IF(B2177="","",INDEX(helper!$D$3:$D3996,MOD(ROW()-2,COUNTA(helper!$D$3:$D3996))+1))</f>
        <v/>
      </c>
      <c r="D2177" s="3" t="str">
        <f t="array" ref="D2177">IF(B2177="","",INDEX(helper!$E$3:$E3996,MOD(ROW()-2,COUNTA(helper!$D$3:$D3996))+1))</f>
        <v/>
      </c>
      <c r="E2177" s="3" t="str">
        <f t="array" ref="E2177">IF(B2177="","",INDEX(helper!$F$3:$F3996,MOD(ROW()-2,COUNTA(helper!$D$3:$D3996))+1))</f>
        <v/>
      </c>
      <c r="F2177" s="3" t="str">
        <f>IF(B2177="","",SUMIFS('inventory ledger'!$H:$H,'inventory ledger'!$C:$C,C2177,'inventory ledger'!$D:$D,D2177,'inventory ledger'!$E:$E,E2177,'inventory ledger'!$A:$A,"&lt;="&amp;B2177+TIME(23,59,59))-SUMIFS('inventory ledger'!$I:$I,'inventory ledger'!$C:$C,C2177,'inventory ledger'!$D:$D,D2177,'inventory ledger'!$E:$E,E2177,'inventory ledger'!$A:$A,"&lt;="&amp;B2177+TIME(23,59,59)))</f>
        <v/>
      </c>
      <c r="G2177" s="3">
        <f>IFERROR(__xludf.DUMMYFUNCTION("IF(F2177&lt;=0,0,IFERROR(ROUNDUP(F2177/INDEX(FILTER('warehouse config'!$D:$D,('warehouse config'!$B:$B=C2177)*('warehouse config'!$C:$C=D2177)*('warehouse config'!$G:$G&lt;=B2177)*(('warehouse config'!$H:$H&gt;=B2177)+ISBLANK('warehouse config'!$H:$H))),1)),0))"),0.0)</f>
        <v>0</v>
      </c>
      <c r="H2177" s="3">
        <f>IFERROR(__xludf.DUMMYFUNCTION("IFERROR(INDEX(FILTER('cost master'!$E:$E,('cost master'!$B:$B=C2177)*('cost master'!$D:$D=""Storage cost per pallet / week"")*('cost master'!$G:$G&lt;=B2177)*(('cost master'!$H:$H&gt;=B2177)+ISBLANK('cost master'!$H:$H))),1),0)"),0.0)</f>
        <v>0</v>
      </c>
      <c r="I2177" s="3">
        <f t="shared" si="4"/>
        <v>0</v>
      </c>
      <c r="J2177" s="27">
        <f t="shared" si="5"/>
        <v>693947</v>
      </c>
      <c r="K2177" s="27">
        <f t="shared" si="6"/>
        <v>693977</v>
      </c>
    </row>
    <row r="2178" hidden="1">
      <c r="A2178" s="3" t="str">
        <f t="shared" si="3"/>
        <v/>
      </c>
      <c r="B2178" s="2" t="str">
        <f t="array" ref="B2178">INDEX(helper!$A$3:$A3996,ROUNDUP((ROW()-1)/COUNTA(helper!$D$3:$D3996),0))</f>
        <v/>
      </c>
      <c r="C2178" s="5" t="str">
        <f t="array" ref="C2178">IF(B2178="","",INDEX(helper!$D$3:$D3996,MOD(ROW()-2,COUNTA(helper!$D$3:$D3996))+1))</f>
        <v/>
      </c>
      <c r="D2178" s="3" t="str">
        <f t="array" ref="D2178">IF(B2178="","",INDEX(helper!$E$3:$E3996,MOD(ROW()-2,COUNTA(helper!$D$3:$D3996))+1))</f>
        <v/>
      </c>
      <c r="E2178" s="3" t="str">
        <f t="array" ref="E2178">IF(B2178="","",INDEX(helper!$F$3:$F3996,MOD(ROW()-2,COUNTA(helper!$D$3:$D3996))+1))</f>
        <v/>
      </c>
      <c r="F2178" s="3" t="str">
        <f>IF(B2178="","",SUMIFS('inventory ledger'!$H:$H,'inventory ledger'!$C:$C,C2178,'inventory ledger'!$D:$D,D2178,'inventory ledger'!$E:$E,E2178,'inventory ledger'!$A:$A,"&lt;="&amp;B2178+TIME(23,59,59))-SUMIFS('inventory ledger'!$I:$I,'inventory ledger'!$C:$C,C2178,'inventory ledger'!$D:$D,D2178,'inventory ledger'!$E:$E,E2178,'inventory ledger'!$A:$A,"&lt;="&amp;B2178+TIME(23,59,59)))</f>
        <v/>
      </c>
      <c r="G2178" s="3">
        <f>IFERROR(__xludf.DUMMYFUNCTION("IF(F2178&lt;=0,0,IFERROR(ROUNDUP(F2178/INDEX(FILTER('warehouse config'!$D:$D,('warehouse config'!$B:$B=C2178)*('warehouse config'!$C:$C=D2178)*('warehouse config'!$G:$G&lt;=B2178)*(('warehouse config'!$H:$H&gt;=B2178)+ISBLANK('warehouse config'!$H:$H))),1)),0))"),0.0)</f>
        <v>0</v>
      </c>
      <c r="H2178" s="3">
        <f>IFERROR(__xludf.DUMMYFUNCTION("IFERROR(INDEX(FILTER('cost master'!$E:$E,('cost master'!$B:$B=C2178)*('cost master'!$D:$D=""Storage cost per pallet / week"")*('cost master'!$G:$G&lt;=B2178)*(('cost master'!$H:$H&gt;=B2178)+ISBLANK('cost master'!$H:$H))),1),0)"),0.0)</f>
        <v>0</v>
      </c>
      <c r="I2178" s="3">
        <f t="shared" si="4"/>
        <v>0</v>
      </c>
      <c r="J2178" s="27">
        <f t="shared" si="5"/>
        <v>693947</v>
      </c>
      <c r="K2178" s="27">
        <f t="shared" si="6"/>
        <v>693977</v>
      </c>
    </row>
    <row r="2179" hidden="1">
      <c r="A2179" s="3" t="str">
        <f t="shared" si="3"/>
        <v/>
      </c>
      <c r="B2179" s="2" t="str">
        <f t="array" ref="B2179">INDEX(helper!$A$3:$A3996,ROUNDUP((ROW()-1)/COUNTA(helper!$D$3:$D3996),0))</f>
        <v/>
      </c>
      <c r="C2179" s="5" t="str">
        <f t="array" ref="C2179">IF(B2179="","",INDEX(helper!$D$3:$D3996,MOD(ROW()-2,COUNTA(helper!$D$3:$D3996))+1))</f>
        <v/>
      </c>
      <c r="D2179" s="3" t="str">
        <f t="array" ref="D2179">IF(B2179="","",INDEX(helper!$E$3:$E3996,MOD(ROW()-2,COUNTA(helper!$D$3:$D3996))+1))</f>
        <v/>
      </c>
      <c r="E2179" s="3" t="str">
        <f t="array" ref="E2179">IF(B2179="","",INDEX(helper!$F$3:$F3996,MOD(ROW()-2,COUNTA(helper!$D$3:$D3996))+1))</f>
        <v/>
      </c>
      <c r="F2179" s="3" t="str">
        <f>IF(B2179="","",SUMIFS('inventory ledger'!$H:$H,'inventory ledger'!$C:$C,C2179,'inventory ledger'!$D:$D,D2179,'inventory ledger'!$E:$E,E2179,'inventory ledger'!$A:$A,"&lt;="&amp;B2179+TIME(23,59,59))-SUMIFS('inventory ledger'!$I:$I,'inventory ledger'!$C:$C,C2179,'inventory ledger'!$D:$D,D2179,'inventory ledger'!$E:$E,E2179,'inventory ledger'!$A:$A,"&lt;="&amp;B2179+TIME(23,59,59)))</f>
        <v/>
      </c>
      <c r="G2179" s="3">
        <f>IFERROR(__xludf.DUMMYFUNCTION("IF(F2179&lt;=0,0,IFERROR(ROUNDUP(F2179/INDEX(FILTER('warehouse config'!$D:$D,('warehouse config'!$B:$B=C2179)*('warehouse config'!$C:$C=D2179)*('warehouse config'!$G:$G&lt;=B2179)*(('warehouse config'!$H:$H&gt;=B2179)+ISBLANK('warehouse config'!$H:$H))),1)),0))"),0.0)</f>
        <v>0</v>
      </c>
      <c r="H2179" s="3">
        <f>IFERROR(__xludf.DUMMYFUNCTION("IFERROR(INDEX(FILTER('cost master'!$E:$E,('cost master'!$B:$B=C2179)*('cost master'!$D:$D=""Storage cost per pallet / week"")*('cost master'!$G:$G&lt;=B2179)*(('cost master'!$H:$H&gt;=B2179)+ISBLANK('cost master'!$H:$H))),1),0)"),0.0)</f>
        <v>0</v>
      </c>
      <c r="I2179" s="3">
        <f t="shared" si="4"/>
        <v>0</v>
      </c>
      <c r="J2179" s="27">
        <f t="shared" si="5"/>
        <v>693947</v>
      </c>
      <c r="K2179" s="27">
        <f t="shared" si="6"/>
        <v>693977</v>
      </c>
    </row>
    <row r="2180" hidden="1">
      <c r="A2180" s="3" t="str">
        <f t="shared" si="3"/>
        <v/>
      </c>
      <c r="B2180" s="2" t="str">
        <f t="array" ref="B2180">INDEX(helper!$A$3:$A3996,ROUNDUP((ROW()-1)/COUNTA(helper!$D$3:$D3996),0))</f>
        <v/>
      </c>
      <c r="C2180" s="5" t="str">
        <f t="array" ref="C2180">IF(B2180="","",INDEX(helper!$D$3:$D3996,MOD(ROW()-2,COUNTA(helper!$D$3:$D3996))+1))</f>
        <v/>
      </c>
      <c r="D2180" s="3" t="str">
        <f t="array" ref="D2180">IF(B2180="","",INDEX(helper!$E$3:$E3996,MOD(ROW()-2,COUNTA(helper!$D$3:$D3996))+1))</f>
        <v/>
      </c>
      <c r="E2180" s="3" t="str">
        <f t="array" ref="E2180">IF(B2180="","",INDEX(helper!$F$3:$F3996,MOD(ROW()-2,COUNTA(helper!$D$3:$D3996))+1))</f>
        <v/>
      </c>
      <c r="F2180" s="3" t="str">
        <f>IF(B2180="","",SUMIFS('inventory ledger'!$H:$H,'inventory ledger'!$C:$C,C2180,'inventory ledger'!$D:$D,D2180,'inventory ledger'!$E:$E,E2180,'inventory ledger'!$A:$A,"&lt;="&amp;B2180+TIME(23,59,59))-SUMIFS('inventory ledger'!$I:$I,'inventory ledger'!$C:$C,C2180,'inventory ledger'!$D:$D,D2180,'inventory ledger'!$E:$E,E2180,'inventory ledger'!$A:$A,"&lt;="&amp;B2180+TIME(23,59,59)))</f>
        <v/>
      </c>
      <c r="G2180" s="3">
        <f>IFERROR(__xludf.DUMMYFUNCTION("IF(F2180&lt;=0,0,IFERROR(ROUNDUP(F2180/INDEX(FILTER('warehouse config'!$D:$D,('warehouse config'!$B:$B=C2180)*('warehouse config'!$C:$C=D2180)*('warehouse config'!$G:$G&lt;=B2180)*(('warehouse config'!$H:$H&gt;=B2180)+ISBLANK('warehouse config'!$H:$H))),1)),0))"),0.0)</f>
        <v>0</v>
      </c>
      <c r="H2180" s="3">
        <f>IFERROR(__xludf.DUMMYFUNCTION("IFERROR(INDEX(FILTER('cost master'!$E:$E,('cost master'!$B:$B=C2180)*('cost master'!$D:$D=""Storage cost per pallet / week"")*('cost master'!$G:$G&lt;=B2180)*(('cost master'!$H:$H&gt;=B2180)+ISBLANK('cost master'!$H:$H))),1),0)"),0.0)</f>
        <v>0</v>
      </c>
      <c r="I2180" s="3">
        <f t="shared" si="4"/>
        <v>0</v>
      </c>
      <c r="J2180" s="27">
        <f t="shared" si="5"/>
        <v>693947</v>
      </c>
      <c r="K2180" s="27">
        <f t="shared" si="6"/>
        <v>693977</v>
      </c>
    </row>
    <row r="2181" hidden="1">
      <c r="A2181" s="3" t="str">
        <f t="shared" si="3"/>
        <v/>
      </c>
      <c r="B2181" s="2" t="str">
        <f t="array" ref="B2181">INDEX(helper!$A$3:$A3996,ROUNDUP((ROW()-1)/COUNTA(helper!$D$3:$D3996),0))</f>
        <v/>
      </c>
      <c r="C2181" s="5" t="str">
        <f t="array" ref="C2181">IF(B2181="","",INDEX(helper!$D$3:$D3996,MOD(ROW()-2,COUNTA(helper!$D$3:$D3996))+1))</f>
        <v/>
      </c>
      <c r="D2181" s="3" t="str">
        <f t="array" ref="D2181">IF(B2181="","",INDEX(helper!$E$3:$E3996,MOD(ROW()-2,COUNTA(helper!$D$3:$D3996))+1))</f>
        <v/>
      </c>
      <c r="E2181" s="3" t="str">
        <f t="array" ref="E2181">IF(B2181="","",INDEX(helper!$F$3:$F3996,MOD(ROW()-2,COUNTA(helper!$D$3:$D3996))+1))</f>
        <v/>
      </c>
      <c r="F2181" s="3" t="str">
        <f>IF(B2181="","",SUMIFS('inventory ledger'!$H:$H,'inventory ledger'!$C:$C,C2181,'inventory ledger'!$D:$D,D2181,'inventory ledger'!$E:$E,E2181,'inventory ledger'!$A:$A,"&lt;="&amp;B2181+TIME(23,59,59))-SUMIFS('inventory ledger'!$I:$I,'inventory ledger'!$C:$C,C2181,'inventory ledger'!$D:$D,D2181,'inventory ledger'!$E:$E,E2181,'inventory ledger'!$A:$A,"&lt;="&amp;B2181+TIME(23,59,59)))</f>
        <v/>
      </c>
      <c r="G2181" s="3">
        <f>IFERROR(__xludf.DUMMYFUNCTION("IF(F2181&lt;=0,0,IFERROR(ROUNDUP(F2181/INDEX(FILTER('warehouse config'!$D:$D,('warehouse config'!$B:$B=C2181)*('warehouse config'!$C:$C=D2181)*('warehouse config'!$G:$G&lt;=B2181)*(('warehouse config'!$H:$H&gt;=B2181)+ISBLANK('warehouse config'!$H:$H))),1)),0))"),0.0)</f>
        <v>0</v>
      </c>
      <c r="H2181" s="3">
        <f>IFERROR(__xludf.DUMMYFUNCTION("IFERROR(INDEX(FILTER('cost master'!$E:$E,('cost master'!$B:$B=C2181)*('cost master'!$D:$D=""Storage cost per pallet / week"")*('cost master'!$G:$G&lt;=B2181)*(('cost master'!$H:$H&gt;=B2181)+ISBLANK('cost master'!$H:$H))),1),0)"),0.0)</f>
        <v>0</v>
      </c>
      <c r="I2181" s="3">
        <f t="shared" si="4"/>
        <v>0</v>
      </c>
      <c r="J2181" s="27">
        <f t="shared" si="5"/>
        <v>693947</v>
      </c>
      <c r="K2181" s="27">
        <f t="shared" si="6"/>
        <v>693977</v>
      </c>
    </row>
    <row r="2182" hidden="1">
      <c r="A2182" s="3" t="str">
        <f t="shared" si="3"/>
        <v/>
      </c>
      <c r="B2182" s="2" t="str">
        <f t="array" ref="B2182">INDEX(helper!$A$3:$A3996,ROUNDUP((ROW()-1)/COUNTA(helper!$D$3:$D3996),0))</f>
        <v/>
      </c>
      <c r="C2182" s="5" t="str">
        <f t="array" ref="C2182">IF(B2182="","",INDEX(helper!$D$3:$D3996,MOD(ROW()-2,COUNTA(helper!$D$3:$D3996))+1))</f>
        <v/>
      </c>
      <c r="D2182" s="3" t="str">
        <f t="array" ref="D2182">IF(B2182="","",INDEX(helper!$E$3:$E3996,MOD(ROW()-2,COUNTA(helper!$D$3:$D3996))+1))</f>
        <v/>
      </c>
      <c r="E2182" s="3" t="str">
        <f t="array" ref="E2182">IF(B2182="","",INDEX(helper!$F$3:$F3996,MOD(ROW()-2,COUNTA(helper!$D$3:$D3996))+1))</f>
        <v/>
      </c>
      <c r="F2182" s="3" t="str">
        <f>IF(B2182="","",SUMIFS('inventory ledger'!$H:$H,'inventory ledger'!$C:$C,C2182,'inventory ledger'!$D:$D,D2182,'inventory ledger'!$E:$E,E2182,'inventory ledger'!$A:$A,"&lt;="&amp;B2182+TIME(23,59,59))-SUMIFS('inventory ledger'!$I:$I,'inventory ledger'!$C:$C,C2182,'inventory ledger'!$D:$D,D2182,'inventory ledger'!$E:$E,E2182,'inventory ledger'!$A:$A,"&lt;="&amp;B2182+TIME(23,59,59)))</f>
        <v/>
      </c>
      <c r="G2182" s="3">
        <f>IFERROR(__xludf.DUMMYFUNCTION("IF(F2182&lt;=0,0,IFERROR(ROUNDUP(F2182/INDEX(FILTER('warehouse config'!$D:$D,('warehouse config'!$B:$B=C2182)*('warehouse config'!$C:$C=D2182)*('warehouse config'!$G:$G&lt;=B2182)*(('warehouse config'!$H:$H&gt;=B2182)+ISBLANK('warehouse config'!$H:$H))),1)),0))"),0.0)</f>
        <v>0</v>
      </c>
      <c r="H2182" s="3">
        <f>IFERROR(__xludf.DUMMYFUNCTION("IFERROR(INDEX(FILTER('cost master'!$E:$E,('cost master'!$B:$B=C2182)*('cost master'!$D:$D=""Storage cost per pallet / week"")*('cost master'!$G:$G&lt;=B2182)*(('cost master'!$H:$H&gt;=B2182)+ISBLANK('cost master'!$H:$H))),1),0)"),0.0)</f>
        <v>0</v>
      </c>
      <c r="I2182" s="3">
        <f t="shared" si="4"/>
        <v>0</v>
      </c>
      <c r="J2182" s="27">
        <f t="shared" si="5"/>
        <v>693947</v>
      </c>
      <c r="K2182" s="27">
        <f t="shared" si="6"/>
        <v>693977</v>
      </c>
    </row>
    <row r="2183" hidden="1">
      <c r="A2183" s="3" t="str">
        <f t="shared" si="3"/>
        <v/>
      </c>
      <c r="B2183" s="2" t="str">
        <f t="array" ref="B2183">INDEX(helper!$A$3:$A3996,ROUNDUP((ROW()-1)/COUNTA(helper!$D$3:$D3996),0))</f>
        <v/>
      </c>
      <c r="C2183" s="5" t="str">
        <f t="array" ref="C2183">IF(B2183="","",INDEX(helper!$D$3:$D3996,MOD(ROW()-2,COUNTA(helper!$D$3:$D3996))+1))</f>
        <v/>
      </c>
      <c r="D2183" s="3" t="str">
        <f t="array" ref="D2183">IF(B2183="","",INDEX(helper!$E$3:$E3996,MOD(ROW()-2,COUNTA(helper!$D$3:$D3996))+1))</f>
        <v/>
      </c>
      <c r="E2183" s="3" t="str">
        <f t="array" ref="E2183">IF(B2183="","",INDEX(helper!$F$3:$F3996,MOD(ROW()-2,COUNTA(helper!$D$3:$D3996))+1))</f>
        <v/>
      </c>
      <c r="F2183" s="3" t="str">
        <f>IF(B2183="","",SUMIFS('inventory ledger'!$H:$H,'inventory ledger'!$C:$C,C2183,'inventory ledger'!$D:$D,D2183,'inventory ledger'!$E:$E,E2183,'inventory ledger'!$A:$A,"&lt;="&amp;B2183+TIME(23,59,59))-SUMIFS('inventory ledger'!$I:$I,'inventory ledger'!$C:$C,C2183,'inventory ledger'!$D:$D,D2183,'inventory ledger'!$E:$E,E2183,'inventory ledger'!$A:$A,"&lt;="&amp;B2183+TIME(23,59,59)))</f>
        <v/>
      </c>
      <c r="G2183" s="3">
        <f>IFERROR(__xludf.DUMMYFUNCTION("IF(F2183&lt;=0,0,IFERROR(ROUNDUP(F2183/INDEX(FILTER('warehouse config'!$D:$D,('warehouse config'!$B:$B=C2183)*('warehouse config'!$C:$C=D2183)*('warehouse config'!$G:$G&lt;=B2183)*(('warehouse config'!$H:$H&gt;=B2183)+ISBLANK('warehouse config'!$H:$H))),1)),0))"),0.0)</f>
        <v>0</v>
      </c>
      <c r="H2183" s="3">
        <f>IFERROR(__xludf.DUMMYFUNCTION("IFERROR(INDEX(FILTER('cost master'!$E:$E,('cost master'!$B:$B=C2183)*('cost master'!$D:$D=""Storage cost per pallet / week"")*('cost master'!$G:$G&lt;=B2183)*(('cost master'!$H:$H&gt;=B2183)+ISBLANK('cost master'!$H:$H))),1),0)"),0.0)</f>
        <v>0</v>
      </c>
      <c r="I2183" s="3">
        <f t="shared" si="4"/>
        <v>0</v>
      </c>
      <c r="J2183" s="27">
        <f t="shared" si="5"/>
        <v>693947</v>
      </c>
      <c r="K2183" s="27">
        <f t="shared" si="6"/>
        <v>693977</v>
      </c>
    </row>
    <row r="2184" hidden="1">
      <c r="A2184" s="3" t="str">
        <f t="shared" si="3"/>
        <v/>
      </c>
      <c r="B2184" s="2" t="str">
        <f t="array" ref="B2184">INDEX(helper!$A$3:$A3996,ROUNDUP((ROW()-1)/COUNTA(helper!$D$3:$D3996),0))</f>
        <v/>
      </c>
      <c r="C2184" s="5" t="str">
        <f t="array" ref="C2184">IF(B2184="","",INDEX(helper!$D$3:$D3996,MOD(ROW()-2,COUNTA(helper!$D$3:$D3996))+1))</f>
        <v/>
      </c>
      <c r="D2184" s="3" t="str">
        <f t="array" ref="D2184">IF(B2184="","",INDEX(helper!$E$3:$E3996,MOD(ROW()-2,COUNTA(helper!$D$3:$D3996))+1))</f>
        <v/>
      </c>
      <c r="E2184" s="3" t="str">
        <f t="array" ref="E2184">IF(B2184="","",INDEX(helper!$F$3:$F3996,MOD(ROW()-2,COUNTA(helper!$D$3:$D3996))+1))</f>
        <v/>
      </c>
      <c r="F2184" s="3" t="str">
        <f>IF(B2184="","",SUMIFS('inventory ledger'!$H:$H,'inventory ledger'!$C:$C,C2184,'inventory ledger'!$D:$D,D2184,'inventory ledger'!$E:$E,E2184,'inventory ledger'!$A:$A,"&lt;="&amp;B2184+TIME(23,59,59))-SUMIFS('inventory ledger'!$I:$I,'inventory ledger'!$C:$C,C2184,'inventory ledger'!$D:$D,D2184,'inventory ledger'!$E:$E,E2184,'inventory ledger'!$A:$A,"&lt;="&amp;B2184+TIME(23,59,59)))</f>
        <v/>
      </c>
      <c r="G2184" s="3">
        <f>IFERROR(__xludf.DUMMYFUNCTION("IF(F2184&lt;=0,0,IFERROR(ROUNDUP(F2184/INDEX(FILTER('warehouse config'!$D:$D,('warehouse config'!$B:$B=C2184)*('warehouse config'!$C:$C=D2184)*('warehouse config'!$G:$G&lt;=B2184)*(('warehouse config'!$H:$H&gt;=B2184)+ISBLANK('warehouse config'!$H:$H))),1)),0))"),0.0)</f>
        <v>0</v>
      </c>
      <c r="H2184" s="3">
        <f>IFERROR(__xludf.DUMMYFUNCTION("IFERROR(INDEX(FILTER('cost master'!$E:$E,('cost master'!$B:$B=C2184)*('cost master'!$D:$D=""Storage cost per pallet / week"")*('cost master'!$G:$G&lt;=B2184)*(('cost master'!$H:$H&gt;=B2184)+ISBLANK('cost master'!$H:$H))),1),0)"),0.0)</f>
        <v>0</v>
      </c>
      <c r="I2184" s="3">
        <f t="shared" si="4"/>
        <v>0</v>
      </c>
      <c r="J2184" s="27">
        <f t="shared" si="5"/>
        <v>693947</v>
      </c>
      <c r="K2184" s="27">
        <f t="shared" si="6"/>
        <v>693977</v>
      </c>
    </row>
    <row r="2185" hidden="1">
      <c r="A2185" s="3" t="str">
        <f t="shared" si="3"/>
        <v/>
      </c>
      <c r="B2185" s="2" t="str">
        <f t="array" ref="B2185">INDEX(helper!$A$3:$A3996,ROUNDUP((ROW()-1)/COUNTA(helper!$D$3:$D3996),0))</f>
        <v/>
      </c>
      <c r="C2185" s="5" t="str">
        <f t="array" ref="C2185">IF(B2185="","",INDEX(helper!$D$3:$D3996,MOD(ROW()-2,COUNTA(helper!$D$3:$D3996))+1))</f>
        <v/>
      </c>
      <c r="D2185" s="3" t="str">
        <f t="array" ref="D2185">IF(B2185="","",INDEX(helper!$E$3:$E3996,MOD(ROW()-2,COUNTA(helper!$D$3:$D3996))+1))</f>
        <v/>
      </c>
      <c r="E2185" s="3" t="str">
        <f t="array" ref="E2185">IF(B2185="","",INDEX(helper!$F$3:$F3996,MOD(ROW()-2,COUNTA(helper!$D$3:$D3996))+1))</f>
        <v/>
      </c>
      <c r="F2185" s="3" t="str">
        <f>IF(B2185="","",SUMIFS('inventory ledger'!$H:$H,'inventory ledger'!$C:$C,C2185,'inventory ledger'!$D:$D,D2185,'inventory ledger'!$E:$E,E2185,'inventory ledger'!$A:$A,"&lt;="&amp;B2185+TIME(23,59,59))-SUMIFS('inventory ledger'!$I:$I,'inventory ledger'!$C:$C,C2185,'inventory ledger'!$D:$D,D2185,'inventory ledger'!$E:$E,E2185,'inventory ledger'!$A:$A,"&lt;="&amp;B2185+TIME(23,59,59)))</f>
        <v/>
      </c>
      <c r="G2185" s="3">
        <f>IFERROR(__xludf.DUMMYFUNCTION("IF(F2185&lt;=0,0,IFERROR(ROUNDUP(F2185/INDEX(FILTER('warehouse config'!$D:$D,('warehouse config'!$B:$B=C2185)*('warehouse config'!$C:$C=D2185)*('warehouse config'!$G:$G&lt;=B2185)*(('warehouse config'!$H:$H&gt;=B2185)+ISBLANK('warehouse config'!$H:$H))),1)),0))"),0.0)</f>
        <v>0</v>
      </c>
      <c r="H2185" s="3">
        <f>IFERROR(__xludf.DUMMYFUNCTION("IFERROR(INDEX(FILTER('cost master'!$E:$E,('cost master'!$B:$B=C2185)*('cost master'!$D:$D=""Storage cost per pallet / week"")*('cost master'!$G:$G&lt;=B2185)*(('cost master'!$H:$H&gt;=B2185)+ISBLANK('cost master'!$H:$H))),1),0)"),0.0)</f>
        <v>0</v>
      </c>
      <c r="I2185" s="3">
        <f t="shared" si="4"/>
        <v>0</v>
      </c>
      <c r="J2185" s="27">
        <f t="shared" si="5"/>
        <v>693947</v>
      </c>
      <c r="K2185" s="27">
        <f t="shared" si="6"/>
        <v>693977</v>
      </c>
    </row>
    <row r="2186" hidden="1">
      <c r="A2186" s="3" t="str">
        <f t="shared" si="3"/>
        <v/>
      </c>
      <c r="B2186" s="2" t="str">
        <f t="array" ref="B2186">INDEX(helper!$A$3:$A3996,ROUNDUP((ROW()-1)/COUNTA(helper!$D$3:$D3996),0))</f>
        <v/>
      </c>
      <c r="C2186" s="5" t="str">
        <f t="array" ref="C2186">IF(B2186="","",INDEX(helper!$D$3:$D3996,MOD(ROW()-2,COUNTA(helper!$D$3:$D3996))+1))</f>
        <v/>
      </c>
      <c r="D2186" s="3" t="str">
        <f t="array" ref="D2186">IF(B2186="","",INDEX(helper!$E$3:$E3996,MOD(ROW()-2,COUNTA(helper!$D$3:$D3996))+1))</f>
        <v/>
      </c>
      <c r="E2186" s="3" t="str">
        <f t="array" ref="E2186">IF(B2186="","",INDEX(helper!$F$3:$F3996,MOD(ROW()-2,COUNTA(helper!$D$3:$D3996))+1))</f>
        <v/>
      </c>
      <c r="F2186" s="3" t="str">
        <f>IF(B2186="","",SUMIFS('inventory ledger'!$H:$H,'inventory ledger'!$C:$C,C2186,'inventory ledger'!$D:$D,D2186,'inventory ledger'!$E:$E,E2186,'inventory ledger'!$A:$A,"&lt;="&amp;B2186+TIME(23,59,59))-SUMIFS('inventory ledger'!$I:$I,'inventory ledger'!$C:$C,C2186,'inventory ledger'!$D:$D,D2186,'inventory ledger'!$E:$E,E2186,'inventory ledger'!$A:$A,"&lt;="&amp;B2186+TIME(23,59,59)))</f>
        <v/>
      </c>
      <c r="G2186" s="3">
        <f>IFERROR(__xludf.DUMMYFUNCTION("IF(F2186&lt;=0,0,IFERROR(ROUNDUP(F2186/INDEX(FILTER('warehouse config'!$D:$D,('warehouse config'!$B:$B=C2186)*('warehouse config'!$C:$C=D2186)*('warehouse config'!$G:$G&lt;=B2186)*(('warehouse config'!$H:$H&gt;=B2186)+ISBLANK('warehouse config'!$H:$H))),1)),0))"),0.0)</f>
        <v>0</v>
      </c>
      <c r="H2186" s="3">
        <f>IFERROR(__xludf.DUMMYFUNCTION("IFERROR(INDEX(FILTER('cost master'!$E:$E,('cost master'!$B:$B=C2186)*('cost master'!$D:$D=""Storage cost per pallet / week"")*('cost master'!$G:$G&lt;=B2186)*(('cost master'!$H:$H&gt;=B2186)+ISBLANK('cost master'!$H:$H))),1),0)"),0.0)</f>
        <v>0</v>
      </c>
      <c r="I2186" s="3">
        <f t="shared" si="4"/>
        <v>0</v>
      </c>
      <c r="J2186" s="27">
        <f t="shared" si="5"/>
        <v>693947</v>
      </c>
      <c r="K2186" s="27">
        <f t="shared" si="6"/>
        <v>693977</v>
      </c>
    </row>
    <row r="2187" hidden="1">
      <c r="A2187" s="3" t="str">
        <f t="shared" si="3"/>
        <v/>
      </c>
      <c r="B2187" s="2" t="str">
        <f t="array" ref="B2187">INDEX(helper!$A$3:$A3996,ROUNDUP((ROW()-1)/COUNTA(helper!$D$3:$D3996),0))</f>
        <v/>
      </c>
      <c r="C2187" s="5" t="str">
        <f t="array" ref="C2187">IF(B2187="","",INDEX(helper!$D$3:$D3996,MOD(ROW()-2,COUNTA(helper!$D$3:$D3996))+1))</f>
        <v/>
      </c>
      <c r="D2187" s="3" t="str">
        <f t="array" ref="D2187">IF(B2187="","",INDEX(helper!$E$3:$E3996,MOD(ROW()-2,COUNTA(helper!$D$3:$D3996))+1))</f>
        <v/>
      </c>
      <c r="E2187" s="3" t="str">
        <f t="array" ref="E2187">IF(B2187="","",INDEX(helper!$F$3:$F3996,MOD(ROW()-2,COUNTA(helper!$D$3:$D3996))+1))</f>
        <v/>
      </c>
      <c r="F2187" s="3" t="str">
        <f>IF(B2187="","",SUMIFS('inventory ledger'!$H:$H,'inventory ledger'!$C:$C,C2187,'inventory ledger'!$D:$D,D2187,'inventory ledger'!$E:$E,E2187,'inventory ledger'!$A:$A,"&lt;="&amp;B2187+TIME(23,59,59))-SUMIFS('inventory ledger'!$I:$I,'inventory ledger'!$C:$C,C2187,'inventory ledger'!$D:$D,D2187,'inventory ledger'!$E:$E,E2187,'inventory ledger'!$A:$A,"&lt;="&amp;B2187+TIME(23,59,59)))</f>
        <v/>
      </c>
      <c r="G2187" s="3">
        <f>IFERROR(__xludf.DUMMYFUNCTION("IF(F2187&lt;=0,0,IFERROR(ROUNDUP(F2187/INDEX(FILTER('warehouse config'!$D:$D,('warehouse config'!$B:$B=C2187)*('warehouse config'!$C:$C=D2187)*('warehouse config'!$G:$G&lt;=B2187)*(('warehouse config'!$H:$H&gt;=B2187)+ISBLANK('warehouse config'!$H:$H))),1)),0))"),0.0)</f>
        <v>0</v>
      </c>
      <c r="H2187" s="3">
        <f>IFERROR(__xludf.DUMMYFUNCTION("IFERROR(INDEX(FILTER('cost master'!$E:$E,('cost master'!$B:$B=C2187)*('cost master'!$D:$D=""Storage cost per pallet / week"")*('cost master'!$G:$G&lt;=B2187)*(('cost master'!$H:$H&gt;=B2187)+ISBLANK('cost master'!$H:$H))),1),0)"),0.0)</f>
        <v>0</v>
      </c>
      <c r="I2187" s="3">
        <f t="shared" si="4"/>
        <v>0</v>
      </c>
      <c r="J2187" s="27">
        <f t="shared" si="5"/>
        <v>693947</v>
      </c>
      <c r="K2187" s="27">
        <f t="shared" si="6"/>
        <v>693977</v>
      </c>
    </row>
    <row r="2188" hidden="1">
      <c r="A2188" s="3" t="str">
        <f t="shared" si="3"/>
        <v/>
      </c>
      <c r="B2188" s="2" t="str">
        <f t="array" ref="B2188">INDEX(helper!$A$3:$A3996,ROUNDUP((ROW()-1)/COUNTA(helper!$D$3:$D3996),0))</f>
        <v/>
      </c>
      <c r="C2188" s="5" t="str">
        <f t="array" ref="C2188">IF(B2188="","",INDEX(helper!$D$3:$D3996,MOD(ROW()-2,COUNTA(helper!$D$3:$D3996))+1))</f>
        <v/>
      </c>
      <c r="D2188" s="3" t="str">
        <f t="array" ref="D2188">IF(B2188="","",INDEX(helper!$E$3:$E3996,MOD(ROW()-2,COUNTA(helper!$D$3:$D3996))+1))</f>
        <v/>
      </c>
      <c r="E2188" s="3" t="str">
        <f t="array" ref="E2188">IF(B2188="","",INDEX(helper!$F$3:$F3996,MOD(ROW()-2,COUNTA(helper!$D$3:$D3996))+1))</f>
        <v/>
      </c>
      <c r="F2188" s="3" t="str">
        <f>IF(B2188="","",SUMIFS('inventory ledger'!$H:$H,'inventory ledger'!$C:$C,C2188,'inventory ledger'!$D:$D,D2188,'inventory ledger'!$E:$E,E2188,'inventory ledger'!$A:$A,"&lt;="&amp;B2188+TIME(23,59,59))-SUMIFS('inventory ledger'!$I:$I,'inventory ledger'!$C:$C,C2188,'inventory ledger'!$D:$D,D2188,'inventory ledger'!$E:$E,E2188,'inventory ledger'!$A:$A,"&lt;="&amp;B2188+TIME(23,59,59)))</f>
        <v/>
      </c>
      <c r="G2188" s="3">
        <f>IFERROR(__xludf.DUMMYFUNCTION("IF(F2188&lt;=0,0,IFERROR(ROUNDUP(F2188/INDEX(FILTER('warehouse config'!$D:$D,('warehouse config'!$B:$B=C2188)*('warehouse config'!$C:$C=D2188)*('warehouse config'!$G:$G&lt;=B2188)*(('warehouse config'!$H:$H&gt;=B2188)+ISBLANK('warehouse config'!$H:$H))),1)),0))"),0.0)</f>
        <v>0</v>
      </c>
      <c r="H2188" s="3">
        <f>IFERROR(__xludf.DUMMYFUNCTION("IFERROR(INDEX(FILTER('cost master'!$E:$E,('cost master'!$B:$B=C2188)*('cost master'!$D:$D=""Storage cost per pallet / week"")*('cost master'!$G:$G&lt;=B2188)*(('cost master'!$H:$H&gt;=B2188)+ISBLANK('cost master'!$H:$H))),1),0)"),0.0)</f>
        <v>0</v>
      </c>
      <c r="I2188" s="3">
        <f t="shared" si="4"/>
        <v>0</v>
      </c>
      <c r="J2188" s="27">
        <f t="shared" si="5"/>
        <v>693947</v>
      </c>
      <c r="K2188" s="27">
        <f t="shared" si="6"/>
        <v>693977</v>
      </c>
    </row>
    <row r="2189" hidden="1">
      <c r="A2189" s="3" t="str">
        <f t="shared" si="3"/>
        <v/>
      </c>
      <c r="B2189" s="2" t="str">
        <f t="array" ref="B2189">INDEX(helper!$A$3:$A3996,ROUNDUP((ROW()-1)/COUNTA(helper!$D$3:$D3996),0))</f>
        <v/>
      </c>
      <c r="C2189" s="5" t="str">
        <f t="array" ref="C2189">IF(B2189="","",INDEX(helper!$D$3:$D3996,MOD(ROW()-2,COUNTA(helper!$D$3:$D3996))+1))</f>
        <v/>
      </c>
      <c r="D2189" s="3" t="str">
        <f t="array" ref="D2189">IF(B2189="","",INDEX(helper!$E$3:$E3996,MOD(ROW()-2,COUNTA(helper!$D$3:$D3996))+1))</f>
        <v/>
      </c>
      <c r="E2189" s="3" t="str">
        <f t="array" ref="E2189">IF(B2189="","",INDEX(helper!$F$3:$F3996,MOD(ROW()-2,COUNTA(helper!$D$3:$D3996))+1))</f>
        <v/>
      </c>
      <c r="F2189" s="3" t="str">
        <f>IF(B2189="","",SUMIFS('inventory ledger'!$H:$H,'inventory ledger'!$C:$C,C2189,'inventory ledger'!$D:$D,D2189,'inventory ledger'!$E:$E,E2189,'inventory ledger'!$A:$A,"&lt;="&amp;B2189+TIME(23,59,59))-SUMIFS('inventory ledger'!$I:$I,'inventory ledger'!$C:$C,C2189,'inventory ledger'!$D:$D,D2189,'inventory ledger'!$E:$E,E2189,'inventory ledger'!$A:$A,"&lt;="&amp;B2189+TIME(23,59,59)))</f>
        <v/>
      </c>
      <c r="G2189" s="3">
        <f>IFERROR(__xludf.DUMMYFUNCTION("IF(F2189&lt;=0,0,IFERROR(ROUNDUP(F2189/INDEX(FILTER('warehouse config'!$D:$D,('warehouse config'!$B:$B=C2189)*('warehouse config'!$C:$C=D2189)*('warehouse config'!$G:$G&lt;=B2189)*(('warehouse config'!$H:$H&gt;=B2189)+ISBLANK('warehouse config'!$H:$H))),1)),0))"),0.0)</f>
        <v>0</v>
      </c>
      <c r="H2189" s="3">
        <f>IFERROR(__xludf.DUMMYFUNCTION("IFERROR(INDEX(FILTER('cost master'!$E:$E,('cost master'!$B:$B=C2189)*('cost master'!$D:$D=""Storage cost per pallet / week"")*('cost master'!$G:$G&lt;=B2189)*(('cost master'!$H:$H&gt;=B2189)+ISBLANK('cost master'!$H:$H))),1),0)"),0.0)</f>
        <v>0</v>
      </c>
      <c r="I2189" s="3">
        <f t="shared" si="4"/>
        <v>0</v>
      </c>
      <c r="J2189" s="27">
        <f t="shared" si="5"/>
        <v>693947</v>
      </c>
      <c r="K2189" s="27">
        <f t="shared" si="6"/>
        <v>693977</v>
      </c>
    </row>
    <row r="2190" hidden="1">
      <c r="A2190" s="3" t="str">
        <f t="shared" si="3"/>
        <v/>
      </c>
      <c r="B2190" s="2" t="str">
        <f t="array" ref="B2190">INDEX(helper!$A$3:$A3996,ROUNDUP((ROW()-1)/COUNTA(helper!$D$3:$D3996),0))</f>
        <v/>
      </c>
      <c r="C2190" s="5" t="str">
        <f t="array" ref="C2190">IF(B2190="","",INDEX(helper!$D$3:$D3996,MOD(ROW()-2,COUNTA(helper!$D$3:$D3996))+1))</f>
        <v/>
      </c>
      <c r="D2190" s="3" t="str">
        <f t="array" ref="D2190">IF(B2190="","",INDEX(helper!$E$3:$E3996,MOD(ROW()-2,COUNTA(helper!$D$3:$D3996))+1))</f>
        <v/>
      </c>
      <c r="E2190" s="3" t="str">
        <f t="array" ref="E2190">IF(B2190="","",INDEX(helper!$F$3:$F3996,MOD(ROW()-2,COUNTA(helper!$D$3:$D3996))+1))</f>
        <v/>
      </c>
      <c r="F2190" s="3" t="str">
        <f>IF(B2190="","",SUMIFS('inventory ledger'!$H:$H,'inventory ledger'!$C:$C,C2190,'inventory ledger'!$D:$D,D2190,'inventory ledger'!$E:$E,E2190,'inventory ledger'!$A:$A,"&lt;="&amp;B2190+TIME(23,59,59))-SUMIFS('inventory ledger'!$I:$I,'inventory ledger'!$C:$C,C2190,'inventory ledger'!$D:$D,D2190,'inventory ledger'!$E:$E,E2190,'inventory ledger'!$A:$A,"&lt;="&amp;B2190+TIME(23,59,59)))</f>
        <v/>
      </c>
      <c r="G2190" s="3">
        <f>IFERROR(__xludf.DUMMYFUNCTION("IF(F2190&lt;=0,0,IFERROR(ROUNDUP(F2190/INDEX(FILTER('warehouse config'!$D:$D,('warehouse config'!$B:$B=C2190)*('warehouse config'!$C:$C=D2190)*('warehouse config'!$G:$G&lt;=B2190)*(('warehouse config'!$H:$H&gt;=B2190)+ISBLANK('warehouse config'!$H:$H))),1)),0))"),0.0)</f>
        <v>0</v>
      </c>
      <c r="H2190" s="3">
        <f>IFERROR(__xludf.DUMMYFUNCTION("IFERROR(INDEX(FILTER('cost master'!$E:$E,('cost master'!$B:$B=C2190)*('cost master'!$D:$D=""Storage cost per pallet / week"")*('cost master'!$G:$G&lt;=B2190)*(('cost master'!$H:$H&gt;=B2190)+ISBLANK('cost master'!$H:$H))),1),0)"),0.0)</f>
        <v>0</v>
      </c>
      <c r="I2190" s="3">
        <f t="shared" si="4"/>
        <v>0</v>
      </c>
      <c r="J2190" s="27">
        <f t="shared" si="5"/>
        <v>693947</v>
      </c>
      <c r="K2190" s="27">
        <f t="shared" si="6"/>
        <v>693977</v>
      </c>
    </row>
    <row r="2191" hidden="1">
      <c r="A2191" s="3" t="str">
        <f t="shared" si="3"/>
        <v/>
      </c>
      <c r="B2191" s="2" t="str">
        <f t="array" ref="B2191">INDEX(helper!$A$3:$A3996,ROUNDUP((ROW()-1)/COUNTA(helper!$D$3:$D3996),0))</f>
        <v/>
      </c>
      <c r="C2191" s="5" t="str">
        <f t="array" ref="C2191">IF(B2191="","",INDEX(helper!$D$3:$D3996,MOD(ROW()-2,COUNTA(helper!$D$3:$D3996))+1))</f>
        <v/>
      </c>
      <c r="D2191" s="3" t="str">
        <f t="array" ref="D2191">IF(B2191="","",INDEX(helper!$E$3:$E3996,MOD(ROW()-2,COUNTA(helper!$D$3:$D3996))+1))</f>
        <v/>
      </c>
      <c r="E2191" s="3" t="str">
        <f t="array" ref="E2191">IF(B2191="","",INDEX(helper!$F$3:$F3996,MOD(ROW()-2,COUNTA(helper!$D$3:$D3996))+1))</f>
        <v/>
      </c>
      <c r="F2191" s="3" t="str">
        <f>IF(B2191="","",SUMIFS('inventory ledger'!$H:$H,'inventory ledger'!$C:$C,C2191,'inventory ledger'!$D:$D,D2191,'inventory ledger'!$E:$E,E2191,'inventory ledger'!$A:$A,"&lt;="&amp;B2191+TIME(23,59,59))-SUMIFS('inventory ledger'!$I:$I,'inventory ledger'!$C:$C,C2191,'inventory ledger'!$D:$D,D2191,'inventory ledger'!$E:$E,E2191,'inventory ledger'!$A:$A,"&lt;="&amp;B2191+TIME(23,59,59)))</f>
        <v/>
      </c>
      <c r="G2191" s="3">
        <f>IFERROR(__xludf.DUMMYFUNCTION("IF(F2191&lt;=0,0,IFERROR(ROUNDUP(F2191/INDEX(FILTER('warehouse config'!$D:$D,('warehouse config'!$B:$B=C2191)*('warehouse config'!$C:$C=D2191)*('warehouse config'!$G:$G&lt;=B2191)*(('warehouse config'!$H:$H&gt;=B2191)+ISBLANK('warehouse config'!$H:$H))),1)),0))"),0.0)</f>
        <v>0</v>
      </c>
      <c r="H2191" s="3">
        <f>IFERROR(__xludf.DUMMYFUNCTION("IFERROR(INDEX(FILTER('cost master'!$E:$E,('cost master'!$B:$B=C2191)*('cost master'!$D:$D=""Storage cost per pallet / week"")*('cost master'!$G:$G&lt;=B2191)*(('cost master'!$H:$H&gt;=B2191)+ISBLANK('cost master'!$H:$H))),1),0)"),0.0)</f>
        <v>0</v>
      </c>
      <c r="I2191" s="3">
        <f t="shared" si="4"/>
        <v>0</v>
      </c>
      <c r="J2191" s="27">
        <f t="shared" si="5"/>
        <v>693947</v>
      </c>
      <c r="K2191" s="27">
        <f t="shared" si="6"/>
        <v>693977</v>
      </c>
    </row>
    <row r="2192" hidden="1">
      <c r="A2192" s="3" t="str">
        <f t="shared" si="3"/>
        <v/>
      </c>
      <c r="B2192" s="2" t="str">
        <f t="array" ref="B2192">INDEX(helper!$A$3:$A3996,ROUNDUP((ROW()-1)/COUNTA(helper!$D$3:$D3996),0))</f>
        <v/>
      </c>
      <c r="C2192" s="5" t="str">
        <f t="array" ref="C2192">IF(B2192="","",INDEX(helper!$D$3:$D3996,MOD(ROW()-2,COUNTA(helper!$D$3:$D3996))+1))</f>
        <v/>
      </c>
      <c r="D2192" s="3" t="str">
        <f t="array" ref="D2192">IF(B2192="","",INDEX(helper!$E$3:$E3996,MOD(ROW()-2,COUNTA(helper!$D$3:$D3996))+1))</f>
        <v/>
      </c>
      <c r="E2192" s="3" t="str">
        <f t="array" ref="E2192">IF(B2192="","",INDEX(helper!$F$3:$F3996,MOD(ROW()-2,COUNTA(helper!$D$3:$D3996))+1))</f>
        <v/>
      </c>
      <c r="F2192" s="3" t="str">
        <f>IF(B2192="","",SUMIFS('inventory ledger'!$H:$H,'inventory ledger'!$C:$C,C2192,'inventory ledger'!$D:$D,D2192,'inventory ledger'!$E:$E,E2192,'inventory ledger'!$A:$A,"&lt;="&amp;B2192+TIME(23,59,59))-SUMIFS('inventory ledger'!$I:$I,'inventory ledger'!$C:$C,C2192,'inventory ledger'!$D:$D,D2192,'inventory ledger'!$E:$E,E2192,'inventory ledger'!$A:$A,"&lt;="&amp;B2192+TIME(23,59,59)))</f>
        <v/>
      </c>
      <c r="G2192" s="3">
        <f>IFERROR(__xludf.DUMMYFUNCTION("IF(F2192&lt;=0,0,IFERROR(ROUNDUP(F2192/INDEX(FILTER('warehouse config'!$D:$D,('warehouse config'!$B:$B=C2192)*('warehouse config'!$C:$C=D2192)*('warehouse config'!$G:$G&lt;=B2192)*(('warehouse config'!$H:$H&gt;=B2192)+ISBLANK('warehouse config'!$H:$H))),1)),0))"),0.0)</f>
        <v>0</v>
      </c>
      <c r="H2192" s="3">
        <f>IFERROR(__xludf.DUMMYFUNCTION("IFERROR(INDEX(FILTER('cost master'!$E:$E,('cost master'!$B:$B=C2192)*('cost master'!$D:$D=""Storage cost per pallet / week"")*('cost master'!$G:$G&lt;=B2192)*(('cost master'!$H:$H&gt;=B2192)+ISBLANK('cost master'!$H:$H))),1),0)"),0.0)</f>
        <v>0</v>
      </c>
      <c r="I2192" s="3">
        <f t="shared" si="4"/>
        <v>0</v>
      </c>
      <c r="J2192" s="27">
        <f t="shared" si="5"/>
        <v>693947</v>
      </c>
      <c r="K2192" s="27">
        <f t="shared" si="6"/>
        <v>693977</v>
      </c>
    </row>
    <row r="2193" hidden="1">
      <c r="A2193" s="3" t="str">
        <f t="shared" si="3"/>
        <v/>
      </c>
      <c r="B2193" s="2" t="str">
        <f t="array" ref="B2193">INDEX(helper!$A$3:$A3996,ROUNDUP((ROW()-1)/COUNTA(helper!$D$3:$D3996),0))</f>
        <v/>
      </c>
      <c r="C2193" s="5" t="str">
        <f t="array" ref="C2193">IF(B2193="","",INDEX(helper!$D$3:$D3996,MOD(ROW()-2,COUNTA(helper!$D$3:$D3996))+1))</f>
        <v/>
      </c>
      <c r="D2193" s="3" t="str">
        <f t="array" ref="D2193">IF(B2193="","",INDEX(helper!$E$3:$E3996,MOD(ROW()-2,COUNTA(helper!$D$3:$D3996))+1))</f>
        <v/>
      </c>
      <c r="E2193" s="3" t="str">
        <f t="array" ref="E2193">IF(B2193="","",INDEX(helper!$F$3:$F3996,MOD(ROW()-2,COUNTA(helper!$D$3:$D3996))+1))</f>
        <v/>
      </c>
      <c r="F2193" s="3" t="str">
        <f>IF(B2193="","",SUMIFS('inventory ledger'!$H:$H,'inventory ledger'!$C:$C,C2193,'inventory ledger'!$D:$D,D2193,'inventory ledger'!$E:$E,E2193,'inventory ledger'!$A:$A,"&lt;="&amp;B2193+TIME(23,59,59))-SUMIFS('inventory ledger'!$I:$I,'inventory ledger'!$C:$C,C2193,'inventory ledger'!$D:$D,D2193,'inventory ledger'!$E:$E,E2193,'inventory ledger'!$A:$A,"&lt;="&amp;B2193+TIME(23,59,59)))</f>
        <v/>
      </c>
      <c r="G2193" s="3">
        <f>IFERROR(__xludf.DUMMYFUNCTION("IF(F2193&lt;=0,0,IFERROR(ROUNDUP(F2193/INDEX(FILTER('warehouse config'!$D:$D,('warehouse config'!$B:$B=C2193)*('warehouse config'!$C:$C=D2193)*('warehouse config'!$G:$G&lt;=B2193)*(('warehouse config'!$H:$H&gt;=B2193)+ISBLANK('warehouse config'!$H:$H))),1)),0))"),0.0)</f>
        <v>0</v>
      </c>
      <c r="H2193" s="3">
        <f>IFERROR(__xludf.DUMMYFUNCTION("IFERROR(INDEX(FILTER('cost master'!$E:$E,('cost master'!$B:$B=C2193)*('cost master'!$D:$D=""Storage cost per pallet / week"")*('cost master'!$G:$G&lt;=B2193)*(('cost master'!$H:$H&gt;=B2193)+ISBLANK('cost master'!$H:$H))),1),0)"),0.0)</f>
        <v>0</v>
      </c>
      <c r="I2193" s="3">
        <f t="shared" si="4"/>
        <v>0</v>
      </c>
      <c r="J2193" s="27">
        <f t="shared" si="5"/>
        <v>693947</v>
      </c>
      <c r="K2193" s="27">
        <f t="shared" si="6"/>
        <v>693977</v>
      </c>
    </row>
    <row r="2194" hidden="1">
      <c r="A2194" s="3" t="str">
        <f t="shared" si="3"/>
        <v/>
      </c>
      <c r="B2194" s="2" t="str">
        <f t="array" ref="B2194">INDEX(helper!$A$3:$A3996,ROUNDUP((ROW()-1)/COUNTA(helper!$D$3:$D3996),0))</f>
        <v/>
      </c>
      <c r="C2194" s="5" t="str">
        <f t="array" ref="C2194">IF(B2194="","",INDEX(helper!$D$3:$D3996,MOD(ROW()-2,COUNTA(helper!$D$3:$D3996))+1))</f>
        <v/>
      </c>
      <c r="D2194" s="3" t="str">
        <f t="array" ref="D2194">IF(B2194="","",INDEX(helper!$E$3:$E3996,MOD(ROW()-2,COUNTA(helper!$D$3:$D3996))+1))</f>
        <v/>
      </c>
      <c r="E2194" s="3" t="str">
        <f t="array" ref="E2194">IF(B2194="","",INDEX(helper!$F$3:$F3996,MOD(ROW()-2,COUNTA(helper!$D$3:$D3996))+1))</f>
        <v/>
      </c>
      <c r="F2194" s="3" t="str">
        <f>IF(B2194="","",SUMIFS('inventory ledger'!$H:$H,'inventory ledger'!$C:$C,C2194,'inventory ledger'!$D:$D,D2194,'inventory ledger'!$E:$E,E2194,'inventory ledger'!$A:$A,"&lt;="&amp;B2194+TIME(23,59,59))-SUMIFS('inventory ledger'!$I:$I,'inventory ledger'!$C:$C,C2194,'inventory ledger'!$D:$D,D2194,'inventory ledger'!$E:$E,E2194,'inventory ledger'!$A:$A,"&lt;="&amp;B2194+TIME(23,59,59)))</f>
        <v/>
      </c>
      <c r="G2194" s="3">
        <f>IFERROR(__xludf.DUMMYFUNCTION("IF(F2194&lt;=0,0,IFERROR(ROUNDUP(F2194/INDEX(FILTER('warehouse config'!$D:$D,('warehouse config'!$B:$B=C2194)*('warehouse config'!$C:$C=D2194)*('warehouse config'!$G:$G&lt;=B2194)*(('warehouse config'!$H:$H&gt;=B2194)+ISBLANK('warehouse config'!$H:$H))),1)),0))"),0.0)</f>
        <v>0</v>
      </c>
      <c r="H2194" s="3">
        <f>IFERROR(__xludf.DUMMYFUNCTION("IFERROR(INDEX(FILTER('cost master'!$E:$E,('cost master'!$B:$B=C2194)*('cost master'!$D:$D=""Storage cost per pallet / week"")*('cost master'!$G:$G&lt;=B2194)*(('cost master'!$H:$H&gt;=B2194)+ISBLANK('cost master'!$H:$H))),1),0)"),0.0)</f>
        <v>0</v>
      </c>
      <c r="I2194" s="3">
        <f t="shared" si="4"/>
        <v>0</v>
      </c>
      <c r="J2194" s="27">
        <f t="shared" si="5"/>
        <v>693947</v>
      </c>
      <c r="K2194" s="27">
        <f t="shared" si="6"/>
        <v>693977</v>
      </c>
    </row>
    <row r="2195" hidden="1">
      <c r="A2195" s="3" t="str">
        <f t="shared" si="3"/>
        <v/>
      </c>
      <c r="B2195" s="2" t="str">
        <f t="array" ref="B2195">INDEX(helper!$A$3:$A3996,ROUNDUP((ROW()-1)/COUNTA(helper!$D$3:$D3996),0))</f>
        <v/>
      </c>
      <c r="C2195" s="5" t="str">
        <f t="array" ref="C2195">IF(B2195="","",INDEX(helper!$D$3:$D3996,MOD(ROW()-2,COUNTA(helper!$D$3:$D3996))+1))</f>
        <v/>
      </c>
      <c r="D2195" s="3" t="str">
        <f t="array" ref="D2195">IF(B2195="","",INDEX(helper!$E$3:$E3996,MOD(ROW()-2,COUNTA(helper!$D$3:$D3996))+1))</f>
        <v/>
      </c>
      <c r="E2195" s="3" t="str">
        <f t="array" ref="E2195">IF(B2195="","",INDEX(helper!$F$3:$F3996,MOD(ROW()-2,COUNTA(helper!$D$3:$D3996))+1))</f>
        <v/>
      </c>
      <c r="F2195" s="3" t="str">
        <f>IF(B2195="","",SUMIFS('inventory ledger'!$H:$H,'inventory ledger'!$C:$C,C2195,'inventory ledger'!$D:$D,D2195,'inventory ledger'!$E:$E,E2195,'inventory ledger'!$A:$A,"&lt;="&amp;B2195+TIME(23,59,59))-SUMIFS('inventory ledger'!$I:$I,'inventory ledger'!$C:$C,C2195,'inventory ledger'!$D:$D,D2195,'inventory ledger'!$E:$E,E2195,'inventory ledger'!$A:$A,"&lt;="&amp;B2195+TIME(23,59,59)))</f>
        <v/>
      </c>
      <c r="G2195" s="3">
        <f>IFERROR(__xludf.DUMMYFUNCTION("IF(F2195&lt;=0,0,IFERROR(ROUNDUP(F2195/INDEX(FILTER('warehouse config'!$D:$D,('warehouse config'!$B:$B=C2195)*('warehouse config'!$C:$C=D2195)*('warehouse config'!$G:$G&lt;=B2195)*(('warehouse config'!$H:$H&gt;=B2195)+ISBLANK('warehouse config'!$H:$H))),1)),0))"),0.0)</f>
        <v>0</v>
      </c>
      <c r="H2195" s="3">
        <f>IFERROR(__xludf.DUMMYFUNCTION("IFERROR(INDEX(FILTER('cost master'!$E:$E,('cost master'!$B:$B=C2195)*('cost master'!$D:$D=""Storage cost per pallet / week"")*('cost master'!$G:$G&lt;=B2195)*(('cost master'!$H:$H&gt;=B2195)+ISBLANK('cost master'!$H:$H))),1),0)"),0.0)</f>
        <v>0</v>
      </c>
      <c r="I2195" s="3">
        <f t="shared" si="4"/>
        <v>0</v>
      </c>
      <c r="J2195" s="27">
        <f t="shared" si="5"/>
        <v>693947</v>
      </c>
      <c r="K2195" s="27">
        <f t="shared" si="6"/>
        <v>693977</v>
      </c>
    </row>
    <row r="2196" hidden="1">
      <c r="A2196" s="3" t="str">
        <f t="shared" si="3"/>
        <v/>
      </c>
      <c r="B2196" s="2" t="str">
        <f t="array" ref="B2196">INDEX(helper!$A$3:$A3996,ROUNDUP((ROW()-1)/COUNTA(helper!$D$3:$D3996),0))</f>
        <v/>
      </c>
      <c r="C2196" s="5" t="str">
        <f t="array" ref="C2196">IF(B2196="","",INDEX(helper!$D$3:$D3996,MOD(ROW()-2,COUNTA(helper!$D$3:$D3996))+1))</f>
        <v/>
      </c>
      <c r="D2196" s="3" t="str">
        <f t="array" ref="D2196">IF(B2196="","",INDEX(helper!$E$3:$E3996,MOD(ROW()-2,COUNTA(helper!$D$3:$D3996))+1))</f>
        <v/>
      </c>
      <c r="E2196" s="3" t="str">
        <f t="array" ref="E2196">IF(B2196="","",INDEX(helper!$F$3:$F3996,MOD(ROW()-2,COUNTA(helper!$D$3:$D3996))+1))</f>
        <v/>
      </c>
      <c r="F2196" s="3" t="str">
        <f>IF(B2196="","",SUMIFS('inventory ledger'!$H:$H,'inventory ledger'!$C:$C,C2196,'inventory ledger'!$D:$D,D2196,'inventory ledger'!$E:$E,E2196,'inventory ledger'!$A:$A,"&lt;="&amp;B2196+TIME(23,59,59))-SUMIFS('inventory ledger'!$I:$I,'inventory ledger'!$C:$C,C2196,'inventory ledger'!$D:$D,D2196,'inventory ledger'!$E:$E,E2196,'inventory ledger'!$A:$A,"&lt;="&amp;B2196+TIME(23,59,59)))</f>
        <v/>
      </c>
      <c r="G2196" s="3">
        <f>IFERROR(__xludf.DUMMYFUNCTION("IF(F2196&lt;=0,0,IFERROR(ROUNDUP(F2196/INDEX(FILTER('warehouse config'!$D:$D,('warehouse config'!$B:$B=C2196)*('warehouse config'!$C:$C=D2196)*('warehouse config'!$G:$G&lt;=B2196)*(('warehouse config'!$H:$H&gt;=B2196)+ISBLANK('warehouse config'!$H:$H))),1)),0))"),0.0)</f>
        <v>0</v>
      </c>
      <c r="H2196" s="3">
        <f>IFERROR(__xludf.DUMMYFUNCTION("IFERROR(INDEX(FILTER('cost master'!$E:$E,('cost master'!$B:$B=C2196)*('cost master'!$D:$D=""Storage cost per pallet / week"")*('cost master'!$G:$G&lt;=B2196)*(('cost master'!$H:$H&gt;=B2196)+ISBLANK('cost master'!$H:$H))),1),0)"),0.0)</f>
        <v>0</v>
      </c>
      <c r="I2196" s="3">
        <f t="shared" si="4"/>
        <v>0</v>
      </c>
      <c r="J2196" s="27">
        <f t="shared" si="5"/>
        <v>693947</v>
      </c>
      <c r="K2196" s="27">
        <f t="shared" si="6"/>
        <v>693977</v>
      </c>
    </row>
    <row r="2197" hidden="1">
      <c r="A2197" s="3" t="str">
        <f t="shared" si="3"/>
        <v/>
      </c>
      <c r="B2197" s="2" t="str">
        <f t="array" ref="B2197">INDEX(helper!$A$3:$A3996,ROUNDUP((ROW()-1)/COUNTA(helper!$D$3:$D3996),0))</f>
        <v/>
      </c>
      <c r="C2197" s="5" t="str">
        <f t="array" ref="C2197">IF(B2197="","",INDEX(helper!$D$3:$D3996,MOD(ROW()-2,COUNTA(helper!$D$3:$D3996))+1))</f>
        <v/>
      </c>
      <c r="D2197" s="3" t="str">
        <f t="array" ref="D2197">IF(B2197="","",INDEX(helper!$E$3:$E3996,MOD(ROW()-2,COUNTA(helper!$D$3:$D3996))+1))</f>
        <v/>
      </c>
      <c r="E2197" s="3" t="str">
        <f t="array" ref="E2197">IF(B2197="","",INDEX(helper!$F$3:$F3996,MOD(ROW()-2,COUNTA(helper!$D$3:$D3996))+1))</f>
        <v/>
      </c>
      <c r="F2197" s="3" t="str">
        <f>IF(B2197="","",SUMIFS('inventory ledger'!$H:$H,'inventory ledger'!$C:$C,C2197,'inventory ledger'!$D:$D,D2197,'inventory ledger'!$E:$E,E2197,'inventory ledger'!$A:$A,"&lt;="&amp;B2197+TIME(23,59,59))-SUMIFS('inventory ledger'!$I:$I,'inventory ledger'!$C:$C,C2197,'inventory ledger'!$D:$D,D2197,'inventory ledger'!$E:$E,E2197,'inventory ledger'!$A:$A,"&lt;="&amp;B2197+TIME(23,59,59)))</f>
        <v/>
      </c>
      <c r="G2197" s="3">
        <f>IFERROR(__xludf.DUMMYFUNCTION("IF(F2197&lt;=0,0,IFERROR(ROUNDUP(F2197/INDEX(FILTER('warehouse config'!$D:$D,('warehouse config'!$B:$B=C2197)*('warehouse config'!$C:$C=D2197)*('warehouse config'!$G:$G&lt;=B2197)*(('warehouse config'!$H:$H&gt;=B2197)+ISBLANK('warehouse config'!$H:$H))),1)),0))"),0.0)</f>
        <v>0</v>
      </c>
      <c r="H2197" s="3">
        <f>IFERROR(__xludf.DUMMYFUNCTION("IFERROR(INDEX(FILTER('cost master'!$E:$E,('cost master'!$B:$B=C2197)*('cost master'!$D:$D=""Storage cost per pallet / week"")*('cost master'!$G:$G&lt;=B2197)*(('cost master'!$H:$H&gt;=B2197)+ISBLANK('cost master'!$H:$H))),1),0)"),0.0)</f>
        <v>0</v>
      </c>
      <c r="I2197" s="3">
        <f t="shared" si="4"/>
        <v>0</v>
      </c>
      <c r="J2197" s="27">
        <f t="shared" si="5"/>
        <v>693947</v>
      </c>
      <c r="K2197" s="27">
        <f t="shared" si="6"/>
        <v>693977</v>
      </c>
    </row>
    <row r="2198" hidden="1">
      <c r="A2198" s="3" t="str">
        <f t="shared" si="3"/>
        <v/>
      </c>
      <c r="B2198" s="2" t="str">
        <f t="array" ref="B2198">INDEX(helper!$A$3:$A3996,ROUNDUP((ROW()-1)/COUNTA(helper!$D$3:$D3996),0))</f>
        <v/>
      </c>
      <c r="C2198" s="5" t="str">
        <f t="array" ref="C2198">IF(B2198="","",INDEX(helper!$D$3:$D3996,MOD(ROW()-2,COUNTA(helper!$D$3:$D3996))+1))</f>
        <v/>
      </c>
      <c r="D2198" s="3" t="str">
        <f t="array" ref="D2198">IF(B2198="","",INDEX(helper!$E$3:$E3996,MOD(ROW()-2,COUNTA(helper!$D$3:$D3996))+1))</f>
        <v/>
      </c>
      <c r="E2198" s="3" t="str">
        <f t="array" ref="E2198">IF(B2198="","",INDEX(helper!$F$3:$F3996,MOD(ROW()-2,COUNTA(helper!$D$3:$D3996))+1))</f>
        <v/>
      </c>
      <c r="F2198" s="3" t="str">
        <f>IF(B2198="","",SUMIFS('inventory ledger'!$H:$H,'inventory ledger'!$C:$C,C2198,'inventory ledger'!$D:$D,D2198,'inventory ledger'!$E:$E,E2198,'inventory ledger'!$A:$A,"&lt;="&amp;B2198+TIME(23,59,59))-SUMIFS('inventory ledger'!$I:$I,'inventory ledger'!$C:$C,C2198,'inventory ledger'!$D:$D,D2198,'inventory ledger'!$E:$E,E2198,'inventory ledger'!$A:$A,"&lt;="&amp;B2198+TIME(23,59,59)))</f>
        <v/>
      </c>
      <c r="G2198" s="3">
        <f>IFERROR(__xludf.DUMMYFUNCTION("IF(F2198&lt;=0,0,IFERROR(ROUNDUP(F2198/INDEX(FILTER('warehouse config'!$D:$D,('warehouse config'!$B:$B=C2198)*('warehouse config'!$C:$C=D2198)*('warehouse config'!$G:$G&lt;=B2198)*(('warehouse config'!$H:$H&gt;=B2198)+ISBLANK('warehouse config'!$H:$H))),1)),0))"),0.0)</f>
        <v>0</v>
      </c>
      <c r="H2198" s="3">
        <f>IFERROR(__xludf.DUMMYFUNCTION("IFERROR(INDEX(FILTER('cost master'!$E:$E,('cost master'!$B:$B=C2198)*('cost master'!$D:$D=""Storage cost per pallet / week"")*('cost master'!$G:$G&lt;=B2198)*(('cost master'!$H:$H&gt;=B2198)+ISBLANK('cost master'!$H:$H))),1),0)"),0.0)</f>
        <v>0</v>
      </c>
      <c r="I2198" s="3">
        <f t="shared" si="4"/>
        <v>0</v>
      </c>
      <c r="J2198" s="27">
        <f t="shared" si="5"/>
        <v>693947</v>
      </c>
      <c r="K2198" s="27">
        <f t="shared" si="6"/>
        <v>693977</v>
      </c>
    </row>
    <row r="2199" hidden="1">
      <c r="A2199" s="3" t="str">
        <f t="shared" si="3"/>
        <v/>
      </c>
      <c r="B2199" s="2" t="str">
        <f t="array" ref="B2199">INDEX(helper!$A$3:$A3996,ROUNDUP((ROW()-1)/COUNTA(helper!$D$3:$D3996),0))</f>
        <v/>
      </c>
      <c r="C2199" s="5" t="str">
        <f t="array" ref="C2199">IF(B2199="","",INDEX(helper!$D$3:$D3996,MOD(ROW()-2,COUNTA(helper!$D$3:$D3996))+1))</f>
        <v/>
      </c>
      <c r="D2199" s="3" t="str">
        <f t="array" ref="D2199">IF(B2199="","",INDEX(helper!$E$3:$E3996,MOD(ROW()-2,COUNTA(helper!$D$3:$D3996))+1))</f>
        <v/>
      </c>
      <c r="E2199" s="3" t="str">
        <f t="array" ref="E2199">IF(B2199="","",INDEX(helper!$F$3:$F3996,MOD(ROW()-2,COUNTA(helper!$D$3:$D3996))+1))</f>
        <v/>
      </c>
      <c r="F2199" s="3" t="str">
        <f>IF(B2199="","",SUMIFS('inventory ledger'!$H:$H,'inventory ledger'!$C:$C,C2199,'inventory ledger'!$D:$D,D2199,'inventory ledger'!$E:$E,E2199,'inventory ledger'!$A:$A,"&lt;="&amp;B2199+TIME(23,59,59))-SUMIFS('inventory ledger'!$I:$I,'inventory ledger'!$C:$C,C2199,'inventory ledger'!$D:$D,D2199,'inventory ledger'!$E:$E,E2199,'inventory ledger'!$A:$A,"&lt;="&amp;B2199+TIME(23,59,59)))</f>
        <v/>
      </c>
      <c r="G2199" s="3">
        <f>IFERROR(__xludf.DUMMYFUNCTION("IF(F2199&lt;=0,0,IFERROR(ROUNDUP(F2199/INDEX(FILTER('warehouse config'!$D:$D,('warehouse config'!$B:$B=C2199)*('warehouse config'!$C:$C=D2199)*('warehouse config'!$G:$G&lt;=B2199)*(('warehouse config'!$H:$H&gt;=B2199)+ISBLANK('warehouse config'!$H:$H))),1)),0))"),0.0)</f>
        <v>0</v>
      </c>
      <c r="H2199" s="3">
        <f>IFERROR(__xludf.DUMMYFUNCTION("IFERROR(INDEX(FILTER('cost master'!$E:$E,('cost master'!$B:$B=C2199)*('cost master'!$D:$D=""Storage cost per pallet / week"")*('cost master'!$G:$G&lt;=B2199)*(('cost master'!$H:$H&gt;=B2199)+ISBLANK('cost master'!$H:$H))),1),0)"),0.0)</f>
        <v>0</v>
      </c>
      <c r="I2199" s="3">
        <f t="shared" si="4"/>
        <v>0</v>
      </c>
      <c r="J2199" s="27">
        <f t="shared" si="5"/>
        <v>693947</v>
      </c>
      <c r="K2199" s="27">
        <f t="shared" si="6"/>
        <v>693977</v>
      </c>
    </row>
    <row r="2200" hidden="1">
      <c r="A2200" s="3" t="str">
        <f t="shared" si="3"/>
        <v/>
      </c>
      <c r="B2200" s="2" t="str">
        <f t="array" ref="B2200">INDEX(helper!$A$3:$A3996,ROUNDUP((ROW()-1)/COUNTA(helper!$D$3:$D3996),0))</f>
        <v/>
      </c>
      <c r="C2200" s="5" t="str">
        <f t="array" ref="C2200">IF(B2200="","",INDEX(helper!$D$3:$D3996,MOD(ROW()-2,COUNTA(helper!$D$3:$D3996))+1))</f>
        <v/>
      </c>
      <c r="D2200" s="3" t="str">
        <f t="array" ref="D2200">IF(B2200="","",INDEX(helper!$E$3:$E3996,MOD(ROW()-2,COUNTA(helper!$D$3:$D3996))+1))</f>
        <v/>
      </c>
      <c r="E2200" s="3" t="str">
        <f t="array" ref="E2200">IF(B2200="","",INDEX(helper!$F$3:$F3996,MOD(ROW()-2,COUNTA(helper!$D$3:$D3996))+1))</f>
        <v/>
      </c>
      <c r="F2200" s="3" t="str">
        <f>IF(B2200="","",SUMIFS('inventory ledger'!$H:$H,'inventory ledger'!$C:$C,C2200,'inventory ledger'!$D:$D,D2200,'inventory ledger'!$E:$E,E2200,'inventory ledger'!$A:$A,"&lt;="&amp;B2200+TIME(23,59,59))-SUMIFS('inventory ledger'!$I:$I,'inventory ledger'!$C:$C,C2200,'inventory ledger'!$D:$D,D2200,'inventory ledger'!$E:$E,E2200,'inventory ledger'!$A:$A,"&lt;="&amp;B2200+TIME(23,59,59)))</f>
        <v/>
      </c>
      <c r="G2200" s="3">
        <f>IFERROR(__xludf.DUMMYFUNCTION("IF(F2200&lt;=0,0,IFERROR(ROUNDUP(F2200/INDEX(FILTER('warehouse config'!$D:$D,('warehouse config'!$B:$B=C2200)*('warehouse config'!$C:$C=D2200)*('warehouse config'!$G:$G&lt;=B2200)*(('warehouse config'!$H:$H&gt;=B2200)+ISBLANK('warehouse config'!$H:$H))),1)),0))"),0.0)</f>
        <v>0</v>
      </c>
      <c r="H2200" s="3">
        <f>IFERROR(__xludf.DUMMYFUNCTION("IFERROR(INDEX(FILTER('cost master'!$E:$E,('cost master'!$B:$B=C2200)*('cost master'!$D:$D=""Storage cost per pallet / week"")*('cost master'!$G:$G&lt;=B2200)*(('cost master'!$H:$H&gt;=B2200)+ISBLANK('cost master'!$H:$H))),1),0)"),0.0)</f>
        <v>0</v>
      </c>
      <c r="I2200" s="3">
        <f t="shared" si="4"/>
        <v>0</v>
      </c>
      <c r="J2200" s="27">
        <f t="shared" si="5"/>
        <v>693947</v>
      </c>
      <c r="K2200" s="27">
        <f t="shared" si="6"/>
        <v>693977</v>
      </c>
    </row>
    <row r="2201" hidden="1">
      <c r="A2201" s="3" t="str">
        <f t="shared" si="3"/>
        <v/>
      </c>
      <c r="B2201" s="2" t="str">
        <f t="array" ref="B2201">INDEX(helper!$A$3:$A3996,ROUNDUP((ROW()-1)/COUNTA(helper!$D$3:$D3996),0))</f>
        <v/>
      </c>
      <c r="C2201" s="5" t="str">
        <f t="array" ref="C2201">IF(B2201="","",INDEX(helper!$D$3:$D3996,MOD(ROW()-2,COUNTA(helper!$D$3:$D3996))+1))</f>
        <v/>
      </c>
      <c r="D2201" s="3" t="str">
        <f t="array" ref="D2201">IF(B2201="","",INDEX(helper!$E$3:$E3996,MOD(ROW()-2,COUNTA(helper!$D$3:$D3996))+1))</f>
        <v/>
      </c>
      <c r="E2201" s="3" t="str">
        <f t="array" ref="E2201">IF(B2201="","",INDEX(helper!$F$3:$F3996,MOD(ROW()-2,COUNTA(helper!$D$3:$D3996))+1))</f>
        <v/>
      </c>
      <c r="F2201" s="3" t="str">
        <f>IF(B2201="","",SUMIFS('inventory ledger'!$H:$H,'inventory ledger'!$C:$C,C2201,'inventory ledger'!$D:$D,D2201,'inventory ledger'!$E:$E,E2201,'inventory ledger'!$A:$A,"&lt;="&amp;B2201+TIME(23,59,59))-SUMIFS('inventory ledger'!$I:$I,'inventory ledger'!$C:$C,C2201,'inventory ledger'!$D:$D,D2201,'inventory ledger'!$E:$E,E2201,'inventory ledger'!$A:$A,"&lt;="&amp;B2201+TIME(23,59,59)))</f>
        <v/>
      </c>
      <c r="G2201" s="3">
        <f>IFERROR(__xludf.DUMMYFUNCTION("IF(F2201&lt;=0,0,IFERROR(ROUNDUP(F2201/INDEX(FILTER('warehouse config'!$D:$D,('warehouse config'!$B:$B=C2201)*('warehouse config'!$C:$C=D2201)*('warehouse config'!$G:$G&lt;=B2201)*(('warehouse config'!$H:$H&gt;=B2201)+ISBLANK('warehouse config'!$H:$H))),1)),0))"),0.0)</f>
        <v>0</v>
      </c>
      <c r="H2201" s="3">
        <f>IFERROR(__xludf.DUMMYFUNCTION("IFERROR(INDEX(FILTER('cost master'!$E:$E,('cost master'!$B:$B=C2201)*('cost master'!$D:$D=""Storage cost per pallet / week"")*('cost master'!$G:$G&lt;=B2201)*(('cost master'!$H:$H&gt;=B2201)+ISBLANK('cost master'!$H:$H))),1),0)"),0.0)</f>
        <v>0</v>
      </c>
      <c r="I2201" s="3">
        <f t="shared" si="4"/>
        <v>0</v>
      </c>
      <c r="J2201" s="27">
        <f t="shared" si="5"/>
        <v>693947</v>
      </c>
      <c r="K2201" s="27">
        <f t="shared" si="6"/>
        <v>693977</v>
      </c>
    </row>
    <row r="2202" hidden="1">
      <c r="A2202" s="3" t="str">
        <f t="shared" si="3"/>
        <v/>
      </c>
      <c r="B2202" s="2" t="str">
        <f t="array" ref="B2202">INDEX(helper!$A$3:$A3996,ROUNDUP((ROW()-1)/COUNTA(helper!$D$3:$D3996),0))</f>
        <v/>
      </c>
      <c r="C2202" s="5" t="str">
        <f t="array" ref="C2202">IF(B2202="","",INDEX(helper!$D$3:$D3996,MOD(ROW()-2,COUNTA(helper!$D$3:$D3996))+1))</f>
        <v/>
      </c>
      <c r="D2202" s="3" t="str">
        <f t="array" ref="D2202">IF(B2202="","",INDEX(helper!$E$3:$E3996,MOD(ROW()-2,COUNTA(helper!$D$3:$D3996))+1))</f>
        <v/>
      </c>
      <c r="E2202" s="3" t="str">
        <f t="array" ref="E2202">IF(B2202="","",INDEX(helper!$F$3:$F3996,MOD(ROW()-2,COUNTA(helper!$D$3:$D3996))+1))</f>
        <v/>
      </c>
      <c r="F2202" s="3" t="str">
        <f>IF(B2202="","",SUMIFS('inventory ledger'!$H:$H,'inventory ledger'!$C:$C,C2202,'inventory ledger'!$D:$D,D2202,'inventory ledger'!$E:$E,E2202,'inventory ledger'!$A:$A,"&lt;="&amp;B2202+TIME(23,59,59))-SUMIFS('inventory ledger'!$I:$I,'inventory ledger'!$C:$C,C2202,'inventory ledger'!$D:$D,D2202,'inventory ledger'!$E:$E,E2202,'inventory ledger'!$A:$A,"&lt;="&amp;B2202+TIME(23,59,59)))</f>
        <v/>
      </c>
      <c r="G2202" s="3">
        <f>IFERROR(__xludf.DUMMYFUNCTION("IF(F2202&lt;=0,0,IFERROR(ROUNDUP(F2202/INDEX(FILTER('warehouse config'!$D:$D,('warehouse config'!$B:$B=C2202)*('warehouse config'!$C:$C=D2202)*('warehouse config'!$G:$G&lt;=B2202)*(('warehouse config'!$H:$H&gt;=B2202)+ISBLANK('warehouse config'!$H:$H))),1)),0))"),0.0)</f>
        <v>0</v>
      </c>
      <c r="H2202" s="3">
        <f>IFERROR(__xludf.DUMMYFUNCTION("IFERROR(INDEX(FILTER('cost master'!$E:$E,('cost master'!$B:$B=C2202)*('cost master'!$D:$D=""Storage cost per pallet / week"")*('cost master'!$G:$G&lt;=B2202)*(('cost master'!$H:$H&gt;=B2202)+ISBLANK('cost master'!$H:$H))),1),0)"),0.0)</f>
        <v>0</v>
      </c>
      <c r="I2202" s="3">
        <f t="shared" si="4"/>
        <v>0</v>
      </c>
      <c r="J2202" s="27">
        <f t="shared" si="5"/>
        <v>693947</v>
      </c>
      <c r="K2202" s="27">
        <f t="shared" si="6"/>
        <v>693977</v>
      </c>
    </row>
    <row r="2203" hidden="1">
      <c r="A2203" s="3" t="str">
        <f t="shared" si="3"/>
        <v/>
      </c>
      <c r="B2203" s="2" t="str">
        <f t="array" ref="B2203">INDEX(helper!$A$3:$A3996,ROUNDUP((ROW()-1)/COUNTA(helper!$D$3:$D3996),0))</f>
        <v/>
      </c>
      <c r="C2203" s="5" t="str">
        <f t="array" ref="C2203">IF(B2203="","",INDEX(helper!$D$3:$D3996,MOD(ROW()-2,COUNTA(helper!$D$3:$D3996))+1))</f>
        <v/>
      </c>
      <c r="D2203" s="3" t="str">
        <f t="array" ref="D2203">IF(B2203="","",INDEX(helper!$E$3:$E3996,MOD(ROW()-2,COUNTA(helper!$D$3:$D3996))+1))</f>
        <v/>
      </c>
      <c r="E2203" s="3" t="str">
        <f t="array" ref="E2203">IF(B2203="","",INDEX(helper!$F$3:$F3996,MOD(ROW()-2,COUNTA(helper!$D$3:$D3996))+1))</f>
        <v/>
      </c>
      <c r="F2203" s="3" t="str">
        <f>IF(B2203="","",SUMIFS('inventory ledger'!$H:$H,'inventory ledger'!$C:$C,C2203,'inventory ledger'!$D:$D,D2203,'inventory ledger'!$E:$E,E2203,'inventory ledger'!$A:$A,"&lt;="&amp;B2203+TIME(23,59,59))-SUMIFS('inventory ledger'!$I:$I,'inventory ledger'!$C:$C,C2203,'inventory ledger'!$D:$D,D2203,'inventory ledger'!$E:$E,E2203,'inventory ledger'!$A:$A,"&lt;="&amp;B2203+TIME(23,59,59)))</f>
        <v/>
      </c>
      <c r="G2203" s="3">
        <f>IFERROR(__xludf.DUMMYFUNCTION("IF(F2203&lt;=0,0,IFERROR(ROUNDUP(F2203/INDEX(FILTER('warehouse config'!$D:$D,('warehouse config'!$B:$B=C2203)*('warehouse config'!$C:$C=D2203)*('warehouse config'!$G:$G&lt;=B2203)*(('warehouse config'!$H:$H&gt;=B2203)+ISBLANK('warehouse config'!$H:$H))),1)),0))"),0.0)</f>
        <v>0</v>
      </c>
      <c r="H2203" s="3">
        <f>IFERROR(__xludf.DUMMYFUNCTION("IFERROR(INDEX(FILTER('cost master'!$E:$E,('cost master'!$B:$B=C2203)*('cost master'!$D:$D=""Storage cost per pallet / week"")*('cost master'!$G:$G&lt;=B2203)*(('cost master'!$H:$H&gt;=B2203)+ISBLANK('cost master'!$H:$H))),1),0)"),0.0)</f>
        <v>0</v>
      </c>
      <c r="I2203" s="3">
        <f t="shared" si="4"/>
        <v>0</v>
      </c>
      <c r="J2203" s="27">
        <f t="shared" si="5"/>
        <v>693947</v>
      </c>
      <c r="K2203" s="27">
        <f t="shared" si="6"/>
        <v>693977</v>
      </c>
    </row>
    <row r="2204" hidden="1">
      <c r="A2204" s="3" t="str">
        <f t="shared" si="3"/>
        <v/>
      </c>
      <c r="B2204" s="2" t="str">
        <f t="array" ref="B2204">INDEX(helper!$A$3:$A3996,ROUNDUP((ROW()-1)/COUNTA(helper!$D$3:$D3996),0))</f>
        <v/>
      </c>
      <c r="C2204" s="5" t="str">
        <f t="array" ref="C2204">IF(B2204="","",INDEX(helper!$D$3:$D3996,MOD(ROW()-2,COUNTA(helper!$D$3:$D3996))+1))</f>
        <v/>
      </c>
      <c r="D2204" s="3" t="str">
        <f t="array" ref="D2204">IF(B2204="","",INDEX(helper!$E$3:$E3996,MOD(ROW()-2,COUNTA(helper!$D$3:$D3996))+1))</f>
        <v/>
      </c>
      <c r="E2204" s="3" t="str">
        <f t="array" ref="E2204">IF(B2204="","",INDEX(helper!$F$3:$F3996,MOD(ROW()-2,COUNTA(helper!$D$3:$D3996))+1))</f>
        <v/>
      </c>
      <c r="F2204" s="3" t="str">
        <f>IF(B2204="","",SUMIFS('inventory ledger'!$H:$H,'inventory ledger'!$C:$C,C2204,'inventory ledger'!$D:$D,D2204,'inventory ledger'!$E:$E,E2204,'inventory ledger'!$A:$A,"&lt;="&amp;B2204+TIME(23,59,59))-SUMIFS('inventory ledger'!$I:$I,'inventory ledger'!$C:$C,C2204,'inventory ledger'!$D:$D,D2204,'inventory ledger'!$E:$E,E2204,'inventory ledger'!$A:$A,"&lt;="&amp;B2204+TIME(23,59,59)))</f>
        <v/>
      </c>
      <c r="G2204" s="3">
        <f>IFERROR(__xludf.DUMMYFUNCTION("IF(F2204&lt;=0,0,IFERROR(ROUNDUP(F2204/INDEX(FILTER('warehouse config'!$D:$D,('warehouse config'!$B:$B=C2204)*('warehouse config'!$C:$C=D2204)*('warehouse config'!$G:$G&lt;=B2204)*(('warehouse config'!$H:$H&gt;=B2204)+ISBLANK('warehouse config'!$H:$H))),1)),0))"),0.0)</f>
        <v>0</v>
      </c>
      <c r="H2204" s="3">
        <f>IFERROR(__xludf.DUMMYFUNCTION("IFERROR(INDEX(FILTER('cost master'!$E:$E,('cost master'!$B:$B=C2204)*('cost master'!$D:$D=""Storage cost per pallet / week"")*('cost master'!$G:$G&lt;=B2204)*(('cost master'!$H:$H&gt;=B2204)+ISBLANK('cost master'!$H:$H))),1),0)"),0.0)</f>
        <v>0</v>
      </c>
      <c r="I2204" s="3">
        <f t="shared" si="4"/>
        <v>0</v>
      </c>
      <c r="J2204" s="27">
        <f t="shared" si="5"/>
        <v>693947</v>
      </c>
      <c r="K2204" s="27">
        <f t="shared" si="6"/>
        <v>693977</v>
      </c>
    </row>
    <row r="2205" hidden="1">
      <c r="A2205" s="3" t="str">
        <f t="shared" si="3"/>
        <v/>
      </c>
      <c r="B2205" s="2" t="str">
        <f t="array" ref="B2205">INDEX(helper!$A$3:$A3996,ROUNDUP((ROW()-1)/COUNTA(helper!$D$3:$D3996),0))</f>
        <v/>
      </c>
      <c r="C2205" s="5" t="str">
        <f t="array" ref="C2205">IF(B2205="","",INDEX(helper!$D$3:$D3996,MOD(ROW()-2,COUNTA(helper!$D$3:$D3996))+1))</f>
        <v/>
      </c>
      <c r="D2205" s="3" t="str">
        <f t="array" ref="D2205">IF(B2205="","",INDEX(helper!$E$3:$E3996,MOD(ROW()-2,COUNTA(helper!$D$3:$D3996))+1))</f>
        <v/>
      </c>
      <c r="E2205" s="3" t="str">
        <f t="array" ref="E2205">IF(B2205="","",INDEX(helper!$F$3:$F3996,MOD(ROW()-2,COUNTA(helper!$D$3:$D3996))+1))</f>
        <v/>
      </c>
      <c r="F2205" s="3" t="str">
        <f>IF(B2205="","",SUMIFS('inventory ledger'!$H:$H,'inventory ledger'!$C:$C,C2205,'inventory ledger'!$D:$D,D2205,'inventory ledger'!$E:$E,E2205,'inventory ledger'!$A:$A,"&lt;="&amp;B2205+TIME(23,59,59))-SUMIFS('inventory ledger'!$I:$I,'inventory ledger'!$C:$C,C2205,'inventory ledger'!$D:$D,D2205,'inventory ledger'!$E:$E,E2205,'inventory ledger'!$A:$A,"&lt;="&amp;B2205+TIME(23,59,59)))</f>
        <v/>
      </c>
      <c r="G2205" s="3">
        <f>IFERROR(__xludf.DUMMYFUNCTION("IF(F2205&lt;=0,0,IFERROR(ROUNDUP(F2205/INDEX(FILTER('warehouse config'!$D:$D,('warehouse config'!$B:$B=C2205)*('warehouse config'!$C:$C=D2205)*('warehouse config'!$G:$G&lt;=B2205)*(('warehouse config'!$H:$H&gt;=B2205)+ISBLANK('warehouse config'!$H:$H))),1)),0))"),0.0)</f>
        <v>0</v>
      </c>
      <c r="H2205" s="3">
        <f>IFERROR(__xludf.DUMMYFUNCTION("IFERROR(INDEX(FILTER('cost master'!$E:$E,('cost master'!$B:$B=C2205)*('cost master'!$D:$D=""Storage cost per pallet / week"")*('cost master'!$G:$G&lt;=B2205)*(('cost master'!$H:$H&gt;=B2205)+ISBLANK('cost master'!$H:$H))),1),0)"),0.0)</f>
        <v>0</v>
      </c>
      <c r="I2205" s="3">
        <f t="shared" si="4"/>
        <v>0</v>
      </c>
      <c r="J2205" s="27">
        <f t="shared" si="5"/>
        <v>693947</v>
      </c>
      <c r="K2205" s="27">
        <f t="shared" si="6"/>
        <v>693977</v>
      </c>
    </row>
    <row r="2206" hidden="1">
      <c r="A2206" s="3" t="str">
        <f t="shared" si="3"/>
        <v/>
      </c>
      <c r="B2206" s="2" t="str">
        <f t="array" ref="B2206">INDEX(helper!$A$3:$A3996,ROUNDUP((ROW()-1)/COUNTA(helper!$D$3:$D3996),0))</f>
        <v/>
      </c>
      <c r="C2206" s="5" t="str">
        <f t="array" ref="C2206">IF(B2206="","",INDEX(helper!$D$3:$D3996,MOD(ROW()-2,COUNTA(helper!$D$3:$D3996))+1))</f>
        <v/>
      </c>
      <c r="D2206" s="3" t="str">
        <f t="array" ref="D2206">IF(B2206="","",INDEX(helper!$E$3:$E3996,MOD(ROW()-2,COUNTA(helper!$D$3:$D3996))+1))</f>
        <v/>
      </c>
      <c r="E2206" s="3" t="str">
        <f t="array" ref="E2206">IF(B2206="","",INDEX(helper!$F$3:$F3996,MOD(ROW()-2,COUNTA(helper!$D$3:$D3996))+1))</f>
        <v/>
      </c>
      <c r="F2206" s="3" t="str">
        <f>IF(B2206="","",SUMIFS('inventory ledger'!$H:$H,'inventory ledger'!$C:$C,C2206,'inventory ledger'!$D:$D,D2206,'inventory ledger'!$E:$E,E2206,'inventory ledger'!$A:$A,"&lt;="&amp;B2206+TIME(23,59,59))-SUMIFS('inventory ledger'!$I:$I,'inventory ledger'!$C:$C,C2206,'inventory ledger'!$D:$D,D2206,'inventory ledger'!$E:$E,E2206,'inventory ledger'!$A:$A,"&lt;="&amp;B2206+TIME(23,59,59)))</f>
        <v/>
      </c>
      <c r="G2206" s="3">
        <f>IFERROR(__xludf.DUMMYFUNCTION("IF(F2206&lt;=0,0,IFERROR(ROUNDUP(F2206/INDEX(FILTER('warehouse config'!$D:$D,('warehouse config'!$B:$B=C2206)*('warehouse config'!$C:$C=D2206)*('warehouse config'!$G:$G&lt;=B2206)*(('warehouse config'!$H:$H&gt;=B2206)+ISBLANK('warehouse config'!$H:$H))),1)),0))"),0.0)</f>
        <v>0</v>
      </c>
      <c r="H2206" s="3">
        <f>IFERROR(__xludf.DUMMYFUNCTION("IFERROR(INDEX(FILTER('cost master'!$E:$E,('cost master'!$B:$B=C2206)*('cost master'!$D:$D=""Storage cost per pallet / week"")*('cost master'!$G:$G&lt;=B2206)*(('cost master'!$H:$H&gt;=B2206)+ISBLANK('cost master'!$H:$H))),1),0)"),0.0)</f>
        <v>0</v>
      </c>
      <c r="I2206" s="3">
        <f t="shared" si="4"/>
        <v>0</v>
      </c>
      <c r="J2206" s="27">
        <f t="shared" si="5"/>
        <v>693947</v>
      </c>
      <c r="K2206" s="27">
        <f t="shared" si="6"/>
        <v>693977</v>
      </c>
    </row>
    <row r="2207" hidden="1">
      <c r="A2207" s="3" t="str">
        <f t="shared" si="3"/>
        <v/>
      </c>
      <c r="B2207" s="2" t="str">
        <f t="array" ref="B2207">INDEX(helper!$A$3:$A3996,ROUNDUP((ROW()-1)/COUNTA(helper!$D$3:$D3996),0))</f>
        <v/>
      </c>
      <c r="C2207" s="5" t="str">
        <f t="array" ref="C2207">IF(B2207="","",INDEX(helper!$D$3:$D3996,MOD(ROW()-2,COUNTA(helper!$D$3:$D3996))+1))</f>
        <v/>
      </c>
      <c r="D2207" s="3" t="str">
        <f t="array" ref="D2207">IF(B2207="","",INDEX(helper!$E$3:$E3996,MOD(ROW()-2,COUNTA(helper!$D$3:$D3996))+1))</f>
        <v/>
      </c>
      <c r="E2207" s="3" t="str">
        <f t="array" ref="E2207">IF(B2207="","",INDEX(helper!$F$3:$F3996,MOD(ROW()-2,COUNTA(helper!$D$3:$D3996))+1))</f>
        <v/>
      </c>
      <c r="F2207" s="3" t="str">
        <f>IF(B2207="","",SUMIFS('inventory ledger'!$H:$H,'inventory ledger'!$C:$C,C2207,'inventory ledger'!$D:$D,D2207,'inventory ledger'!$E:$E,E2207,'inventory ledger'!$A:$A,"&lt;="&amp;B2207+TIME(23,59,59))-SUMIFS('inventory ledger'!$I:$I,'inventory ledger'!$C:$C,C2207,'inventory ledger'!$D:$D,D2207,'inventory ledger'!$E:$E,E2207,'inventory ledger'!$A:$A,"&lt;="&amp;B2207+TIME(23,59,59)))</f>
        <v/>
      </c>
      <c r="G2207" s="3">
        <f>IFERROR(__xludf.DUMMYFUNCTION("IF(F2207&lt;=0,0,IFERROR(ROUNDUP(F2207/INDEX(FILTER('warehouse config'!$D:$D,('warehouse config'!$B:$B=C2207)*('warehouse config'!$C:$C=D2207)*('warehouse config'!$G:$G&lt;=B2207)*(('warehouse config'!$H:$H&gt;=B2207)+ISBLANK('warehouse config'!$H:$H))),1)),0))"),0.0)</f>
        <v>0</v>
      </c>
      <c r="H2207" s="3">
        <f>IFERROR(__xludf.DUMMYFUNCTION("IFERROR(INDEX(FILTER('cost master'!$E:$E,('cost master'!$B:$B=C2207)*('cost master'!$D:$D=""Storage cost per pallet / week"")*('cost master'!$G:$G&lt;=B2207)*(('cost master'!$H:$H&gt;=B2207)+ISBLANK('cost master'!$H:$H))),1),0)"),0.0)</f>
        <v>0</v>
      </c>
      <c r="I2207" s="3">
        <f t="shared" si="4"/>
        <v>0</v>
      </c>
      <c r="J2207" s="27">
        <f t="shared" si="5"/>
        <v>693947</v>
      </c>
      <c r="K2207" s="27">
        <f t="shared" si="6"/>
        <v>693977</v>
      </c>
    </row>
    <row r="2208" hidden="1">
      <c r="A2208" s="3" t="str">
        <f t="shared" si="3"/>
        <v/>
      </c>
      <c r="B2208" s="2" t="str">
        <f t="array" ref="B2208">INDEX(helper!$A$3:$A3996,ROUNDUP((ROW()-1)/COUNTA(helper!$D$3:$D3996),0))</f>
        <v/>
      </c>
      <c r="C2208" s="5" t="str">
        <f t="array" ref="C2208">IF(B2208="","",INDEX(helper!$D$3:$D3996,MOD(ROW()-2,COUNTA(helper!$D$3:$D3996))+1))</f>
        <v/>
      </c>
      <c r="D2208" s="3" t="str">
        <f t="array" ref="D2208">IF(B2208="","",INDEX(helper!$E$3:$E3996,MOD(ROW()-2,COUNTA(helper!$D$3:$D3996))+1))</f>
        <v/>
      </c>
      <c r="E2208" s="3" t="str">
        <f t="array" ref="E2208">IF(B2208="","",INDEX(helper!$F$3:$F3996,MOD(ROW()-2,COUNTA(helper!$D$3:$D3996))+1))</f>
        <v/>
      </c>
      <c r="F2208" s="3" t="str">
        <f>IF(B2208="","",SUMIFS('inventory ledger'!$H:$H,'inventory ledger'!$C:$C,C2208,'inventory ledger'!$D:$D,D2208,'inventory ledger'!$E:$E,E2208,'inventory ledger'!$A:$A,"&lt;="&amp;B2208+TIME(23,59,59))-SUMIFS('inventory ledger'!$I:$I,'inventory ledger'!$C:$C,C2208,'inventory ledger'!$D:$D,D2208,'inventory ledger'!$E:$E,E2208,'inventory ledger'!$A:$A,"&lt;="&amp;B2208+TIME(23,59,59)))</f>
        <v/>
      </c>
      <c r="G2208" s="3">
        <f>IFERROR(__xludf.DUMMYFUNCTION("IF(F2208&lt;=0,0,IFERROR(ROUNDUP(F2208/INDEX(FILTER('warehouse config'!$D:$D,('warehouse config'!$B:$B=C2208)*('warehouse config'!$C:$C=D2208)*('warehouse config'!$G:$G&lt;=B2208)*(('warehouse config'!$H:$H&gt;=B2208)+ISBLANK('warehouse config'!$H:$H))),1)),0))"),0.0)</f>
        <v>0</v>
      </c>
      <c r="H2208" s="3">
        <f>IFERROR(__xludf.DUMMYFUNCTION("IFERROR(INDEX(FILTER('cost master'!$E:$E,('cost master'!$B:$B=C2208)*('cost master'!$D:$D=""Storage cost per pallet / week"")*('cost master'!$G:$G&lt;=B2208)*(('cost master'!$H:$H&gt;=B2208)+ISBLANK('cost master'!$H:$H))),1),0)"),0.0)</f>
        <v>0</v>
      </c>
      <c r="I2208" s="3">
        <f t="shared" si="4"/>
        <v>0</v>
      </c>
      <c r="J2208" s="27">
        <f t="shared" si="5"/>
        <v>693947</v>
      </c>
      <c r="K2208" s="27">
        <f t="shared" si="6"/>
        <v>693977</v>
      </c>
    </row>
    <row r="2209" hidden="1">
      <c r="A2209" s="3" t="str">
        <f t="shared" si="3"/>
        <v/>
      </c>
      <c r="B2209" s="2" t="str">
        <f t="array" ref="B2209">INDEX(helper!$A$3:$A3996,ROUNDUP((ROW()-1)/COUNTA(helper!$D$3:$D3996),0))</f>
        <v/>
      </c>
      <c r="C2209" s="5" t="str">
        <f t="array" ref="C2209">IF(B2209="","",INDEX(helper!$D$3:$D3996,MOD(ROW()-2,COUNTA(helper!$D$3:$D3996))+1))</f>
        <v/>
      </c>
      <c r="D2209" s="3" t="str">
        <f t="array" ref="D2209">IF(B2209="","",INDEX(helper!$E$3:$E3996,MOD(ROW()-2,COUNTA(helper!$D$3:$D3996))+1))</f>
        <v/>
      </c>
      <c r="E2209" s="3" t="str">
        <f t="array" ref="E2209">IF(B2209="","",INDEX(helper!$F$3:$F3996,MOD(ROW()-2,COUNTA(helper!$D$3:$D3996))+1))</f>
        <v/>
      </c>
      <c r="F2209" s="3" t="str">
        <f>IF(B2209="","",SUMIFS('inventory ledger'!$H:$H,'inventory ledger'!$C:$C,C2209,'inventory ledger'!$D:$D,D2209,'inventory ledger'!$E:$E,E2209,'inventory ledger'!$A:$A,"&lt;="&amp;B2209+TIME(23,59,59))-SUMIFS('inventory ledger'!$I:$I,'inventory ledger'!$C:$C,C2209,'inventory ledger'!$D:$D,D2209,'inventory ledger'!$E:$E,E2209,'inventory ledger'!$A:$A,"&lt;="&amp;B2209+TIME(23,59,59)))</f>
        <v/>
      </c>
      <c r="G2209" s="3">
        <f>IFERROR(__xludf.DUMMYFUNCTION("IF(F2209&lt;=0,0,IFERROR(ROUNDUP(F2209/INDEX(FILTER('warehouse config'!$D:$D,('warehouse config'!$B:$B=C2209)*('warehouse config'!$C:$C=D2209)*('warehouse config'!$G:$G&lt;=B2209)*(('warehouse config'!$H:$H&gt;=B2209)+ISBLANK('warehouse config'!$H:$H))),1)),0))"),0.0)</f>
        <v>0</v>
      </c>
      <c r="H2209" s="3">
        <f>IFERROR(__xludf.DUMMYFUNCTION("IFERROR(INDEX(FILTER('cost master'!$E:$E,('cost master'!$B:$B=C2209)*('cost master'!$D:$D=""Storage cost per pallet / week"")*('cost master'!$G:$G&lt;=B2209)*(('cost master'!$H:$H&gt;=B2209)+ISBLANK('cost master'!$H:$H))),1),0)"),0.0)</f>
        <v>0</v>
      </c>
      <c r="I2209" s="3">
        <f t="shared" si="4"/>
        <v>0</v>
      </c>
      <c r="J2209" s="27">
        <f t="shared" si="5"/>
        <v>693947</v>
      </c>
      <c r="K2209" s="27">
        <f t="shared" si="6"/>
        <v>693977</v>
      </c>
    </row>
    <row r="2210" hidden="1">
      <c r="A2210" s="3" t="str">
        <f t="shared" si="3"/>
        <v/>
      </c>
      <c r="B2210" s="2" t="str">
        <f t="array" ref="B2210">INDEX(helper!$A$3:$A3996,ROUNDUP((ROW()-1)/COUNTA(helper!$D$3:$D3996),0))</f>
        <v/>
      </c>
      <c r="C2210" s="5" t="str">
        <f t="array" ref="C2210">IF(B2210="","",INDEX(helper!$D$3:$D3996,MOD(ROW()-2,COUNTA(helper!$D$3:$D3996))+1))</f>
        <v/>
      </c>
      <c r="D2210" s="3" t="str">
        <f t="array" ref="D2210">IF(B2210="","",INDEX(helper!$E$3:$E3996,MOD(ROW()-2,COUNTA(helper!$D$3:$D3996))+1))</f>
        <v/>
      </c>
      <c r="E2210" s="3" t="str">
        <f t="array" ref="E2210">IF(B2210="","",INDEX(helper!$F$3:$F3996,MOD(ROW()-2,COUNTA(helper!$D$3:$D3996))+1))</f>
        <v/>
      </c>
      <c r="F2210" s="3" t="str">
        <f>IF(B2210="","",SUMIFS('inventory ledger'!$H:$H,'inventory ledger'!$C:$C,C2210,'inventory ledger'!$D:$D,D2210,'inventory ledger'!$E:$E,E2210,'inventory ledger'!$A:$A,"&lt;="&amp;B2210+TIME(23,59,59))-SUMIFS('inventory ledger'!$I:$I,'inventory ledger'!$C:$C,C2210,'inventory ledger'!$D:$D,D2210,'inventory ledger'!$E:$E,E2210,'inventory ledger'!$A:$A,"&lt;="&amp;B2210+TIME(23,59,59)))</f>
        <v/>
      </c>
      <c r="G2210" s="3">
        <f>IFERROR(__xludf.DUMMYFUNCTION("IF(F2210&lt;=0,0,IFERROR(ROUNDUP(F2210/INDEX(FILTER('warehouse config'!$D:$D,('warehouse config'!$B:$B=C2210)*('warehouse config'!$C:$C=D2210)*('warehouse config'!$G:$G&lt;=B2210)*(('warehouse config'!$H:$H&gt;=B2210)+ISBLANK('warehouse config'!$H:$H))),1)),0))"),0.0)</f>
        <v>0</v>
      </c>
      <c r="H2210" s="3">
        <f>IFERROR(__xludf.DUMMYFUNCTION("IFERROR(INDEX(FILTER('cost master'!$E:$E,('cost master'!$B:$B=C2210)*('cost master'!$D:$D=""Storage cost per pallet / week"")*('cost master'!$G:$G&lt;=B2210)*(('cost master'!$H:$H&gt;=B2210)+ISBLANK('cost master'!$H:$H))),1),0)"),0.0)</f>
        <v>0</v>
      </c>
      <c r="I2210" s="3">
        <f t="shared" si="4"/>
        <v>0</v>
      </c>
      <c r="J2210" s="27">
        <f t="shared" si="5"/>
        <v>693947</v>
      </c>
      <c r="K2210" s="27">
        <f t="shared" si="6"/>
        <v>693977</v>
      </c>
    </row>
    <row r="2211" hidden="1">
      <c r="A2211" s="3" t="str">
        <f t="shared" si="3"/>
        <v/>
      </c>
      <c r="B2211" s="2" t="str">
        <f t="array" ref="B2211">INDEX(helper!$A$3:$A3996,ROUNDUP((ROW()-1)/COUNTA(helper!$D$3:$D3996),0))</f>
        <v/>
      </c>
      <c r="C2211" s="5" t="str">
        <f t="array" ref="C2211">IF(B2211="","",INDEX(helper!$D$3:$D3996,MOD(ROW()-2,COUNTA(helper!$D$3:$D3996))+1))</f>
        <v/>
      </c>
      <c r="D2211" s="3" t="str">
        <f t="array" ref="D2211">IF(B2211="","",INDEX(helper!$E$3:$E3996,MOD(ROW()-2,COUNTA(helper!$D$3:$D3996))+1))</f>
        <v/>
      </c>
      <c r="E2211" s="3" t="str">
        <f t="array" ref="E2211">IF(B2211="","",INDEX(helper!$F$3:$F3996,MOD(ROW()-2,COUNTA(helper!$D$3:$D3996))+1))</f>
        <v/>
      </c>
      <c r="F2211" s="3" t="str">
        <f>IF(B2211="","",SUMIFS('inventory ledger'!$H:$H,'inventory ledger'!$C:$C,C2211,'inventory ledger'!$D:$D,D2211,'inventory ledger'!$E:$E,E2211,'inventory ledger'!$A:$A,"&lt;="&amp;B2211+TIME(23,59,59))-SUMIFS('inventory ledger'!$I:$I,'inventory ledger'!$C:$C,C2211,'inventory ledger'!$D:$D,D2211,'inventory ledger'!$E:$E,E2211,'inventory ledger'!$A:$A,"&lt;="&amp;B2211+TIME(23,59,59)))</f>
        <v/>
      </c>
      <c r="G2211" s="3">
        <f>IFERROR(__xludf.DUMMYFUNCTION("IF(F2211&lt;=0,0,IFERROR(ROUNDUP(F2211/INDEX(FILTER('warehouse config'!$D:$D,('warehouse config'!$B:$B=C2211)*('warehouse config'!$C:$C=D2211)*('warehouse config'!$G:$G&lt;=B2211)*(('warehouse config'!$H:$H&gt;=B2211)+ISBLANK('warehouse config'!$H:$H))),1)),0))"),0.0)</f>
        <v>0</v>
      </c>
      <c r="H2211" s="3">
        <f>IFERROR(__xludf.DUMMYFUNCTION("IFERROR(INDEX(FILTER('cost master'!$E:$E,('cost master'!$B:$B=C2211)*('cost master'!$D:$D=""Storage cost per pallet / week"")*('cost master'!$G:$G&lt;=B2211)*(('cost master'!$H:$H&gt;=B2211)+ISBLANK('cost master'!$H:$H))),1),0)"),0.0)</f>
        <v>0</v>
      </c>
      <c r="I2211" s="3">
        <f t="shared" si="4"/>
        <v>0</v>
      </c>
      <c r="J2211" s="27">
        <f t="shared" si="5"/>
        <v>693947</v>
      </c>
      <c r="K2211" s="27">
        <f t="shared" si="6"/>
        <v>693977</v>
      </c>
    </row>
    <row r="2212" hidden="1">
      <c r="A2212" s="3" t="str">
        <f t="shared" si="3"/>
        <v/>
      </c>
      <c r="B2212" s="2" t="str">
        <f t="array" ref="B2212">INDEX(helper!$A$3:$A3996,ROUNDUP((ROW()-1)/COUNTA(helper!$D$3:$D3996),0))</f>
        <v/>
      </c>
      <c r="C2212" s="5" t="str">
        <f t="array" ref="C2212">IF(B2212="","",INDEX(helper!$D$3:$D3996,MOD(ROW()-2,COUNTA(helper!$D$3:$D3996))+1))</f>
        <v/>
      </c>
      <c r="D2212" s="3" t="str">
        <f t="array" ref="D2212">IF(B2212="","",INDEX(helper!$E$3:$E3996,MOD(ROW()-2,COUNTA(helper!$D$3:$D3996))+1))</f>
        <v/>
      </c>
      <c r="E2212" s="3" t="str">
        <f t="array" ref="E2212">IF(B2212="","",INDEX(helper!$F$3:$F3996,MOD(ROW()-2,COUNTA(helper!$D$3:$D3996))+1))</f>
        <v/>
      </c>
      <c r="F2212" s="3" t="str">
        <f>IF(B2212="","",SUMIFS('inventory ledger'!$H:$H,'inventory ledger'!$C:$C,C2212,'inventory ledger'!$D:$D,D2212,'inventory ledger'!$E:$E,E2212,'inventory ledger'!$A:$A,"&lt;="&amp;B2212+TIME(23,59,59))-SUMIFS('inventory ledger'!$I:$I,'inventory ledger'!$C:$C,C2212,'inventory ledger'!$D:$D,D2212,'inventory ledger'!$E:$E,E2212,'inventory ledger'!$A:$A,"&lt;="&amp;B2212+TIME(23,59,59)))</f>
        <v/>
      </c>
      <c r="G2212" s="3">
        <f>IFERROR(__xludf.DUMMYFUNCTION("IF(F2212&lt;=0,0,IFERROR(ROUNDUP(F2212/INDEX(FILTER('warehouse config'!$D:$D,('warehouse config'!$B:$B=C2212)*('warehouse config'!$C:$C=D2212)*('warehouse config'!$G:$G&lt;=B2212)*(('warehouse config'!$H:$H&gt;=B2212)+ISBLANK('warehouse config'!$H:$H))),1)),0))"),0.0)</f>
        <v>0</v>
      </c>
      <c r="H2212" s="3">
        <f>IFERROR(__xludf.DUMMYFUNCTION("IFERROR(INDEX(FILTER('cost master'!$E:$E,('cost master'!$B:$B=C2212)*('cost master'!$D:$D=""Storage cost per pallet / week"")*('cost master'!$G:$G&lt;=B2212)*(('cost master'!$H:$H&gt;=B2212)+ISBLANK('cost master'!$H:$H))),1),0)"),0.0)</f>
        <v>0</v>
      </c>
      <c r="I2212" s="3">
        <f t="shared" si="4"/>
        <v>0</v>
      </c>
      <c r="J2212" s="27">
        <f t="shared" si="5"/>
        <v>693947</v>
      </c>
      <c r="K2212" s="27">
        <f t="shared" si="6"/>
        <v>693977</v>
      </c>
    </row>
    <row r="2213" hidden="1">
      <c r="A2213" s="3" t="str">
        <f t="shared" si="3"/>
        <v/>
      </c>
      <c r="B2213" s="2" t="str">
        <f t="array" ref="B2213">INDEX(helper!$A$3:$A3996,ROUNDUP((ROW()-1)/COUNTA(helper!$D$3:$D3996),0))</f>
        <v/>
      </c>
      <c r="C2213" s="5" t="str">
        <f t="array" ref="C2213">IF(B2213="","",INDEX(helper!$D$3:$D3996,MOD(ROW()-2,COUNTA(helper!$D$3:$D3996))+1))</f>
        <v/>
      </c>
      <c r="D2213" s="3" t="str">
        <f t="array" ref="D2213">IF(B2213="","",INDEX(helper!$E$3:$E3996,MOD(ROW()-2,COUNTA(helper!$D$3:$D3996))+1))</f>
        <v/>
      </c>
      <c r="E2213" s="3" t="str">
        <f t="array" ref="E2213">IF(B2213="","",INDEX(helper!$F$3:$F3996,MOD(ROW()-2,COUNTA(helper!$D$3:$D3996))+1))</f>
        <v/>
      </c>
      <c r="F2213" s="3" t="str">
        <f>IF(B2213="","",SUMIFS('inventory ledger'!$H:$H,'inventory ledger'!$C:$C,C2213,'inventory ledger'!$D:$D,D2213,'inventory ledger'!$E:$E,E2213,'inventory ledger'!$A:$A,"&lt;="&amp;B2213+TIME(23,59,59))-SUMIFS('inventory ledger'!$I:$I,'inventory ledger'!$C:$C,C2213,'inventory ledger'!$D:$D,D2213,'inventory ledger'!$E:$E,E2213,'inventory ledger'!$A:$A,"&lt;="&amp;B2213+TIME(23,59,59)))</f>
        <v/>
      </c>
      <c r="G2213" s="3">
        <f>IFERROR(__xludf.DUMMYFUNCTION("IF(F2213&lt;=0,0,IFERROR(ROUNDUP(F2213/INDEX(FILTER('warehouse config'!$D:$D,('warehouse config'!$B:$B=C2213)*('warehouse config'!$C:$C=D2213)*('warehouse config'!$G:$G&lt;=B2213)*(('warehouse config'!$H:$H&gt;=B2213)+ISBLANK('warehouse config'!$H:$H))),1)),0))"),0.0)</f>
        <v>0</v>
      </c>
      <c r="H2213" s="3">
        <f>IFERROR(__xludf.DUMMYFUNCTION("IFERROR(INDEX(FILTER('cost master'!$E:$E,('cost master'!$B:$B=C2213)*('cost master'!$D:$D=""Storage cost per pallet / week"")*('cost master'!$G:$G&lt;=B2213)*(('cost master'!$H:$H&gt;=B2213)+ISBLANK('cost master'!$H:$H))),1),0)"),0.0)</f>
        <v>0</v>
      </c>
      <c r="I2213" s="3">
        <f t="shared" si="4"/>
        <v>0</v>
      </c>
      <c r="J2213" s="27">
        <f t="shared" si="5"/>
        <v>693947</v>
      </c>
      <c r="K2213" s="27">
        <f t="shared" si="6"/>
        <v>693977</v>
      </c>
    </row>
    <row r="2214" hidden="1">
      <c r="A2214" s="3" t="str">
        <f t="shared" si="3"/>
        <v/>
      </c>
      <c r="B2214" s="2" t="str">
        <f t="array" ref="B2214">INDEX(helper!$A$3:$A3996,ROUNDUP((ROW()-1)/COUNTA(helper!$D$3:$D3996),0))</f>
        <v/>
      </c>
      <c r="C2214" s="5" t="str">
        <f t="array" ref="C2214">IF(B2214="","",INDEX(helper!$D$3:$D3996,MOD(ROW()-2,COUNTA(helper!$D$3:$D3996))+1))</f>
        <v/>
      </c>
      <c r="D2214" s="3" t="str">
        <f t="array" ref="D2214">IF(B2214="","",INDEX(helper!$E$3:$E3996,MOD(ROW()-2,COUNTA(helper!$D$3:$D3996))+1))</f>
        <v/>
      </c>
      <c r="E2214" s="3" t="str">
        <f t="array" ref="E2214">IF(B2214="","",INDEX(helper!$F$3:$F3996,MOD(ROW()-2,COUNTA(helper!$D$3:$D3996))+1))</f>
        <v/>
      </c>
      <c r="F2214" s="3" t="str">
        <f>IF(B2214="","",SUMIFS('inventory ledger'!$H:$H,'inventory ledger'!$C:$C,C2214,'inventory ledger'!$D:$D,D2214,'inventory ledger'!$E:$E,E2214,'inventory ledger'!$A:$A,"&lt;="&amp;B2214+TIME(23,59,59))-SUMIFS('inventory ledger'!$I:$I,'inventory ledger'!$C:$C,C2214,'inventory ledger'!$D:$D,D2214,'inventory ledger'!$E:$E,E2214,'inventory ledger'!$A:$A,"&lt;="&amp;B2214+TIME(23,59,59)))</f>
        <v/>
      </c>
      <c r="G2214" s="3">
        <f>IFERROR(__xludf.DUMMYFUNCTION("IF(F2214&lt;=0,0,IFERROR(ROUNDUP(F2214/INDEX(FILTER('warehouse config'!$D:$D,('warehouse config'!$B:$B=C2214)*('warehouse config'!$C:$C=D2214)*('warehouse config'!$G:$G&lt;=B2214)*(('warehouse config'!$H:$H&gt;=B2214)+ISBLANK('warehouse config'!$H:$H))),1)),0))"),0.0)</f>
        <v>0</v>
      </c>
      <c r="H2214" s="3">
        <f>IFERROR(__xludf.DUMMYFUNCTION("IFERROR(INDEX(FILTER('cost master'!$E:$E,('cost master'!$B:$B=C2214)*('cost master'!$D:$D=""Storage cost per pallet / week"")*('cost master'!$G:$G&lt;=B2214)*(('cost master'!$H:$H&gt;=B2214)+ISBLANK('cost master'!$H:$H))),1),0)"),0.0)</f>
        <v>0</v>
      </c>
      <c r="I2214" s="3">
        <f t="shared" si="4"/>
        <v>0</v>
      </c>
      <c r="J2214" s="27">
        <f t="shared" si="5"/>
        <v>693947</v>
      </c>
      <c r="K2214" s="27">
        <f t="shared" si="6"/>
        <v>693977</v>
      </c>
    </row>
    <row r="2215" hidden="1">
      <c r="A2215" s="3" t="str">
        <f t="shared" si="3"/>
        <v/>
      </c>
      <c r="B2215" s="2" t="str">
        <f t="array" ref="B2215">INDEX(helper!$A$3:$A3996,ROUNDUP((ROW()-1)/COUNTA(helper!$D$3:$D3996),0))</f>
        <v/>
      </c>
      <c r="C2215" s="5" t="str">
        <f t="array" ref="C2215">IF(B2215="","",INDEX(helper!$D$3:$D3996,MOD(ROW()-2,COUNTA(helper!$D$3:$D3996))+1))</f>
        <v/>
      </c>
      <c r="D2215" s="3" t="str">
        <f t="array" ref="D2215">IF(B2215="","",INDEX(helper!$E$3:$E3996,MOD(ROW()-2,COUNTA(helper!$D$3:$D3996))+1))</f>
        <v/>
      </c>
      <c r="E2215" s="3" t="str">
        <f t="array" ref="E2215">IF(B2215="","",INDEX(helper!$F$3:$F3996,MOD(ROW()-2,COUNTA(helper!$D$3:$D3996))+1))</f>
        <v/>
      </c>
      <c r="F2215" s="3" t="str">
        <f>IF(B2215="","",SUMIFS('inventory ledger'!$H:$H,'inventory ledger'!$C:$C,C2215,'inventory ledger'!$D:$D,D2215,'inventory ledger'!$E:$E,E2215,'inventory ledger'!$A:$A,"&lt;="&amp;B2215+TIME(23,59,59))-SUMIFS('inventory ledger'!$I:$I,'inventory ledger'!$C:$C,C2215,'inventory ledger'!$D:$D,D2215,'inventory ledger'!$E:$E,E2215,'inventory ledger'!$A:$A,"&lt;="&amp;B2215+TIME(23,59,59)))</f>
        <v/>
      </c>
      <c r="G2215" s="3">
        <f>IFERROR(__xludf.DUMMYFUNCTION("IF(F2215&lt;=0,0,IFERROR(ROUNDUP(F2215/INDEX(FILTER('warehouse config'!$D:$D,('warehouse config'!$B:$B=C2215)*('warehouse config'!$C:$C=D2215)*('warehouse config'!$G:$G&lt;=B2215)*(('warehouse config'!$H:$H&gt;=B2215)+ISBLANK('warehouse config'!$H:$H))),1)),0))"),0.0)</f>
        <v>0</v>
      </c>
      <c r="H2215" s="3">
        <f>IFERROR(__xludf.DUMMYFUNCTION("IFERROR(INDEX(FILTER('cost master'!$E:$E,('cost master'!$B:$B=C2215)*('cost master'!$D:$D=""Storage cost per pallet / week"")*('cost master'!$G:$G&lt;=B2215)*(('cost master'!$H:$H&gt;=B2215)+ISBLANK('cost master'!$H:$H))),1),0)"),0.0)</f>
        <v>0</v>
      </c>
      <c r="I2215" s="3">
        <f t="shared" si="4"/>
        <v>0</v>
      </c>
      <c r="J2215" s="27">
        <f t="shared" si="5"/>
        <v>693947</v>
      </c>
      <c r="K2215" s="27">
        <f t="shared" si="6"/>
        <v>693977</v>
      </c>
    </row>
    <row r="2216" hidden="1">
      <c r="A2216" s="3" t="str">
        <f t="shared" si="3"/>
        <v/>
      </c>
      <c r="B2216" s="2" t="str">
        <f t="array" ref="B2216">INDEX(helper!$A$3:$A3996,ROUNDUP((ROW()-1)/COUNTA(helper!$D$3:$D3996),0))</f>
        <v/>
      </c>
      <c r="C2216" s="5" t="str">
        <f t="array" ref="C2216">IF(B2216="","",INDEX(helper!$D$3:$D3996,MOD(ROW()-2,COUNTA(helper!$D$3:$D3996))+1))</f>
        <v/>
      </c>
      <c r="D2216" s="3" t="str">
        <f t="array" ref="D2216">IF(B2216="","",INDEX(helper!$E$3:$E3996,MOD(ROW()-2,COUNTA(helper!$D$3:$D3996))+1))</f>
        <v/>
      </c>
      <c r="E2216" s="3" t="str">
        <f t="array" ref="E2216">IF(B2216="","",INDEX(helper!$F$3:$F3996,MOD(ROW()-2,COUNTA(helper!$D$3:$D3996))+1))</f>
        <v/>
      </c>
      <c r="F2216" s="3" t="str">
        <f>IF(B2216="","",SUMIFS('inventory ledger'!$H:$H,'inventory ledger'!$C:$C,C2216,'inventory ledger'!$D:$D,D2216,'inventory ledger'!$E:$E,E2216,'inventory ledger'!$A:$A,"&lt;="&amp;B2216+TIME(23,59,59))-SUMIFS('inventory ledger'!$I:$I,'inventory ledger'!$C:$C,C2216,'inventory ledger'!$D:$D,D2216,'inventory ledger'!$E:$E,E2216,'inventory ledger'!$A:$A,"&lt;="&amp;B2216+TIME(23,59,59)))</f>
        <v/>
      </c>
      <c r="G2216" s="3">
        <f>IFERROR(__xludf.DUMMYFUNCTION("IF(F2216&lt;=0,0,IFERROR(ROUNDUP(F2216/INDEX(FILTER('warehouse config'!$D:$D,('warehouse config'!$B:$B=C2216)*('warehouse config'!$C:$C=D2216)*('warehouse config'!$G:$G&lt;=B2216)*(('warehouse config'!$H:$H&gt;=B2216)+ISBLANK('warehouse config'!$H:$H))),1)),0))"),0.0)</f>
        <v>0</v>
      </c>
      <c r="H2216" s="3">
        <f>IFERROR(__xludf.DUMMYFUNCTION("IFERROR(INDEX(FILTER('cost master'!$E:$E,('cost master'!$B:$B=C2216)*('cost master'!$D:$D=""Storage cost per pallet / week"")*('cost master'!$G:$G&lt;=B2216)*(('cost master'!$H:$H&gt;=B2216)+ISBLANK('cost master'!$H:$H))),1),0)"),0.0)</f>
        <v>0</v>
      </c>
      <c r="I2216" s="3">
        <f t="shared" si="4"/>
        <v>0</v>
      </c>
      <c r="J2216" s="27">
        <f t="shared" si="5"/>
        <v>693947</v>
      </c>
      <c r="K2216" s="27">
        <f t="shared" si="6"/>
        <v>693977</v>
      </c>
    </row>
    <row r="2217" hidden="1">
      <c r="A2217" s="3" t="str">
        <f t="shared" si="3"/>
        <v/>
      </c>
      <c r="B2217" s="2" t="str">
        <f t="array" ref="B2217">INDEX(helper!$A$3:$A3996,ROUNDUP((ROW()-1)/COUNTA(helper!$D$3:$D3996),0))</f>
        <v/>
      </c>
      <c r="C2217" s="5" t="str">
        <f t="array" ref="C2217">IF(B2217="","",INDEX(helper!$D$3:$D3996,MOD(ROW()-2,COUNTA(helper!$D$3:$D3996))+1))</f>
        <v/>
      </c>
      <c r="D2217" s="3" t="str">
        <f t="array" ref="D2217">IF(B2217="","",INDEX(helper!$E$3:$E3996,MOD(ROW()-2,COUNTA(helper!$D$3:$D3996))+1))</f>
        <v/>
      </c>
      <c r="E2217" s="3" t="str">
        <f t="array" ref="E2217">IF(B2217="","",INDEX(helper!$F$3:$F3996,MOD(ROW()-2,COUNTA(helper!$D$3:$D3996))+1))</f>
        <v/>
      </c>
      <c r="F2217" s="3" t="str">
        <f>IF(B2217="","",SUMIFS('inventory ledger'!$H:$H,'inventory ledger'!$C:$C,C2217,'inventory ledger'!$D:$D,D2217,'inventory ledger'!$E:$E,E2217,'inventory ledger'!$A:$A,"&lt;="&amp;B2217+TIME(23,59,59))-SUMIFS('inventory ledger'!$I:$I,'inventory ledger'!$C:$C,C2217,'inventory ledger'!$D:$D,D2217,'inventory ledger'!$E:$E,E2217,'inventory ledger'!$A:$A,"&lt;="&amp;B2217+TIME(23,59,59)))</f>
        <v/>
      </c>
      <c r="G2217" s="3">
        <f>IFERROR(__xludf.DUMMYFUNCTION("IF(F2217&lt;=0,0,IFERROR(ROUNDUP(F2217/INDEX(FILTER('warehouse config'!$D:$D,('warehouse config'!$B:$B=C2217)*('warehouse config'!$C:$C=D2217)*('warehouse config'!$G:$G&lt;=B2217)*(('warehouse config'!$H:$H&gt;=B2217)+ISBLANK('warehouse config'!$H:$H))),1)),0))"),0.0)</f>
        <v>0</v>
      </c>
      <c r="H2217" s="3">
        <f>IFERROR(__xludf.DUMMYFUNCTION("IFERROR(INDEX(FILTER('cost master'!$E:$E,('cost master'!$B:$B=C2217)*('cost master'!$D:$D=""Storage cost per pallet / week"")*('cost master'!$G:$G&lt;=B2217)*(('cost master'!$H:$H&gt;=B2217)+ISBLANK('cost master'!$H:$H))),1),0)"),0.0)</f>
        <v>0</v>
      </c>
      <c r="I2217" s="3">
        <f t="shared" si="4"/>
        <v>0</v>
      </c>
      <c r="J2217" s="27">
        <f t="shared" si="5"/>
        <v>693947</v>
      </c>
      <c r="K2217" s="27">
        <f t="shared" si="6"/>
        <v>693977</v>
      </c>
    </row>
    <row r="2218" hidden="1">
      <c r="A2218" s="3" t="str">
        <f t="shared" si="3"/>
        <v/>
      </c>
      <c r="B2218" s="2" t="str">
        <f t="array" ref="B2218">INDEX(helper!$A$3:$A3996,ROUNDUP((ROW()-1)/COUNTA(helper!$D$3:$D3996),0))</f>
        <v/>
      </c>
      <c r="C2218" s="5" t="str">
        <f t="array" ref="C2218">IF(B2218="","",INDEX(helper!$D$3:$D3996,MOD(ROW()-2,COUNTA(helper!$D$3:$D3996))+1))</f>
        <v/>
      </c>
      <c r="D2218" s="3" t="str">
        <f t="array" ref="D2218">IF(B2218="","",INDEX(helper!$E$3:$E3996,MOD(ROW()-2,COUNTA(helper!$D$3:$D3996))+1))</f>
        <v/>
      </c>
      <c r="E2218" s="3" t="str">
        <f t="array" ref="E2218">IF(B2218="","",INDEX(helper!$F$3:$F3996,MOD(ROW()-2,COUNTA(helper!$D$3:$D3996))+1))</f>
        <v/>
      </c>
      <c r="F2218" s="3" t="str">
        <f>IF(B2218="","",SUMIFS('inventory ledger'!$H:$H,'inventory ledger'!$C:$C,C2218,'inventory ledger'!$D:$D,D2218,'inventory ledger'!$E:$E,E2218,'inventory ledger'!$A:$A,"&lt;="&amp;B2218+TIME(23,59,59))-SUMIFS('inventory ledger'!$I:$I,'inventory ledger'!$C:$C,C2218,'inventory ledger'!$D:$D,D2218,'inventory ledger'!$E:$E,E2218,'inventory ledger'!$A:$A,"&lt;="&amp;B2218+TIME(23,59,59)))</f>
        <v/>
      </c>
      <c r="G2218" s="3">
        <f>IFERROR(__xludf.DUMMYFUNCTION("IF(F2218&lt;=0,0,IFERROR(ROUNDUP(F2218/INDEX(FILTER('warehouse config'!$D:$D,('warehouse config'!$B:$B=C2218)*('warehouse config'!$C:$C=D2218)*('warehouse config'!$G:$G&lt;=B2218)*(('warehouse config'!$H:$H&gt;=B2218)+ISBLANK('warehouse config'!$H:$H))),1)),0))"),0.0)</f>
        <v>0</v>
      </c>
      <c r="H2218" s="3">
        <f>IFERROR(__xludf.DUMMYFUNCTION("IFERROR(INDEX(FILTER('cost master'!$E:$E,('cost master'!$B:$B=C2218)*('cost master'!$D:$D=""Storage cost per pallet / week"")*('cost master'!$G:$G&lt;=B2218)*(('cost master'!$H:$H&gt;=B2218)+ISBLANK('cost master'!$H:$H))),1),0)"),0.0)</f>
        <v>0</v>
      </c>
      <c r="I2218" s="3">
        <f t="shared" si="4"/>
        <v>0</v>
      </c>
      <c r="J2218" s="27">
        <f t="shared" si="5"/>
        <v>693947</v>
      </c>
      <c r="K2218" s="27">
        <f t="shared" si="6"/>
        <v>693977</v>
      </c>
    </row>
    <row r="2219" hidden="1">
      <c r="A2219" s="3" t="str">
        <f t="shared" si="3"/>
        <v/>
      </c>
      <c r="B2219" s="2" t="str">
        <f t="array" ref="B2219">INDEX(helper!$A$3:$A3996,ROUNDUP((ROW()-1)/COUNTA(helper!$D$3:$D3996),0))</f>
        <v/>
      </c>
      <c r="C2219" s="5" t="str">
        <f t="array" ref="C2219">IF(B2219="","",INDEX(helper!$D$3:$D3996,MOD(ROW()-2,COUNTA(helper!$D$3:$D3996))+1))</f>
        <v/>
      </c>
      <c r="D2219" s="3" t="str">
        <f t="array" ref="D2219">IF(B2219="","",INDEX(helper!$E$3:$E3996,MOD(ROW()-2,COUNTA(helper!$D$3:$D3996))+1))</f>
        <v/>
      </c>
      <c r="E2219" s="3" t="str">
        <f t="array" ref="E2219">IF(B2219="","",INDEX(helper!$F$3:$F3996,MOD(ROW()-2,COUNTA(helper!$D$3:$D3996))+1))</f>
        <v/>
      </c>
      <c r="F2219" s="3" t="str">
        <f>IF(B2219="","",SUMIFS('inventory ledger'!$H:$H,'inventory ledger'!$C:$C,C2219,'inventory ledger'!$D:$D,D2219,'inventory ledger'!$E:$E,E2219,'inventory ledger'!$A:$A,"&lt;="&amp;B2219+TIME(23,59,59))-SUMIFS('inventory ledger'!$I:$I,'inventory ledger'!$C:$C,C2219,'inventory ledger'!$D:$D,D2219,'inventory ledger'!$E:$E,E2219,'inventory ledger'!$A:$A,"&lt;="&amp;B2219+TIME(23,59,59)))</f>
        <v/>
      </c>
      <c r="G2219" s="3">
        <f>IFERROR(__xludf.DUMMYFUNCTION("IF(F2219&lt;=0,0,IFERROR(ROUNDUP(F2219/INDEX(FILTER('warehouse config'!$D:$D,('warehouse config'!$B:$B=C2219)*('warehouse config'!$C:$C=D2219)*('warehouse config'!$G:$G&lt;=B2219)*(('warehouse config'!$H:$H&gt;=B2219)+ISBLANK('warehouse config'!$H:$H))),1)),0))"),0.0)</f>
        <v>0</v>
      </c>
      <c r="H2219" s="3">
        <f>IFERROR(__xludf.DUMMYFUNCTION("IFERROR(INDEX(FILTER('cost master'!$E:$E,('cost master'!$B:$B=C2219)*('cost master'!$D:$D=""Storage cost per pallet / week"")*('cost master'!$G:$G&lt;=B2219)*(('cost master'!$H:$H&gt;=B2219)+ISBLANK('cost master'!$H:$H))),1),0)"),0.0)</f>
        <v>0</v>
      </c>
      <c r="I2219" s="3">
        <f t="shared" si="4"/>
        <v>0</v>
      </c>
      <c r="J2219" s="27">
        <f t="shared" si="5"/>
        <v>693947</v>
      </c>
      <c r="K2219" s="27">
        <f t="shared" si="6"/>
        <v>693977</v>
      </c>
    </row>
    <row r="2220" hidden="1">
      <c r="A2220" s="3" t="str">
        <f t="shared" si="3"/>
        <v/>
      </c>
      <c r="B2220" s="2" t="str">
        <f t="array" ref="B2220">INDEX(helper!$A$3:$A3996,ROUNDUP((ROW()-1)/COUNTA(helper!$D$3:$D3996),0))</f>
        <v/>
      </c>
      <c r="C2220" s="5" t="str">
        <f t="array" ref="C2220">IF(B2220="","",INDEX(helper!$D$3:$D3996,MOD(ROW()-2,COUNTA(helper!$D$3:$D3996))+1))</f>
        <v/>
      </c>
      <c r="D2220" s="3" t="str">
        <f t="array" ref="D2220">IF(B2220="","",INDEX(helper!$E$3:$E3996,MOD(ROW()-2,COUNTA(helper!$D$3:$D3996))+1))</f>
        <v/>
      </c>
      <c r="E2220" s="3" t="str">
        <f t="array" ref="E2220">IF(B2220="","",INDEX(helper!$F$3:$F3996,MOD(ROW()-2,COUNTA(helper!$D$3:$D3996))+1))</f>
        <v/>
      </c>
      <c r="F2220" s="3" t="str">
        <f>IF(B2220="","",SUMIFS('inventory ledger'!$H:$H,'inventory ledger'!$C:$C,C2220,'inventory ledger'!$D:$D,D2220,'inventory ledger'!$E:$E,E2220,'inventory ledger'!$A:$A,"&lt;="&amp;B2220+TIME(23,59,59))-SUMIFS('inventory ledger'!$I:$I,'inventory ledger'!$C:$C,C2220,'inventory ledger'!$D:$D,D2220,'inventory ledger'!$E:$E,E2220,'inventory ledger'!$A:$A,"&lt;="&amp;B2220+TIME(23,59,59)))</f>
        <v/>
      </c>
      <c r="G2220" s="3">
        <f>IFERROR(__xludf.DUMMYFUNCTION("IF(F2220&lt;=0,0,IFERROR(ROUNDUP(F2220/INDEX(FILTER('warehouse config'!$D:$D,('warehouse config'!$B:$B=C2220)*('warehouse config'!$C:$C=D2220)*('warehouse config'!$G:$G&lt;=B2220)*(('warehouse config'!$H:$H&gt;=B2220)+ISBLANK('warehouse config'!$H:$H))),1)),0))"),0.0)</f>
        <v>0</v>
      </c>
      <c r="H2220" s="3">
        <f>IFERROR(__xludf.DUMMYFUNCTION("IFERROR(INDEX(FILTER('cost master'!$E:$E,('cost master'!$B:$B=C2220)*('cost master'!$D:$D=""Storage cost per pallet / week"")*('cost master'!$G:$G&lt;=B2220)*(('cost master'!$H:$H&gt;=B2220)+ISBLANK('cost master'!$H:$H))),1),0)"),0.0)</f>
        <v>0</v>
      </c>
      <c r="I2220" s="3">
        <f t="shared" si="4"/>
        <v>0</v>
      </c>
      <c r="J2220" s="27">
        <f t="shared" si="5"/>
        <v>693947</v>
      </c>
      <c r="K2220" s="27">
        <f t="shared" si="6"/>
        <v>693977</v>
      </c>
    </row>
    <row r="2221" hidden="1">
      <c r="A2221" s="3" t="str">
        <f t="shared" si="3"/>
        <v/>
      </c>
      <c r="B2221" s="2" t="str">
        <f t="array" ref="B2221">INDEX(helper!$A$3:$A3996,ROUNDUP((ROW()-1)/COUNTA(helper!$D$3:$D3996),0))</f>
        <v/>
      </c>
      <c r="C2221" s="5" t="str">
        <f t="array" ref="C2221">IF(B2221="","",INDEX(helper!$D$3:$D3996,MOD(ROW()-2,COUNTA(helper!$D$3:$D3996))+1))</f>
        <v/>
      </c>
      <c r="D2221" s="3" t="str">
        <f t="array" ref="D2221">IF(B2221="","",INDEX(helper!$E$3:$E3996,MOD(ROW()-2,COUNTA(helper!$D$3:$D3996))+1))</f>
        <v/>
      </c>
      <c r="E2221" s="3" t="str">
        <f t="array" ref="E2221">IF(B2221="","",INDEX(helper!$F$3:$F3996,MOD(ROW()-2,COUNTA(helper!$D$3:$D3996))+1))</f>
        <v/>
      </c>
      <c r="F2221" s="3" t="str">
        <f>IF(B2221="","",SUMIFS('inventory ledger'!$H:$H,'inventory ledger'!$C:$C,C2221,'inventory ledger'!$D:$D,D2221,'inventory ledger'!$E:$E,E2221,'inventory ledger'!$A:$A,"&lt;="&amp;B2221+TIME(23,59,59))-SUMIFS('inventory ledger'!$I:$I,'inventory ledger'!$C:$C,C2221,'inventory ledger'!$D:$D,D2221,'inventory ledger'!$E:$E,E2221,'inventory ledger'!$A:$A,"&lt;="&amp;B2221+TIME(23,59,59)))</f>
        <v/>
      </c>
      <c r="G2221" s="3">
        <f>IFERROR(__xludf.DUMMYFUNCTION("IF(F2221&lt;=0,0,IFERROR(ROUNDUP(F2221/INDEX(FILTER('warehouse config'!$D:$D,('warehouse config'!$B:$B=C2221)*('warehouse config'!$C:$C=D2221)*('warehouse config'!$G:$G&lt;=B2221)*(('warehouse config'!$H:$H&gt;=B2221)+ISBLANK('warehouse config'!$H:$H))),1)),0))"),0.0)</f>
        <v>0</v>
      </c>
      <c r="H2221" s="3">
        <f>IFERROR(__xludf.DUMMYFUNCTION("IFERROR(INDEX(FILTER('cost master'!$E:$E,('cost master'!$B:$B=C2221)*('cost master'!$D:$D=""Storage cost per pallet / week"")*('cost master'!$G:$G&lt;=B2221)*(('cost master'!$H:$H&gt;=B2221)+ISBLANK('cost master'!$H:$H))),1),0)"),0.0)</f>
        <v>0</v>
      </c>
      <c r="I2221" s="3">
        <f t="shared" si="4"/>
        <v>0</v>
      </c>
      <c r="J2221" s="27">
        <f t="shared" si="5"/>
        <v>693947</v>
      </c>
      <c r="K2221" s="27">
        <f t="shared" si="6"/>
        <v>693977</v>
      </c>
    </row>
    <row r="2222" hidden="1">
      <c r="A2222" s="3" t="str">
        <f t="shared" si="3"/>
        <v/>
      </c>
      <c r="B2222" s="2" t="str">
        <f t="array" ref="B2222">INDEX(helper!$A$3:$A3996,ROUNDUP((ROW()-1)/COUNTA(helper!$D$3:$D3996),0))</f>
        <v/>
      </c>
      <c r="C2222" s="5" t="str">
        <f t="array" ref="C2222">IF(B2222="","",INDEX(helper!$D$3:$D3996,MOD(ROW()-2,COUNTA(helper!$D$3:$D3996))+1))</f>
        <v/>
      </c>
      <c r="D2222" s="3" t="str">
        <f t="array" ref="D2222">IF(B2222="","",INDEX(helper!$E$3:$E3996,MOD(ROW()-2,COUNTA(helper!$D$3:$D3996))+1))</f>
        <v/>
      </c>
      <c r="E2222" s="3" t="str">
        <f t="array" ref="E2222">IF(B2222="","",INDEX(helper!$F$3:$F3996,MOD(ROW()-2,COUNTA(helper!$D$3:$D3996))+1))</f>
        <v/>
      </c>
      <c r="F2222" s="3" t="str">
        <f>IF(B2222="","",SUMIFS('inventory ledger'!$H:$H,'inventory ledger'!$C:$C,C2222,'inventory ledger'!$D:$D,D2222,'inventory ledger'!$E:$E,E2222,'inventory ledger'!$A:$A,"&lt;="&amp;B2222+TIME(23,59,59))-SUMIFS('inventory ledger'!$I:$I,'inventory ledger'!$C:$C,C2222,'inventory ledger'!$D:$D,D2222,'inventory ledger'!$E:$E,E2222,'inventory ledger'!$A:$A,"&lt;="&amp;B2222+TIME(23,59,59)))</f>
        <v/>
      </c>
      <c r="G2222" s="3">
        <f>IFERROR(__xludf.DUMMYFUNCTION("IF(F2222&lt;=0,0,IFERROR(ROUNDUP(F2222/INDEX(FILTER('warehouse config'!$D:$D,('warehouse config'!$B:$B=C2222)*('warehouse config'!$C:$C=D2222)*('warehouse config'!$G:$G&lt;=B2222)*(('warehouse config'!$H:$H&gt;=B2222)+ISBLANK('warehouse config'!$H:$H))),1)),0))"),0.0)</f>
        <v>0</v>
      </c>
      <c r="H2222" s="3">
        <f>IFERROR(__xludf.DUMMYFUNCTION("IFERROR(INDEX(FILTER('cost master'!$E:$E,('cost master'!$B:$B=C2222)*('cost master'!$D:$D=""Storage cost per pallet / week"")*('cost master'!$G:$G&lt;=B2222)*(('cost master'!$H:$H&gt;=B2222)+ISBLANK('cost master'!$H:$H))),1),0)"),0.0)</f>
        <v>0</v>
      </c>
      <c r="I2222" s="3">
        <f t="shared" si="4"/>
        <v>0</v>
      </c>
      <c r="J2222" s="27">
        <f t="shared" si="5"/>
        <v>693947</v>
      </c>
      <c r="K2222" s="27">
        <f t="shared" si="6"/>
        <v>693977</v>
      </c>
    </row>
    <row r="2223" hidden="1">
      <c r="A2223" s="3" t="str">
        <f t="shared" si="3"/>
        <v/>
      </c>
      <c r="B2223" s="2" t="str">
        <f t="array" ref="B2223">INDEX(helper!$A$3:$A3996,ROUNDUP((ROW()-1)/COUNTA(helper!$D$3:$D3996),0))</f>
        <v/>
      </c>
      <c r="C2223" s="5" t="str">
        <f t="array" ref="C2223">IF(B2223="","",INDEX(helper!$D$3:$D3996,MOD(ROW()-2,COUNTA(helper!$D$3:$D3996))+1))</f>
        <v/>
      </c>
      <c r="D2223" s="3" t="str">
        <f t="array" ref="D2223">IF(B2223="","",INDEX(helper!$E$3:$E3996,MOD(ROW()-2,COUNTA(helper!$D$3:$D3996))+1))</f>
        <v/>
      </c>
      <c r="E2223" s="3" t="str">
        <f t="array" ref="E2223">IF(B2223="","",INDEX(helper!$F$3:$F3996,MOD(ROW()-2,COUNTA(helper!$D$3:$D3996))+1))</f>
        <v/>
      </c>
      <c r="F2223" s="3" t="str">
        <f>IF(B2223="","",SUMIFS('inventory ledger'!$H:$H,'inventory ledger'!$C:$C,C2223,'inventory ledger'!$D:$D,D2223,'inventory ledger'!$E:$E,E2223,'inventory ledger'!$A:$A,"&lt;="&amp;B2223+TIME(23,59,59))-SUMIFS('inventory ledger'!$I:$I,'inventory ledger'!$C:$C,C2223,'inventory ledger'!$D:$D,D2223,'inventory ledger'!$E:$E,E2223,'inventory ledger'!$A:$A,"&lt;="&amp;B2223+TIME(23,59,59)))</f>
        <v/>
      </c>
      <c r="G2223" s="3">
        <f>IFERROR(__xludf.DUMMYFUNCTION("IF(F2223&lt;=0,0,IFERROR(ROUNDUP(F2223/INDEX(FILTER('warehouse config'!$D:$D,('warehouse config'!$B:$B=C2223)*('warehouse config'!$C:$C=D2223)*('warehouse config'!$G:$G&lt;=B2223)*(('warehouse config'!$H:$H&gt;=B2223)+ISBLANK('warehouse config'!$H:$H))),1)),0))"),0.0)</f>
        <v>0</v>
      </c>
      <c r="H2223" s="3">
        <f>IFERROR(__xludf.DUMMYFUNCTION("IFERROR(INDEX(FILTER('cost master'!$E:$E,('cost master'!$B:$B=C2223)*('cost master'!$D:$D=""Storage cost per pallet / week"")*('cost master'!$G:$G&lt;=B2223)*(('cost master'!$H:$H&gt;=B2223)+ISBLANK('cost master'!$H:$H))),1),0)"),0.0)</f>
        <v>0</v>
      </c>
      <c r="I2223" s="3">
        <f t="shared" si="4"/>
        <v>0</v>
      </c>
      <c r="J2223" s="27">
        <f t="shared" si="5"/>
        <v>693947</v>
      </c>
      <c r="K2223" s="27">
        <f t="shared" si="6"/>
        <v>693977</v>
      </c>
    </row>
    <row r="2224" hidden="1">
      <c r="A2224" s="3" t="str">
        <f t="shared" si="3"/>
        <v/>
      </c>
      <c r="B2224" s="2" t="str">
        <f t="array" ref="B2224">INDEX(helper!$A$3:$A3996,ROUNDUP((ROW()-1)/COUNTA(helper!$D$3:$D3996),0))</f>
        <v/>
      </c>
      <c r="C2224" s="5" t="str">
        <f t="array" ref="C2224">IF(B2224="","",INDEX(helper!$D$3:$D3996,MOD(ROW()-2,COUNTA(helper!$D$3:$D3996))+1))</f>
        <v/>
      </c>
      <c r="D2224" s="3" t="str">
        <f t="array" ref="D2224">IF(B2224="","",INDEX(helper!$E$3:$E3996,MOD(ROW()-2,COUNTA(helper!$D$3:$D3996))+1))</f>
        <v/>
      </c>
      <c r="E2224" s="3" t="str">
        <f t="array" ref="E2224">IF(B2224="","",INDEX(helper!$F$3:$F3996,MOD(ROW()-2,COUNTA(helper!$D$3:$D3996))+1))</f>
        <v/>
      </c>
      <c r="F2224" s="3" t="str">
        <f>IF(B2224="","",SUMIFS('inventory ledger'!$H:$H,'inventory ledger'!$C:$C,C2224,'inventory ledger'!$D:$D,D2224,'inventory ledger'!$E:$E,E2224,'inventory ledger'!$A:$A,"&lt;="&amp;B2224+TIME(23,59,59))-SUMIFS('inventory ledger'!$I:$I,'inventory ledger'!$C:$C,C2224,'inventory ledger'!$D:$D,D2224,'inventory ledger'!$E:$E,E2224,'inventory ledger'!$A:$A,"&lt;="&amp;B2224+TIME(23,59,59)))</f>
        <v/>
      </c>
      <c r="G2224" s="3">
        <f>IFERROR(__xludf.DUMMYFUNCTION("IF(F2224&lt;=0,0,IFERROR(ROUNDUP(F2224/INDEX(FILTER('warehouse config'!$D:$D,('warehouse config'!$B:$B=C2224)*('warehouse config'!$C:$C=D2224)*('warehouse config'!$G:$G&lt;=B2224)*(('warehouse config'!$H:$H&gt;=B2224)+ISBLANK('warehouse config'!$H:$H))),1)),0))"),0.0)</f>
        <v>0</v>
      </c>
      <c r="H2224" s="3">
        <f>IFERROR(__xludf.DUMMYFUNCTION("IFERROR(INDEX(FILTER('cost master'!$E:$E,('cost master'!$B:$B=C2224)*('cost master'!$D:$D=""Storage cost per pallet / week"")*('cost master'!$G:$G&lt;=B2224)*(('cost master'!$H:$H&gt;=B2224)+ISBLANK('cost master'!$H:$H))),1),0)"),0.0)</f>
        <v>0</v>
      </c>
      <c r="I2224" s="3">
        <f t="shared" si="4"/>
        <v>0</v>
      </c>
      <c r="J2224" s="27">
        <f t="shared" si="5"/>
        <v>693947</v>
      </c>
      <c r="K2224" s="27">
        <f t="shared" si="6"/>
        <v>693977</v>
      </c>
    </row>
    <row r="2225" hidden="1">
      <c r="A2225" s="3" t="str">
        <f t="shared" si="3"/>
        <v/>
      </c>
      <c r="B2225" s="2" t="str">
        <f t="array" ref="B2225">INDEX(helper!$A$3:$A3996,ROUNDUP((ROW()-1)/COUNTA(helper!$D$3:$D3996),0))</f>
        <v/>
      </c>
      <c r="C2225" s="5" t="str">
        <f t="array" ref="C2225">IF(B2225="","",INDEX(helper!$D$3:$D3996,MOD(ROW()-2,COUNTA(helper!$D$3:$D3996))+1))</f>
        <v/>
      </c>
      <c r="D2225" s="3" t="str">
        <f t="array" ref="D2225">IF(B2225="","",INDEX(helper!$E$3:$E3996,MOD(ROW()-2,COUNTA(helper!$D$3:$D3996))+1))</f>
        <v/>
      </c>
      <c r="E2225" s="3" t="str">
        <f t="array" ref="E2225">IF(B2225="","",INDEX(helper!$F$3:$F3996,MOD(ROW()-2,COUNTA(helper!$D$3:$D3996))+1))</f>
        <v/>
      </c>
      <c r="F2225" s="3" t="str">
        <f>IF(B2225="","",SUMIFS('inventory ledger'!$H:$H,'inventory ledger'!$C:$C,C2225,'inventory ledger'!$D:$D,D2225,'inventory ledger'!$E:$E,E2225,'inventory ledger'!$A:$A,"&lt;="&amp;B2225+TIME(23,59,59))-SUMIFS('inventory ledger'!$I:$I,'inventory ledger'!$C:$C,C2225,'inventory ledger'!$D:$D,D2225,'inventory ledger'!$E:$E,E2225,'inventory ledger'!$A:$A,"&lt;="&amp;B2225+TIME(23,59,59)))</f>
        <v/>
      </c>
      <c r="G2225" s="3">
        <f>IFERROR(__xludf.DUMMYFUNCTION("IF(F2225&lt;=0,0,IFERROR(ROUNDUP(F2225/INDEX(FILTER('warehouse config'!$D:$D,('warehouse config'!$B:$B=C2225)*('warehouse config'!$C:$C=D2225)*('warehouse config'!$G:$G&lt;=B2225)*(('warehouse config'!$H:$H&gt;=B2225)+ISBLANK('warehouse config'!$H:$H))),1)),0))"),0.0)</f>
        <v>0</v>
      </c>
      <c r="H2225" s="3">
        <f>IFERROR(__xludf.DUMMYFUNCTION("IFERROR(INDEX(FILTER('cost master'!$E:$E,('cost master'!$B:$B=C2225)*('cost master'!$D:$D=""Storage cost per pallet / week"")*('cost master'!$G:$G&lt;=B2225)*(('cost master'!$H:$H&gt;=B2225)+ISBLANK('cost master'!$H:$H))),1),0)"),0.0)</f>
        <v>0</v>
      </c>
      <c r="I2225" s="3">
        <f t="shared" si="4"/>
        <v>0</v>
      </c>
      <c r="J2225" s="27">
        <f t="shared" si="5"/>
        <v>693947</v>
      </c>
      <c r="K2225" s="27">
        <f t="shared" si="6"/>
        <v>693977</v>
      </c>
    </row>
    <row r="2226" hidden="1">
      <c r="A2226" s="3" t="str">
        <f t="shared" si="3"/>
        <v/>
      </c>
      <c r="B2226" s="2" t="str">
        <f t="array" ref="B2226">INDEX(helper!$A$3:$A3996,ROUNDUP((ROW()-1)/COUNTA(helper!$D$3:$D3996),0))</f>
        <v/>
      </c>
      <c r="C2226" s="5" t="str">
        <f t="array" ref="C2226">IF(B2226="","",INDEX(helper!$D$3:$D3996,MOD(ROW()-2,COUNTA(helper!$D$3:$D3996))+1))</f>
        <v/>
      </c>
      <c r="D2226" s="3" t="str">
        <f t="array" ref="D2226">IF(B2226="","",INDEX(helper!$E$3:$E3996,MOD(ROW()-2,COUNTA(helper!$D$3:$D3996))+1))</f>
        <v/>
      </c>
      <c r="E2226" s="3" t="str">
        <f t="array" ref="E2226">IF(B2226="","",INDEX(helper!$F$3:$F3996,MOD(ROW()-2,COUNTA(helper!$D$3:$D3996))+1))</f>
        <v/>
      </c>
      <c r="F2226" s="3" t="str">
        <f>IF(B2226="","",SUMIFS('inventory ledger'!$H:$H,'inventory ledger'!$C:$C,C2226,'inventory ledger'!$D:$D,D2226,'inventory ledger'!$E:$E,E2226,'inventory ledger'!$A:$A,"&lt;="&amp;B2226+TIME(23,59,59))-SUMIFS('inventory ledger'!$I:$I,'inventory ledger'!$C:$C,C2226,'inventory ledger'!$D:$D,D2226,'inventory ledger'!$E:$E,E2226,'inventory ledger'!$A:$A,"&lt;="&amp;B2226+TIME(23,59,59)))</f>
        <v/>
      </c>
      <c r="G2226" s="3">
        <f>IFERROR(__xludf.DUMMYFUNCTION("IF(F2226&lt;=0,0,IFERROR(ROUNDUP(F2226/INDEX(FILTER('warehouse config'!$D:$D,('warehouse config'!$B:$B=C2226)*('warehouse config'!$C:$C=D2226)*('warehouse config'!$G:$G&lt;=B2226)*(('warehouse config'!$H:$H&gt;=B2226)+ISBLANK('warehouse config'!$H:$H))),1)),0))"),0.0)</f>
        <v>0</v>
      </c>
      <c r="H2226" s="3">
        <f>IFERROR(__xludf.DUMMYFUNCTION("IFERROR(INDEX(FILTER('cost master'!$E:$E,('cost master'!$B:$B=C2226)*('cost master'!$D:$D=""Storage cost per pallet / week"")*('cost master'!$G:$G&lt;=B2226)*(('cost master'!$H:$H&gt;=B2226)+ISBLANK('cost master'!$H:$H))),1),0)"),0.0)</f>
        <v>0</v>
      </c>
      <c r="I2226" s="3">
        <f t="shared" si="4"/>
        <v>0</v>
      </c>
      <c r="J2226" s="27">
        <f t="shared" si="5"/>
        <v>693947</v>
      </c>
      <c r="K2226" s="27">
        <f t="shared" si="6"/>
        <v>693977</v>
      </c>
    </row>
    <row r="2227" hidden="1">
      <c r="A2227" s="3" t="str">
        <f t="shared" si="3"/>
        <v/>
      </c>
      <c r="B2227" s="2" t="str">
        <f t="array" ref="B2227">INDEX(helper!$A$3:$A3996,ROUNDUP((ROW()-1)/COUNTA(helper!$D$3:$D3996),0))</f>
        <v/>
      </c>
      <c r="C2227" s="5" t="str">
        <f t="array" ref="C2227">IF(B2227="","",INDEX(helper!$D$3:$D3996,MOD(ROW()-2,COUNTA(helper!$D$3:$D3996))+1))</f>
        <v/>
      </c>
      <c r="D2227" s="3" t="str">
        <f t="array" ref="D2227">IF(B2227="","",INDEX(helper!$E$3:$E3996,MOD(ROW()-2,COUNTA(helper!$D$3:$D3996))+1))</f>
        <v/>
      </c>
      <c r="E2227" s="3" t="str">
        <f t="array" ref="E2227">IF(B2227="","",INDEX(helper!$F$3:$F3996,MOD(ROW()-2,COUNTA(helper!$D$3:$D3996))+1))</f>
        <v/>
      </c>
      <c r="F2227" s="3" t="str">
        <f>IF(B2227="","",SUMIFS('inventory ledger'!$H:$H,'inventory ledger'!$C:$C,C2227,'inventory ledger'!$D:$D,D2227,'inventory ledger'!$E:$E,E2227,'inventory ledger'!$A:$A,"&lt;="&amp;B2227+TIME(23,59,59))-SUMIFS('inventory ledger'!$I:$I,'inventory ledger'!$C:$C,C2227,'inventory ledger'!$D:$D,D2227,'inventory ledger'!$E:$E,E2227,'inventory ledger'!$A:$A,"&lt;="&amp;B2227+TIME(23,59,59)))</f>
        <v/>
      </c>
      <c r="G2227" s="3">
        <f>IFERROR(__xludf.DUMMYFUNCTION("IF(F2227&lt;=0,0,IFERROR(ROUNDUP(F2227/INDEX(FILTER('warehouse config'!$D:$D,('warehouse config'!$B:$B=C2227)*('warehouse config'!$C:$C=D2227)*('warehouse config'!$G:$G&lt;=B2227)*(('warehouse config'!$H:$H&gt;=B2227)+ISBLANK('warehouse config'!$H:$H))),1)),0))"),0.0)</f>
        <v>0</v>
      </c>
      <c r="H2227" s="3">
        <f>IFERROR(__xludf.DUMMYFUNCTION("IFERROR(INDEX(FILTER('cost master'!$E:$E,('cost master'!$B:$B=C2227)*('cost master'!$D:$D=""Storage cost per pallet / week"")*('cost master'!$G:$G&lt;=B2227)*(('cost master'!$H:$H&gt;=B2227)+ISBLANK('cost master'!$H:$H))),1),0)"),0.0)</f>
        <v>0</v>
      </c>
      <c r="I2227" s="3">
        <f t="shared" si="4"/>
        <v>0</v>
      </c>
      <c r="J2227" s="27">
        <f t="shared" si="5"/>
        <v>693947</v>
      </c>
      <c r="K2227" s="27">
        <f t="shared" si="6"/>
        <v>693977</v>
      </c>
    </row>
    <row r="2228" hidden="1">
      <c r="A2228" s="3" t="str">
        <f t="shared" si="3"/>
        <v/>
      </c>
      <c r="B2228" s="2" t="str">
        <f t="array" ref="B2228">INDEX(helper!$A$3:$A3996,ROUNDUP((ROW()-1)/COUNTA(helper!$D$3:$D3996),0))</f>
        <v/>
      </c>
      <c r="C2228" s="5" t="str">
        <f t="array" ref="C2228">IF(B2228="","",INDEX(helper!$D$3:$D3996,MOD(ROW()-2,COUNTA(helper!$D$3:$D3996))+1))</f>
        <v/>
      </c>
      <c r="D2228" s="3" t="str">
        <f t="array" ref="D2228">IF(B2228="","",INDEX(helper!$E$3:$E3996,MOD(ROW()-2,COUNTA(helper!$D$3:$D3996))+1))</f>
        <v/>
      </c>
      <c r="E2228" s="3" t="str">
        <f t="array" ref="E2228">IF(B2228="","",INDEX(helper!$F$3:$F3996,MOD(ROW()-2,COUNTA(helper!$D$3:$D3996))+1))</f>
        <v/>
      </c>
      <c r="F2228" s="3" t="str">
        <f>IF(B2228="","",SUMIFS('inventory ledger'!$H:$H,'inventory ledger'!$C:$C,C2228,'inventory ledger'!$D:$D,D2228,'inventory ledger'!$E:$E,E2228,'inventory ledger'!$A:$A,"&lt;="&amp;B2228+TIME(23,59,59))-SUMIFS('inventory ledger'!$I:$I,'inventory ledger'!$C:$C,C2228,'inventory ledger'!$D:$D,D2228,'inventory ledger'!$E:$E,E2228,'inventory ledger'!$A:$A,"&lt;="&amp;B2228+TIME(23,59,59)))</f>
        <v/>
      </c>
      <c r="G2228" s="3">
        <f>IFERROR(__xludf.DUMMYFUNCTION("IF(F2228&lt;=0,0,IFERROR(ROUNDUP(F2228/INDEX(FILTER('warehouse config'!$D:$D,('warehouse config'!$B:$B=C2228)*('warehouse config'!$C:$C=D2228)*('warehouse config'!$G:$G&lt;=B2228)*(('warehouse config'!$H:$H&gt;=B2228)+ISBLANK('warehouse config'!$H:$H))),1)),0))"),0.0)</f>
        <v>0</v>
      </c>
      <c r="H2228" s="3">
        <f>IFERROR(__xludf.DUMMYFUNCTION("IFERROR(INDEX(FILTER('cost master'!$E:$E,('cost master'!$B:$B=C2228)*('cost master'!$D:$D=""Storage cost per pallet / week"")*('cost master'!$G:$G&lt;=B2228)*(('cost master'!$H:$H&gt;=B2228)+ISBLANK('cost master'!$H:$H))),1),0)"),0.0)</f>
        <v>0</v>
      </c>
      <c r="I2228" s="3">
        <f t="shared" si="4"/>
        <v>0</v>
      </c>
      <c r="J2228" s="27">
        <f t="shared" si="5"/>
        <v>693947</v>
      </c>
      <c r="K2228" s="27">
        <f t="shared" si="6"/>
        <v>693977</v>
      </c>
    </row>
    <row r="2229" hidden="1">
      <c r="A2229" s="3" t="str">
        <f t="shared" si="3"/>
        <v/>
      </c>
      <c r="B2229" s="2" t="str">
        <f t="array" ref="B2229">INDEX(helper!$A$3:$A3996,ROUNDUP((ROW()-1)/COUNTA(helper!$D$3:$D3996),0))</f>
        <v/>
      </c>
      <c r="C2229" s="5" t="str">
        <f t="array" ref="C2229">IF(B2229="","",INDEX(helper!$D$3:$D3996,MOD(ROW()-2,COUNTA(helper!$D$3:$D3996))+1))</f>
        <v/>
      </c>
      <c r="D2229" s="3" t="str">
        <f t="array" ref="D2229">IF(B2229="","",INDEX(helper!$E$3:$E3996,MOD(ROW()-2,COUNTA(helper!$D$3:$D3996))+1))</f>
        <v/>
      </c>
      <c r="E2229" s="3" t="str">
        <f t="array" ref="E2229">IF(B2229="","",INDEX(helper!$F$3:$F3996,MOD(ROW()-2,COUNTA(helper!$D$3:$D3996))+1))</f>
        <v/>
      </c>
      <c r="F2229" s="3" t="str">
        <f>IF(B2229="","",SUMIFS('inventory ledger'!$H:$H,'inventory ledger'!$C:$C,C2229,'inventory ledger'!$D:$D,D2229,'inventory ledger'!$E:$E,E2229,'inventory ledger'!$A:$A,"&lt;="&amp;B2229+TIME(23,59,59))-SUMIFS('inventory ledger'!$I:$I,'inventory ledger'!$C:$C,C2229,'inventory ledger'!$D:$D,D2229,'inventory ledger'!$E:$E,E2229,'inventory ledger'!$A:$A,"&lt;="&amp;B2229+TIME(23,59,59)))</f>
        <v/>
      </c>
      <c r="G2229" s="3">
        <f>IFERROR(__xludf.DUMMYFUNCTION("IF(F2229&lt;=0,0,IFERROR(ROUNDUP(F2229/INDEX(FILTER('warehouse config'!$D:$D,('warehouse config'!$B:$B=C2229)*('warehouse config'!$C:$C=D2229)*('warehouse config'!$G:$G&lt;=B2229)*(('warehouse config'!$H:$H&gt;=B2229)+ISBLANK('warehouse config'!$H:$H))),1)),0))"),0.0)</f>
        <v>0</v>
      </c>
      <c r="H2229" s="3">
        <f>IFERROR(__xludf.DUMMYFUNCTION("IFERROR(INDEX(FILTER('cost master'!$E:$E,('cost master'!$B:$B=C2229)*('cost master'!$D:$D=""Storage cost per pallet / week"")*('cost master'!$G:$G&lt;=B2229)*(('cost master'!$H:$H&gt;=B2229)+ISBLANK('cost master'!$H:$H))),1),0)"),0.0)</f>
        <v>0</v>
      </c>
      <c r="I2229" s="3">
        <f t="shared" si="4"/>
        <v>0</v>
      </c>
      <c r="J2229" s="27">
        <f t="shared" si="5"/>
        <v>693947</v>
      </c>
      <c r="K2229" s="27">
        <f t="shared" si="6"/>
        <v>693977</v>
      </c>
    </row>
    <row r="2230" hidden="1">
      <c r="A2230" s="3" t="str">
        <f t="shared" si="3"/>
        <v/>
      </c>
      <c r="B2230" s="2" t="str">
        <f t="array" ref="B2230">INDEX(helper!$A$3:$A3996,ROUNDUP((ROW()-1)/COUNTA(helper!$D$3:$D3996),0))</f>
        <v/>
      </c>
      <c r="C2230" s="5" t="str">
        <f t="array" ref="C2230">IF(B2230="","",INDEX(helper!$D$3:$D3996,MOD(ROW()-2,COUNTA(helper!$D$3:$D3996))+1))</f>
        <v/>
      </c>
      <c r="D2230" s="3" t="str">
        <f t="array" ref="D2230">IF(B2230="","",INDEX(helper!$E$3:$E3996,MOD(ROW()-2,COUNTA(helper!$D$3:$D3996))+1))</f>
        <v/>
      </c>
      <c r="E2230" s="3" t="str">
        <f t="array" ref="E2230">IF(B2230="","",INDEX(helper!$F$3:$F3996,MOD(ROW()-2,COUNTA(helper!$D$3:$D3996))+1))</f>
        <v/>
      </c>
      <c r="F2230" s="3" t="str">
        <f>IF(B2230="","",SUMIFS('inventory ledger'!$H:$H,'inventory ledger'!$C:$C,C2230,'inventory ledger'!$D:$D,D2230,'inventory ledger'!$E:$E,E2230,'inventory ledger'!$A:$A,"&lt;="&amp;B2230+TIME(23,59,59))-SUMIFS('inventory ledger'!$I:$I,'inventory ledger'!$C:$C,C2230,'inventory ledger'!$D:$D,D2230,'inventory ledger'!$E:$E,E2230,'inventory ledger'!$A:$A,"&lt;="&amp;B2230+TIME(23,59,59)))</f>
        <v/>
      </c>
      <c r="G2230" s="3">
        <f>IFERROR(__xludf.DUMMYFUNCTION("IF(F2230&lt;=0,0,IFERROR(ROUNDUP(F2230/INDEX(FILTER('warehouse config'!$D:$D,('warehouse config'!$B:$B=C2230)*('warehouse config'!$C:$C=D2230)*('warehouse config'!$G:$G&lt;=B2230)*(('warehouse config'!$H:$H&gt;=B2230)+ISBLANK('warehouse config'!$H:$H))),1)),0))"),0.0)</f>
        <v>0</v>
      </c>
      <c r="H2230" s="3">
        <f>IFERROR(__xludf.DUMMYFUNCTION("IFERROR(INDEX(FILTER('cost master'!$E:$E,('cost master'!$B:$B=C2230)*('cost master'!$D:$D=""Storage cost per pallet / week"")*('cost master'!$G:$G&lt;=B2230)*(('cost master'!$H:$H&gt;=B2230)+ISBLANK('cost master'!$H:$H))),1),0)"),0.0)</f>
        <v>0</v>
      </c>
      <c r="I2230" s="3">
        <f t="shared" si="4"/>
        <v>0</v>
      </c>
      <c r="J2230" s="27">
        <f t="shared" si="5"/>
        <v>693947</v>
      </c>
      <c r="K2230" s="27">
        <f t="shared" si="6"/>
        <v>693977</v>
      </c>
    </row>
    <row r="2231" hidden="1">
      <c r="A2231" s="3" t="str">
        <f t="shared" si="3"/>
        <v/>
      </c>
      <c r="B2231" s="2" t="str">
        <f t="array" ref="B2231">INDEX(helper!$A$3:$A3996,ROUNDUP((ROW()-1)/COUNTA(helper!$D$3:$D3996),0))</f>
        <v/>
      </c>
      <c r="C2231" s="5" t="str">
        <f t="array" ref="C2231">IF(B2231="","",INDEX(helper!$D$3:$D3996,MOD(ROW()-2,COUNTA(helper!$D$3:$D3996))+1))</f>
        <v/>
      </c>
      <c r="D2231" s="3" t="str">
        <f t="array" ref="D2231">IF(B2231="","",INDEX(helper!$E$3:$E3996,MOD(ROW()-2,COUNTA(helper!$D$3:$D3996))+1))</f>
        <v/>
      </c>
      <c r="E2231" s="3" t="str">
        <f t="array" ref="E2231">IF(B2231="","",INDEX(helper!$F$3:$F3996,MOD(ROW()-2,COUNTA(helper!$D$3:$D3996))+1))</f>
        <v/>
      </c>
      <c r="F2231" s="3" t="str">
        <f>IF(B2231="","",SUMIFS('inventory ledger'!$H:$H,'inventory ledger'!$C:$C,C2231,'inventory ledger'!$D:$D,D2231,'inventory ledger'!$E:$E,E2231,'inventory ledger'!$A:$A,"&lt;="&amp;B2231+TIME(23,59,59))-SUMIFS('inventory ledger'!$I:$I,'inventory ledger'!$C:$C,C2231,'inventory ledger'!$D:$D,D2231,'inventory ledger'!$E:$E,E2231,'inventory ledger'!$A:$A,"&lt;="&amp;B2231+TIME(23,59,59)))</f>
        <v/>
      </c>
      <c r="G2231" s="3">
        <f>IFERROR(__xludf.DUMMYFUNCTION("IF(F2231&lt;=0,0,IFERROR(ROUNDUP(F2231/INDEX(FILTER('warehouse config'!$D:$D,('warehouse config'!$B:$B=C2231)*('warehouse config'!$C:$C=D2231)*('warehouse config'!$G:$G&lt;=B2231)*(('warehouse config'!$H:$H&gt;=B2231)+ISBLANK('warehouse config'!$H:$H))),1)),0))"),0.0)</f>
        <v>0</v>
      </c>
      <c r="H2231" s="3">
        <f>IFERROR(__xludf.DUMMYFUNCTION("IFERROR(INDEX(FILTER('cost master'!$E:$E,('cost master'!$B:$B=C2231)*('cost master'!$D:$D=""Storage cost per pallet / week"")*('cost master'!$G:$G&lt;=B2231)*(('cost master'!$H:$H&gt;=B2231)+ISBLANK('cost master'!$H:$H))),1),0)"),0.0)</f>
        <v>0</v>
      </c>
      <c r="I2231" s="3">
        <f t="shared" si="4"/>
        <v>0</v>
      </c>
      <c r="J2231" s="27">
        <f t="shared" si="5"/>
        <v>693947</v>
      </c>
      <c r="K2231" s="27">
        <f t="shared" si="6"/>
        <v>693977</v>
      </c>
    </row>
    <row r="2232" hidden="1">
      <c r="A2232" s="3" t="str">
        <f t="shared" si="3"/>
        <v/>
      </c>
      <c r="B2232" s="2" t="str">
        <f t="array" ref="B2232">INDEX(helper!$A$3:$A3996,ROUNDUP((ROW()-1)/COUNTA(helper!$D$3:$D3996),0))</f>
        <v/>
      </c>
      <c r="C2232" s="5" t="str">
        <f t="array" ref="C2232">IF(B2232="","",INDEX(helper!$D$3:$D3996,MOD(ROW()-2,COUNTA(helper!$D$3:$D3996))+1))</f>
        <v/>
      </c>
      <c r="D2232" s="3" t="str">
        <f t="array" ref="D2232">IF(B2232="","",INDEX(helper!$E$3:$E3996,MOD(ROW()-2,COUNTA(helper!$D$3:$D3996))+1))</f>
        <v/>
      </c>
      <c r="E2232" s="3" t="str">
        <f t="array" ref="E2232">IF(B2232="","",INDEX(helper!$F$3:$F3996,MOD(ROW()-2,COUNTA(helper!$D$3:$D3996))+1))</f>
        <v/>
      </c>
      <c r="F2232" s="3" t="str">
        <f>IF(B2232="","",SUMIFS('inventory ledger'!$H:$H,'inventory ledger'!$C:$C,C2232,'inventory ledger'!$D:$D,D2232,'inventory ledger'!$E:$E,E2232,'inventory ledger'!$A:$A,"&lt;="&amp;B2232+TIME(23,59,59))-SUMIFS('inventory ledger'!$I:$I,'inventory ledger'!$C:$C,C2232,'inventory ledger'!$D:$D,D2232,'inventory ledger'!$E:$E,E2232,'inventory ledger'!$A:$A,"&lt;="&amp;B2232+TIME(23,59,59)))</f>
        <v/>
      </c>
      <c r="G2232" s="3">
        <f>IFERROR(__xludf.DUMMYFUNCTION("IF(F2232&lt;=0,0,IFERROR(ROUNDUP(F2232/INDEX(FILTER('warehouse config'!$D:$D,('warehouse config'!$B:$B=C2232)*('warehouse config'!$C:$C=D2232)*('warehouse config'!$G:$G&lt;=B2232)*(('warehouse config'!$H:$H&gt;=B2232)+ISBLANK('warehouse config'!$H:$H))),1)),0))"),0.0)</f>
        <v>0</v>
      </c>
      <c r="H2232" s="3">
        <f>IFERROR(__xludf.DUMMYFUNCTION("IFERROR(INDEX(FILTER('cost master'!$E:$E,('cost master'!$B:$B=C2232)*('cost master'!$D:$D=""Storage cost per pallet / week"")*('cost master'!$G:$G&lt;=B2232)*(('cost master'!$H:$H&gt;=B2232)+ISBLANK('cost master'!$H:$H))),1),0)"),0.0)</f>
        <v>0</v>
      </c>
      <c r="I2232" s="3">
        <f t="shared" si="4"/>
        <v>0</v>
      </c>
      <c r="J2232" s="27">
        <f t="shared" si="5"/>
        <v>693947</v>
      </c>
      <c r="K2232" s="27">
        <f t="shared" si="6"/>
        <v>693977</v>
      </c>
    </row>
    <row r="2233" hidden="1">
      <c r="A2233" s="3" t="str">
        <f t="shared" si="3"/>
        <v/>
      </c>
      <c r="B2233" s="2" t="str">
        <f t="array" ref="B2233">INDEX(helper!$A$3:$A3996,ROUNDUP((ROW()-1)/COUNTA(helper!$D$3:$D3996),0))</f>
        <v/>
      </c>
      <c r="C2233" s="5" t="str">
        <f t="array" ref="C2233">IF(B2233="","",INDEX(helper!$D$3:$D3996,MOD(ROW()-2,COUNTA(helper!$D$3:$D3996))+1))</f>
        <v/>
      </c>
      <c r="D2233" s="3" t="str">
        <f t="array" ref="D2233">IF(B2233="","",INDEX(helper!$E$3:$E3996,MOD(ROW()-2,COUNTA(helper!$D$3:$D3996))+1))</f>
        <v/>
      </c>
      <c r="E2233" s="3" t="str">
        <f t="array" ref="E2233">IF(B2233="","",INDEX(helper!$F$3:$F3996,MOD(ROW()-2,COUNTA(helper!$D$3:$D3996))+1))</f>
        <v/>
      </c>
      <c r="F2233" s="3" t="str">
        <f>IF(B2233="","",SUMIFS('inventory ledger'!$H:$H,'inventory ledger'!$C:$C,C2233,'inventory ledger'!$D:$D,D2233,'inventory ledger'!$E:$E,E2233,'inventory ledger'!$A:$A,"&lt;="&amp;B2233+TIME(23,59,59))-SUMIFS('inventory ledger'!$I:$I,'inventory ledger'!$C:$C,C2233,'inventory ledger'!$D:$D,D2233,'inventory ledger'!$E:$E,E2233,'inventory ledger'!$A:$A,"&lt;="&amp;B2233+TIME(23,59,59)))</f>
        <v/>
      </c>
      <c r="G2233" s="3">
        <f>IFERROR(__xludf.DUMMYFUNCTION("IF(F2233&lt;=0,0,IFERROR(ROUNDUP(F2233/INDEX(FILTER('warehouse config'!$D:$D,('warehouse config'!$B:$B=C2233)*('warehouse config'!$C:$C=D2233)*('warehouse config'!$G:$G&lt;=B2233)*(('warehouse config'!$H:$H&gt;=B2233)+ISBLANK('warehouse config'!$H:$H))),1)),0))"),0.0)</f>
        <v>0</v>
      </c>
      <c r="H2233" s="3">
        <f>IFERROR(__xludf.DUMMYFUNCTION("IFERROR(INDEX(FILTER('cost master'!$E:$E,('cost master'!$B:$B=C2233)*('cost master'!$D:$D=""Storage cost per pallet / week"")*('cost master'!$G:$G&lt;=B2233)*(('cost master'!$H:$H&gt;=B2233)+ISBLANK('cost master'!$H:$H))),1),0)"),0.0)</f>
        <v>0</v>
      </c>
      <c r="I2233" s="3">
        <f t="shared" si="4"/>
        <v>0</v>
      </c>
      <c r="J2233" s="27">
        <f t="shared" si="5"/>
        <v>693947</v>
      </c>
      <c r="K2233" s="27">
        <f t="shared" si="6"/>
        <v>693977</v>
      </c>
    </row>
    <row r="2234" hidden="1">
      <c r="A2234" s="3" t="str">
        <f t="shared" si="3"/>
        <v/>
      </c>
      <c r="B2234" s="2" t="str">
        <f t="array" ref="B2234">INDEX(helper!$A$3:$A3996,ROUNDUP((ROW()-1)/COUNTA(helper!$D$3:$D3996),0))</f>
        <v/>
      </c>
      <c r="C2234" s="5" t="str">
        <f t="array" ref="C2234">IF(B2234="","",INDEX(helper!$D$3:$D3996,MOD(ROW()-2,COUNTA(helper!$D$3:$D3996))+1))</f>
        <v/>
      </c>
      <c r="D2234" s="3" t="str">
        <f t="array" ref="D2234">IF(B2234="","",INDEX(helper!$E$3:$E3996,MOD(ROW()-2,COUNTA(helper!$D$3:$D3996))+1))</f>
        <v/>
      </c>
      <c r="E2234" s="3" t="str">
        <f t="array" ref="E2234">IF(B2234="","",INDEX(helper!$F$3:$F3996,MOD(ROW()-2,COUNTA(helper!$D$3:$D3996))+1))</f>
        <v/>
      </c>
      <c r="F2234" s="3" t="str">
        <f>IF(B2234="","",SUMIFS('inventory ledger'!$H:$H,'inventory ledger'!$C:$C,C2234,'inventory ledger'!$D:$D,D2234,'inventory ledger'!$E:$E,E2234,'inventory ledger'!$A:$A,"&lt;="&amp;B2234+TIME(23,59,59))-SUMIFS('inventory ledger'!$I:$I,'inventory ledger'!$C:$C,C2234,'inventory ledger'!$D:$D,D2234,'inventory ledger'!$E:$E,E2234,'inventory ledger'!$A:$A,"&lt;="&amp;B2234+TIME(23,59,59)))</f>
        <v/>
      </c>
      <c r="G2234" s="3">
        <f>IFERROR(__xludf.DUMMYFUNCTION("IF(F2234&lt;=0,0,IFERROR(ROUNDUP(F2234/INDEX(FILTER('warehouse config'!$D:$D,('warehouse config'!$B:$B=C2234)*('warehouse config'!$C:$C=D2234)*('warehouse config'!$G:$G&lt;=B2234)*(('warehouse config'!$H:$H&gt;=B2234)+ISBLANK('warehouse config'!$H:$H))),1)),0))"),0.0)</f>
        <v>0</v>
      </c>
      <c r="H2234" s="3">
        <f>IFERROR(__xludf.DUMMYFUNCTION("IFERROR(INDEX(FILTER('cost master'!$E:$E,('cost master'!$B:$B=C2234)*('cost master'!$D:$D=""Storage cost per pallet / week"")*('cost master'!$G:$G&lt;=B2234)*(('cost master'!$H:$H&gt;=B2234)+ISBLANK('cost master'!$H:$H))),1),0)"),0.0)</f>
        <v>0</v>
      </c>
      <c r="I2234" s="3">
        <f t="shared" si="4"/>
        <v>0</v>
      </c>
      <c r="J2234" s="27">
        <f t="shared" si="5"/>
        <v>693947</v>
      </c>
      <c r="K2234" s="27">
        <f t="shared" si="6"/>
        <v>693977</v>
      </c>
    </row>
    <row r="2235" hidden="1">
      <c r="A2235" s="3" t="str">
        <f t="shared" si="3"/>
        <v/>
      </c>
      <c r="B2235" s="2" t="str">
        <f t="array" ref="B2235">INDEX(helper!$A$3:$A3996,ROUNDUP((ROW()-1)/COUNTA(helper!$D$3:$D3996),0))</f>
        <v/>
      </c>
      <c r="C2235" s="5" t="str">
        <f t="array" ref="C2235">IF(B2235="","",INDEX(helper!$D$3:$D3996,MOD(ROW()-2,COUNTA(helper!$D$3:$D3996))+1))</f>
        <v/>
      </c>
      <c r="D2235" s="3" t="str">
        <f t="array" ref="D2235">IF(B2235="","",INDEX(helper!$E$3:$E3996,MOD(ROW()-2,COUNTA(helper!$D$3:$D3996))+1))</f>
        <v/>
      </c>
      <c r="E2235" s="3" t="str">
        <f t="array" ref="E2235">IF(B2235="","",INDEX(helper!$F$3:$F3996,MOD(ROW()-2,COUNTA(helper!$D$3:$D3996))+1))</f>
        <v/>
      </c>
      <c r="F2235" s="3" t="str">
        <f>IF(B2235="","",SUMIFS('inventory ledger'!$H:$H,'inventory ledger'!$C:$C,C2235,'inventory ledger'!$D:$D,D2235,'inventory ledger'!$E:$E,E2235,'inventory ledger'!$A:$A,"&lt;="&amp;B2235+TIME(23,59,59))-SUMIFS('inventory ledger'!$I:$I,'inventory ledger'!$C:$C,C2235,'inventory ledger'!$D:$D,D2235,'inventory ledger'!$E:$E,E2235,'inventory ledger'!$A:$A,"&lt;="&amp;B2235+TIME(23,59,59)))</f>
        <v/>
      </c>
      <c r="G2235" s="3">
        <f>IFERROR(__xludf.DUMMYFUNCTION("IF(F2235&lt;=0,0,IFERROR(ROUNDUP(F2235/INDEX(FILTER('warehouse config'!$D:$D,('warehouse config'!$B:$B=C2235)*('warehouse config'!$C:$C=D2235)*('warehouse config'!$G:$G&lt;=B2235)*(('warehouse config'!$H:$H&gt;=B2235)+ISBLANK('warehouse config'!$H:$H))),1)),0))"),0.0)</f>
        <v>0</v>
      </c>
      <c r="H2235" s="3">
        <f>IFERROR(__xludf.DUMMYFUNCTION("IFERROR(INDEX(FILTER('cost master'!$E:$E,('cost master'!$B:$B=C2235)*('cost master'!$D:$D=""Storage cost per pallet / week"")*('cost master'!$G:$G&lt;=B2235)*(('cost master'!$H:$H&gt;=B2235)+ISBLANK('cost master'!$H:$H))),1),0)"),0.0)</f>
        <v>0</v>
      </c>
      <c r="I2235" s="3">
        <f t="shared" si="4"/>
        <v>0</v>
      </c>
      <c r="J2235" s="27">
        <f t="shared" si="5"/>
        <v>693947</v>
      </c>
      <c r="K2235" s="27">
        <f t="shared" si="6"/>
        <v>693977</v>
      </c>
    </row>
    <row r="2236" hidden="1">
      <c r="A2236" s="3" t="str">
        <f t="shared" si="3"/>
        <v/>
      </c>
      <c r="B2236" s="2" t="str">
        <f t="array" ref="B2236">INDEX(helper!$A$3:$A3996,ROUNDUP((ROW()-1)/COUNTA(helper!$D$3:$D3996),0))</f>
        <v/>
      </c>
      <c r="C2236" s="5" t="str">
        <f t="array" ref="C2236">IF(B2236="","",INDEX(helper!$D$3:$D3996,MOD(ROW()-2,COUNTA(helper!$D$3:$D3996))+1))</f>
        <v/>
      </c>
      <c r="D2236" s="3" t="str">
        <f t="array" ref="D2236">IF(B2236="","",INDEX(helper!$E$3:$E3996,MOD(ROW()-2,COUNTA(helper!$D$3:$D3996))+1))</f>
        <v/>
      </c>
      <c r="E2236" s="3" t="str">
        <f t="array" ref="E2236">IF(B2236="","",INDEX(helper!$F$3:$F3996,MOD(ROW()-2,COUNTA(helper!$D$3:$D3996))+1))</f>
        <v/>
      </c>
      <c r="F2236" s="3" t="str">
        <f>IF(B2236="","",SUMIFS('inventory ledger'!$H:$H,'inventory ledger'!$C:$C,C2236,'inventory ledger'!$D:$D,D2236,'inventory ledger'!$E:$E,E2236,'inventory ledger'!$A:$A,"&lt;="&amp;B2236+TIME(23,59,59))-SUMIFS('inventory ledger'!$I:$I,'inventory ledger'!$C:$C,C2236,'inventory ledger'!$D:$D,D2236,'inventory ledger'!$E:$E,E2236,'inventory ledger'!$A:$A,"&lt;="&amp;B2236+TIME(23,59,59)))</f>
        <v/>
      </c>
      <c r="G2236" s="3">
        <f>IFERROR(__xludf.DUMMYFUNCTION("IF(F2236&lt;=0,0,IFERROR(ROUNDUP(F2236/INDEX(FILTER('warehouse config'!$D:$D,('warehouse config'!$B:$B=C2236)*('warehouse config'!$C:$C=D2236)*('warehouse config'!$G:$G&lt;=B2236)*(('warehouse config'!$H:$H&gt;=B2236)+ISBLANK('warehouse config'!$H:$H))),1)),0))"),0.0)</f>
        <v>0</v>
      </c>
      <c r="H2236" s="3">
        <f>IFERROR(__xludf.DUMMYFUNCTION("IFERROR(INDEX(FILTER('cost master'!$E:$E,('cost master'!$B:$B=C2236)*('cost master'!$D:$D=""Storage cost per pallet / week"")*('cost master'!$G:$G&lt;=B2236)*(('cost master'!$H:$H&gt;=B2236)+ISBLANK('cost master'!$H:$H))),1),0)"),0.0)</f>
        <v>0</v>
      </c>
      <c r="I2236" s="3">
        <f t="shared" si="4"/>
        <v>0</v>
      </c>
      <c r="J2236" s="27">
        <f t="shared" si="5"/>
        <v>693947</v>
      </c>
      <c r="K2236" s="27">
        <f t="shared" si="6"/>
        <v>693977</v>
      </c>
    </row>
    <row r="2237" hidden="1">
      <c r="A2237" s="3" t="str">
        <f t="shared" si="3"/>
        <v/>
      </c>
      <c r="B2237" s="2" t="str">
        <f t="array" ref="B2237">INDEX(helper!$A$3:$A3996,ROUNDUP((ROW()-1)/COUNTA(helper!$D$3:$D3996),0))</f>
        <v/>
      </c>
      <c r="C2237" s="5" t="str">
        <f t="array" ref="C2237">IF(B2237="","",INDEX(helper!$D$3:$D3996,MOD(ROW()-2,COUNTA(helper!$D$3:$D3996))+1))</f>
        <v/>
      </c>
      <c r="D2237" s="3" t="str">
        <f t="array" ref="D2237">IF(B2237="","",INDEX(helper!$E$3:$E3996,MOD(ROW()-2,COUNTA(helper!$D$3:$D3996))+1))</f>
        <v/>
      </c>
      <c r="E2237" s="3" t="str">
        <f t="array" ref="E2237">IF(B2237="","",INDEX(helper!$F$3:$F3996,MOD(ROW()-2,COUNTA(helper!$D$3:$D3996))+1))</f>
        <v/>
      </c>
      <c r="F2237" s="3" t="str">
        <f>IF(B2237="","",SUMIFS('inventory ledger'!$H:$H,'inventory ledger'!$C:$C,C2237,'inventory ledger'!$D:$D,D2237,'inventory ledger'!$E:$E,E2237,'inventory ledger'!$A:$A,"&lt;="&amp;B2237+TIME(23,59,59))-SUMIFS('inventory ledger'!$I:$I,'inventory ledger'!$C:$C,C2237,'inventory ledger'!$D:$D,D2237,'inventory ledger'!$E:$E,E2237,'inventory ledger'!$A:$A,"&lt;="&amp;B2237+TIME(23,59,59)))</f>
        <v/>
      </c>
      <c r="G2237" s="3">
        <f>IFERROR(__xludf.DUMMYFUNCTION("IF(F2237&lt;=0,0,IFERROR(ROUNDUP(F2237/INDEX(FILTER('warehouse config'!$D:$D,('warehouse config'!$B:$B=C2237)*('warehouse config'!$C:$C=D2237)*('warehouse config'!$G:$G&lt;=B2237)*(('warehouse config'!$H:$H&gt;=B2237)+ISBLANK('warehouse config'!$H:$H))),1)),0))"),0.0)</f>
        <v>0</v>
      </c>
      <c r="H2237" s="3">
        <f>IFERROR(__xludf.DUMMYFUNCTION("IFERROR(INDEX(FILTER('cost master'!$E:$E,('cost master'!$B:$B=C2237)*('cost master'!$D:$D=""Storage cost per pallet / week"")*('cost master'!$G:$G&lt;=B2237)*(('cost master'!$H:$H&gt;=B2237)+ISBLANK('cost master'!$H:$H))),1),0)"),0.0)</f>
        <v>0</v>
      </c>
      <c r="I2237" s="3">
        <f t="shared" si="4"/>
        <v>0</v>
      </c>
      <c r="J2237" s="27">
        <f t="shared" si="5"/>
        <v>693947</v>
      </c>
      <c r="K2237" s="27">
        <f t="shared" si="6"/>
        <v>693977</v>
      </c>
    </row>
    <row r="2238" hidden="1">
      <c r="A2238" s="3" t="str">
        <f t="shared" si="3"/>
        <v/>
      </c>
      <c r="B2238" s="2" t="str">
        <f t="array" ref="B2238">INDEX(helper!$A$3:$A3996,ROUNDUP((ROW()-1)/COUNTA(helper!$D$3:$D3996),0))</f>
        <v/>
      </c>
      <c r="C2238" s="5" t="str">
        <f t="array" ref="C2238">IF(B2238="","",INDEX(helper!$D$3:$D3996,MOD(ROW()-2,COUNTA(helper!$D$3:$D3996))+1))</f>
        <v/>
      </c>
      <c r="D2238" s="3" t="str">
        <f t="array" ref="D2238">IF(B2238="","",INDEX(helper!$E$3:$E3996,MOD(ROW()-2,COUNTA(helper!$D$3:$D3996))+1))</f>
        <v/>
      </c>
      <c r="E2238" s="3" t="str">
        <f t="array" ref="E2238">IF(B2238="","",INDEX(helper!$F$3:$F3996,MOD(ROW()-2,COUNTA(helper!$D$3:$D3996))+1))</f>
        <v/>
      </c>
      <c r="F2238" s="3" t="str">
        <f>IF(B2238="","",SUMIFS('inventory ledger'!$H:$H,'inventory ledger'!$C:$C,C2238,'inventory ledger'!$D:$D,D2238,'inventory ledger'!$E:$E,E2238,'inventory ledger'!$A:$A,"&lt;="&amp;B2238+TIME(23,59,59))-SUMIFS('inventory ledger'!$I:$I,'inventory ledger'!$C:$C,C2238,'inventory ledger'!$D:$D,D2238,'inventory ledger'!$E:$E,E2238,'inventory ledger'!$A:$A,"&lt;="&amp;B2238+TIME(23,59,59)))</f>
        <v/>
      </c>
      <c r="G2238" s="3">
        <f>IFERROR(__xludf.DUMMYFUNCTION("IF(F2238&lt;=0,0,IFERROR(ROUNDUP(F2238/INDEX(FILTER('warehouse config'!$D:$D,('warehouse config'!$B:$B=C2238)*('warehouse config'!$C:$C=D2238)*('warehouse config'!$G:$G&lt;=B2238)*(('warehouse config'!$H:$H&gt;=B2238)+ISBLANK('warehouse config'!$H:$H))),1)),0))"),0.0)</f>
        <v>0</v>
      </c>
      <c r="H2238" s="3">
        <f>IFERROR(__xludf.DUMMYFUNCTION("IFERROR(INDEX(FILTER('cost master'!$E:$E,('cost master'!$B:$B=C2238)*('cost master'!$D:$D=""Storage cost per pallet / week"")*('cost master'!$G:$G&lt;=B2238)*(('cost master'!$H:$H&gt;=B2238)+ISBLANK('cost master'!$H:$H))),1),0)"),0.0)</f>
        <v>0</v>
      </c>
      <c r="I2238" s="3">
        <f t="shared" si="4"/>
        <v>0</v>
      </c>
      <c r="J2238" s="27">
        <f t="shared" si="5"/>
        <v>693947</v>
      </c>
      <c r="K2238" s="27">
        <f t="shared" si="6"/>
        <v>693977</v>
      </c>
    </row>
    <row r="2239" hidden="1">
      <c r="A2239" s="3" t="str">
        <f t="shared" si="3"/>
        <v/>
      </c>
      <c r="B2239" s="2" t="str">
        <f t="array" ref="B2239">INDEX(helper!$A$3:$A3996,ROUNDUP((ROW()-1)/COUNTA(helper!$D$3:$D3996),0))</f>
        <v/>
      </c>
      <c r="C2239" s="5" t="str">
        <f t="array" ref="C2239">IF(B2239="","",INDEX(helper!$D$3:$D3996,MOD(ROW()-2,COUNTA(helper!$D$3:$D3996))+1))</f>
        <v/>
      </c>
      <c r="D2239" s="3" t="str">
        <f t="array" ref="D2239">IF(B2239="","",INDEX(helper!$E$3:$E3996,MOD(ROW()-2,COUNTA(helper!$D$3:$D3996))+1))</f>
        <v/>
      </c>
      <c r="E2239" s="3" t="str">
        <f t="array" ref="E2239">IF(B2239="","",INDEX(helper!$F$3:$F3996,MOD(ROW()-2,COUNTA(helper!$D$3:$D3996))+1))</f>
        <v/>
      </c>
      <c r="F2239" s="3" t="str">
        <f>IF(B2239="","",SUMIFS('inventory ledger'!$H:$H,'inventory ledger'!$C:$C,C2239,'inventory ledger'!$D:$D,D2239,'inventory ledger'!$E:$E,E2239,'inventory ledger'!$A:$A,"&lt;="&amp;B2239+TIME(23,59,59))-SUMIFS('inventory ledger'!$I:$I,'inventory ledger'!$C:$C,C2239,'inventory ledger'!$D:$D,D2239,'inventory ledger'!$E:$E,E2239,'inventory ledger'!$A:$A,"&lt;="&amp;B2239+TIME(23,59,59)))</f>
        <v/>
      </c>
      <c r="G2239" s="3">
        <f>IFERROR(__xludf.DUMMYFUNCTION("IF(F2239&lt;=0,0,IFERROR(ROUNDUP(F2239/INDEX(FILTER('warehouse config'!$D:$D,('warehouse config'!$B:$B=C2239)*('warehouse config'!$C:$C=D2239)*('warehouse config'!$G:$G&lt;=B2239)*(('warehouse config'!$H:$H&gt;=B2239)+ISBLANK('warehouse config'!$H:$H))),1)),0))"),0.0)</f>
        <v>0</v>
      </c>
      <c r="H2239" s="3">
        <f>IFERROR(__xludf.DUMMYFUNCTION("IFERROR(INDEX(FILTER('cost master'!$E:$E,('cost master'!$B:$B=C2239)*('cost master'!$D:$D=""Storage cost per pallet / week"")*('cost master'!$G:$G&lt;=B2239)*(('cost master'!$H:$H&gt;=B2239)+ISBLANK('cost master'!$H:$H))),1),0)"),0.0)</f>
        <v>0</v>
      </c>
      <c r="I2239" s="3">
        <f t="shared" si="4"/>
        <v>0</v>
      </c>
      <c r="J2239" s="27">
        <f t="shared" si="5"/>
        <v>693947</v>
      </c>
      <c r="K2239" s="27">
        <f t="shared" si="6"/>
        <v>693977</v>
      </c>
    </row>
    <row r="2240" hidden="1">
      <c r="A2240" s="3" t="str">
        <f t="shared" si="3"/>
        <v/>
      </c>
      <c r="B2240" s="2" t="str">
        <f t="array" ref="B2240">INDEX(helper!$A$3:$A3996,ROUNDUP((ROW()-1)/COUNTA(helper!$D$3:$D3996),0))</f>
        <v/>
      </c>
      <c r="C2240" s="5" t="str">
        <f t="array" ref="C2240">IF(B2240="","",INDEX(helper!$D$3:$D3996,MOD(ROW()-2,COUNTA(helper!$D$3:$D3996))+1))</f>
        <v/>
      </c>
      <c r="D2240" s="3" t="str">
        <f t="array" ref="D2240">IF(B2240="","",INDEX(helper!$E$3:$E3996,MOD(ROW()-2,COUNTA(helper!$D$3:$D3996))+1))</f>
        <v/>
      </c>
      <c r="E2240" s="3" t="str">
        <f t="array" ref="E2240">IF(B2240="","",INDEX(helper!$F$3:$F3996,MOD(ROW()-2,COUNTA(helper!$D$3:$D3996))+1))</f>
        <v/>
      </c>
      <c r="F2240" s="3" t="str">
        <f>IF(B2240="","",SUMIFS('inventory ledger'!$H:$H,'inventory ledger'!$C:$C,C2240,'inventory ledger'!$D:$D,D2240,'inventory ledger'!$E:$E,E2240,'inventory ledger'!$A:$A,"&lt;="&amp;B2240+TIME(23,59,59))-SUMIFS('inventory ledger'!$I:$I,'inventory ledger'!$C:$C,C2240,'inventory ledger'!$D:$D,D2240,'inventory ledger'!$E:$E,E2240,'inventory ledger'!$A:$A,"&lt;="&amp;B2240+TIME(23,59,59)))</f>
        <v/>
      </c>
      <c r="G2240" s="3">
        <f>IFERROR(__xludf.DUMMYFUNCTION("IF(F2240&lt;=0,0,IFERROR(ROUNDUP(F2240/INDEX(FILTER('warehouse config'!$D:$D,('warehouse config'!$B:$B=C2240)*('warehouse config'!$C:$C=D2240)*('warehouse config'!$G:$G&lt;=B2240)*(('warehouse config'!$H:$H&gt;=B2240)+ISBLANK('warehouse config'!$H:$H))),1)),0))"),0.0)</f>
        <v>0</v>
      </c>
      <c r="H2240" s="3">
        <f>IFERROR(__xludf.DUMMYFUNCTION("IFERROR(INDEX(FILTER('cost master'!$E:$E,('cost master'!$B:$B=C2240)*('cost master'!$D:$D=""Storage cost per pallet / week"")*('cost master'!$G:$G&lt;=B2240)*(('cost master'!$H:$H&gt;=B2240)+ISBLANK('cost master'!$H:$H))),1),0)"),0.0)</f>
        <v>0</v>
      </c>
      <c r="I2240" s="3">
        <f t="shared" si="4"/>
        <v>0</v>
      </c>
      <c r="J2240" s="27">
        <f t="shared" si="5"/>
        <v>693947</v>
      </c>
      <c r="K2240" s="27">
        <f t="shared" si="6"/>
        <v>693977</v>
      </c>
    </row>
    <row r="2241" hidden="1">
      <c r="A2241" s="3" t="str">
        <f t="shared" si="3"/>
        <v/>
      </c>
      <c r="B2241" s="2" t="str">
        <f t="array" ref="B2241">INDEX(helper!$A$3:$A3996,ROUNDUP((ROW()-1)/COUNTA(helper!$D$3:$D3996),0))</f>
        <v/>
      </c>
      <c r="C2241" s="5" t="str">
        <f t="array" ref="C2241">IF(B2241="","",INDEX(helper!$D$3:$D3996,MOD(ROW()-2,COUNTA(helper!$D$3:$D3996))+1))</f>
        <v/>
      </c>
      <c r="D2241" s="3" t="str">
        <f t="array" ref="D2241">IF(B2241="","",INDEX(helper!$E$3:$E3996,MOD(ROW()-2,COUNTA(helper!$D$3:$D3996))+1))</f>
        <v/>
      </c>
      <c r="E2241" s="3" t="str">
        <f t="array" ref="E2241">IF(B2241="","",INDEX(helper!$F$3:$F3996,MOD(ROW()-2,COUNTA(helper!$D$3:$D3996))+1))</f>
        <v/>
      </c>
      <c r="F2241" s="3" t="str">
        <f>IF(B2241="","",SUMIFS('inventory ledger'!$H:$H,'inventory ledger'!$C:$C,C2241,'inventory ledger'!$D:$D,D2241,'inventory ledger'!$E:$E,E2241,'inventory ledger'!$A:$A,"&lt;="&amp;B2241+TIME(23,59,59))-SUMIFS('inventory ledger'!$I:$I,'inventory ledger'!$C:$C,C2241,'inventory ledger'!$D:$D,D2241,'inventory ledger'!$E:$E,E2241,'inventory ledger'!$A:$A,"&lt;="&amp;B2241+TIME(23,59,59)))</f>
        <v/>
      </c>
      <c r="G2241" s="3">
        <f>IFERROR(__xludf.DUMMYFUNCTION("IF(F2241&lt;=0,0,IFERROR(ROUNDUP(F2241/INDEX(FILTER('warehouse config'!$D:$D,('warehouse config'!$B:$B=C2241)*('warehouse config'!$C:$C=D2241)*('warehouse config'!$G:$G&lt;=B2241)*(('warehouse config'!$H:$H&gt;=B2241)+ISBLANK('warehouse config'!$H:$H))),1)),0))"),0.0)</f>
        <v>0</v>
      </c>
      <c r="H2241" s="3">
        <f>IFERROR(__xludf.DUMMYFUNCTION("IFERROR(INDEX(FILTER('cost master'!$E:$E,('cost master'!$B:$B=C2241)*('cost master'!$D:$D=""Storage cost per pallet / week"")*('cost master'!$G:$G&lt;=B2241)*(('cost master'!$H:$H&gt;=B2241)+ISBLANK('cost master'!$H:$H))),1),0)"),0.0)</f>
        <v>0</v>
      </c>
      <c r="I2241" s="3">
        <f t="shared" si="4"/>
        <v>0</v>
      </c>
      <c r="J2241" s="27">
        <f t="shared" si="5"/>
        <v>693947</v>
      </c>
      <c r="K2241" s="27">
        <f t="shared" si="6"/>
        <v>693977</v>
      </c>
    </row>
    <row r="2242" hidden="1">
      <c r="A2242" s="3" t="str">
        <f t="shared" si="3"/>
        <v/>
      </c>
      <c r="B2242" s="2" t="str">
        <f t="array" ref="B2242">INDEX(helper!$A$3:$A3996,ROUNDUP((ROW()-1)/COUNTA(helper!$D$3:$D3996),0))</f>
        <v/>
      </c>
      <c r="C2242" s="5" t="str">
        <f t="array" ref="C2242">IF(B2242="","",INDEX(helper!$D$3:$D3996,MOD(ROW()-2,COUNTA(helper!$D$3:$D3996))+1))</f>
        <v/>
      </c>
      <c r="D2242" s="3" t="str">
        <f t="array" ref="D2242">IF(B2242="","",INDEX(helper!$E$3:$E3996,MOD(ROW()-2,COUNTA(helper!$D$3:$D3996))+1))</f>
        <v/>
      </c>
      <c r="E2242" s="3" t="str">
        <f t="array" ref="E2242">IF(B2242="","",INDEX(helper!$F$3:$F3996,MOD(ROW()-2,COUNTA(helper!$D$3:$D3996))+1))</f>
        <v/>
      </c>
      <c r="F2242" s="3" t="str">
        <f>IF(B2242="","",SUMIFS('inventory ledger'!$H:$H,'inventory ledger'!$C:$C,C2242,'inventory ledger'!$D:$D,D2242,'inventory ledger'!$E:$E,E2242,'inventory ledger'!$A:$A,"&lt;="&amp;B2242+TIME(23,59,59))-SUMIFS('inventory ledger'!$I:$I,'inventory ledger'!$C:$C,C2242,'inventory ledger'!$D:$D,D2242,'inventory ledger'!$E:$E,E2242,'inventory ledger'!$A:$A,"&lt;="&amp;B2242+TIME(23,59,59)))</f>
        <v/>
      </c>
      <c r="G2242" s="3">
        <f>IFERROR(__xludf.DUMMYFUNCTION("IF(F2242&lt;=0,0,IFERROR(ROUNDUP(F2242/INDEX(FILTER('warehouse config'!$D:$D,('warehouse config'!$B:$B=C2242)*('warehouse config'!$C:$C=D2242)*('warehouse config'!$G:$G&lt;=B2242)*(('warehouse config'!$H:$H&gt;=B2242)+ISBLANK('warehouse config'!$H:$H))),1)),0))"),0.0)</f>
        <v>0</v>
      </c>
      <c r="H2242" s="3">
        <f>IFERROR(__xludf.DUMMYFUNCTION("IFERROR(INDEX(FILTER('cost master'!$E:$E,('cost master'!$B:$B=C2242)*('cost master'!$D:$D=""Storage cost per pallet / week"")*('cost master'!$G:$G&lt;=B2242)*(('cost master'!$H:$H&gt;=B2242)+ISBLANK('cost master'!$H:$H))),1),0)"),0.0)</f>
        <v>0</v>
      </c>
      <c r="I2242" s="3">
        <f t="shared" si="4"/>
        <v>0</v>
      </c>
      <c r="J2242" s="27">
        <f t="shared" si="5"/>
        <v>693947</v>
      </c>
      <c r="K2242" s="27">
        <f t="shared" si="6"/>
        <v>693977</v>
      </c>
    </row>
    <row r="2243" hidden="1">
      <c r="A2243" s="3" t="str">
        <f t="shared" si="3"/>
        <v/>
      </c>
      <c r="B2243" s="2" t="str">
        <f t="array" ref="B2243">INDEX(helper!$A$3:$A3996,ROUNDUP((ROW()-1)/COUNTA(helper!$D$3:$D3996),0))</f>
        <v/>
      </c>
      <c r="C2243" s="5" t="str">
        <f t="array" ref="C2243">IF(B2243="","",INDEX(helper!$D$3:$D3996,MOD(ROW()-2,COUNTA(helper!$D$3:$D3996))+1))</f>
        <v/>
      </c>
      <c r="D2243" s="3" t="str">
        <f t="array" ref="D2243">IF(B2243="","",INDEX(helper!$E$3:$E3996,MOD(ROW()-2,COUNTA(helper!$D$3:$D3996))+1))</f>
        <v/>
      </c>
      <c r="E2243" s="3" t="str">
        <f t="array" ref="E2243">IF(B2243="","",INDEX(helper!$F$3:$F3996,MOD(ROW()-2,COUNTA(helper!$D$3:$D3996))+1))</f>
        <v/>
      </c>
      <c r="F2243" s="3" t="str">
        <f>IF(B2243="","",SUMIFS('inventory ledger'!$H:$H,'inventory ledger'!$C:$C,C2243,'inventory ledger'!$D:$D,D2243,'inventory ledger'!$E:$E,E2243,'inventory ledger'!$A:$A,"&lt;="&amp;B2243+TIME(23,59,59))-SUMIFS('inventory ledger'!$I:$I,'inventory ledger'!$C:$C,C2243,'inventory ledger'!$D:$D,D2243,'inventory ledger'!$E:$E,E2243,'inventory ledger'!$A:$A,"&lt;="&amp;B2243+TIME(23,59,59)))</f>
        <v/>
      </c>
      <c r="G2243" s="3">
        <f>IFERROR(__xludf.DUMMYFUNCTION("IF(F2243&lt;=0,0,IFERROR(ROUNDUP(F2243/INDEX(FILTER('warehouse config'!$D:$D,('warehouse config'!$B:$B=C2243)*('warehouse config'!$C:$C=D2243)*('warehouse config'!$G:$G&lt;=B2243)*(('warehouse config'!$H:$H&gt;=B2243)+ISBLANK('warehouse config'!$H:$H))),1)),0))"),0.0)</f>
        <v>0</v>
      </c>
      <c r="H2243" s="3">
        <f>IFERROR(__xludf.DUMMYFUNCTION("IFERROR(INDEX(FILTER('cost master'!$E:$E,('cost master'!$B:$B=C2243)*('cost master'!$D:$D=""Storage cost per pallet / week"")*('cost master'!$G:$G&lt;=B2243)*(('cost master'!$H:$H&gt;=B2243)+ISBLANK('cost master'!$H:$H))),1),0)"),0.0)</f>
        <v>0</v>
      </c>
      <c r="I2243" s="3">
        <f t="shared" si="4"/>
        <v>0</v>
      </c>
      <c r="J2243" s="27">
        <f t="shared" si="5"/>
        <v>693947</v>
      </c>
      <c r="K2243" s="27">
        <f t="shared" si="6"/>
        <v>693977</v>
      </c>
    </row>
    <row r="2244" hidden="1">
      <c r="A2244" s="3" t="str">
        <f t="shared" si="3"/>
        <v/>
      </c>
      <c r="B2244" s="2" t="str">
        <f t="array" ref="B2244">INDEX(helper!$A$3:$A3996,ROUNDUP((ROW()-1)/COUNTA(helper!$D$3:$D3996),0))</f>
        <v/>
      </c>
      <c r="C2244" s="5" t="str">
        <f t="array" ref="C2244">IF(B2244="","",INDEX(helper!$D$3:$D3996,MOD(ROW()-2,COUNTA(helper!$D$3:$D3996))+1))</f>
        <v/>
      </c>
      <c r="D2244" s="3" t="str">
        <f t="array" ref="D2244">IF(B2244="","",INDEX(helper!$E$3:$E3996,MOD(ROW()-2,COUNTA(helper!$D$3:$D3996))+1))</f>
        <v/>
      </c>
      <c r="E2244" s="3" t="str">
        <f t="array" ref="E2244">IF(B2244="","",INDEX(helper!$F$3:$F3996,MOD(ROW()-2,COUNTA(helper!$D$3:$D3996))+1))</f>
        <v/>
      </c>
      <c r="F2244" s="3" t="str">
        <f>IF(B2244="","",SUMIFS('inventory ledger'!$H:$H,'inventory ledger'!$C:$C,C2244,'inventory ledger'!$D:$D,D2244,'inventory ledger'!$E:$E,E2244,'inventory ledger'!$A:$A,"&lt;="&amp;B2244+TIME(23,59,59))-SUMIFS('inventory ledger'!$I:$I,'inventory ledger'!$C:$C,C2244,'inventory ledger'!$D:$D,D2244,'inventory ledger'!$E:$E,E2244,'inventory ledger'!$A:$A,"&lt;="&amp;B2244+TIME(23,59,59)))</f>
        <v/>
      </c>
      <c r="G2244" s="3">
        <f>IFERROR(__xludf.DUMMYFUNCTION("IF(F2244&lt;=0,0,IFERROR(ROUNDUP(F2244/INDEX(FILTER('warehouse config'!$D:$D,('warehouse config'!$B:$B=C2244)*('warehouse config'!$C:$C=D2244)*('warehouse config'!$G:$G&lt;=B2244)*(('warehouse config'!$H:$H&gt;=B2244)+ISBLANK('warehouse config'!$H:$H))),1)),0))"),0.0)</f>
        <v>0</v>
      </c>
      <c r="H2244" s="3">
        <f>IFERROR(__xludf.DUMMYFUNCTION("IFERROR(INDEX(FILTER('cost master'!$E:$E,('cost master'!$B:$B=C2244)*('cost master'!$D:$D=""Storage cost per pallet / week"")*('cost master'!$G:$G&lt;=B2244)*(('cost master'!$H:$H&gt;=B2244)+ISBLANK('cost master'!$H:$H))),1),0)"),0.0)</f>
        <v>0</v>
      </c>
      <c r="I2244" s="3">
        <f t="shared" si="4"/>
        <v>0</v>
      </c>
      <c r="J2244" s="27">
        <f t="shared" si="5"/>
        <v>693947</v>
      </c>
      <c r="K2244" s="27">
        <f t="shared" si="6"/>
        <v>693977</v>
      </c>
    </row>
    <row r="2245" hidden="1">
      <c r="A2245" s="3" t="str">
        <f t="shared" si="3"/>
        <v/>
      </c>
      <c r="B2245" s="2" t="str">
        <f t="array" ref="B2245">INDEX(helper!$A$3:$A3996,ROUNDUP((ROW()-1)/COUNTA(helper!$D$3:$D3996),0))</f>
        <v/>
      </c>
      <c r="C2245" s="5" t="str">
        <f t="array" ref="C2245">IF(B2245="","",INDEX(helper!$D$3:$D3996,MOD(ROW()-2,COUNTA(helper!$D$3:$D3996))+1))</f>
        <v/>
      </c>
      <c r="D2245" s="3" t="str">
        <f t="array" ref="D2245">IF(B2245="","",INDEX(helper!$E$3:$E3996,MOD(ROW()-2,COUNTA(helper!$D$3:$D3996))+1))</f>
        <v/>
      </c>
      <c r="E2245" s="3" t="str">
        <f t="array" ref="E2245">IF(B2245="","",INDEX(helper!$F$3:$F3996,MOD(ROW()-2,COUNTA(helper!$D$3:$D3996))+1))</f>
        <v/>
      </c>
      <c r="F2245" s="3" t="str">
        <f>IF(B2245="","",SUMIFS('inventory ledger'!$H:$H,'inventory ledger'!$C:$C,C2245,'inventory ledger'!$D:$D,D2245,'inventory ledger'!$E:$E,E2245,'inventory ledger'!$A:$A,"&lt;="&amp;B2245+TIME(23,59,59))-SUMIFS('inventory ledger'!$I:$I,'inventory ledger'!$C:$C,C2245,'inventory ledger'!$D:$D,D2245,'inventory ledger'!$E:$E,E2245,'inventory ledger'!$A:$A,"&lt;="&amp;B2245+TIME(23,59,59)))</f>
        <v/>
      </c>
      <c r="G2245" s="3">
        <f>IFERROR(__xludf.DUMMYFUNCTION("IF(F2245&lt;=0,0,IFERROR(ROUNDUP(F2245/INDEX(FILTER('warehouse config'!$D:$D,('warehouse config'!$B:$B=C2245)*('warehouse config'!$C:$C=D2245)*('warehouse config'!$G:$G&lt;=B2245)*(('warehouse config'!$H:$H&gt;=B2245)+ISBLANK('warehouse config'!$H:$H))),1)),0))"),0.0)</f>
        <v>0</v>
      </c>
      <c r="H2245" s="3">
        <f>IFERROR(__xludf.DUMMYFUNCTION("IFERROR(INDEX(FILTER('cost master'!$E:$E,('cost master'!$B:$B=C2245)*('cost master'!$D:$D=""Storage cost per pallet / week"")*('cost master'!$G:$G&lt;=B2245)*(('cost master'!$H:$H&gt;=B2245)+ISBLANK('cost master'!$H:$H))),1),0)"),0.0)</f>
        <v>0</v>
      </c>
      <c r="I2245" s="3">
        <f t="shared" si="4"/>
        <v>0</v>
      </c>
      <c r="J2245" s="27">
        <f t="shared" si="5"/>
        <v>693947</v>
      </c>
      <c r="K2245" s="27">
        <f t="shared" si="6"/>
        <v>693977</v>
      </c>
    </row>
    <row r="2246" hidden="1">
      <c r="A2246" s="3" t="str">
        <f t="shared" si="3"/>
        <v/>
      </c>
      <c r="B2246" s="2" t="str">
        <f t="array" ref="B2246">INDEX(helper!$A$3:$A3996,ROUNDUP((ROW()-1)/COUNTA(helper!$D$3:$D3996),0))</f>
        <v/>
      </c>
      <c r="C2246" s="5" t="str">
        <f t="array" ref="C2246">IF(B2246="","",INDEX(helper!$D$3:$D3996,MOD(ROW()-2,COUNTA(helper!$D$3:$D3996))+1))</f>
        <v/>
      </c>
      <c r="D2246" s="3" t="str">
        <f t="array" ref="D2246">IF(B2246="","",INDEX(helper!$E$3:$E3996,MOD(ROW()-2,COUNTA(helper!$D$3:$D3996))+1))</f>
        <v/>
      </c>
      <c r="E2246" s="3" t="str">
        <f t="array" ref="E2246">IF(B2246="","",INDEX(helper!$F$3:$F3996,MOD(ROW()-2,COUNTA(helper!$D$3:$D3996))+1))</f>
        <v/>
      </c>
      <c r="F2246" s="3" t="str">
        <f>IF(B2246="","",SUMIFS('inventory ledger'!$H:$H,'inventory ledger'!$C:$C,C2246,'inventory ledger'!$D:$D,D2246,'inventory ledger'!$E:$E,E2246,'inventory ledger'!$A:$A,"&lt;="&amp;B2246+TIME(23,59,59))-SUMIFS('inventory ledger'!$I:$I,'inventory ledger'!$C:$C,C2246,'inventory ledger'!$D:$D,D2246,'inventory ledger'!$E:$E,E2246,'inventory ledger'!$A:$A,"&lt;="&amp;B2246+TIME(23,59,59)))</f>
        <v/>
      </c>
      <c r="G2246" s="3">
        <f>IFERROR(__xludf.DUMMYFUNCTION("IF(F2246&lt;=0,0,IFERROR(ROUNDUP(F2246/INDEX(FILTER('warehouse config'!$D:$D,('warehouse config'!$B:$B=C2246)*('warehouse config'!$C:$C=D2246)*('warehouse config'!$G:$G&lt;=B2246)*(('warehouse config'!$H:$H&gt;=B2246)+ISBLANK('warehouse config'!$H:$H))),1)),0))"),0.0)</f>
        <v>0</v>
      </c>
      <c r="H2246" s="3">
        <f>IFERROR(__xludf.DUMMYFUNCTION("IFERROR(INDEX(FILTER('cost master'!$E:$E,('cost master'!$B:$B=C2246)*('cost master'!$D:$D=""Storage cost per pallet / week"")*('cost master'!$G:$G&lt;=B2246)*(('cost master'!$H:$H&gt;=B2246)+ISBLANK('cost master'!$H:$H))),1),0)"),0.0)</f>
        <v>0</v>
      </c>
      <c r="I2246" s="3">
        <f t="shared" si="4"/>
        <v>0</v>
      </c>
      <c r="J2246" s="27">
        <f t="shared" si="5"/>
        <v>693947</v>
      </c>
      <c r="K2246" s="27">
        <f t="shared" si="6"/>
        <v>693977</v>
      </c>
    </row>
    <row r="2247" hidden="1">
      <c r="A2247" s="3" t="str">
        <f t="shared" si="3"/>
        <v/>
      </c>
      <c r="B2247" s="2" t="str">
        <f t="array" ref="B2247">INDEX(helper!$A$3:$A3996,ROUNDUP((ROW()-1)/COUNTA(helper!$D$3:$D3996),0))</f>
        <v/>
      </c>
      <c r="C2247" s="5" t="str">
        <f t="array" ref="C2247">IF(B2247="","",INDEX(helper!$D$3:$D3996,MOD(ROW()-2,COUNTA(helper!$D$3:$D3996))+1))</f>
        <v/>
      </c>
      <c r="D2247" s="3" t="str">
        <f t="array" ref="D2247">IF(B2247="","",INDEX(helper!$E$3:$E3996,MOD(ROW()-2,COUNTA(helper!$D$3:$D3996))+1))</f>
        <v/>
      </c>
      <c r="E2247" s="3" t="str">
        <f t="array" ref="E2247">IF(B2247="","",INDEX(helper!$F$3:$F3996,MOD(ROW()-2,COUNTA(helper!$D$3:$D3996))+1))</f>
        <v/>
      </c>
      <c r="F2247" s="3" t="str">
        <f>IF(B2247="","",SUMIFS('inventory ledger'!$H:$H,'inventory ledger'!$C:$C,C2247,'inventory ledger'!$D:$D,D2247,'inventory ledger'!$E:$E,E2247,'inventory ledger'!$A:$A,"&lt;="&amp;B2247+TIME(23,59,59))-SUMIFS('inventory ledger'!$I:$I,'inventory ledger'!$C:$C,C2247,'inventory ledger'!$D:$D,D2247,'inventory ledger'!$E:$E,E2247,'inventory ledger'!$A:$A,"&lt;="&amp;B2247+TIME(23,59,59)))</f>
        <v/>
      </c>
      <c r="G2247" s="3">
        <f>IFERROR(__xludf.DUMMYFUNCTION("IF(F2247&lt;=0,0,IFERROR(ROUNDUP(F2247/INDEX(FILTER('warehouse config'!$D:$D,('warehouse config'!$B:$B=C2247)*('warehouse config'!$C:$C=D2247)*('warehouse config'!$G:$G&lt;=B2247)*(('warehouse config'!$H:$H&gt;=B2247)+ISBLANK('warehouse config'!$H:$H))),1)),0))"),0.0)</f>
        <v>0</v>
      </c>
      <c r="H2247" s="3">
        <f>IFERROR(__xludf.DUMMYFUNCTION("IFERROR(INDEX(FILTER('cost master'!$E:$E,('cost master'!$B:$B=C2247)*('cost master'!$D:$D=""Storage cost per pallet / week"")*('cost master'!$G:$G&lt;=B2247)*(('cost master'!$H:$H&gt;=B2247)+ISBLANK('cost master'!$H:$H))),1),0)"),0.0)</f>
        <v>0</v>
      </c>
      <c r="I2247" s="3">
        <f t="shared" si="4"/>
        <v>0</v>
      </c>
      <c r="J2247" s="27">
        <f t="shared" si="5"/>
        <v>693947</v>
      </c>
      <c r="K2247" s="27">
        <f t="shared" si="6"/>
        <v>693977</v>
      </c>
    </row>
    <row r="2248" hidden="1">
      <c r="A2248" s="3" t="str">
        <f t="shared" si="3"/>
        <v/>
      </c>
      <c r="B2248" s="2" t="str">
        <f t="array" ref="B2248">INDEX(helper!$A$3:$A3996,ROUNDUP((ROW()-1)/COUNTA(helper!$D$3:$D3996),0))</f>
        <v/>
      </c>
      <c r="C2248" s="5" t="str">
        <f t="array" ref="C2248">IF(B2248="","",INDEX(helper!$D$3:$D3996,MOD(ROW()-2,COUNTA(helper!$D$3:$D3996))+1))</f>
        <v/>
      </c>
      <c r="D2248" s="3" t="str">
        <f t="array" ref="D2248">IF(B2248="","",INDEX(helper!$E$3:$E3996,MOD(ROW()-2,COUNTA(helper!$D$3:$D3996))+1))</f>
        <v/>
      </c>
      <c r="E2248" s="3" t="str">
        <f t="array" ref="E2248">IF(B2248="","",INDEX(helper!$F$3:$F3996,MOD(ROW()-2,COUNTA(helper!$D$3:$D3996))+1))</f>
        <v/>
      </c>
      <c r="F2248" s="3" t="str">
        <f>IF(B2248="","",SUMIFS('inventory ledger'!$H:$H,'inventory ledger'!$C:$C,C2248,'inventory ledger'!$D:$D,D2248,'inventory ledger'!$E:$E,E2248,'inventory ledger'!$A:$A,"&lt;="&amp;B2248+TIME(23,59,59))-SUMIFS('inventory ledger'!$I:$I,'inventory ledger'!$C:$C,C2248,'inventory ledger'!$D:$D,D2248,'inventory ledger'!$E:$E,E2248,'inventory ledger'!$A:$A,"&lt;="&amp;B2248+TIME(23,59,59)))</f>
        <v/>
      </c>
      <c r="G2248" s="3">
        <f>IFERROR(__xludf.DUMMYFUNCTION("IF(F2248&lt;=0,0,IFERROR(ROUNDUP(F2248/INDEX(FILTER('warehouse config'!$D:$D,('warehouse config'!$B:$B=C2248)*('warehouse config'!$C:$C=D2248)*('warehouse config'!$G:$G&lt;=B2248)*(('warehouse config'!$H:$H&gt;=B2248)+ISBLANK('warehouse config'!$H:$H))),1)),0))"),0.0)</f>
        <v>0</v>
      </c>
      <c r="H2248" s="3">
        <f>IFERROR(__xludf.DUMMYFUNCTION("IFERROR(INDEX(FILTER('cost master'!$E:$E,('cost master'!$B:$B=C2248)*('cost master'!$D:$D=""Storage cost per pallet / week"")*('cost master'!$G:$G&lt;=B2248)*(('cost master'!$H:$H&gt;=B2248)+ISBLANK('cost master'!$H:$H))),1),0)"),0.0)</f>
        <v>0</v>
      </c>
      <c r="I2248" s="3">
        <f t="shared" si="4"/>
        <v>0</v>
      </c>
      <c r="J2248" s="27">
        <f t="shared" si="5"/>
        <v>693947</v>
      </c>
      <c r="K2248" s="27">
        <f t="shared" si="6"/>
        <v>693977</v>
      </c>
    </row>
    <row r="2249" hidden="1">
      <c r="A2249" s="3" t="str">
        <f t="shared" si="3"/>
        <v/>
      </c>
      <c r="B2249" s="2" t="str">
        <f t="array" ref="B2249">INDEX(helper!$A$3:$A3996,ROUNDUP((ROW()-1)/COUNTA(helper!$D$3:$D3996),0))</f>
        <v/>
      </c>
      <c r="C2249" s="5" t="str">
        <f t="array" ref="C2249">IF(B2249="","",INDEX(helper!$D$3:$D3996,MOD(ROW()-2,COUNTA(helper!$D$3:$D3996))+1))</f>
        <v/>
      </c>
      <c r="D2249" s="3" t="str">
        <f t="array" ref="D2249">IF(B2249="","",INDEX(helper!$E$3:$E3996,MOD(ROW()-2,COUNTA(helper!$D$3:$D3996))+1))</f>
        <v/>
      </c>
      <c r="E2249" s="3" t="str">
        <f t="array" ref="E2249">IF(B2249="","",INDEX(helper!$F$3:$F3996,MOD(ROW()-2,COUNTA(helper!$D$3:$D3996))+1))</f>
        <v/>
      </c>
      <c r="F2249" s="3" t="str">
        <f>IF(B2249="","",SUMIFS('inventory ledger'!$H:$H,'inventory ledger'!$C:$C,C2249,'inventory ledger'!$D:$D,D2249,'inventory ledger'!$E:$E,E2249,'inventory ledger'!$A:$A,"&lt;="&amp;B2249+TIME(23,59,59))-SUMIFS('inventory ledger'!$I:$I,'inventory ledger'!$C:$C,C2249,'inventory ledger'!$D:$D,D2249,'inventory ledger'!$E:$E,E2249,'inventory ledger'!$A:$A,"&lt;="&amp;B2249+TIME(23,59,59)))</f>
        <v/>
      </c>
      <c r="G2249" s="3">
        <f>IFERROR(__xludf.DUMMYFUNCTION("IF(F2249&lt;=0,0,IFERROR(ROUNDUP(F2249/INDEX(FILTER('warehouse config'!$D:$D,('warehouse config'!$B:$B=C2249)*('warehouse config'!$C:$C=D2249)*('warehouse config'!$G:$G&lt;=B2249)*(('warehouse config'!$H:$H&gt;=B2249)+ISBLANK('warehouse config'!$H:$H))),1)),0))"),0.0)</f>
        <v>0</v>
      </c>
      <c r="H2249" s="3">
        <f>IFERROR(__xludf.DUMMYFUNCTION("IFERROR(INDEX(FILTER('cost master'!$E:$E,('cost master'!$B:$B=C2249)*('cost master'!$D:$D=""Storage cost per pallet / week"")*('cost master'!$G:$G&lt;=B2249)*(('cost master'!$H:$H&gt;=B2249)+ISBLANK('cost master'!$H:$H))),1),0)"),0.0)</f>
        <v>0</v>
      </c>
      <c r="I2249" s="3">
        <f t="shared" si="4"/>
        <v>0</v>
      </c>
      <c r="J2249" s="27">
        <f t="shared" si="5"/>
        <v>693947</v>
      </c>
      <c r="K2249" s="27">
        <f t="shared" si="6"/>
        <v>693977</v>
      </c>
    </row>
    <row r="2250" hidden="1">
      <c r="A2250" s="3" t="str">
        <f t="shared" si="3"/>
        <v/>
      </c>
      <c r="B2250" s="2" t="str">
        <f t="array" ref="B2250">INDEX(helper!$A$3:$A3996,ROUNDUP((ROW()-1)/COUNTA(helper!$D$3:$D3996),0))</f>
        <v/>
      </c>
      <c r="C2250" s="5" t="str">
        <f t="array" ref="C2250">IF(B2250="","",INDEX(helper!$D$3:$D3996,MOD(ROW()-2,COUNTA(helper!$D$3:$D3996))+1))</f>
        <v/>
      </c>
      <c r="D2250" s="3" t="str">
        <f t="array" ref="D2250">IF(B2250="","",INDEX(helper!$E$3:$E3996,MOD(ROW()-2,COUNTA(helper!$D$3:$D3996))+1))</f>
        <v/>
      </c>
      <c r="E2250" s="3" t="str">
        <f t="array" ref="E2250">IF(B2250="","",INDEX(helper!$F$3:$F3996,MOD(ROW()-2,COUNTA(helper!$D$3:$D3996))+1))</f>
        <v/>
      </c>
      <c r="F2250" s="3" t="str">
        <f>IF(B2250="","",SUMIFS('inventory ledger'!$H:$H,'inventory ledger'!$C:$C,C2250,'inventory ledger'!$D:$D,D2250,'inventory ledger'!$E:$E,E2250,'inventory ledger'!$A:$A,"&lt;="&amp;B2250+TIME(23,59,59))-SUMIFS('inventory ledger'!$I:$I,'inventory ledger'!$C:$C,C2250,'inventory ledger'!$D:$D,D2250,'inventory ledger'!$E:$E,E2250,'inventory ledger'!$A:$A,"&lt;="&amp;B2250+TIME(23,59,59)))</f>
        <v/>
      </c>
      <c r="G2250" s="3">
        <f>IFERROR(__xludf.DUMMYFUNCTION("IF(F2250&lt;=0,0,IFERROR(ROUNDUP(F2250/INDEX(FILTER('warehouse config'!$D:$D,('warehouse config'!$B:$B=C2250)*('warehouse config'!$C:$C=D2250)*('warehouse config'!$G:$G&lt;=B2250)*(('warehouse config'!$H:$H&gt;=B2250)+ISBLANK('warehouse config'!$H:$H))),1)),0))"),0.0)</f>
        <v>0</v>
      </c>
      <c r="H2250" s="3">
        <f>IFERROR(__xludf.DUMMYFUNCTION("IFERROR(INDEX(FILTER('cost master'!$E:$E,('cost master'!$B:$B=C2250)*('cost master'!$D:$D=""Storage cost per pallet / week"")*('cost master'!$G:$G&lt;=B2250)*(('cost master'!$H:$H&gt;=B2250)+ISBLANK('cost master'!$H:$H))),1),0)"),0.0)</f>
        <v>0</v>
      </c>
      <c r="I2250" s="3">
        <f t="shared" si="4"/>
        <v>0</v>
      </c>
      <c r="J2250" s="27">
        <f t="shared" si="5"/>
        <v>693947</v>
      </c>
      <c r="K2250" s="27">
        <f t="shared" si="6"/>
        <v>693977</v>
      </c>
    </row>
    <row r="2251" hidden="1">
      <c r="A2251" s="3" t="str">
        <f t="shared" si="3"/>
        <v/>
      </c>
      <c r="B2251" s="2" t="str">
        <f t="array" ref="B2251">INDEX(helper!$A$3:$A3996,ROUNDUP((ROW()-1)/COUNTA(helper!$D$3:$D3996),0))</f>
        <v/>
      </c>
      <c r="C2251" s="5" t="str">
        <f t="array" ref="C2251">IF(B2251="","",INDEX(helper!$D$3:$D3996,MOD(ROW()-2,COUNTA(helper!$D$3:$D3996))+1))</f>
        <v/>
      </c>
      <c r="D2251" s="3" t="str">
        <f t="array" ref="D2251">IF(B2251="","",INDEX(helper!$E$3:$E3996,MOD(ROW()-2,COUNTA(helper!$D$3:$D3996))+1))</f>
        <v/>
      </c>
      <c r="E2251" s="3" t="str">
        <f t="array" ref="E2251">IF(B2251="","",INDEX(helper!$F$3:$F3996,MOD(ROW()-2,COUNTA(helper!$D$3:$D3996))+1))</f>
        <v/>
      </c>
      <c r="F2251" s="3" t="str">
        <f>IF(B2251="","",SUMIFS('inventory ledger'!$H:$H,'inventory ledger'!$C:$C,C2251,'inventory ledger'!$D:$D,D2251,'inventory ledger'!$E:$E,E2251,'inventory ledger'!$A:$A,"&lt;="&amp;B2251+TIME(23,59,59))-SUMIFS('inventory ledger'!$I:$I,'inventory ledger'!$C:$C,C2251,'inventory ledger'!$D:$D,D2251,'inventory ledger'!$E:$E,E2251,'inventory ledger'!$A:$A,"&lt;="&amp;B2251+TIME(23,59,59)))</f>
        <v/>
      </c>
      <c r="G2251" s="3">
        <f>IFERROR(__xludf.DUMMYFUNCTION("IF(F2251&lt;=0,0,IFERROR(ROUNDUP(F2251/INDEX(FILTER('warehouse config'!$D:$D,('warehouse config'!$B:$B=C2251)*('warehouse config'!$C:$C=D2251)*('warehouse config'!$G:$G&lt;=B2251)*(('warehouse config'!$H:$H&gt;=B2251)+ISBLANK('warehouse config'!$H:$H))),1)),0))"),0.0)</f>
        <v>0</v>
      </c>
      <c r="H2251" s="3">
        <f>IFERROR(__xludf.DUMMYFUNCTION("IFERROR(INDEX(FILTER('cost master'!$E:$E,('cost master'!$B:$B=C2251)*('cost master'!$D:$D=""Storage cost per pallet / week"")*('cost master'!$G:$G&lt;=B2251)*(('cost master'!$H:$H&gt;=B2251)+ISBLANK('cost master'!$H:$H))),1),0)"),0.0)</f>
        <v>0</v>
      </c>
      <c r="I2251" s="3">
        <f t="shared" si="4"/>
        <v>0</v>
      </c>
      <c r="J2251" s="27">
        <f t="shared" si="5"/>
        <v>693947</v>
      </c>
      <c r="K2251" s="27">
        <f t="shared" si="6"/>
        <v>693977</v>
      </c>
    </row>
    <row r="2252" hidden="1">
      <c r="A2252" s="3" t="str">
        <f t="shared" si="3"/>
        <v/>
      </c>
      <c r="B2252" s="2" t="str">
        <f t="array" ref="B2252">INDEX(helper!$A$3:$A3996,ROUNDUP((ROW()-1)/COUNTA(helper!$D$3:$D3996),0))</f>
        <v/>
      </c>
      <c r="C2252" s="5" t="str">
        <f t="array" ref="C2252">IF(B2252="","",INDEX(helper!$D$3:$D3996,MOD(ROW()-2,COUNTA(helper!$D$3:$D3996))+1))</f>
        <v/>
      </c>
      <c r="D2252" s="3" t="str">
        <f t="array" ref="D2252">IF(B2252="","",INDEX(helper!$E$3:$E3996,MOD(ROW()-2,COUNTA(helper!$D$3:$D3996))+1))</f>
        <v/>
      </c>
      <c r="E2252" s="3" t="str">
        <f t="array" ref="E2252">IF(B2252="","",INDEX(helper!$F$3:$F3996,MOD(ROW()-2,COUNTA(helper!$D$3:$D3996))+1))</f>
        <v/>
      </c>
      <c r="F2252" s="3" t="str">
        <f>IF(B2252="","",SUMIFS('inventory ledger'!$H:$H,'inventory ledger'!$C:$C,C2252,'inventory ledger'!$D:$D,D2252,'inventory ledger'!$E:$E,E2252,'inventory ledger'!$A:$A,"&lt;="&amp;B2252+TIME(23,59,59))-SUMIFS('inventory ledger'!$I:$I,'inventory ledger'!$C:$C,C2252,'inventory ledger'!$D:$D,D2252,'inventory ledger'!$E:$E,E2252,'inventory ledger'!$A:$A,"&lt;="&amp;B2252+TIME(23,59,59)))</f>
        <v/>
      </c>
      <c r="G2252" s="3">
        <f>IFERROR(__xludf.DUMMYFUNCTION("IF(F2252&lt;=0,0,IFERROR(ROUNDUP(F2252/INDEX(FILTER('warehouse config'!$D:$D,('warehouse config'!$B:$B=C2252)*('warehouse config'!$C:$C=D2252)*('warehouse config'!$G:$G&lt;=B2252)*(('warehouse config'!$H:$H&gt;=B2252)+ISBLANK('warehouse config'!$H:$H))),1)),0))"),0.0)</f>
        <v>0</v>
      </c>
      <c r="H2252" s="3">
        <f>IFERROR(__xludf.DUMMYFUNCTION("IFERROR(INDEX(FILTER('cost master'!$E:$E,('cost master'!$B:$B=C2252)*('cost master'!$D:$D=""Storage cost per pallet / week"")*('cost master'!$G:$G&lt;=B2252)*(('cost master'!$H:$H&gt;=B2252)+ISBLANK('cost master'!$H:$H))),1),0)"),0.0)</f>
        <v>0</v>
      </c>
      <c r="I2252" s="3">
        <f t="shared" si="4"/>
        <v>0</v>
      </c>
      <c r="J2252" s="27">
        <f t="shared" si="5"/>
        <v>693947</v>
      </c>
      <c r="K2252" s="27">
        <f t="shared" si="6"/>
        <v>693977</v>
      </c>
    </row>
    <row r="2253" hidden="1">
      <c r="A2253" s="3" t="str">
        <f t="shared" si="3"/>
        <v/>
      </c>
      <c r="B2253" s="2" t="str">
        <f t="array" ref="B2253">INDEX(helper!$A$3:$A3996,ROUNDUP((ROW()-1)/COUNTA(helper!$D$3:$D3996),0))</f>
        <v/>
      </c>
      <c r="C2253" s="5" t="str">
        <f t="array" ref="C2253">IF(B2253="","",INDEX(helper!$D$3:$D3996,MOD(ROW()-2,COUNTA(helper!$D$3:$D3996))+1))</f>
        <v/>
      </c>
      <c r="D2253" s="3" t="str">
        <f t="array" ref="D2253">IF(B2253="","",INDEX(helper!$E$3:$E3996,MOD(ROW()-2,COUNTA(helper!$D$3:$D3996))+1))</f>
        <v/>
      </c>
      <c r="E2253" s="3" t="str">
        <f t="array" ref="E2253">IF(B2253="","",INDEX(helper!$F$3:$F3996,MOD(ROW()-2,COUNTA(helper!$D$3:$D3996))+1))</f>
        <v/>
      </c>
      <c r="F2253" s="3" t="str">
        <f>IF(B2253="","",SUMIFS('inventory ledger'!$H:$H,'inventory ledger'!$C:$C,C2253,'inventory ledger'!$D:$D,D2253,'inventory ledger'!$E:$E,E2253,'inventory ledger'!$A:$A,"&lt;="&amp;B2253+TIME(23,59,59))-SUMIFS('inventory ledger'!$I:$I,'inventory ledger'!$C:$C,C2253,'inventory ledger'!$D:$D,D2253,'inventory ledger'!$E:$E,E2253,'inventory ledger'!$A:$A,"&lt;="&amp;B2253+TIME(23,59,59)))</f>
        <v/>
      </c>
      <c r="G2253" s="3">
        <f>IFERROR(__xludf.DUMMYFUNCTION("IF(F2253&lt;=0,0,IFERROR(ROUNDUP(F2253/INDEX(FILTER('warehouse config'!$D:$D,('warehouse config'!$B:$B=C2253)*('warehouse config'!$C:$C=D2253)*('warehouse config'!$G:$G&lt;=B2253)*(('warehouse config'!$H:$H&gt;=B2253)+ISBLANK('warehouse config'!$H:$H))),1)),0))"),0.0)</f>
        <v>0</v>
      </c>
      <c r="H2253" s="3">
        <f>IFERROR(__xludf.DUMMYFUNCTION("IFERROR(INDEX(FILTER('cost master'!$E:$E,('cost master'!$B:$B=C2253)*('cost master'!$D:$D=""Storage cost per pallet / week"")*('cost master'!$G:$G&lt;=B2253)*(('cost master'!$H:$H&gt;=B2253)+ISBLANK('cost master'!$H:$H))),1),0)"),0.0)</f>
        <v>0</v>
      </c>
      <c r="I2253" s="3">
        <f t="shared" si="4"/>
        <v>0</v>
      </c>
      <c r="J2253" s="27">
        <f t="shared" si="5"/>
        <v>693947</v>
      </c>
      <c r="K2253" s="27">
        <f t="shared" si="6"/>
        <v>693977</v>
      </c>
    </row>
    <row r="2254" hidden="1">
      <c r="A2254" s="3" t="str">
        <f t="shared" si="3"/>
        <v/>
      </c>
      <c r="B2254" s="2" t="str">
        <f t="array" ref="B2254">INDEX(helper!$A$3:$A3996,ROUNDUP((ROW()-1)/COUNTA(helper!$D$3:$D3996),0))</f>
        <v/>
      </c>
      <c r="C2254" s="5" t="str">
        <f t="array" ref="C2254">IF(B2254="","",INDEX(helper!$D$3:$D3996,MOD(ROW()-2,COUNTA(helper!$D$3:$D3996))+1))</f>
        <v/>
      </c>
      <c r="D2254" s="3" t="str">
        <f t="array" ref="D2254">IF(B2254="","",INDEX(helper!$E$3:$E3996,MOD(ROW()-2,COUNTA(helper!$D$3:$D3996))+1))</f>
        <v/>
      </c>
      <c r="E2254" s="3" t="str">
        <f t="array" ref="E2254">IF(B2254="","",INDEX(helper!$F$3:$F3996,MOD(ROW()-2,COUNTA(helper!$D$3:$D3996))+1))</f>
        <v/>
      </c>
      <c r="F2254" s="3" t="str">
        <f>IF(B2254="","",SUMIFS('inventory ledger'!$H:$H,'inventory ledger'!$C:$C,C2254,'inventory ledger'!$D:$D,D2254,'inventory ledger'!$E:$E,E2254,'inventory ledger'!$A:$A,"&lt;="&amp;B2254+TIME(23,59,59))-SUMIFS('inventory ledger'!$I:$I,'inventory ledger'!$C:$C,C2254,'inventory ledger'!$D:$D,D2254,'inventory ledger'!$E:$E,E2254,'inventory ledger'!$A:$A,"&lt;="&amp;B2254+TIME(23,59,59)))</f>
        <v/>
      </c>
      <c r="G2254" s="3">
        <f>IFERROR(__xludf.DUMMYFUNCTION("IF(F2254&lt;=0,0,IFERROR(ROUNDUP(F2254/INDEX(FILTER('warehouse config'!$D:$D,('warehouse config'!$B:$B=C2254)*('warehouse config'!$C:$C=D2254)*('warehouse config'!$G:$G&lt;=B2254)*(('warehouse config'!$H:$H&gt;=B2254)+ISBLANK('warehouse config'!$H:$H))),1)),0))"),0.0)</f>
        <v>0</v>
      </c>
      <c r="H2254" s="3">
        <f>IFERROR(__xludf.DUMMYFUNCTION("IFERROR(INDEX(FILTER('cost master'!$E:$E,('cost master'!$B:$B=C2254)*('cost master'!$D:$D=""Storage cost per pallet / week"")*('cost master'!$G:$G&lt;=B2254)*(('cost master'!$H:$H&gt;=B2254)+ISBLANK('cost master'!$H:$H))),1),0)"),0.0)</f>
        <v>0</v>
      </c>
      <c r="I2254" s="3">
        <f t="shared" si="4"/>
        <v>0</v>
      </c>
      <c r="J2254" s="27">
        <f t="shared" si="5"/>
        <v>693947</v>
      </c>
      <c r="K2254" s="27">
        <f t="shared" si="6"/>
        <v>693977</v>
      </c>
    </row>
    <row r="2255" hidden="1">
      <c r="A2255" s="3" t="str">
        <f t="shared" si="3"/>
        <v/>
      </c>
      <c r="B2255" s="2" t="str">
        <f t="array" ref="B2255">INDEX(helper!$A$3:$A3996,ROUNDUP((ROW()-1)/COUNTA(helper!$D$3:$D3996),0))</f>
        <v/>
      </c>
      <c r="C2255" s="5" t="str">
        <f t="array" ref="C2255">IF(B2255="","",INDEX(helper!$D$3:$D3996,MOD(ROW()-2,COUNTA(helper!$D$3:$D3996))+1))</f>
        <v/>
      </c>
      <c r="D2255" s="3" t="str">
        <f t="array" ref="D2255">IF(B2255="","",INDEX(helper!$E$3:$E3996,MOD(ROW()-2,COUNTA(helper!$D$3:$D3996))+1))</f>
        <v/>
      </c>
      <c r="E2255" s="3" t="str">
        <f t="array" ref="E2255">IF(B2255="","",INDEX(helper!$F$3:$F3996,MOD(ROW()-2,COUNTA(helper!$D$3:$D3996))+1))</f>
        <v/>
      </c>
      <c r="F2255" s="3" t="str">
        <f>IF(B2255="","",SUMIFS('inventory ledger'!$H:$H,'inventory ledger'!$C:$C,C2255,'inventory ledger'!$D:$D,D2255,'inventory ledger'!$E:$E,E2255,'inventory ledger'!$A:$A,"&lt;="&amp;B2255+TIME(23,59,59))-SUMIFS('inventory ledger'!$I:$I,'inventory ledger'!$C:$C,C2255,'inventory ledger'!$D:$D,D2255,'inventory ledger'!$E:$E,E2255,'inventory ledger'!$A:$A,"&lt;="&amp;B2255+TIME(23,59,59)))</f>
        <v/>
      </c>
      <c r="G2255" s="3">
        <f>IFERROR(__xludf.DUMMYFUNCTION("IF(F2255&lt;=0,0,IFERROR(ROUNDUP(F2255/INDEX(FILTER('warehouse config'!$D:$D,('warehouse config'!$B:$B=C2255)*('warehouse config'!$C:$C=D2255)*('warehouse config'!$G:$G&lt;=B2255)*(('warehouse config'!$H:$H&gt;=B2255)+ISBLANK('warehouse config'!$H:$H))),1)),0))"),0.0)</f>
        <v>0</v>
      </c>
      <c r="H2255" s="3">
        <f>IFERROR(__xludf.DUMMYFUNCTION("IFERROR(INDEX(FILTER('cost master'!$E:$E,('cost master'!$B:$B=C2255)*('cost master'!$D:$D=""Storage cost per pallet / week"")*('cost master'!$G:$G&lt;=B2255)*(('cost master'!$H:$H&gt;=B2255)+ISBLANK('cost master'!$H:$H))),1),0)"),0.0)</f>
        <v>0</v>
      </c>
      <c r="I2255" s="3">
        <f t="shared" si="4"/>
        <v>0</v>
      </c>
      <c r="J2255" s="27">
        <f t="shared" si="5"/>
        <v>693947</v>
      </c>
      <c r="K2255" s="27">
        <f t="shared" si="6"/>
        <v>693977</v>
      </c>
    </row>
    <row r="2256" hidden="1">
      <c r="A2256" s="3" t="str">
        <f t="shared" si="3"/>
        <v/>
      </c>
      <c r="B2256" s="2" t="str">
        <f t="array" ref="B2256">INDEX(helper!$A$3:$A3996,ROUNDUP((ROW()-1)/COUNTA(helper!$D$3:$D3996),0))</f>
        <v/>
      </c>
      <c r="C2256" s="5" t="str">
        <f t="array" ref="C2256">IF(B2256="","",INDEX(helper!$D$3:$D3996,MOD(ROW()-2,COUNTA(helper!$D$3:$D3996))+1))</f>
        <v/>
      </c>
      <c r="D2256" s="3" t="str">
        <f t="array" ref="D2256">IF(B2256="","",INDEX(helper!$E$3:$E3996,MOD(ROW()-2,COUNTA(helper!$D$3:$D3996))+1))</f>
        <v/>
      </c>
      <c r="E2256" s="3" t="str">
        <f t="array" ref="E2256">IF(B2256="","",INDEX(helper!$F$3:$F3996,MOD(ROW()-2,COUNTA(helper!$D$3:$D3996))+1))</f>
        <v/>
      </c>
      <c r="F2256" s="3" t="str">
        <f>IF(B2256="","",SUMIFS('inventory ledger'!$H:$H,'inventory ledger'!$C:$C,C2256,'inventory ledger'!$D:$D,D2256,'inventory ledger'!$E:$E,E2256,'inventory ledger'!$A:$A,"&lt;="&amp;B2256+TIME(23,59,59))-SUMIFS('inventory ledger'!$I:$I,'inventory ledger'!$C:$C,C2256,'inventory ledger'!$D:$D,D2256,'inventory ledger'!$E:$E,E2256,'inventory ledger'!$A:$A,"&lt;="&amp;B2256+TIME(23,59,59)))</f>
        <v/>
      </c>
      <c r="G2256" s="3">
        <f>IFERROR(__xludf.DUMMYFUNCTION("IF(F2256&lt;=0,0,IFERROR(ROUNDUP(F2256/INDEX(FILTER('warehouse config'!$D:$D,('warehouse config'!$B:$B=C2256)*('warehouse config'!$C:$C=D2256)*('warehouse config'!$G:$G&lt;=B2256)*(('warehouse config'!$H:$H&gt;=B2256)+ISBLANK('warehouse config'!$H:$H))),1)),0))"),0.0)</f>
        <v>0</v>
      </c>
      <c r="H2256" s="3">
        <f>IFERROR(__xludf.DUMMYFUNCTION("IFERROR(INDEX(FILTER('cost master'!$E:$E,('cost master'!$B:$B=C2256)*('cost master'!$D:$D=""Storage cost per pallet / week"")*('cost master'!$G:$G&lt;=B2256)*(('cost master'!$H:$H&gt;=B2256)+ISBLANK('cost master'!$H:$H))),1),0)"),0.0)</f>
        <v>0</v>
      </c>
      <c r="I2256" s="3">
        <f t="shared" si="4"/>
        <v>0</v>
      </c>
      <c r="J2256" s="27">
        <f t="shared" si="5"/>
        <v>693947</v>
      </c>
      <c r="K2256" s="27">
        <f t="shared" si="6"/>
        <v>693977</v>
      </c>
    </row>
    <row r="2257" hidden="1">
      <c r="A2257" s="3" t="str">
        <f t="shared" si="3"/>
        <v/>
      </c>
      <c r="B2257" s="2" t="str">
        <f t="array" ref="B2257">INDEX(helper!$A$3:$A3996,ROUNDUP((ROW()-1)/COUNTA(helper!$D$3:$D3996),0))</f>
        <v/>
      </c>
      <c r="C2257" s="5" t="str">
        <f t="array" ref="C2257">IF(B2257="","",INDEX(helper!$D$3:$D3996,MOD(ROW()-2,COUNTA(helper!$D$3:$D3996))+1))</f>
        <v/>
      </c>
      <c r="D2257" s="3" t="str">
        <f t="array" ref="D2257">IF(B2257="","",INDEX(helper!$E$3:$E3996,MOD(ROW()-2,COUNTA(helper!$D$3:$D3996))+1))</f>
        <v/>
      </c>
      <c r="E2257" s="3" t="str">
        <f t="array" ref="E2257">IF(B2257="","",INDEX(helper!$F$3:$F3996,MOD(ROW()-2,COUNTA(helper!$D$3:$D3996))+1))</f>
        <v/>
      </c>
      <c r="F2257" s="3" t="str">
        <f>IF(B2257="","",SUMIFS('inventory ledger'!$H:$H,'inventory ledger'!$C:$C,C2257,'inventory ledger'!$D:$D,D2257,'inventory ledger'!$E:$E,E2257,'inventory ledger'!$A:$A,"&lt;="&amp;B2257+TIME(23,59,59))-SUMIFS('inventory ledger'!$I:$I,'inventory ledger'!$C:$C,C2257,'inventory ledger'!$D:$D,D2257,'inventory ledger'!$E:$E,E2257,'inventory ledger'!$A:$A,"&lt;="&amp;B2257+TIME(23,59,59)))</f>
        <v/>
      </c>
      <c r="G2257" s="3">
        <f>IFERROR(__xludf.DUMMYFUNCTION("IF(F2257&lt;=0,0,IFERROR(ROUNDUP(F2257/INDEX(FILTER('warehouse config'!$D:$D,('warehouse config'!$B:$B=C2257)*('warehouse config'!$C:$C=D2257)*('warehouse config'!$G:$G&lt;=B2257)*(('warehouse config'!$H:$H&gt;=B2257)+ISBLANK('warehouse config'!$H:$H))),1)),0))"),0.0)</f>
        <v>0</v>
      </c>
      <c r="H2257" s="3">
        <f>IFERROR(__xludf.DUMMYFUNCTION("IFERROR(INDEX(FILTER('cost master'!$E:$E,('cost master'!$B:$B=C2257)*('cost master'!$D:$D=""Storage cost per pallet / week"")*('cost master'!$G:$G&lt;=B2257)*(('cost master'!$H:$H&gt;=B2257)+ISBLANK('cost master'!$H:$H))),1),0)"),0.0)</f>
        <v>0</v>
      </c>
      <c r="I2257" s="3">
        <f t="shared" si="4"/>
        <v>0</v>
      </c>
      <c r="J2257" s="27">
        <f t="shared" si="5"/>
        <v>693947</v>
      </c>
      <c r="K2257" s="27">
        <f t="shared" si="6"/>
        <v>693977</v>
      </c>
    </row>
    <row r="2258" hidden="1">
      <c r="A2258" s="3" t="str">
        <f t="shared" si="3"/>
        <v/>
      </c>
      <c r="B2258" s="2" t="str">
        <f t="array" ref="B2258">INDEX(helper!$A$3:$A3996,ROUNDUP((ROW()-1)/COUNTA(helper!$D$3:$D3996),0))</f>
        <v/>
      </c>
      <c r="C2258" s="5" t="str">
        <f t="array" ref="C2258">IF(B2258="","",INDEX(helper!$D$3:$D3996,MOD(ROW()-2,COUNTA(helper!$D$3:$D3996))+1))</f>
        <v/>
      </c>
      <c r="D2258" s="3" t="str">
        <f t="array" ref="D2258">IF(B2258="","",INDEX(helper!$E$3:$E3996,MOD(ROW()-2,COUNTA(helper!$D$3:$D3996))+1))</f>
        <v/>
      </c>
      <c r="E2258" s="3" t="str">
        <f t="array" ref="E2258">IF(B2258="","",INDEX(helper!$F$3:$F3996,MOD(ROW()-2,COUNTA(helper!$D$3:$D3996))+1))</f>
        <v/>
      </c>
      <c r="F2258" s="3" t="str">
        <f>IF(B2258="","",SUMIFS('inventory ledger'!$H:$H,'inventory ledger'!$C:$C,C2258,'inventory ledger'!$D:$D,D2258,'inventory ledger'!$E:$E,E2258,'inventory ledger'!$A:$A,"&lt;="&amp;B2258+TIME(23,59,59))-SUMIFS('inventory ledger'!$I:$I,'inventory ledger'!$C:$C,C2258,'inventory ledger'!$D:$D,D2258,'inventory ledger'!$E:$E,E2258,'inventory ledger'!$A:$A,"&lt;="&amp;B2258+TIME(23,59,59)))</f>
        <v/>
      </c>
      <c r="G2258" s="3">
        <f>IFERROR(__xludf.DUMMYFUNCTION("IF(F2258&lt;=0,0,IFERROR(ROUNDUP(F2258/INDEX(FILTER('warehouse config'!$D:$D,('warehouse config'!$B:$B=C2258)*('warehouse config'!$C:$C=D2258)*('warehouse config'!$G:$G&lt;=B2258)*(('warehouse config'!$H:$H&gt;=B2258)+ISBLANK('warehouse config'!$H:$H))),1)),0))"),0.0)</f>
        <v>0</v>
      </c>
      <c r="H2258" s="3">
        <f>IFERROR(__xludf.DUMMYFUNCTION("IFERROR(INDEX(FILTER('cost master'!$E:$E,('cost master'!$B:$B=C2258)*('cost master'!$D:$D=""Storage cost per pallet / week"")*('cost master'!$G:$G&lt;=B2258)*(('cost master'!$H:$H&gt;=B2258)+ISBLANK('cost master'!$H:$H))),1),0)"),0.0)</f>
        <v>0</v>
      </c>
      <c r="I2258" s="3">
        <f t="shared" si="4"/>
        <v>0</v>
      </c>
      <c r="J2258" s="27">
        <f t="shared" si="5"/>
        <v>693947</v>
      </c>
      <c r="K2258" s="27">
        <f t="shared" si="6"/>
        <v>693977</v>
      </c>
    </row>
    <row r="2259" hidden="1">
      <c r="A2259" s="3" t="str">
        <f t="shared" si="3"/>
        <v/>
      </c>
      <c r="B2259" s="2" t="str">
        <f t="array" ref="B2259">INDEX(helper!$A$3:$A3996,ROUNDUP((ROW()-1)/COUNTA(helper!$D$3:$D3996),0))</f>
        <v/>
      </c>
      <c r="C2259" s="5" t="str">
        <f t="array" ref="C2259">IF(B2259="","",INDEX(helper!$D$3:$D3996,MOD(ROW()-2,COUNTA(helper!$D$3:$D3996))+1))</f>
        <v/>
      </c>
      <c r="D2259" s="3" t="str">
        <f t="array" ref="D2259">IF(B2259="","",INDEX(helper!$E$3:$E3996,MOD(ROW()-2,COUNTA(helper!$D$3:$D3996))+1))</f>
        <v/>
      </c>
      <c r="E2259" s="3" t="str">
        <f t="array" ref="E2259">IF(B2259="","",INDEX(helper!$F$3:$F3996,MOD(ROW()-2,COUNTA(helper!$D$3:$D3996))+1))</f>
        <v/>
      </c>
      <c r="F2259" s="3" t="str">
        <f>IF(B2259="","",SUMIFS('inventory ledger'!$H:$H,'inventory ledger'!$C:$C,C2259,'inventory ledger'!$D:$D,D2259,'inventory ledger'!$E:$E,E2259,'inventory ledger'!$A:$A,"&lt;="&amp;B2259+TIME(23,59,59))-SUMIFS('inventory ledger'!$I:$I,'inventory ledger'!$C:$C,C2259,'inventory ledger'!$D:$D,D2259,'inventory ledger'!$E:$E,E2259,'inventory ledger'!$A:$A,"&lt;="&amp;B2259+TIME(23,59,59)))</f>
        <v/>
      </c>
      <c r="G2259" s="3">
        <f>IFERROR(__xludf.DUMMYFUNCTION("IF(F2259&lt;=0,0,IFERROR(ROUNDUP(F2259/INDEX(FILTER('warehouse config'!$D:$D,('warehouse config'!$B:$B=C2259)*('warehouse config'!$C:$C=D2259)*('warehouse config'!$G:$G&lt;=B2259)*(('warehouse config'!$H:$H&gt;=B2259)+ISBLANK('warehouse config'!$H:$H))),1)),0))"),0.0)</f>
        <v>0</v>
      </c>
      <c r="H2259" s="3">
        <f>IFERROR(__xludf.DUMMYFUNCTION("IFERROR(INDEX(FILTER('cost master'!$E:$E,('cost master'!$B:$B=C2259)*('cost master'!$D:$D=""Storage cost per pallet / week"")*('cost master'!$G:$G&lt;=B2259)*(('cost master'!$H:$H&gt;=B2259)+ISBLANK('cost master'!$H:$H))),1),0)"),0.0)</f>
        <v>0</v>
      </c>
      <c r="I2259" s="3">
        <f t="shared" si="4"/>
        <v>0</v>
      </c>
      <c r="J2259" s="27">
        <f t="shared" si="5"/>
        <v>693947</v>
      </c>
      <c r="K2259" s="27">
        <f t="shared" si="6"/>
        <v>693977</v>
      </c>
    </row>
    <row r="2260" hidden="1">
      <c r="A2260" s="3" t="str">
        <f t="shared" si="3"/>
        <v/>
      </c>
      <c r="B2260" s="2" t="str">
        <f t="array" ref="B2260">INDEX(helper!$A$3:$A3996,ROUNDUP((ROW()-1)/COUNTA(helper!$D$3:$D3996),0))</f>
        <v/>
      </c>
      <c r="C2260" s="5" t="str">
        <f t="array" ref="C2260">IF(B2260="","",INDEX(helper!$D$3:$D3996,MOD(ROW()-2,COUNTA(helper!$D$3:$D3996))+1))</f>
        <v/>
      </c>
      <c r="D2260" s="3" t="str">
        <f t="array" ref="D2260">IF(B2260="","",INDEX(helper!$E$3:$E3996,MOD(ROW()-2,COUNTA(helper!$D$3:$D3996))+1))</f>
        <v/>
      </c>
      <c r="E2260" s="3" t="str">
        <f t="array" ref="E2260">IF(B2260="","",INDEX(helper!$F$3:$F3996,MOD(ROW()-2,COUNTA(helper!$D$3:$D3996))+1))</f>
        <v/>
      </c>
      <c r="F2260" s="3" t="str">
        <f>IF(B2260="","",SUMIFS('inventory ledger'!$H:$H,'inventory ledger'!$C:$C,C2260,'inventory ledger'!$D:$D,D2260,'inventory ledger'!$E:$E,E2260,'inventory ledger'!$A:$A,"&lt;="&amp;B2260+TIME(23,59,59))-SUMIFS('inventory ledger'!$I:$I,'inventory ledger'!$C:$C,C2260,'inventory ledger'!$D:$D,D2260,'inventory ledger'!$E:$E,E2260,'inventory ledger'!$A:$A,"&lt;="&amp;B2260+TIME(23,59,59)))</f>
        <v/>
      </c>
      <c r="G2260" s="3">
        <f>IFERROR(__xludf.DUMMYFUNCTION("IF(F2260&lt;=0,0,IFERROR(ROUNDUP(F2260/INDEX(FILTER('warehouse config'!$D:$D,('warehouse config'!$B:$B=C2260)*('warehouse config'!$C:$C=D2260)*('warehouse config'!$G:$G&lt;=B2260)*(('warehouse config'!$H:$H&gt;=B2260)+ISBLANK('warehouse config'!$H:$H))),1)),0))"),0.0)</f>
        <v>0</v>
      </c>
      <c r="H2260" s="3">
        <f>IFERROR(__xludf.DUMMYFUNCTION("IFERROR(INDEX(FILTER('cost master'!$E:$E,('cost master'!$B:$B=C2260)*('cost master'!$D:$D=""Storage cost per pallet / week"")*('cost master'!$G:$G&lt;=B2260)*(('cost master'!$H:$H&gt;=B2260)+ISBLANK('cost master'!$H:$H))),1),0)"),0.0)</f>
        <v>0</v>
      </c>
      <c r="I2260" s="3">
        <f t="shared" si="4"/>
        <v>0</v>
      </c>
      <c r="J2260" s="27">
        <f t="shared" si="5"/>
        <v>693947</v>
      </c>
      <c r="K2260" s="27">
        <f t="shared" si="6"/>
        <v>693977</v>
      </c>
    </row>
    <row r="2261" hidden="1">
      <c r="A2261" s="3" t="str">
        <f t="shared" si="3"/>
        <v/>
      </c>
      <c r="B2261" s="2" t="str">
        <f t="array" ref="B2261">INDEX(helper!$A$3:$A3996,ROUNDUP((ROW()-1)/COUNTA(helper!$D$3:$D3996),0))</f>
        <v/>
      </c>
      <c r="C2261" s="5" t="str">
        <f t="array" ref="C2261">IF(B2261="","",INDEX(helper!$D$3:$D3996,MOD(ROW()-2,COUNTA(helper!$D$3:$D3996))+1))</f>
        <v/>
      </c>
      <c r="D2261" s="3" t="str">
        <f t="array" ref="D2261">IF(B2261="","",INDEX(helper!$E$3:$E3996,MOD(ROW()-2,COUNTA(helper!$D$3:$D3996))+1))</f>
        <v/>
      </c>
      <c r="E2261" s="3" t="str">
        <f t="array" ref="E2261">IF(B2261="","",INDEX(helper!$F$3:$F3996,MOD(ROW()-2,COUNTA(helper!$D$3:$D3996))+1))</f>
        <v/>
      </c>
      <c r="F2261" s="3" t="str">
        <f>IF(B2261="","",SUMIFS('inventory ledger'!$H:$H,'inventory ledger'!$C:$C,C2261,'inventory ledger'!$D:$D,D2261,'inventory ledger'!$E:$E,E2261,'inventory ledger'!$A:$A,"&lt;="&amp;B2261+TIME(23,59,59))-SUMIFS('inventory ledger'!$I:$I,'inventory ledger'!$C:$C,C2261,'inventory ledger'!$D:$D,D2261,'inventory ledger'!$E:$E,E2261,'inventory ledger'!$A:$A,"&lt;="&amp;B2261+TIME(23,59,59)))</f>
        <v/>
      </c>
      <c r="G2261" s="3">
        <f>IFERROR(__xludf.DUMMYFUNCTION("IF(F2261&lt;=0,0,IFERROR(ROUNDUP(F2261/INDEX(FILTER('warehouse config'!$D:$D,('warehouse config'!$B:$B=C2261)*('warehouse config'!$C:$C=D2261)*('warehouse config'!$G:$G&lt;=B2261)*(('warehouse config'!$H:$H&gt;=B2261)+ISBLANK('warehouse config'!$H:$H))),1)),0))"),0.0)</f>
        <v>0</v>
      </c>
      <c r="H2261" s="3">
        <f>IFERROR(__xludf.DUMMYFUNCTION("IFERROR(INDEX(FILTER('cost master'!$E:$E,('cost master'!$B:$B=C2261)*('cost master'!$D:$D=""Storage cost per pallet / week"")*('cost master'!$G:$G&lt;=B2261)*(('cost master'!$H:$H&gt;=B2261)+ISBLANK('cost master'!$H:$H))),1),0)"),0.0)</f>
        <v>0</v>
      </c>
      <c r="I2261" s="3">
        <f t="shared" si="4"/>
        <v>0</v>
      </c>
      <c r="J2261" s="27">
        <f t="shared" si="5"/>
        <v>693947</v>
      </c>
      <c r="K2261" s="27">
        <f t="shared" si="6"/>
        <v>693977</v>
      </c>
    </row>
    <row r="2262" hidden="1">
      <c r="A2262" s="3" t="str">
        <f t="shared" si="3"/>
        <v/>
      </c>
      <c r="B2262" s="2" t="str">
        <f t="array" ref="B2262">INDEX(helper!$A$3:$A3996,ROUNDUP((ROW()-1)/COUNTA(helper!$D$3:$D3996),0))</f>
        <v/>
      </c>
      <c r="C2262" s="5" t="str">
        <f t="array" ref="C2262">IF(B2262="","",INDEX(helper!$D$3:$D3996,MOD(ROW()-2,COUNTA(helper!$D$3:$D3996))+1))</f>
        <v/>
      </c>
      <c r="D2262" s="3" t="str">
        <f t="array" ref="D2262">IF(B2262="","",INDEX(helper!$E$3:$E3996,MOD(ROW()-2,COUNTA(helper!$D$3:$D3996))+1))</f>
        <v/>
      </c>
      <c r="E2262" s="3" t="str">
        <f t="array" ref="E2262">IF(B2262="","",INDEX(helper!$F$3:$F3996,MOD(ROW()-2,COUNTA(helper!$D$3:$D3996))+1))</f>
        <v/>
      </c>
      <c r="F2262" s="3" t="str">
        <f>IF(B2262="","",SUMIFS('inventory ledger'!$H:$H,'inventory ledger'!$C:$C,C2262,'inventory ledger'!$D:$D,D2262,'inventory ledger'!$E:$E,E2262,'inventory ledger'!$A:$A,"&lt;="&amp;B2262+TIME(23,59,59))-SUMIFS('inventory ledger'!$I:$I,'inventory ledger'!$C:$C,C2262,'inventory ledger'!$D:$D,D2262,'inventory ledger'!$E:$E,E2262,'inventory ledger'!$A:$A,"&lt;="&amp;B2262+TIME(23,59,59)))</f>
        <v/>
      </c>
      <c r="G2262" s="3">
        <f>IFERROR(__xludf.DUMMYFUNCTION("IF(F2262&lt;=0,0,IFERROR(ROUNDUP(F2262/INDEX(FILTER('warehouse config'!$D:$D,('warehouse config'!$B:$B=C2262)*('warehouse config'!$C:$C=D2262)*('warehouse config'!$G:$G&lt;=B2262)*(('warehouse config'!$H:$H&gt;=B2262)+ISBLANK('warehouse config'!$H:$H))),1)),0))"),0.0)</f>
        <v>0</v>
      </c>
      <c r="H2262" s="3">
        <f>IFERROR(__xludf.DUMMYFUNCTION("IFERROR(INDEX(FILTER('cost master'!$E:$E,('cost master'!$B:$B=C2262)*('cost master'!$D:$D=""Storage cost per pallet / week"")*('cost master'!$G:$G&lt;=B2262)*(('cost master'!$H:$H&gt;=B2262)+ISBLANK('cost master'!$H:$H))),1),0)"),0.0)</f>
        <v>0</v>
      </c>
      <c r="I2262" s="3">
        <f t="shared" si="4"/>
        <v>0</v>
      </c>
      <c r="J2262" s="27">
        <f t="shared" si="5"/>
        <v>693947</v>
      </c>
      <c r="K2262" s="27">
        <f t="shared" si="6"/>
        <v>693977</v>
      </c>
    </row>
    <row r="2263" hidden="1">
      <c r="A2263" s="3" t="str">
        <f t="shared" si="3"/>
        <v/>
      </c>
      <c r="B2263" s="2" t="str">
        <f t="array" ref="B2263">INDEX(helper!$A$3:$A3996,ROUNDUP((ROW()-1)/COUNTA(helper!$D$3:$D3996),0))</f>
        <v/>
      </c>
      <c r="C2263" s="5" t="str">
        <f t="array" ref="C2263">IF(B2263="","",INDEX(helper!$D$3:$D3996,MOD(ROW()-2,COUNTA(helper!$D$3:$D3996))+1))</f>
        <v/>
      </c>
      <c r="D2263" s="3" t="str">
        <f t="array" ref="D2263">IF(B2263="","",INDEX(helper!$E$3:$E3996,MOD(ROW()-2,COUNTA(helper!$D$3:$D3996))+1))</f>
        <v/>
      </c>
      <c r="E2263" s="3" t="str">
        <f t="array" ref="E2263">IF(B2263="","",INDEX(helper!$F$3:$F3996,MOD(ROW()-2,COUNTA(helper!$D$3:$D3996))+1))</f>
        <v/>
      </c>
      <c r="F2263" s="3" t="str">
        <f>IF(B2263="","",SUMIFS('inventory ledger'!$H:$H,'inventory ledger'!$C:$C,C2263,'inventory ledger'!$D:$D,D2263,'inventory ledger'!$E:$E,E2263,'inventory ledger'!$A:$A,"&lt;="&amp;B2263+TIME(23,59,59))-SUMIFS('inventory ledger'!$I:$I,'inventory ledger'!$C:$C,C2263,'inventory ledger'!$D:$D,D2263,'inventory ledger'!$E:$E,E2263,'inventory ledger'!$A:$A,"&lt;="&amp;B2263+TIME(23,59,59)))</f>
        <v/>
      </c>
      <c r="G2263" s="3">
        <f>IFERROR(__xludf.DUMMYFUNCTION("IF(F2263&lt;=0,0,IFERROR(ROUNDUP(F2263/INDEX(FILTER('warehouse config'!$D:$D,('warehouse config'!$B:$B=C2263)*('warehouse config'!$C:$C=D2263)*('warehouse config'!$G:$G&lt;=B2263)*(('warehouse config'!$H:$H&gt;=B2263)+ISBLANK('warehouse config'!$H:$H))),1)),0))"),0.0)</f>
        <v>0</v>
      </c>
      <c r="H2263" s="3">
        <f>IFERROR(__xludf.DUMMYFUNCTION("IFERROR(INDEX(FILTER('cost master'!$E:$E,('cost master'!$B:$B=C2263)*('cost master'!$D:$D=""Storage cost per pallet / week"")*('cost master'!$G:$G&lt;=B2263)*(('cost master'!$H:$H&gt;=B2263)+ISBLANK('cost master'!$H:$H))),1),0)"),0.0)</f>
        <v>0</v>
      </c>
      <c r="I2263" s="3">
        <f t="shared" si="4"/>
        <v>0</v>
      </c>
      <c r="J2263" s="27">
        <f t="shared" si="5"/>
        <v>693947</v>
      </c>
      <c r="K2263" s="27">
        <f t="shared" si="6"/>
        <v>693977</v>
      </c>
    </row>
    <row r="2264" hidden="1">
      <c r="A2264" s="3" t="str">
        <f t="shared" si="3"/>
        <v/>
      </c>
      <c r="B2264" s="2" t="str">
        <f t="array" ref="B2264">INDEX(helper!$A$3:$A3996,ROUNDUP((ROW()-1)/COUNTA(helper!$D$3:$D3996),0))</f>
        <v/>
      </c>
      <c r="C2264" s="5" t="str">
        <f t="array" ref="C2264">IF(B2264="","",INDEX(helper!$D$3:$D3996,MOD(ROW()-2,COUNTA(helper!$D$3:$D3996))+1))</f>
        <v/>
      </c>
      <c r="D2264" s="3" t="str">
        <f t="array" ref="D2264">IF(B2264="","",INDEX(helper!$E$3:$E3996,MOD(ROW()-2,COUNTA(helper!$D$3:$D3996))+1))</f>
        <v/>
      </c>
      <c r="E2264" s="3" t="str">
        <f t="array" ref="E2264">IF(B2264="","",INDEX(helper!$F$3:$F3996,MOD(ROW()-2,COUNTA(helper!$D$3:$D3996))+1))</f>
        <v/>
      </c>
      <c r="F2264" s="3" t="str">
        <f>IF(B2264="","",SUMIFS('inventory ledger'!$H:$H,'inventory ledger'!$C:$C,C2264,'inventory ledger'!$D:$D,D2264,'inventory ledger'!$E:$E,E2264,'inventory ledger'!$A:$A,"&lt;="&amp;B2264+TIME(23,59,59))-SUMIFS('inventory ledger'!$I:$I,'inventory ledger'!$C:$C,C2264,'inventory ledger'!$D:$D,D2264,'inventory ledger'!$E:$E,E2264,'inventory ledger'!$A:$A,"&lt;="&amp;B2264+TIME(23,59,59)))</f>
        <v/>
      </c>
      <c r="G2264" s="3">
        <f>IFERROR(__xludf.DUMMYFUNCTION("IF(F2264&lt;=0,0,IFERROR(ROUNDUP(F2264/INDEX(FILTER('warehouse config'!$D:$D,('warehouse config'!$B:$B=C2264)*('warehouse config'!$C:$C=D2264)*('warehouse config'!$G:$G&lt;=B2264)*(('warehouse config'!$H:$H&gt;=B2264)+ISBLANK('warehouse config'!$H:$H))),1)),0))"),0.0)</f>
        <v>0</v>
      </c>
      <c r="H2264" s="3">
        <f>IFERROR(__xludf.DUMMYFUNCTION("IFERROR(INDEX(FILTER('cost master'!$E:$E,('cost master'!$B:$B=C2264)*('cost master'!$D:$D=""Storage cost per pallet / week"")*('cost master'!$G:$G&lt;=B2264)*(('cost master'!$H:$H&gt;=B2264)+ISBLANK('cost master'!$H:$H))),1),0)"),0.0)</f>
        <v>0</v>
      </c>
      <c r="I2264" s="3">
        <f t="shared" si="4"/>
        <v>0</v>
      </c>
      <c r="J2264" s="27">
        <f t="shared" si="5"/>
        <v>693947</v>
      </c>
      <c r="K2264" s="27">
        <f t="shared" si="6"/>
        <v>693977</v>
      </c>
    </row>
    <row r="2265" hidden="1">
      <c r="A2265" s="3" t="str">
        <f t="shared" si="3"/>
        <v/>
      </c>
      <c r="B2265" s="2" t="str">
        <f t="array" ref="B2265">INDEX(helper!$A$3:$A3996,ROUNDUP((ROW()-1)/COUNTA(helper!$D$3:$D3996),0))</f>
        <v/>
      </c>
      <c r="C2265" s="5" t="str">
        <f t="array" ref="C2265">IF(B2265="","",INDEX(helper!$D$3:$D3996,MOD(ROW()-2,COUNTA(helper!$D$3:$D3996))+1))</f>
        <v/>
      </c>
      <c r="D2265" s="3" t="str">
        <f t="array" ref="D2265">IF(B2265="","",INDEX(helper!$E$3:$E3996,MOD(ROW()-2,COUNTA(helper!$D$3:$D3996))+1))</f>
        <v/>
      </c>
      <c r="E2265" s="3" t="str">
        <f t="array" ref="E2265">IF(B2265="","",INDEX(helper!$F$3:$F3996,MOD(ROW()-2,COUNTA(helper!$D$3:$D3996))+1))</f>
        <v/>
      </c>
      <c r="F2265" s="3" t="str">
        <f>IF(B2265="","",SUMIFS('inventory ledger'!$H:$H,'inventory ledger'!$C:$C,C2265,'inventory ledger'!$D:$D,D2265,'inventory ledger'!$E:$E,E2265,'inventory ledger'!$A:$A,"&lt;="&amp;B2265+TIME(23,59,59))-SUMIFS('inventory ledger'!$I:$I,'inventory ledger'!$C:$C,C2265,'inventory ledger'!$D:$D,D2265,'inventory ledger'!$E:$E,E2265,'inventory ledger'!$A:$A,"&lt;="&amp;B2265+TIME(23,59,59)))</f>
        <v/>
      </c>
      <c r="G2265" s="3">
        <f>IFERROR(__xludf.DUMMYFUNCTION("IF(F2265&lt;=0,0,IFERROR(ROUNDUP(F2265/INDEX(FILTER('warehouse config'!$D:$D,('warehouse config'!$B:$B=C2265)*('warehouse config'!$C:$C=D2265)*('warehouse config'!$G:$G&lt;=B2265)*(('warehouse config'!$H:$H&gt;=B2265)+ISBLANK('warehouse config'!$H:$H))),1)),0))"),0.0)</f>
        <v>0</v>
      </c>
      <c r="H2265" s="3">
        <f>IFERROR(__xludf.DUMMYFUNCTION("IFERROR(INDEX(FILTER('cost master'!$E:$E,('cost master'!$B:$B=C2265)*('cost master'!$D:$D=""Storage cost per pallet / week"")*('cost master'!$G:$G&lt;=B2265)*(('cost master'!$H:$H&gt;=B2265)+ISBLANK('cost master'!$H:$H))),1),0)"),0.0)</f>
        <v>0</v>
      </c>
      <c r="I2265" s="3">
        <f t="shared" si="4"/>
        <v>0</v>
      </c>
      <c r="J2265" s="27">
        <f t="shared" si="5"/>
        <v>693947</v>
      </c>
      <c r="K2265" s="27">
        <f t="shared" si="6"/>
        <v>693977</v>
      </c>
    </row>
    <row r="2266" hidden="1">
      <c r="A2266" s="3" t="str">
        <f t="shared" si="3"/>
        <v/>
      </c>
      <c r="B2266" s="2" t="str">
        <f t="array" ref="B2266">INDEX(helper!$A$3:$A3996,ROUNDUP((ROW()-1)/COUNTA(helper!$D$3:$D3996),0))</f>
        <v/>
      </c>
      <c r="C2266" s="5" t="str">
        <f t="array" ref="C2266">IF(B2266="","",INDEX(helper!$D$3:$D3996,MOD(ROW()-2,COUNTA(helper!$D$3:$D3996))+1))</f>
        <v/>
      </c>
      <c r="D2266" s="3" t="str">
        <f t="array" ref="D2266">IF(B2266="","",INDEX(helper!$E$3:$E3996,MOD(ROW()-2,COUNTA(helper!$D$3:$D3996))+1))</f>
        <v/>
      </c>
      <c r="E2266" s="3" t="str">
        <f t="array" ref="E2266">IF(B2266="","",INDEX(helper!$F$3:$F3996,MOD(ROW()-2,COUNTA(helper!$D$3:$D3996))+1))</f>
        <v/>
      </c>
      <c r="F2266" s="3" t="str">
        <f>IF(B2266="","",SUMIFS('inventory ledger'!$H:$H,'inventory ledger'!$C:$C,C2266,'inventory ledger'!$D:$D,D2266,'inventory ledger'!$E:$E,E2266,'inventory ledger'!$A:$A,"&lt;="&amp;B2266+TIME(23,59,59))-SUMIFS('inventory ledger'!$I:$I,'inventory ledger'!$C:$C,C2266,'inventory ledger'!$D:$D,D2266,'inventory ledger'!$E:$E,E2266,'inventory ledger'!$A:$A,"&lt;="&amp;B2266+TIME(23,59,59)))</f>
        <v/>
      </c>
      <c r="G2266" s="3">
        <f>IFERROR(__xludf.DUMMYFUNCTION("IF(F2266&lt;=0,0,IFERROR(ROUNDUP(F2266/INDEX(FILTER('warehouse config'!$D:$D,('warehouse config'!$B:$B=C2266)*('warehouse config'!$C:$C=D2266)*('warehouse config'!$G:$G&lt;=B2266)*(('warehouse config'!$H:$H&gt;=B2266)+ISBLANK('warehouse config'!$H:$H))),1)),0))"),0.0)</f>
        <v>0</v>
      </c>
      <c r="H2266" s="3">
        <f>IFERROR(__xludf.DUMMYFUNCTION("IFERROR(INDEX(FILTER('cost master'!$E:$E,('cost master'!$B:$B=C2266)*('cost master'!$D:$D=""Storage cost per pallet / week"")*('cost master'!$G:$G&lt;=B2266)*(('cost master'!$H:$H&gt;=B2266)+ISBLANK('cost master'!$H:$H))),1),0)"),0.0)</f>
        <v>0</v>
      </c>
      <c r="I2266" s="3">
        <f t="shared" si="4"/>
        <v>0</v>
      </c>
      <c r="J2266" s="27">
        <f t="shared" si="5"/>
        <v>693947</v>
      </c>
      <c r="K2266" s="27">
        <f t="shared" si="6"/>
        <v>693977</v>
      </c>
    </row>
    <row r="2267" hidden="1">
      <c r="A2267" s="3" t="str">
        <f t="shared" si="3"/>
        <v/>
      </c>
      <c r="B2267" s="2" t="str">
        <f t="array" ref="B2267">INDEX(helper!$A$3:$A3996,ROUNDUP((ROW()-1)/COUNTA(helper!$D$3:$D3996),0))</f>
        <v/>
      </c>
      <c r="C2267" s="5" t="str">
        <f t="array" ref="C2267">IF(B2267="","",INDEX(helper!$D$3:$D3996,MOD(ROW()-2,COUNTA(helper!$D$3:$D3996))+1))</f>
        <v/>
      </c>
      <c r="D2267" s="3" t="str">
        <f t="array" ref="D2267">IF(B2267="","",INDEX(helper!$E$3:$E3996,MOD(ROW()-2,COUNTA(helper!$D$3:$D3996))+1))</f>
        <v/>
      </c>
      <c r="E2267" s="3" t="str">
        <f t="array" ref="E2267">IF(B2267="","",INDEX(helper!$F$3:$F3996,MOD(ROW()-2,COUNTA(helper!$D$3:$D3996))+1))</f>
        <v/>
      </c>
      <c r="F2267" s="3" t="str">
        <f>IF(B2267="","",SUMIFS('inventory ledger'!$H:$H,'inventory ledger'!$C:$C,C2267,'inventory ledger'!$D:$D,D2267,'inventory ledger'!$E:$E,E2267,'inventory ledger'!$A:$A,"&lt;="&amp;B2267+TIME(23,59,59))-SUMIFS('inventory ledger'!$I:$I,'inventory ledger'!$C:$C,C2267,'inventory ledger'!$D:$D,D2267,'inventory ledger'!$E:$E,E2267,'inventory ledger'!$A:$A,"&lt;="&amp;B2267+TIME(23,59,59)))</f>
        <v/>
      </c>
      <c r="G2267" s="3">
        <f>IFERROR(__xludf.DUMMYFUNCTION("IF(F2267&lt;=0,0,IFERROR(ROUNDUP(F2267/INDEX(FILTER('warehouse config'!$D:$D,('warehouse config'!$B:$B=C2267)*('warehouse config'!$C:$C=D2267)*('warehouse config'!$G:$G&lt;=B2267)*(('warehouse config'!$H:$H&gt;=B2267)+ISBLANK('warehouse config'!$H:$H))),1)),0))"),0.0)</f>
        <v>0</v>
      </c>
      <c r="H2267" s="3">
        <f>IFERROR(__xludf.DUMMYFUNCTION("IFERROR(INDEX(FILTER('cost master'!$E:$E,('cost master'!$B:$B=C2267)*('cost master'!$D:$D=""Storage cost per pallet / week"")*('cost master'!$G:$G&lt;=B2267)*(('cost master'!$H:$H&gt;=B2267)+ISBLANK('cost master'!$H:$H))),1),0)"),0.0)</f>
        <v>0</v>
      </c>
      <c r="I2267" s="3">
        <f t="shared" si="4"/>
        <v>0</v>
      </c>
      <c r="J2267" s="27">
        <f t="shared" si="5"/>
        <v>693947</v>
      </c>
      <c r="K2267" s="27">
        <f t="shared" si="6"/>
        <v>693977</v>
      </c>
    </row>
    <row r="2268" hidden="1">
      <c r="A2268" s="3" t="str">
        <f t="shared" si="3"/>
        <v/>
      </c>
      <c r="B2268" s="2" t="str">
        <f t="array" ref="B2268">INDEX(helper!$A$3:$A3996,ROUNDUP((ROW()-1)/COUNTA(helper!$D$3:$D3996),0))</f>
        <v/>
      </c>
      <c r="C2268" s="5" t="str">
        <f t="array" ref="C2268">IF(B2268="","",INDEX(helper!$D$3:$D3996,MOD(ROW()-2,COUNTA(helper!$D$3:$D3996))+1))</f>
        <v/>
      </c>
      <c r="D2268" s="3" t="str">
        <f t="array" ref="D2268">IF(B2268="","",INDEX(helper!$E$3:$E3996,MOD(ROW()-2,COUNTA(helper!$D$3:$D3996))+1))</f>
        <v/>
      </c>
      <c r="E2268" s="3" t="str">
        <f t="array" ref="E2268">IF(B2268="","",INDEX(helper!$F$3:$F3996,MOD(ROW()-2,COUNTA(helper!$D$3:$D3996))+1))</f>
        <v/>
      </c>
      <c r="F2268" s="3" t="str">
        <f>IF(B2268="","",SUMIFS('inventory ledger'!$H:$H,'inventory ledger'!$C:$C,C2268,'inventory ledger'!$D:$D,D2268,'inventory ledger'!$E:$E,E2268,'inventory ledger'!$A:$A,"&lt;="&amp;B2268+TIME(23,59,59))-SUMIFS('inventory ledger'!$I:$I,'inventory ledger'!$C:$C,C2268,'inventory ledger'!$D:$D,D2268,'inventory ledger'!$E:$E,E2268,'inventory ledger'!$A:$A,"&lt;="&amp;B2268+TIME(23,59,59)))</f>
        <v/>
      </c>
      <c r="G2268" s="3">
        <f>IFERROR(__xludf.DUMMYFUNCTION("IF(F2268&lt;=0,0,IFERROR(ROUNDUP(F2268/INDEX(FILTER('warehouse config'!$D:$D,('warehouse config'!$B:$B=C2268)*('warehouse config'!$C:$C=D2268)*('warehouse config'!$G:$G&lt;=B2268)*(('warehouse config'!$H:$H&gt;=B2268)+ISBLANK('warehouse config'!$H:$H))),1)),0))"),0.0)</f>
        <v>0</v>
      </c>
      <c r="H2268" s="3">
        <f>IFERROR(__xludf.DUMMYFUNCTION("IFERROR(INDEX(FILTER('cost master'!$E:$E,('cost master'!$B:$B=C2268)*('cost master'!$D:$D=""Storage cost per pallet / week"")*('cost master'!$G:$G&lt;=B2268)*(('cost master'!$H:$H&gt;=B2268)+ISBLANK('cost master'!$H:$H))),1),0)"),0.0)</f>
        <v>0</v>
      </c>
      <c r="I2268" s="3">
        <f t="shared" si="4"/>
        <v>0</v>
      </c>
      <c r="J2268" s="27">
        <f t="shared" si="5"/>
        <v>693947</v>
      </c>
      <c r="K2268" s="27">
        <f t="shared" si="6"/>
        <v>693977</v>
      </c>
    </row>
    <row r="2269" hidden="1">
      <c r="A2269" s="3" t="str">
        <f t="shared" si="3"/>
        <v/>
      </c>
      <c r="B2269" s="2" t="str">
        <f t="array" ref="B2269">INDEX(helper!$A$3:$A3996,ROUNDUP((ROW()-1)/COUNTA(helper!$D$3:$D3996),0))</f>
        <v/>
      </c>
      <c r="C2269" s="5" t="str">
        <f t="array" ref="C2269">IF(B2269="","",INDEX(helper!$D$3:$D3996,MOD(ROW()-2,COUNTA(helper!$D$3:$D3996))+1))</f>
        <v/>
      </c>
      <c r="D2269" s="3" t="str">
        <f t="array" ref="D2269">IF(B2269="","",INDEX(helper!$E$3:$E3996,MOD(ROW()-2,COUNTA(helper!$D$3:$D3996))+1))</f>
        <v/>
      </c>
      <c r="E2269" s="3" t="str">
        <f t="array" ref="E2269">IF(B2269="","",INDEX(helper!$F$3:$F3996,MOD(ROW()-2,COUNTA(helper!$D$3:$D3996))+1))</f>
        <v/>
      </c>
      <c r="F2269" s="3" t="str">
        <f>IF(B2269="","",SUMIFS('inventory ledger'!$H:$H,'inventory ledger'!$C:$C,C2269,'inventory ledger'!$D:$D,D2269,'inventory ledger'!$E:$E,E2269,'inventory ledger'!$A:$A,"&lt;="&amp;B2269+TIME(23,59,59))-SUMIFS('inventory ledger'!$I:$I,'inventory ledger'!$C:$C,C2269,'inventory ledger'!$D:$D,D2269,'inventory ledger'!$E:$E,E2269,'inventory ledger'!$A:$A,"&lt;="&amp;B2269+TIME(23,59,59)))</f>
        <v/>
      </c>
      <c r="G2269" s="3">
        <f>IFERROR(__xludf.DUMMYFUNCTION("IF(F2269&lt;=0,0,IFERROR(ROUNDUP(F2269/INDEX(FILTER('warehouse config'!$D:$D,('warehouse config'!$B:$B=C2269)*('warehouse config'!$C:$C=D2269)*('warehouse config'!$G:$G&lt;=B2269)*(('warehouse config'!$H:$H&gt;=B2269)+ISBLANK('warehouse config'!$H:$H))),1)),0))"),0.0)</f>
        <v>0</v>
      </c>
      <c r="H2269" s="3">
        <f>IFERROR(__xludf.DUMMYFUNCTION("IFERROR(INDEX(FILTER('cost master'!$E:$E,('cost master'!$B:$B=C2269)*('cost master'!$D:$D=""Storage cost per pallet / week"")*('cost master'!$G:$G&lt;=B2269)*(('cost master'!$H:$H&gt;=B2269)+ISBLANK('cost master'!$H:$H))),1),0)"),0.0)</f>
        <v>0</v>
      </c>
      <c r="I2269" s="3">
        <f t="shared" si="4"/>
        <v>0</v>
      </c>
      <c r="J2269" s="27">
        <f t="shared" si="5"/>
        <v>693947</v>
      </c>
      <c r="K2269" s="27">
        <f t="shared" si="6"/>
        <v>693977</v>
      </c>
    </row>
    <row r="2270" hidden="1">
      <c r="A2270" s="3" t="str">
        <f t="shared" si="3"/>
        <v/>
      </c>
      <c r="B2270" s="2" t="str">
        <f t="array" ref="B2270">INDEX(helper!$A$3:$A3996,ROUNDUP((ROW()-1)/COUNTA(helper!$D$3:$D3996),0))</f>
        <v/>
      </c>
      <c r="C2270" s="5" t="str">
        <f t="array" ref="C2270">IF(B2270="","",INDEX(helper!$D$3:$D3996,MOD(ROW()-2,COUNTA(helper!$D$3:$D3996))+1))</f>
        <v/>
      </c>
      <c r="D2270" s="3" t="str">
        <f t="array" ref="D2270">IF(B2270="","",INDEX(helper!$E$3:$E3996,MOD(ROW()-2,COUNTA(helper!$D$3:$D3996))+1))</f>
        <v/>
      </c>
      <c r="E2270" s="3" t="str">
        <f t="array" ref="E2270">IF(B2270="","",INDEX(helper!$F$3:$F3996,MOD(ROW()-2,COUNTA(helper!$D$3:$D3996))+1))</f>
        <v/>
      </c>
      <c r="F2270" s="3" t="str">
        <f>IF(B2270="","",SUMIFS('inventory ledger'!$H:$H,'inventory ledger'!$C:$C,C2270,'inventory ledger'!$D:$D,D2270,'inventory ledger'!$E:$E,E2270,'inventory ledger'!$A:$A,"&lt;="&amp;B2270+TIME(23,59,59))-SUMIFS('inventory ledger'!$I:$I,'inventory ledger'!$C:$C,C2270,'inventory ledger'!$D:$D,D2270,'inventory ledger'!$E:$E,E2270,'inventory ledger'!$A:$A,"&lt;="&amp;B2270+TIME(23,59,59)))</f>
        <v/>
      </c>
      <c r="G2270" s="3">
        <f>IFERROR(__xludf.DUMMYFUNCTION("IF(F2270&lt;=0,0,IFERROR(ROUNDUP(F2270/INDEX(FILTER('warehouse config'!$D:$D,('warehouse config'!$B:$B=C2270)*('warehouse config'!$C:$C=D2270)*('warehouse config'!$G:$G&lt;=B2270)*(('warehouse config'!$H:$H&gt;=B2270)+ISBLANK('warehouse config'!$H:$H))),1)),0))"),0.0)</f>
        <v>0</v>
      </c>
      <c r="H2270" s="3">
        <f>IFERROR(__xludf.DUMMYFUNCTION("IFERROR(INDEX(FILTER('cost master'!$E:$E,('cost master'!$B:$B=C2270)*('cost master'!$D:$D=""Storage cost per pallet / week"")*('cost master'!$G:$G&lt;=B2270)*(('cost master'!$H:$H&gt;=B2270)+ISBLANK('cost master'!$H:$H))),1),0)"),0.0)</f>
        <v>0</v>
      </c>
      <c r="I2270" s="3">
        <f t="shared" si="4"/>
        <v>0</v>
      </c>
      <c r="J2270" s="27">
        <f t="shared" si="5"/>
        <v>693947</v>
      </c>
      <c r="K2270" s="27">
        <f t="shared" si="6"/>
        <v>693977</v>
      </c>
    </row>
    <row r="2271" hidden="1">
      <c r="A2271" s="3" t="str">
        <f t="shared" si="3"/>
        <v/>
      </c>
      <c r="B2271" s="2" t="str">
        <f t="array" ref="B2271">INDEX(helper!$A$3:$A3996,ROUNDUP((ROW()-1)/COUNTA(helper!$D$3:$D3996),0))</f>
        <v/>
      </c>
      <c r="C2271" s="5" t="str">
        <f t="array" ref="C2271">IF(B2271="","",INDEX(helper!$D$3:$D3996,MOD(ROW()-2,COUNTA(helper!$D$3:$D3996))+1))</f>
        <v/>
      </c>
      <c r="D2271" s="3" t="str">
        <f t="array" ref="D2271">IF(B2271="","",INDEX(helper!$E$3:$E3996,MOD(ROW()-2,COUNTA(helper!$D$3:$D3996))+1))</f>
        <v/>
      </c>
      <c r="E2271" s="3" t="str">
        <f t="array" ref="E2271">IF(B2271="","",INDEX(helper!$F$3:$F3996,MOD(ROW()-2,COUNTA(helper!$D$3:$D3996))+1))</f>
        <v/>
      </c>
      <c r="F2271" s="3" t="str">
        <f>IF(B2271="","",SUMIFS('inventory ledger'!$H:$H,'inventory ledger'!$C:$C,C2271,'inventory ledger'!$D:$D,D2271,'inventory ledger'!$E:$E,E2271,'inventory ledger'!$A:$A,"&lt;="&amp;B2271+TIME(23,59,59))-SUMIFS('inventory ledger'!$I:$I,'inventory ledger'!$C:$C,C2271,'inventory ledger'!$D:$D,D2271,'inventory ledger'!$E:$E,E2271,'inventory ledger'!$A:$A,"&lt;="&amp;B2271+TIME(23,59,59)))</f>
        <v/>
      </c>
      <c r="G2271" s="3">
        <f>IFERROR(__xludf.DUMMYFUNCTION("IF(F2271&lt;=0,0,IFERROR(ROUNDUP(F2271/INDEX(FILTER('warehouse config'!$D:$D,('warehouse config'!$B:$B=C2271)*('warehouse config'!$C:$C=D2271)*('warehouse config'!$G:$G&lt;=B2271)*(('warehouse config'!$H:$H&gt;=B2271)+ISBLANK('warehouse config'!$H:$H))),1)),0))"),0.0)</f>
        <v>0</v>
      </c>
      <c r="H2271" s="3">
        <f>IFERROR(__xludf.DUMMYFUNCTION("IFERROR(INDEX(FILTER('cost master'!$E:$E,('cost master'!$B:$B=C2271)*('cost master'!$D:$D=""Storage cost per pallet / week"")*('cost master'!$G:$G&lt;=B2271)*(('cost master'!$H:$H&gt;=B2271)+ISBLANK('cost master'!$H:$H))),1),0)"),0.0)</f>
        <v>0</v>
      </c>
      <c r="I2271" s="3">
        <f t="shared" si="4"/>
        <v>0</v>
      </c>
      <c r="J2271" s="27">
        <f t="shared" si="5"/>
        <v>693947</v>
      </c>
      <c r="K2271" s="27">
        <f t="shared" si="6"/>
        <v>693977</v>
      </c>
    </row>
    <row r="2272" hidden="1">
      <c r="A2272" s="3" t="str">
        <f t="shared" si="3"/>
        <v/>
      </c>
      <c r="B2272" s="2" t="str">
        <f t="array" ref="B2272">INDEX(helper!$A$3:$A3996,ROUNDUP((ROW()-1)/COUNTA(helper!$D$3:$D3996),0))</f>
        <v/>
      </c>
      <c r="C2272" s="5" t="str">
        <f t="array" ref="C2272">IF(B2272="","",INDEX(helper!$D$3:$D3996,MOD(ROW()-2,COUNTA(helper!$D$3:$D3996))+1))</f>
        <v/>
      </c>
      <c r="D2272" s="3" t="str">
        <f t="array" ref="D2272">IF(B2272="","",INDEX(helper!$E$3:$E3996,MOD(ROW()-2,COUNTA(helper!$D$3:$D3996))+1))</f>
        <v/>
      </c>
      <c r="E2272" s="3" t="str">
        <f t="array" ref="E2272">IF(B2272="","",INDEX(helper!$F$3:$F3996,MOD(ROW()-2,COUNTA(helper!$D$3:$D3996))+1))</f>
        <v/>
      </c>
      <c r="F2272" s="3" t="str">
        <f>IF(B2272="","",SUMIFS('inventory ledger'!$H:$H,'inventory ledger'!$C:$C,C2272,'inventory ledger'!$D:$D,D2272,'inventory ledger'!$E:$E,E2272,'inventory ledger'!$A:$A,"&lt;="&amp;B2272+TIME(23,59,59))-SUMIFS('inventory ledger'!$I:$I,'inventory ledger'!$C:$C,C2272,'inventory ledger'!$D:$D,D2272,'inventory ledger'!$E:$E,E2272,'inventory ledger'!$A:$A,"&lt;="&amp;B2272+TIME(23,59,59)))</f>
        <v/>
      </c>
      <c r="G2272" s="3">
        <f>IFERROR(__xludf.DUMMYFUNCTION("IF(F2272&lt;=0,0,IFERROR(ROUNDUP(F2272/INDEX(FILTER('warehouse config'!$D:$D,('warehouse config'!$B:$B=C2272)*('warehouse config'!$C:$C=D2272)*('warehouse config'!$G:$G&lt;=B2272)*(('warehouse config'!$H:$H&gt;=B2272)+ISBLANK('warehouse config'!$H:$H))),1)),0))"),0.0)</f>
        <v>0</v>
      </c>
      <c r="H2272" s="3">
        <f>IFERROR(__xludf.DUMMYFUNCTION("IFERROR(INDEX(FILTER('cost master'!$E:$E,('cost master'!$B:$B=C2272)*('cost master'!$D:$D=""Storage cost per pallet / week"")*('cost master'!$G:$G&lt;=B2272)*(('cost master'!$H:$H&gt;=B2272)+ISBLANK('cost master'!$H:$H))),1),0)"),0.0)</f>
        <v>0</v>
      </c>
      <c r="I2272" s="3">
        <f t="shared" si="4"/>
        <v>0</v>
      </c>
      <c r="J2272" s="27">
        <f t="shared" si="5"/>
        <v>693947</v>
      </c>
      <c r="K2272" s="27">
        <f t="shared" si="6"/>
        <v>693977</v>
      </c>
    </row>
    <row r="2273" hidden="1">
      <c r="A2273" s="3" t="str">
        <f t="shared" si="3"/>
        <v/>
      </c>
      <c r="B2273" s="2" t="str">
        <f t="array" ref="B2273">INDEX(helper!$A$3:$A3996,ROUNDUP((ROW()-1)/COUNTA(helper!$D$3:$D3996),0))</f>
        <v/>
      </c>
      <c r="C2273" s="5" t="str">
        <f t="array" ref="C2273">IF(B2273="","",INDEX(helper!$D$3:$D3996,MOD(ROW()-2,COUNTA(helper!$D$3:$D3996))+1))</f>
        <v/>
      </c>
      <c r="D2273" s="3" t="str">
        <f t="array" ref="D2273">IF(B2273="","",INDEX(helper!$E$3:$E3996,MOD(ROW()-2,COUNTA(helper!$D$3:$D3996))+1))</f>
        <v/>
      </c>
      <c r="E2273" s="3" t="str">
        <f t="array" ref="E2273">IF(B2273="","",INDEX(helper!$F$3:$F3996,MOD(ROW()-2,COUNTA(helper!$D$3:$D3996))+1))</f>
        <v/>
      </c>
      <c r="F2273" s="3" t="str">
        <f>IF(B2273="","",SUMIFS('inventory ledger'!$H:$H,'inventory ledger'!$C:$C,C2273,'inventory ledger'!$D:$D,D2273,'inventory ledger'!$E:$E,E2273,'inventory ledger'!$A:$A,"&lt;="&amp;B2273+TIME(23,59,59))-SUMIFS('inventory ledger'!$I:$I,'inventory ledger'!$C:$C,C2273,'inventory ledger'!$D:$D,D2273,'inventory ledger'!$E:$E,E2273,'inventory ledger'!$A:$A,"&lt;="&amp;B2273+TIME(23,59,59)))</f>
        <v/>
      </c>
      <c r="G2273" s="3">
        <f>IFERROR(__xludf.DUMMYFUNCTION("IF(F2273&lt;=0,0,IFERROR(ROUNDUP(F2273/INDEX(FILTER('warehouse config'!$D:$D,('warehouse config'!$B:$B=C2273)*('warehouse config'!$C:$C=D2273)*('warehouse config'!$G:$G&lt;=B2273)*(('warehouse config'!$H:$H&gt;=B2273)+ISBLANK('warehouse config'!$H:$H))),1)),0))"),0.0)</f>
        <v>0</v>
      </c>
      <c r="H2273" s="3">
        <f>IFERROR(__xludf.DUMMYFUNCTION("IFERROR(INDEX(FILTER('cost master'!$E:$E,('cost master'!$B:$B=C2273)*('cost master'!$D:$D=""Storage cost per pallet / week"")*('cost master'!$G:$G&lt;=B2273)*(('cost master'!$H:$H&gt;=B2273)+ISBLANK('cost master'!$H:$H))),1),0)"),0.0)</f>
        <v>0</v>
      </c>
      <c r="I2273" s="3">
        <f t="shared" si="4"/>
        <v>0</v>
      </c>
      <c r="J2273" s="27">
        <f t="shared" si="5"/>
        <v>693947</v>
      </c>
      <c r="K2273" s="27">
        <f t="shared" si="6"/>
        <v>693977</v>
      </c>
    </row>
    <row r="2274" hidden="1">
      <c r="A2274" s="3" t="str">
        <f t="shared" si="3"/>
        <v/>
      </c>
      <c r="B2274" s="2" t="str">
        <f t="array" ref="B2274">INDEX(helper!$A$3:$A3996,ROUNDUP((ROW()-1)/COUNTA(helper!$D$3:$D3996),0))</f>
        <v/>
      </c>
      <c r="C2274" s="5" t="str">
        <f t="array" ref="C2274">IF(B2274="","",INDEX(helper!$D$3:$D3996,MOD(ROW()-2,COUNTA(helper!$D$3:$D3996))+1))</f>
        <v/>
      </c>
      <c r="D2274" s="3" t="str">
        <f t="array" ref="D2274">IF(B2274="","",INDEX(helper!$E$3:$E3996,MOD(ROW()-2,COUNTA(helper!$D$3:$D3996))+1))</f>
        <v/>
      </c>
      <c r="E2274" s="3" t="str">
        <f t="array" ref="E2274">IF(B2274="","",INDEX(helper!$F$3:$F3996,MOD(ROW()-2,COUNTA(helper!$D$3:$D3996))+1))</f>
        <v/>
      </c>
      <c r="F2274" s="3" t="str">
        <f>IF(B2274="","",SUMIFS('inventory ledger'!$H:$H,'inventory ledger'!$C:$C,C2274,'inventory ledger'!$D:$D,D2274,'inventory ledger'!$E:$E,E2274,'inventory ledger'!$A:$A,"&lt;="&amp;B2274+TIME(23,59,59))-SUMIFS('inventory ledger'!$I:$I,'inventory ledger'!$C:$C,C2274,'inventory ledger'!$D:$D,D2274,'inventory ledger'!$E:$E,E2274,'inventory ledger'!$A:$A,"&lt;="&amp;B2274+TIME(23,59,59)))</f>
        <v/>
      </c>
      <c r="G2274" s="3">
        <f>IFERROR(__xludf.DUMMYFUNCTION("IF(F2274&lt;=0,0,IFERROR(ROUNDUP(F2274/INDEX(FILTER('warehouse config'!$D:$D,('warehouse config'!$B:$B=C2274)*('warehouse config'!$C:$C=D2274)*('warehouse config'!$G:$G&lt;=B2274)*(('warehouse config'!$H:$H&gt;=B2274)+ISBLANK('warehouse config'!$H:$H))),1)),0))"),0.0)</f>
        <v>0</v>
      </c>
      <c r="H2274" s="3">
        <f>IFERROR(__xludf.DUMMYFUNCTION("IFERROR(INDEX(FILTER('cost master'!$E:$E,('cost master'!$B:$B=C2274)*('cost master'!$D:$D=""Storage cost per pallet / week"")*('cost master'!$G:$G&lt;=B2274)*(('cost master'!$H:$H&gt;=B2274)+ISBLANK('cost master'!$H:$H))),1),0)"),0.0)</f>
        <v>0</v>
      </c>
      <c r="I2274" s="3">
        <f t="shared" si="4"/>
        <v>0</v>
      </c>
      <c r="J2274" s="27">
        <f t="shared" si="5"/>
        <v>693947</v>
      </c>
      <c r="K2274" s="27">
        <f t="shared" si="6"/>
        <v>693977</v>
      </c>
    </row>
    <row r="2275" hidden="1">
      <c r="A2275" s="3" t="str">
        <f t="shared" si="3"/>
        <v/>
      </c>
      <c r="B2275" s="2" t="str">
        <f t="array" ref="B2275">INDEX(helper!$A$3:$A3996,ROUNDUP((ROW()-1)/COUNTA(helper!$D$3:$D3996),0))</f>
        <v/>
      </c>
      <c r="C2275" s="5" t="str">
        <f t="array" ref="C2275">IF(B2275="","",INDEX(helper!$D$3:$D3996,MOD(ROW()-2,COUNTA(helper!$D$3:$D3996))+1))</f>
        <v/>
      </c>
      <c r="D2275" s="3" t="str">
        <f t="array" ref="D2275">IF(B2275="","",INDEX(helper!$E$3:$E3996,MOD(ROW()-2,COUNTA(helper!$D$3:$D3996))+1))</f>
        <v/>
      </c>
      <c r="E2275" s="3" t="str">
        <f t="array" ref="E2275">IF(B2275="","",INDEX(helper!$F$3:$F3996,MOD(ROW()-2,COUNTA(helper!$D$3:$D3996))+1))</f>
        <v/>
      </c>
      <c r="F2275" s="3" t="str">
        <f>IF(B2275="","",SUMIFS('inventory ledger'!$H:$H,'inventory ledger'!$C:$C,C2275,'inventory ledger'!$D:$D,D2275,'inventory ledger'!$E:$E,E2275,'inventory ledger'!$A:$A,"&lt;="&amp;B2275+TIME(23,59,59))-SUMIFS('inventory ledger'!$I:$I,'inventory ledger'!$C:$C,C2275,'inventory ledger'!$D:$D,D2275,'inventory ledger'!$E:$E,E2275,'inventory ledger'!$A:$A,"&lt;="&amp;B2275+TIME(23,59,59)))</f>
        <v/>
      </c>
      <c r="G2275" s="3">
        <f>IFERROR(__xludf.DUMMYFUNCTION("IF(F2275&lt;=0,0,IFERROR(ROUNDUP(F2275/INDEX(FILTER('warehouse config'!$D:$D,('warehouse config'!$B:$B=C2275)*('warehouse config'!$C:$C=D2275)*('warehouse config'!$G:$G&lt;=B2275)*(('warehouse config'!$H:$H&gt;=B2275)+ISBLANK('warehouse config'!$H:$H))),1)),0))"),0.0)</f>
        <v>0</v>
      </c>
      <c r="H2275" s="3">
        <f>IFERROR(__xludf.DUMMYFUNCTION("IFERROR(INDEX(FILTER('cost master'!$E:$E,('cost master'!$B:$B=C2275)*('cost master'!$D:$D=""Storage cost per pallet / week"")*('cost master'!$G:$G&lt;=B2275)*(('cost master'!$H:$H&gt;=B2275)+ISBLANK('cost master'!$H:$H))),1),0)"),0.0)</f>
        <v>0</v>
      </c>
      <c r="I2275" s="3">
        <f t="shared" si="4"/>
        <v>0</v>
      </c>
      <c r="J2275" s="27">
        <f t="shared" si="5"/>
        <v>693947</v>
      </c>
      <c r="K2275" s="27">
        <f t="shared" si="6"/>
        <v>693977</v>
      </c>
    </row>
    <row r="2276" hidden="1">
      <c r="A2276" s="3" t="str">
        <f t="shared" si="3"/>
        <v/>
      </c>
      <c r="B2276" s="2" t="str">
        <f t="array" ref="B2276">INDEX(helper!$A$3:$A3996,ROUNDUP((ROW()-1)/COUNTA(helper!$D$3:$D3996),0))</f>
        <v/>
      </c>
      <c r="C2276" s="5" t="str">
        <f t="array" ref="C2276">IF(B2276="","",INDEX(helper!$D$3:$D3996,MOD(ROW()-2,COUNTA(helper!$D$3:$D3996))+1))</f>
        <v/>
      </c>
      <c r="D2276" s="3" t="str">
        <f t="array" ref="D2276">IF(B2276="","",INDEX(helper!$E$3:$E3996,MOD(ROW()-2,COUNTA(helper!$D$3:$D3996))+1))</f>
        <v/>
      </c>
      <c r="E2276" s="3" t="str">
        <f t="array" ref="E2276">IF(B2276="","",INDEX(helper!$F$3:$F3996,MOD(ROW()-2,COUNTA(helper!$D$3:$D3996))+1))</f>
        <v/>
      </c>
      <c r="F2276" s="3" t="str">
        <f>IF(B2276="","",SUMIFS('inventory ledger'!$H:$H,'inventory ledger'!$C:$C,C2276,'inventory ledger'!$D:$D,D2276,'inventory ledger'!$E:$E,E2276,'inventory ledger'!$A:$A,"&lt;="&amp;B2276+TIME(23,59,59))-SUMIFS('inventory ledger'!$I:$I,'inventory ledger'!$C:$C,C2276,'inventory ledger'!$D:$D,D2276,'inventory ledger'!$E:$E,E2276,'inventory ledger'!$A:$A,"&lt;="&amp;B2276+TIME(23,59,59)))</f>
        <v/>
      </c>
      <c r="G2276" s="3">
        <f>IFERROR(__xludf.DUMMYFUNCTION("IF(F2276&lt;=0,0,IFERROR(ROUNDUP(F2276/INDEX(FILTER('warehouse config'!$D:$D,('warehouse config'!$B:$B=C2276)*('warehouse config'!$C:$C=D2276)*('warehouse config'!$G:$G&lt;=B2276)*(('warehouse config'!$H:$H&gt;=B2276)+ISBLANK('warehouse config'!$H:$H))),1)),0))"),0.0)</f>
        <v>0</v>
      </c>
      <c r="H2276" s="3">
        <f>IFERROR(__xludf.DUMMYFUNCTION("IFERROR(INDEX(FILTER('cost master'!$E:$E,('cost master'!$B:$B=C2276)*('cost master'!$D:$D=""Storage cost per pallet / week"")*('cost master'!$G:$G&lt;=B2276)*(('cost master'!$H:$H&gt;=B2276)+ISBLANK('cost master'!$H:$H))),1),0)"),0.0)</f>
        <v>0</v>
      </c>
      <c r="I2276" s="3">
        <f t="shared" si="4"/>
        <v>0</v>
      </c>
      <c r="J2276" s="27">
        <f t="shared" si="5"/>
        <v>693947</v>
      </c>
      <c r="K2276" s="27">
        <f t="shared" si="6"/>
        <v>693977</v>
      </c>
    </row>
    <row r="2277" hidden="1">
      <c r="A2277" s="3" t="str">
        <f t="shared" si="3"/>
        <v/>
      </c>
      <c r="B2277" s="2" t="str">
        <f t="array" ref="B2277">INDEX(helper!$A$3:$A3996,ROUNDUP((ROW()-1)/COUNTA(helper!$D$3:$D3996),0))</f>
        <v/>
      </c>
      <c r="C2277" s="5" t="str">
        <f t="array" ref="C2277">IF(B2277="","",INDEX(helper!$D$3:$D3996,MOD(ROW()-2,COUNTA(helper!$D$3:$D3996))+1))</f>
        <v/>
      </c>
      <c r="D2277" s="3" t="str">
        <f t="array" ref="D2277">IF(B2277="","",INDEX(helper!$E$3:$E3996,MOD(ROW()-2,COUNTA(helper!$D$3:$D3996))+1))</f>
        <v/>
      </c>
      <c r="E2277" s="3" t="str">
        <f t="array" ref="E2277">IF(B2277="","",INDEX(helper!$F$3:$F3996,MOD(ROW()-2,COUNTA(helper!$D$3:$D3996))+1))</f>
        <v/>
      </c>
      <c r="F2277" s="3" t="str">
        <f>IF(B2277="","",SUMIFS('inventory ledger'!$H:$H,'inventory ledger'!$C:$C,C2277,'inventory ledger'!$D:$D,D2277,'inventory ledger'!$E:$E,E2277,'inventory ledger'!$A:$A,"&lt;="&amp;B2277+TIME(23,59,59))-SUMIFS('inventory ledger'!$I:$I,'inventory ledger'!$C:$C,C2277,'inventory ledger'!$D:$D,D2277,'inventory ledger'!$E:$E,E2277,'inventory ledger'!$A:$A,"&lt;="&amp;B2277+TIME(23,59,59)))</f>
        <v/>
      </c>
      <c r="G2277" s="3">
        <f>IFERROR(__xludf.DUMMYFUNCTION("IF(F2277&lt;=0,0,IFERROR(ROUNDUP(F2277/INDEX(FILTER('warehouse config'!$D:$D,('warehouse config'!$B:$B=C2277)*('warehouse config'!$C:$C=D2277)*('warehouse config'!$G:$G&lt;=B2277)*(('warehouse config'!$H:$H&gt;=B2277)+ISBLANK('warehouse config'!$H:$H))),1)),0))"),0.0)</f>
        <v>0</v>
      </c>
      <c r="H2277" s="3">
        <f>IFERROR(__xludf.DUMMYFUNCTION("IFERROR(INDEX(FILTER('cost master'!$E:$E,('cost master'!$B:$B=C2277)*('cost master'!$D:$D=""Storage cost per pallet / week"")*('cost master'!$G:$G&lt;=B2277)*(('cost master'!$H:$H&gt;=B2277)+ISBLANK('cost master'!$H:$H))),1),0)"),0.0)</f>
        <v>0</v>
      </c>
      <c r="I2277" s="3">
        <f t="shared" si="4"/>
        <v>0</v>
      </c>
      <c r="J2277" s="27">
        <f t="shared" si="5"/>
        <v>693947</v>
      </c>
      <c r="K2277" s="27">
        <f t="shared" si="6"/>
        <v>693977</v>
      </c>
    </row>
    <row r="2278" hidden="1">
      <c r="A2278" s="3" t="str">
        <f t="shared" si="3"/>
        <v/>
      </c>
      <c r="B2278" s="2" t="str">
        <f t="array" ref="B2278">INDEX(helper!$A$3:$A3996,ROUNDUP((ROW()-1)/COUNTA(helper!$D$3:$D3996),0))</f>
        <v/>
      </c>
      <c r="C2278" s="5" t="str">
        <f t="array" ref="C2278">IF(B2278="","",INDEX(helper!$D$3:$D3996,MOD(ROW()-2,COUNTA(helper!$D$3:$D3996))+1))</f>
        <v/>
      </c>
      <c r="D2278" s="3" t="str">
        <f t="array" ref="D2278">IF(B2278="","",INDEX(helper!$E$3:$E3996,MOD(ROW()-2,COUNTA(helper!$D$3:$D3996))+1))</f>
        <v/>
      </c>
      <c r="E2278" s="3" t="str">
        <f t="array" ref="E2278">IF(B2278="","",INDEX(helper!$F$3:$F3996,MOD(ROW()-2,COUNTA(helper!$D$3:$D3996))+1))</f>
        <v/>
      </c>
      <c r="F2278" s="3" t="str">
        <f>IF(B2278="","",SUMIFS('inventory ledger'!$H:$H,'inventory ledger'!$C:$C,C2278,'inventory ledger'!$D:$D,D2278,'inventory ledger'!$E:$E,E2278,'inventory ledger'!$A:$A,"&lt;="&amp;B2278+TIME(23,59,59))-SUMIFS('inventory ledger'!$I:$I,'inventory ledger'!$C:$C,C2278,'inventory ledger'!$D:$D,D2278,'inventory ledger'!$E:$E,E2278,'inventory ledger'!$A:$A,"&lt;="&amp;B2278+TIME(23,59,59)))</f>
        <v/>
      </c>
      <c r="G2278" s="3">
        <f>IFERROR(__xludf.DUMMYFUNCTION("IF(F2278&lt;=0,0,IFERROR(ROUNDUP(F2278/INDEX(FILTER('warehouse config'!$D:$D,('warehouse config'!$B:$B=C2278)*('warehouse config'!$C:$C=D2278)*('warehouse config'!$G:$G&lt;=B2278)*(('warehouse config'!$H:$H&gt;=B2278)+ISBLANK('warehouse config'!$H:$H))),1)),0))"),0.0)</f>
        <v>0</v>
      </c>
      <c r="H2278" s="3">
        <f>IFERROR(__xludf.DUMMYFUNCTION("IFERROR(INDEX(FILTER('cost master'!$E:$E,('cost master'!$B:$B=C2278)*('cost master'!$D:$D=""Storage cost per pallet / week"")*('cost master'!$G:$G&lt;=B2278)*(('cost master'!$H:$H&gt;=B2278)+ISBLANK('cost master'!$H:$H))),1),0)"),0.0)</f>
        <v>0</v>
      </c>
      <c r="I2278" s="3">
        <f t="shared" si="4"/>
        <v>0</v>
      </c>
      <c r="J2278" s="27">
        <f t="shared" si="5"/>
        <v>693947</v>
      </c>
      <c r="K2278" s="27">
        <f t="shared" si="6"/>
        <v>693977</v>
      </c>
    </row>
    <row r="2279" hidden="1">
      <c r="A2279" s="3" t="str">
        <f t="shared" si="3"/>
        <v/>
      </c>
      <c r="B2279" s="2" t="str">
        <f t="array" ref="B2279">INDEX(helper!$A$3:$A3996,ROUNDUP((ROW()-1)/COUNTA(helper!$D$3:$D3996),0))</f>
        <v/>
      </c>
      <c r="C2279" s="5" t="str">
        <f t="array" ref="C2279">IF(B2279="","",INDEX(helper!$D$3:$D3996,MOD(ROW()-2,COUNTA(helper!$D$3:$D3996))+1))</f>
        <v/>
      </c>
      <c r="D2279" s="3" t="str">
        <f t="array" ref="D2279">IF(B2279="","",INDEX(helper!$E$3:$E3996,MOD(ROW()-2,COUNTA(helper!$D$3:$D3996))+1))</f>
        <v/>
      </c>
      <c r="E2279" s="3" t="str">
        <f t="array" ref="E2279">IF(B2279="","",INDEX(helper!$F$3:$F3996,MOD(ROW()-2,COUNTA(helper!$D$3:$D3996))+1))</f>
        <v/>
      </c>
      <c r="F2279" s="3" t="str">
        <f>IF(B2279="","",SUMIFS('inventory ledger'!$H:$H,'inventory ledger'!$C:$C,C2279,'inventory ledger'!$D:$D,D2279,'inventory ledger'!$E:$E,E2279,'inventory ledger'!$A:$A,"&lt;="&amp;B2279+TIME(23,59,59))-SUMIFS('inventory ledger'!$I:$I,'inventory ledger'!$C:$C,C2279,'inventory ledger'!$D:$D,D2279,'inventory ledger'!$E:$E,E2279,'inventory ledger'!$A:$A,"&lt;="&amp;B2279+TIME(23,59,59)))</f>
        <v/>
      </c>
      <c r="G2279" s="3">
        <f>IFERROR(__xludf.DUMMYFUNCTION("IF(F2279&lt;=0,0,IFERROR(ROUNDUP(F2279/INDEX(FILTER('warehouse config'!$D:$D,('warehouse config'!$B:$B=C2279)*('warehouse config'!$C:$C=D2279)*('warehouse config'!$G:$G&lt;=B2279)*(('warehouse config'!$H:$H&gt;=B2279)+ISBLANK('warehouse config'!$H:$H))),1)),0))"),0.0)</f>
        <v>0</v>
      </c>
      <c r="H2279" s="3">
        <f>IFERROR(__xludf.DUMMYFUNCTION("IFERROR(INDEX(FILTER('cost master'!$E:$E,('cost master'!$B:$B=C2279)*('cost master'!$D:$D=""Storage cost per pallet / week"")*('cost master'!$G:$G&lt;=B2279)*(('cost master'!$H:$H&gt;=B2279)+ISBLANK('cost master'!$H:$H))),1),0)"),0.0)</f>
        <v>0</v>
      </c>
      <c r="I2279" s="3">
        <f t="shared" si="4"/>
        <v>0</v>
      </c>
      <c r="J2279" s="27">
        <f t="shared" si="5"/>
        <v>693947</v>
      </c>
      <c r="K2279" s="27">
        <f t="shared" si="6"/>
        <v>693977</v>
      </c>
    </row>
    <row r="2280" hidden="1">
      <c r="A2280" s="3" t="str">
        <f t="shared" si="3"/>
        <v/>
      </c>
      <c r="B2280" s="2" t="str">
        <f t="array" ref="B2280">INDEX(helper!$A$3:$A3996,ROUNDUP((ROW()-1)/COUNTA(helper!$D$3:$D3996),0))</f>
        <v/>
      </c>
      <c r="C2280" s="5" t="str">
        <f t="array" ref="C2280">IF(B2280="","",INDEX(helper!$D$3:$D3996,MOD(ROW()-2,COUNTA(helper!$D$3:$D3996))+1))</f>
        <v/>
      </c>
      <c r="D2280" s="3" t="str">
        <f t="array" ref="D2280">IF(B2280="","",INDEX(helper!$E$3:$E3996,MOD(ROW()-2,COUNTA(helper!$D$3:$D3996))+1))</f>
        <v/>
      </c>
      <c r="E2280" s="3" t="str">
        <f t="array" ref="E2280">IF(B2280="","",INDEX(helper!$F$3:$F3996,MOD(ROW()-2,COUNTA(helper!$D$3:$D3996))+1))</f>
        <v/>
      </c>
      <c r="F2280" s="3" t="str">
        <f>IF(B2280="","",SUMIFS('inventory ledger'!$H:$H,'inventory ledger'!$C:$C,C2280,'inventory ledger'!$D:$D,D2280,'inventory ledger'!$E:$E,E2280,'inventory ledger'!$A:$A,"&lt;="&amp;B2280+TIME(23,59,59))-SUMIFS('inventory ledger'!$I:$I,'inventory ledger'!$C:$C,C2280,'inventory ledger'!$D:$D,D2280,'inventory ledger'!$E:$E,E2280,'inventory ledger'!$A:$A,"&lt;="&amp;B2280+TIME(23,59,59)))</f>
        <v/>
      </c>
      <c r="G2280" s="3">
        <f>IFERROR(__xludf.DUMMYFUNCTION("IF(F2280&lt;=0,0,IFERROR(ROUNDUP(F2280/INDEX(FILTER('warehouse config'!$D:$D,('warehouse config'!$B:$B=C2280)*('warehouse config'!$C:$C=D2280)*('warehouse config'!$G:$G&lt;=B2280)*(('warehouse config'!$H:$H&gt;=B2280)+ISBLANK('warehouse config'!$H:$H))),1)),0))"),0.0)</f>
        <v>0</v>
      </c>
      <c r="H2280" s="3">
        <f>IFERROR(__xludf.DUMMYFUNCTION("IFERROR(INDEX(FILTER('cost master'!$E:$E,('cost master'!$B:$B=C2280)*('cost master'!$D:$D=""Storage cost per pallet / week"")*('cost master'!$G:$G&lt;=B2280)*(('cost master'!$H:$H&gt;=B2280)+ISBLANK('cost master'!$H:$H))),1),0)"),0.0)</f>
        <v>0</v>
      </c>
      <c r="I2280" s="3">
        <f t="shared" si="4"/>
        <v>0</v>
      </c>
      <c r="J2280" s="27">
        <f t="shared" si="5"/>
        <v>693947</v>
      </c>
      <c r="K2280" s="27">
        <f t="shared" si="6"/>
        <v>693977</v>
      </c>
    </row>
    <row r="2281" hidden="1">
      <c r="A2281" s="3" t="str">
        <f t="shared" si="3"/>
        <v/>
      </c>
      <c r="B2281" s="2" t="str">
        <f t="array" ref="B2281">INDEX(helper!$A$3:$A3996,ROUNDUP((ROW()-1)/COUNTA(helper!$D$3:$D3996),0))</f>
        <v/>
      </c>
      <c r="C2281" s="5" t="str">
        <f t="array" ref="C2281">IF(B2281="","",INDEX(helper!$D$3:$D3996,MOD(ROW()-2,COUNTA(helper!$D$3:$D3996))+1))</f>
        <v/>
      </c>
      <c r="D2281" s="3" t="str">
        <f t="array" ref="D2281">IF(B2281="","",INDEX(helper!$E$3:$E3996,MOD(ROW()-2,COUNTA(helper!$D$3:$D3996))+1))</f>
        <v/>
      </c>
      <c r="E2281" s="3" t="str">
        <f t="array" ref="E2281">IF(B2281="","",INDEX(helper!$F$3:$F3996,MOD(ROW()-2,COUNTA(helper!$D$3:$D3996))+1))</f>
        <v/>
      </c>
      <c r="F2281" s="3" t="str">
        <f>IF(B2281="","",SUMIFS('inventory ledger'!$H:$H,'inventory ledger'!$C:$C,C2281,'inventory ledger'!$D:$D,D2281,'inventory ledger'!$E:$E,E2281,'inventory ledger'!$A:$A,"&lt;="&amp;B2281+TIME(23,59,59))-SUMIFS('inventory ledger'!$I:$I,'inventory ledger'!$C:$C,C2281,'inventory ledger'!$D:$D,D2281,'inventory ledger'!$E:$E,E2281,'inventory ledger'!$A:$A,"&lt;="&amp;B2281+TIME(23,59,59)))</f>
        <v/>
      </c>
      <c r="G2281" s="3">
        <f>IFERROR(__xludf.DUMMYFUNCTION("IF(F2281&lt;=0,0,IFERROR(ROUNDUP(F2281/INDEX(FILTER('warehouse config'!$D:$D,('warehouse config'!$B:$B=C2281)*('warehouse config'!$C:$C=D2281)*('warehouse config'!$G:$G&lt;=B2281)*(('warehouse config'!$H:$H&gt;=B2281)+ISBLANK('warehouse config'!$H:$H))),1)),0))"),0.0)</f>
        <v>0</v>
      </c>
      <c r="H2281" s="3">
        <f>IFERROR(__xludf.DUMMYFUNCTION("IFERROR(INDEX(FILTER('cost master'!$E:$E,('cost master'!$B:$B=C2281)*('cost master'!$D:$D=""Storage cost per pallet / week"")*('cost master'!$G:$G&lt;=B2281)*(('cost master'!$H:$H&gt;=B2281)+ISBLANK('cost master'!$H:$H))),1),0)"),0.0)</f>
        <v>0</v>
      </c>
      <c r="I2281" s="3">
        <f t="shared" si="4"/>
        <v>0</v>
      </c>
      <c r="J2281" s="27">
        <f t="shared" si="5"/>
        <v>693947</v>
      </c>
      <c r="K2281" s="27">
        <f t="shared" si="6"/>
        <v>693977</v>
      </c>
    </row>
    <row r="2282" hidden="1">
      <c r="A2282" s="3" t="str">
        <f t="shared" si="3"/>
        <v/>
      </c>
      <c r="B2282" s="2" t="str">
        <f t="array" ref="B2282">INDEX(helper!$A$3:$A3996,ROUNDUP((ROW()-1)/COUNTA(helper!$D$3:$D3996),0))</f>
        <v/>
      </c>
      <c r="C2282" s="5" t="str">
        <f t="array" ref="C2282">IF(B2282="","",INDEX(helper!$D$3:$D3996,MOD(ROW()-2,COUNTA(helper!$D$3:$D3996))+1))</f>
        <v/>
      </c>
      <c r="D2282" s="3" t="str">
        <f t="array" ref="D2282">IF(B2282="","",INDEX(helper!$E$3:$E3996,MOD(ROW()-2,COUNTA(helper!$D$3:$D3996))+1))</f>
        <v/>
      </c>
      <c r="E2282" s="3" t="str">
        <f t="array" ref="E2282">IF(B2282="","",INDEX(helper!$F$3:$F3996,MOD(ROW()-2,COUNTA(helper!$D$3:$D3996))+1))</f>
        <v/>
      </c>
      <c r="F2282" s="3" t="str">
        <f>IF(B2282="","",SUMIFS('inventory ledger'!$H:$H,'inventory ledger'!$C:$C,C2282,'inventory ledger'!$D:$D,D2282,'inventory ledger'!$E:$E,E2282,'inventory ledger'!$A:$A,"&lt;="&amp;B2282+TIME(23,59,59))-SUMIFS('inventory ledger'!$I:$I,'inventory ledger'!$C:$C,C2282,'inventory ledger'!$D:$D,D2282,'inventory ledger'!$E:$E,E2282,'inventory ledger'!$A:$A,"&lt;="&amp;B2282+TIME(23,59,59)))</f>
        <v/>
      </c>
      <c r="G2282" s="3">
        <f>IFERROR(__xludf.DUMMYFUNCTION("IF(F2282&lt;=0,0,IFERROR(ROUNDUP(F2282/INDEX(FILTER('warehouse config'!$D:$D,('warehouse config'!$B:$B=C2282)*('warehouse config'!$C:$C=D2282)*('warehouse config'!$G:$G&lt;=B2282)*(('warehouse config'!$H:$H&gt;=B2282)+ISBLANK('warehouse config'!$H:$H))),1)),0))"),0.0)</f>
        <v>0</v>
      </c>
      <c r="H2282" s="3">
        <f>IFERROR(__xludf.DUMMYFUNCTION("IFERROR(INDEX(FILTER('cost master'!$E:$E,('cost master'!$B:$B=C2282)*('cost master'!$D:$D=""Storage cost per pallet / week"")*('cost master'!$G:$G&lt;=B2282)*(('cost master'!$H:$H&gt;=B2282)+ISBLANK('cost master'!$H:$H))),1),0)"),0.0)</f>
        <v>0</v>
      </c>
      <c r="I2282" s="3">
        <f t="shared" si="4"/>
        <v>0</v>
      </c>
      <c r="J2282" s="27">
        <f t="shared" si="5"/>
        <v>693947</v>
      </c>
      <c r="K2282" s="27">
        <f t="shared" si="6"/>
        <v>693977</v>
      </c>
    </row>
    <row r="2283" hidden="1">
      <c r="A2283" s="3" t="str">
        <f t="shared" si="3"/>
        <v/>
      </c>
      <c r="B2283" s="2" t="str">
        <f t="array" ref="B2283">INDEX(helper!$A$3:$A3996,ROUNDUP((ROW()-1)/COUNTA(helper!$D$3:$D3996),0))</f>
        <v/>
      </c>
      <c r="C2283" s="5" t="str">
        <f t="array" ref="C2283">IF(B2283="","",INDEX(helper!$D$3:$D3996,MOD(ROW()-2,COUNTA(helper!$D$3:$D3996))+1))</f>
        <v/>
      </c>
      <c r="D2283" s="3" t="str">
        <f t="array" ref="D2283">IF(B2283="","",INDEX(helper!$E$3:$E3996,MOD(ROW()-2,COUNTA(helper!$D$3:$D3996))+1))</f>
        <v/>
      </c>
      <c r="E2283" s="3" t="str">
        <f t="array" ref="E2283">IF(B2283="","",INDEX(helper!$F$3:$F3996,MOD(ROW()-2,COUNTA(helper!$D$3:$D3996))+1))</f>
        <v/>
      </c>
      <c r="F2283" s="3" t="str">
        <f>IF(B2283="","",SUMIFS('inventory ledger'!$H:$H,'inventory ledger'!$C:$C,C2283,'inventory ledger'!$D:$D,D2283,'inventory ledger'!$E:$E,E2283,'inventory ledger'!$A:$A,"&lt;="&amp;B2283+TIME(23,59,59))-SUMIFS('inventory ledger'!$I:$I,'inventory ledger'!$C:$C,C2283,'inventory ledger'!$D:$D,D2283,'inventory ledger'!$E:$E,E2283,'inventory ledger'!$A:$A,"&lt;="&amp;B2283+TIME(23,59,59)))</f>
        <v/>
      </c>
      <c r="G2283" s="3">
        <f>IFERROR(__xludf.DUMMYFUNCTION("IF(F2283&lt;=0,0,IFERROR(ROUNDUP(F2283/INDEX(FILTER('warehouse config'!$D:$D,('warehouse config'!$B:$B=C2283)*('warehouse config'!$C:$C=D2283)*('warehouse config'!$G:$G&lt;=B2283)*(('warehouse config'!$H:$H&gt;=B2283)+ISBLANK('warehouse config'!$H:$H))),1)),0))"),0.0)</f>
        <v>0</v>
      </c>
      <c r="H2283" s="3">
        <f>IFERROR(__xludf.DUMMYFUNCTION("IFERROR(INDEX(FILTER('cost master'!$E:$E,('cost master'!$B:$B=C2283)*('cost master'!$D:$D=""Storage cost per pallet / week"")*('cost master'!$G:$G&lt;=B2283)*(('cost master'!$H:$H&gt;=B2283)+ISBLANK('cost master'!$H:$H))),1),0)"),0.0)</f>
        <v>0</v>
      </c>
      <c r="I2283" s="3">
        <f t="shared" si="4"/>
        <v>0</v>
      </c>
      <c r="J2283" s="27">
        <f t="shared" si="5"/>
        <v>693947</v>
      </c>
      <c r="K2283" s="27">
        <f t="shared" si="6"/>
        <v>693977</v>
      </c>
    </row>
    <row r="2284" hidden="1">
      <c r="A2284" s="3" t="str">
        <f t="shared" si="3"/>
        <v/>
      </c>
      <c r="B2284" s="2" t="str">
        <f t="array" ref="B2284">INDEX(helper!$A$3:$A3996,ROUNDUP((ROW()-1)/COUNTA(helper!$D$3:$D3996),0))</f>
        <v/>
      </c>
      <c r="C2284" s="5" t="str">
        <f t="array" ref="C2284">IF(B2284="","",INDEX(helper!$D$3:$D3996,MOD(ROW()-2,COUNTA(helper!$D$3:$D3996))+1))</f>
        <v/>
      </c>
      <c r="D2284" s="3" t="str">
        <f t="array" ref="D2284">IF(B2284="","",INDEX(helper!$E$3:$E3996,MOD(ROW()-2,COUNTA(helper!$D$3:$D3996))+1))</f>
        <v/>
      </c>
      <c r="E2284" s="3" t="str">
        <f t="array" ref="E2284">IF(B2284="","",INDEX(helper!$F$3:$F3996,MOD(ROW()-2,COUNTA(helper!$D$3:$D3996))+1))</f>
        <v/>
      </c>
      <c r="F2284" s="3" t="str">
        <f>IF(B2284="","",SUMIFS('inventory ledger'!$H:$H,'inventory ledger'!$C:$C,C2284,'inventory ledger'!$D:$D,D2284,'inventory ledger'!$E:$E,E2284,'inventory ledger'!$A:$A,"&lt;="&amp;B2284+TIME(23,59,59))-SUMIFS('inventory ledger'!$I:$I,'inventory ledger'!$C:$C,C2284,'inventory ledger'!$D:$D,D2284,'inventory ledger'!$E:$E,E2284,'inventory ledger'!$A:$A,"&lt;="&amp;B2284+TIME(23,59,59)))</f>
        <v/>
      </c>
      <c r="G2284" s="3">
        <f>IFERROR(__xludf.DUMMYFUNCTION("IF(F2284&lt;=0,0,IFERROR(ROUNDUP(F2284/INDEX(FILTER('warehouse config'!$D:$D,('warehouse config'!$B:$B=C2284)*('warehouse config'!$C:$C=D2284)*('warehouse config'!$G:$G&lt;=B2284)*(('warehouse config'!$H:$H&gt;=B2284)+ISBLANK('warehouse config'!$H:$H))),1)),0))"),0.0)</f>
        <v>0</v>
      </c>
      <c r="H2284" s="3">
        <f>IFERROR(__xludf.DUMMYFUNCTION("IFERROR(INDEX(FILTER('cost master'!$E:$E,('cost master'!$B:$B=C2284)*('cost master'!$D:$D=""Storage cost per pallet / week"")*('cost master'!$G:$G&lt;=B2284)*(('cost master'!$H:$H&gt;=B2284)+ISBLANK('cost master'!$H:$H))),1),0)"),0.0)</f>
        <v>0</v>
      </c>
      <c r="I2284" s="3">
        <f t="shared" si="4"/>
        <v>0</v>
      </c>
      <c r="J2284" s="27">
        <f t="shared" si="5"/>
        <v>693947</v>
      </c>
      <c r="K2284" s="27">
        <f t="shared" si="6"/>
        <v>693977</v>
      </c>
    </row>
    <row r="2285" hidden="1">
      <c r="A2285" s="3" t="str">
        <f t="shared" si="3"/>
        <v/>
      </c>
      <c r="B2285" s="2" t="str">
        <f t="array" ref="B2285">INDEX(helper!$A$3:$A3996,ROUNDUP((ROW()-1)/COUNTA(helper!$D$3:$D3996),0))</f>
        <v/>
      </c>
      <c r="C2285" s="5" t="str">
        <f t="array" ref="C2285">IF(B2285="","",INDEX(helper!$D$3:$D3996,MOD(ROW()-2,COUNTA(helper!$D$3:$D3996))+1))</f>
        <v/>
      </c>
      <c r="D2285" s="3" t="str">
        <f t="array" ref="D2285">IF(B2285="","",INDEX(helper!$E$3:$E3996,MOD(ROW()-2,COUNTA(helper!$D$3:$D3996))+1))</f>
        <v/>
      </c>
      <c r="E2285" s="3" t="str">
        <f t="array" ref="E2285">IF(B2285="","",INDEX(helper!$F$3:$F3996,MOD(ROW()-2,COUNTA(helper!$D$3:$D3996))+1))</f>
        <v/>
      </c>
      <c r="F2285" s="3" t="str">
        <f>IF(B2285="","",SUMIFS('inventory ledger'!$H:$H,'inventory ledger'!$C:$C,C2285,'inventory ledger'!$D:$D,D2285,'inventory ledger'!$E:$E,E2285,'inventory ledger'!$A:$A,"&lt;="&amp;B2285+TIME(23,59,59))-SUMIFS('inventory ledger'!$I:$I,'inventory ledger'!$C:$C,C2285,'inventory ledger'!$D:$D,D2285,'inventory ledger'!$E:$E,E2285,'inventory ledger'!$A:$A,"&lt;="&amp;B2285+TIME(23,59,59)))</f>
        <v/>
      </c>
      <c r="G2285" s="3">
        <f>IFERROR(__xludf.DUMMYFUNCTION("IF(F2285&lt;=0,0,IFERROR(ROUNDUP(F2285/INDEX(FILTER('warehouse config'!$D:$D,('warehouse config'!$B:$B=C2285)*('warehouse config'!$C:$C=D2285)*('warehouse config'!$G:$G&lt;=B2285)*(('warehouse config'!$H:$H&gt;=B2285)+ISBLANK('warehouse config'!$H:$H))),1)),0))"),0.0)</f>
        <v>0</v>
      </c>
      <c r="H2285" s="3">
        <f>IFERROR(__xludf.DUMMYFUNCTION("IFERROR(INDEX(FILTER('cost master'!$E:$E,('cost master'!$B:$B=C2285)*('cost master'!$D:$D=""Storage cost per pallet / week"")*('cost master'!$G:$G&lt;=B2285)*(('cost master'!$H:$H&gt;=B2285)+ISBLANK('cost master'!$H:$H))),1),0)"),0.0)</f>
        <v>0</v>
      </c>
      <c r="I2285" s="3">
        <f t="shared" si="4"/>
        <v>0</v>
      </c>
      <c r="J2285" s="27">
        <f t="shared" si="5"/>
        <v>693947</v>
      </c>
      <c r="K2285" s="27">
        <f t="shared" si="6"/>
        <v>693977</v>
      </c>
    </row>
    <row r="2286" hidden="1">
      <c r="A2286" s="3" t="str">
        <f t="shared" si="3"/>
        <v/>
      </c>
      <c r="B2286" s="2" t="str">
        <f t="array" ref="B2286">INDEX(helper!$A$3:$A3996,ROUNDUP((ROW()-1)/COUNTA(helper!$D$3:$D3996),0))</f>
        <v/>
      </c>
      <c r="C2286" s="5" t="str">
        <f t="array" ref="C2286">IF(B2286="","",INDEX(helper!$D$3:$D3996,MOD(ROW()-2,COUNTA(helper!$D$3:$D3996))+1))</f>
        <v/>
      </c>
      <c r="D2286" s="3" t="str">
        <f t="array" ref="D2286">IF(B2286="","",INDEX(helper!$E$3:$E3996,MOD(ROW()-2,COUNTA(helper!$D$3:$D3996))+1))</f>
        <v/>
      </c>
      <c r="E2286" s="3" t="str">
        <f t="array" ref="E2286">IF(B2286="","",INDEX(helper!$F$3:$F3996,MOD(ROW()-2,COUNTA(helper!$D$3:$D3996))+1))</f>
        <v/>
      </c>
      <c r="F2286" s="3" t="str">
        <f>IF(B2286="","",SUMIFS('inventory ledger'!$H:$H,'inventory ledger'!$C:$C,C2286,'inventory ledger'!$D:$D,D2286,'inventory ledger'!$E:$E,E2286,'inventory ledger'!$A:$A,"&lt;="&amp;B2286+TIME(23,59,59))-SUMIFS('inventory ledger'!$I:$I,'inventory ledger'!$C:$C,C2286,'inventory ledger'!$D:$D,D2286,'inventory ledger'!$E:$E,E2286,'inventory ledger'!$A:$A,"&lt;="&amp;B2286+TIME(23,59,59)))</f>
        <v/>
      </c>
      <c r="G2286" s="3">
        <f>IFERROR(__xludf.DUMMYFUNCTION("IF(F2286&lt;=0,0,IFERROR(ROUNDUP(F2286/INDEX(FILTER('warehouse config'!$D:$D,('warehouse config'!$B:$B=C2286)*('warehouse config'!$C:$C=D2286)*('warehouse config'!$G:$G&lt;=B2286)*(('warehouse config'!$H:$H&gt;=B2286)+ISBLANK('warehouse config'!$H:$H))),1)),0))"),0.0)</f>
        <v>0</v>
      </c>
      <c r="H2286" s="3">
        <f>IFERROR(__xludf.DUMMYFUNCTION("IFERROR(INDEX(FILTER('cost master'!$E:$E,('cost master'!$B:$B=C2286)*('cost master'!$D:$D=""Storage cost per pallet / week"")*('cost master'!$G:$G&lt;=B2286)*(('cost master'!$H:$H&gt;=B2286)+ISBLANK('cost master'!$H:$H))),1),0)"),0.0)</f>
        <v>0</v>
      </c>
      <c r="I2286" s="3">
        <f t="shared" si="4"/>
        <v>0</v>
      </c>
      <c r="J2286" s="27">
        <f t="shared" si="5"/>
        <v>693947</v>
      </c>
      <c r="K2286" s="27">
        <f t="shared" si="6"/>
        <v>693977</v>
      </c>
    </row>
    <row r="2287" hidden="1">
      <c r="A2287" s="3" t="str">
        <f t="shared" si="3"/>
        <v/>
      </c>
      <c r="B2287" s="2" t="str">
        <f t="array" ref="B2287">INDEX(helper!$A$3:$A3996,ROUNDUP((ROW()-1)/COUNTA(helper!$D$3:$D3996),0))</f>
        <v/>
      </c>
      <c r="C2287" s="5" t="str">
        <f t="array" ref="C2287">IF(B2287="","",INDEX(helper!$D$3:$D3996,MOD(ROW()-2,COUNTA(helper!$D$3:$D3996))+1))</f>
        <v/>
      </c>
      <c r="D2287" s="3" t="str">
        <f t="array" ref="D2287">IF(B2287="","",INDEX(helper!$E$3:$E3996,MOD(ROW()-2,COUNTA(helper!$D$3:$D3996))+1))</f>
        <v/>
      </c>
      <c r="E2287" s="3" t="str">
        <f t="array" ref="E2287">IF(B2287="","",INDEX(helper!$F$3:$F3996,MOD(ROW()-2,COUNTA(helper!$D$3:$D3996))+1))</f>
        <v/>
      </c>
      <c r="F2287" s="3" t="str">
        <f>IF(B2287="","",SUMIFS('inventory ledger'!$H:$H,'inventory ledger'!$C:$C,C2287,'inventory ledger'!$D:$D,D2287,'inventory ledger'!$E:$E,E2287,'inventory ledger'!$A:$A,"&lt;="&amp;B2287+TIME(23,59,59))-SUMIFS('inventory ledger'!$I:$I,'inventory ledger'!$C:$C,C2287,'inventory ledger'!$D:$D,D2287,'inventory ledger'!$E:$E,E2287,'inventory ledger'!$A:$A,"&lt;="&amp;B2287+TIME(23,59,59)))</f>
        <v/>
      </c>
      <c r="G2287" s="3">
        <f>IFERROR(__xludf.DUMMYFUNCTION("IF(F2287&lt;=0,0,IFERROR(ROUNDUP(F2287/INDEX(FILTER('warehouse config'!$D:$D,('warehouse config'!$B:$B=C2287)*('warehouse config'!$C:$C=D2287)*('warehouse config'!$G:$G&lt;=B2287)*(('warehouse config'!$H:$H&gt;=B2287)+ISBLANK('warehouse config'!$H:$H))),1)),0))"),0.0)</f>
        <v>0</v>
      </c>
      <c r="H2287" s="3">
        <f>IFERROR(__xludf.DUMMYFUNCTION("IFERROR(INDEX(FILTER('cost master'!$E:$E,('cost master'!$B:$B=C2287)*('cost master'!$D:$D=""Storage cost per pallet / week"")*('cost master'!$G:$G&lt;=B2287)*(('cost master'!$H:$H&gt;=B2287)+ISBLANK('cost master'!$H:$H))),1),0)"),0.0)</f>
        <v>0</v>
      </c>
      <c r="I2287" s="3">
        <f t="shared" si="4"/>
        <v>0</v>
      </c>
      <c r="J2287" s="27">
        <f t="shared" si="5"/>
        <v>693947</v>
      </c>
      <c r="K2287" s="27">
        <f t="shared" si="6"/>
        <v>693977</v>
      </c>
    </row>
    <row r="2288" hidden="1">
      <c r="A2288" s="3" t="str">
        <f t="shared" si="3"/>
        <v/>
      </c>
      <c r="B2288" s="2" t="str">
        <f t="array" ref="B2288">INDEX(helper!$A$3:$A3996,ROUNDUP((ROW()-1)/COUNTA(helper!$D$3:$D3996),0))</f>
        <v/>
      </c>
      <c r="C2288" s="5" t="str">
        <f t="array" ref="C2288">IF(B2288="","",INDEX(helper!$D$3:$D3996,MOD(ROW()-2,COUNTA(helper!$D$3:$D3996))+1))</f>
        <v/>
      </c>
      <c r="D2288" s="3" t="str">
        <f t="array" ref="D2288">IF(B2288="","",INDEX(helper!$E$3:$E3996,MOD(ROW()-2,COUNTA(helper!$D$3:$D3996))+1))</f>
        <v/>
      </c>
      <c r="E2288" s="3" t="str">
        <f t="array" ref="E2288">IF(B2288="","",INDEX(helper!$F$3:$F3996,MOD(ROW()-2,COUNTA(helper!$D$3:$D3996))+1))</f>
        <v/>
      </c>
      <c r="F2288" s="3" t="str">
        <f>IF(B2288="","",SUMIFS('inventory ledger'!$H:$H,'inventory ledger'!$C:$C,C2288,'inventory ledger'!$D:$D,D2288,'inventory ledger'!$E:$E,E2288,'inventory ledger'!$A:$A,"&lt;="&amp;B2288+TIME(23,59,59))-SUMIFS('inventory ledger'!$I:$I,'inventory ledger'!$C:$C,C2288,'inventory ledger'!$D:$D,D2288,'inventory ledger'!$E:$E,E2288,'inventory ledger'!$A:$A,"&lt;="&amp;B2288+TIME(23,59,59)))</f>
        <v/>
      </c>
      <c r="G2288" s="3">
        <f>IFERROR(__xludf.DUMMYFUNCTION("IF(F2288&lt;=0,0,IFERROR(ROUNDUP(F2288/INDEX(FILTER('warehouse config'!$D:$D,('warehouse config'!$B:$B=C2288)*('warehouse config'!$C:$C=D2288)*('warehouse config'!$G:$G&lt;=B2288)*(('warehouse config'!$H:$H&gt;=B2288)+ISBLANK('warehouse config'!$H:$H))),1)),0))"),0.0)</f>
        <v>0</v>
      </c>
      <c r="H2288" s="3">
        <f>IFERROR(__xludf.DUMMYFUNCTION("IFERROR(INDEX(FILTER('cost master'!$E:$E,('cost master'!$B:$B=C2288)*('cost master'!$D:$D=""Storage cost per pallet / week"")*('cost master'!$G:$G&lt;=B2288)*(('cost master'!$H:$H&gt;=B2288)+ISBLANK('cost master'!$H:$H))),1),0)"),0.0)</f>
        <v>0</v>
      </c>
      <c r="I2288" s="3">
        <f t="shared" si="4"/>
        <v>0</v>
      </c>
      <c r="J2288" s="27">
        <f t="shared" si="5"/>
        <v>693947</v>
      </c>
      <c r="K2288" s="27">
        <f t="shared" si="6"/>
        <v>693977</v>
      </c>
    </row>
    <row r="2289" hidden="1">
      <c r="A2289" s="3" t="str">
        <f t="shared" si="3"/>
        <v/>
      </c>
      <c r="B2289" s="2" t="str">
        <f t="array" ref="B2289">INDEX(helper!$A$3:$A3996,ROUNDUP((ROW()-1)/COUNTA(helper!$D$3:$D3996),0))</f>
        <v/>
      </c>
      <c r="C2289" s="5" t="str">
        <f t="array" ref="C2289">IF(B2289="","",INDEX(helper!$D$3:$D3996,MOD(ROW()-2,COUNTA(helper!$D$3:$D3996))+1))</f>
        <v/>
      </c>
      <c r="D2289" s="3" t="str">
        <f t="array" ref="D2289">IF(B2289="","",INDEX(helper!$E$3:$E3996,MOD(ROW()-2,COUNTA(helper!$D$3:$D3996))+1))</f>
        <v/>
      </c>
      <c r="E2289" s="3" t="str">
        <f t="array" ref="E2289">IF(B2289="","",INDEX(helper!$F$3:$F3996,MOD(ROW()-2,COUNTA(helper!$D$3:$D3996))+1))</f>
        <v/>
      </c>
      <c r="F2289" s="3" t="str">
        <f>IF(B2289="","",SUMIFS('inventory ledger'!$H:$H,'inventory ledger'!$C:$C,C2289,'inventory ledger'!$D:$D,D2289,'inventory ledger'!$E:$E,E2289,'inventory ledger'!$A:$A,"&lt;="&amp;B2289+TIME(23,59,59))-SUMIFS('inventory ledger'!$I:$I,'inventory ledger'!$C:$C,C2289,'inventory ledger'!$D:$D,D2289,'inventory ledger'!$E:$E,E2289,'inventory ledger'!$A:$A,"&lt;="&amp;B2289+TIME(23,59,59)))</f>
        <v/>
      </c>
      <c r="G2289" s="3">
        <f>IFERROR(__xludf.DUMMYFUNCTION("IF(F2289&lt;=0,0,IFERROR(ROUNDUP(F2289/INDEX(FILTER('warehouse config'!$D:$D,('warehouse config'!$B:$B=C2289)*('warehouse config'!$C:$C=D2289)*('warehouse config'!$G:$G&lt;=B2289)*(('warehouse config'!$H:$H&gt;=B2289)+ISBLANK('warehouse config'!$H:$H))),1)),0))"),0.0)</f>
        <v>0</v>
      </c>
      <c r="H2289" s="3">
        <f>IFERROR(__xludf.DUMMYFUNCTION("IFERROR(INDEX(FILTER('cost master'!$E:$E,('cost master'!$B:$B=C2289)*('cost master'!$D:$D=""Storage cost per pallet / week"")*('cost master'!$G:$G&lt;=B2289)*(('cost master'!$H:$H&gt;=B2289)+ISBLANK('cost master'!$H:$H))),1),0)"),0.0)</f>
        <v>0</v>
      </c>
      <c r="I2289" s="3">
        <f t="shared" si="4"/>
        <v>0</v>
      </c>
      <c r="J2289" s="27">
        <f t="shared" si="5"/>
        <v>693947</v>
      </c>
      <c r="K2289" s="27">
        <f t="shared" si="6"/>
        <v>693977</v>
      </c>
    </row>
    <row r="2290" hidden="1">
      <c r="A2290" s="3" t="str">
        <f t="shared" si="3"/>
        <v/>
      </c>
      <c r="B2290" s="2" t="str">
        <f t="array" ref="B2290">INDEX(helper!$A$3:$A3996,ROUNDUP((ROW()-1)/COUNTA(helper!$D$3:$D3996),0))</f>
        <v/>
      </c>
      <c r="C2290" s="5" t="str">
        <f t="array" ref="C2290">IF(B2290="","",INDEX(helper!$D$3:$D3996,MOD(ROW()-2,COUNTA(helper!$D$3:$D3996))+1))</f>
        <v/>
      </c>
      <c r="D2290" s="3" t="str">
        <f t="array" ref="D2290">IF(B2290="","",INDEX(helper!$E$3:$E3996,MOD(ROW()-2,COUNTA(helper!$D$3:$D3996))+1))</f>
        <v/>
      </c>
      <c r="E2290" s="3" t="str">
        <f t="array" ref="E2290">IF(B2290="","",INDEX(helper!$F$3:$F3996,MOD(ROW()-2,COUNTA(helper!$D$3:$D3996))+1))</f>
        <v/>
      </c>
      <c r="F2290" s="3" t="str">
        <f>IF(B2290="","",SUMIFS('inventory ledger'!$H:$H,'inventory ledger'!$C:$C,C2290,'inventory ledger'!$D:$D,D2290,'inventory ledger'!$E:$E,E2290,'inventory ledger'!$A:$A,"&lt;="&amp;B2290+TIME(23,59,59))-SUMIFS('inventory ledger'!$I:$I,'inventory ledger'!$C:$C,C2290,'inventory ledger'!$D:$D,D2290,'inventory ledger'!$E:$E,E2290,'inventory ledger'!$A:$A,"&lt;="&amp;B2290+TIME(23,59,59)))</f>
        <v/>
      </c>
      <c r="G2290" s="3">
        <f>IFERROR(__xludf.DUMMYFUNCTION("IF(F2290&lt;=0,0,IFERROR(ROUNDUP(F2290/INDEX(FILTER('warehouse config'!$D:$D,('warehouse config'!$B:$B=C2290)*('warehouse config'!$C:$C=D2290)*('warehouse config'!$G:$G&lt;=B2290)*(('warehouse config'!$H:$H&gt;=B2290)+ISBLANK('warehouse config'!$H:$H))),1)),0))"),0.0)</f>
        <v>0</v>
      </c>
      <c r="H2290" s="3">
        <f>IFERROR(__xludf.DUMMYFUNCTION("IFERROR(INDEX(FILTER('cost master'!$E:$E,('cost master'!$B:$B=C2290)*('cost master'!$D:$D=""Storage cost per pallet / week"")*('cost master'!$G:$G&lt;=B2290)*(('cost master'!$H:$H&gt;=B2290)+ISBLANK('cost master'!$H:$H))),1),0)"),0.0)</f>
        <v>0</v>
      </c>
      <c r="I2290" s="3">
        <f t="shared" si="4"/>
        <v>0</v>
      </c>
      <c r="J2290" s="27">
        <f t="shared" si="5"/>
        <v>693947</v>
      </c>
      <c r="K2290" s="27">
        <f t="shared" si="6"/>
        <v>693977</v>
      </c>
    </row>
    <row r="2291" hidden="1">
      <c r="A2291" s="3" t="str">
        <f t="shared" si="3"/>
        <v/>
      </c>
      <c r="B2291" s="2" t="str">
        <f t="array" ref="B2291">INDEX(helper!$A$3:$A3996,ROUNDUP((ROW()-1)/COUNTA(helper!$D$3:$D3996),0))</f>
        <v/>
      </c>
      <c r="C2291" s="5" t="str">
        <f t="array" ref="C2291">IF(B2291="","",INDEX(helper!$D$3:$D3996,MOD(ROW()-2,COUNTA(helper!$D$3:$D3996))+1))</f>
        <v/>
      </c>
      <c r="D2291" s="3" t="str">
        <f t="array" ref="D2291">IF(B2291="","",INDEX(helper!$E$3:$E3996,MOD(ROW()-2,COUNTA(helper!$D$3:$D3996))+1))</f>
        <v/>
      </c>
      <c r="E2291" s="3" t="str">
        <f t="array" ref="E2291">IF(B2291="","",INDEX(helper!$F$3:$F3996,MOD(ROW()-2,COUNTA(helper!$D$3:$D3996))+1))</f>
        <v/>
      </c>
      <c r="F2291" s="3" t="str">
        <f>IF(B2291="","",SUMIFS('inventory ledger'!$H:$H,'inventory ledger'!$C:$C,C2291,'inventory ledger'!$D:$D,D2291,'inventory ledger'!$E:$E,E2291,'inventory ledger'!$A:$A,"&lt;="&amp;B2291+TIME(23,59,59))-SUMIFS('inventory ledger'!$I:$I,'inventory ledger'!$C:$C,C2291,'inventory ledger'!$D:$D,D2291,'inventory ledger'!$E:$E,E2291,'inventory ledger'!$A:$A,"&lt;="&amp;B2291+TIME(23,59,59)))</f>
        <v/>
      </c>
      <c r="G2291" s="3">
        <f>IFERROR(__xludf.DUMMYFUNCTION("IF(F2291&lt;=0,0,IFERROR(ROUNDUP(F2291/INDEX(FILTER('warehouse config'!$D:$D,('warehouse config'!$B:$B=C2291)*('warehouse config'!$C:$C=D2291)*('warehouse config'!$G:$G&lt;=B2291)*(('warehouse config'!$H:$H&gt;=B2291)+ISBLANK('warehouse config'!$H:$H))),1)),0))"),0.0)</f>
        <v>0</v>
      </c>
      <c r="H2291" s="3">
        <f>IFERROR(__xludf.DUMMYFUNCTION("IFERROR(INDEX(FILTER('cost master'!$E:$E,('cost master'!$B:$B=C2291)*('cost master'!$D:$D=""Storage cost per pallet / week"")*('cost master'!$G:$G&lt;=B2291)*(('cost master'!$H:$H&gt;=B2291)+ISBLANK('cost master'!$H:$H))),1),0)"),0.0)</f>
        <v>0</v>
      </c>
      <c r="I2291" s="3">
        <f t="shared" si="4"/>
        <v>0</v>
      </c>
      <c r="J2291" s="27">
        <f t="shared" si="5"/>
        <v>693947</v>
      </c>
      <c r="K2291" s="27">
        <f t="shared" si="6"/>
        <v>693977</v>
      </c>
    </row>
    <row r="2292" hidden="1">
      <c r="A2292" s="3" t="str">
        <f t="shared" si="3"/>
        <v/>
      </c>
      <c r="B2292" s="2" t="str">
        <f t="array" ref="B2292">INDEX(helper!$A$3:$A3996,ROUNDUP((ROW()-1)/COUNTA(helper!$D$3:$D3996),0))</f>
        <v/>
      </c>
      <c r="C2292" s="5" t="str">
        <f t="array" ref="C2292">IF(B2292="","",INDEX(helper!$D$3:$D3996,MOD(ROW()-2,COUNTA(helper!$D$3:$D3996))+1))</f>
        <v/>
      </c>
      <c r="D2292" s="3" t="str">
        <f t="array" ref="D2292">IF(B2292="","",INDEX(helper!$E$3:$E3996,MOD(ROW()-2,COUNTA(helper!$D$3:$D3996))+1))</f>
        <v/>
      </c>
      <c r="E2292" s="3" t="str">
        <f t="array" ref="E2292">IF(B2292="","",INDEX(helper!$F$3:$F3996,MOD(ROW()-2,COUNTA(helper!$D$3:$D3996))+1))</f>
        <v/>
      </c>
      <c r="F2292" s="3" t="str">
        <f>IF(B2292="","",SUMIFS('inventory ledger'!$H:$H,'inventory ledger'!$C:$C,C2292,'inventory ledger'!$D:$D,D2292,'inventory ledger'!$E:$E,E2292,'inventory ledger'!$A:$A,"&lt;="&amp;B2292+TIME(23,59,59))-SUMIFS('inventory ledger'!$I:$I,'inventory ledger'!$C:$C,C2292,'inventory ledger'!$D:$D,D2292,'inventory ledger'!$E:$E,E2292,'inventory ledger'!$A:$A,"&lt;="&amp;B2292+TIME(23,59,59)))</f>
        <v/>
      </c>
      <c r="G2292" s="3">
        <f>IFERROR(__xludf.DUMMYFUNCTION("IF(F2292&lt;=0,0,IFERROR(ROUNDUP(F2292/INDEX(FILTER('warehouse config'!$D:$D,('warehouse config'!$B:$B=C2292)*('warehouse config'!$C:$C=D2292)*('warehouse config'!$G:$G&lt;=B2292)*(('warehouse config'!$H:$H&gt;=B2292)+ISBLANK('warehouse config'!$H:$H))),1)),0))"),0.0)</f>
        <v>0</v>
      </c>
      <c r="H2292" s="3">
        <f>IFERROR(__xludf.DUMMYFUNCTION("IFERROR(INDEX(FILTER('cost master'!$E:$E,('cost master'!$B:$B=C2292)*('cost master'!$D:$D=""Storage cost per pallet / week"")*('cost master'!$G:$G&lt;=B2292)*(('cost master'!$H:$H&gt;=B2292)+ISBLANK('cost master'!$H:$H))),1),0)"),0.0)</f>
        <v>0</v>
      </c>
      <c r="I2292" s="3">
        <f t="shared" si="4"/>
        <v>0</v>
      </c>
      <c r="J2292" s="27">
        <f t="shared" si="5"/>
        <v>693947</v>
      </c>
      <c r="K2292" s="27">
        <f t="shared" si="6"/>
        <v>693977</v>
      </c>
    </row>
    <row r="2293" hidden="1">
      <c r="A2293" s="3" t="str">
        <f t="shared" si="3"/>
        <v/>
      </c>
      <c r="B2293" s="2" t="str">
        <f t="array" ref="B2293">INDEX(helper!$A$3:$A3996,ROUNDUP((ROW()-1)/COUNTA(helper!$D$3:$D3996),0))</f>
        <v/>
      </c>
      <c r="C2293" s="5" t="str">
        <f t="array" ref="C2293">IF(B2293="","",INDEX(helper!$D$3:$D3996,MOD(ROW()-2,COUNTA(helper!$D$3:$D3996))+1))</f>
        <v/>
      </c>
      <c r="D2293" s="3" t="str">
        <f t="array" ref="D2293">IF(B2293="","",INDEX(helper!$E$3:$E3996,MOD(ROW()-2,COUNTA(helper!$D$3:$D3996))+1))</f>
        <v/>
      </c>
      <c r="E2293" s="3" t="str">
        <f t="array" ref="E2293">IF(B2293="","",INDEX(helper!$F$3:$F3996,MOD(ROW()-2,COUNTA(helper!$D$3:$D3996))+1))</f>
        <v/>
      </c>
      <c r="F2293" s="3" t="str">
        <f>IF(B2293="","",SUMIFS('inventory ledger'!$H:$H,'inventory ledger'!$C:$C,C2293,'inventory ledger'!$D:$D,D2293,'inventory ledger'!$E:$E,E2293,'inventory ledger'!$A:$A,"&lt;="&amp;B2293+TIME(23,59,59))-SUMIFS('inventory ledger'!$I:$I,'inventory ledger'!$C:$C,C2293,'inventory ledger'!$D:$D,D2293,'inventory ledger'!$E:$E,E2293,'inventory ledger'!$A:$A,"&lt;="&amp;B2293+TIME(23,59,59)))</f>
        <v/>
      </c>
      <c r="G2293" s="3">
        <f>IFERROR(__xludf.DUMMYFUNCTION("IF(F2293&lt;=0,0,IFERROR(ROUNDUP(F2293/INDEX(FILTER('warehouse config'!$D:$D,('warehouse config'!$B:$B=C2293)*('warehouse config'!$C:$C=D2293)*('warehouse config'!$G:$G&lt;=B2293)*(('warehouse config'!$H:$H&gt;=B2293)+ISBLANK('warehouse config'!$H:$H))),1)),0))"),0.0)</f>
        <v>0</v>
      </c>
      <c r="H2293" s="3">
        <f>IFERROR(__xludf.DUMMYFUNCTION("IFERROR(INDEX(FILTER('cost master'!$E:$E,('cost master'!$B:$B=C2293)*('cost master'!$D:$D=""Storage cost per pallet / week"")*('cost master'!$G:$G&lt;=B2293)*(('cost master'!$H:$H&gt;=B2293)+ISBLANK('cost master'!$H:$H))),1),0)"),0.0)</f>
        <v>0</v>
      </c>
      <c r="I2293" s="3">
        <f t="shared" si="4"/>
        <v>0</v>
      </c>
      <c r="J2293" s="27">
        <f t="shared" si="5"/>
        <v>693947</v>
      </c>
      <c r="K2293" s="27">
        <f t="shared" si="6"/>
        <v>693977</v>
      </c>
    </row>
    <row r="2294" hidden="1">
      <c r="A2294" s="3" t="str">
        <f t="shared" si="3"/>
        <v/>
      </c>
      <c r="B2294" s="2" t="str">
        <f t="array" ref="B2294">INDEX(helper!$A$3:$A3996,ROUNDUP((ROW()-1)/COUNTA(helper!$D$3:$D3996),0))</f>
        <v/>
      </c>
      <c r="C2294" s="5" t="str">
        <f t="array" ref="C2294">IF(B2294="","",INDEX(helper!$D$3:$D3996,MOD(ROW()-2,COUNTA(helper!$D$3:$D3996))+1))</f>
        <v/>
      </c>
      <c r="D2294" s="3" t="str">
        <f t="array" ref="D2294">IF(B2294="","",INDEX(helper!$E$3:$E3996,MOD(ROW()-2,COUNTA(helper!$D$3:$D3996))+1))</f>
        <v/>
      </c>
      <c r="E2294" s="3" t="str">
        <f t="array" ref="E2294">IF(B2294="","",INDEX(helper!$F$3:$F3996,MOD(ROW()-2,COUNTA(helper!$D$3:$D3996))+1))</f>
        <v/>
      </c>
      <c r="F2294" s="3" t="str">
        <f>IF(B2294="","",SUMIFS('inventory ledger'!$H:$H,'inventory ledger'!$C:$C,C2294,'inventory ledger'!$D:$D,D2294,'inventory ledger'!$E:$E,E2294,'inventory ledger'!$A:$A,"&lt;="&amp;B2294+TIME(23,59,59))-SUMIFS('inventory ledger'!$I:$I,'inventory ledger'!$C:$C,C2294,'inventory ledger'!$D:$D,D2294,'inventory ledger'!$E:$E,E2294,'inventory ledger'!$A:$A,"&lt;="&amp;B2294+TIME(23,59,59)))</f>
        <v/>
      </c>
      <c r="G2294" s="3">
        <f>IFERROR(__xludf.DUMMYFUNCTION("IF(F2294&lt;=0,0,IFERROR(ROUNDUP(F2294/INDEX(FILTER('warehouse config'!$D:$D,('warehouse config'!$B:$B=C2294)*('warehouse config'!$C:$C=D2294)*('warehouse config'!$G:$G&lt;=B2294)*(('warehouse config'!$H:$H&gt;=B2294)+ISBLANK('warehouse config'!$H:$H))),1)),0))"),0.0)</f>
        <v>0</v>
      </c>
      <c r="H2294" s="3">
        <f>IFERROR(__xludf.DUMMYFUNCTION("IFERROR(INDEX(FILTER('cost master'!$E:$E,('cost master'!$B:$B=C2294)*('cost master'!$D:$D=""Storage cost per pallet / week"")*('cost master'!$G:$G&lt;=B2294)*(('cost master'!$H:$H&gt;=B2294)+ISBLANK('cost master'!$H:$H))),1),0)"),0.0)</f>
        <v>0</v>
      </c>
      <c r="I2294" s="3">
        <f t="shared" si="4"/>
        <v>0</v>
      </c>
      <c r="J2294" s="27">
        <f t="shared" si="5"/>
        <v>693947</v>
      </c>
      <c r="K2294" s="27">
        <f t="shared" si="6"/>
        <v>693977</v>
      </c>
    </row>
    <row r="2295" hidden="1">
      <c r="A2295" s="3" t="str">
        <f t="shared" si="3"/>
        <v/>
      </c>
      <c r="B2295" s="2" t="str">
        <f t="array" ref="B2295">INDEX(helper!$A$3:$A3996,ROUNDUP((ROW()-1)/COUNTA(helper!$D$3:$D3996),0))</f>
        <v/>
      </c>
      <c r="C2295" s="5" t="str">
        <f t="array" ref="C2295">IF(B2295="","",INDEX(helper!$D$3:$D3996,MOD(ROW()-2,COUNTA(helper!$D$3:$D3996))+1))</f>
        <v/>
      </c>
      <c r="D2295" s="3" t="str">
        <f t="array" ref="D2295">IF(B2295="","",INDEX(helper!$E$3:$E3996,MOD(ROW()-2,COUNTA(helper!$D$3:$D3996))+1))</f>
        <v/>
      </c>
      <c r="E2295" s="3" t="str">
        <f t="array" ref="E2295">IF(B2295="","",INDEX(helper!$F$3:$F3996,MOD(ROW()-2,COUNTA(helper!$D$3:$D3996))+1))</f>
        <v/>
      </c>
      <c r="F2295" s="3" t="str">
        <f>IF(B2295="","",SUMIFS('inventory ledger'!$H:$H,'inventory ledger'!$C:$C,C2295,'inventory ledger'!$D:$D,D2295,'inventory ledger'!$E:$E,E2295,'inventory ledger'!$A:$A,"&lt;="&amp;B2295+TIME(23,59,59))-SUMIFS('inventory ledger'!$I:$I,'inventory ledger'!$C:$C,C2295,'inventory ledger'!$D:$D,D2295,'inventory ledger'!$E:$E,E2295,'inventory ledger'!$A:$A,"&lt;="&amp;B2295+TIME(23,59,59)))</f>
        <v/>
      </c>
      <c r="G2295" s="3">
        <f>IFERROR(__xludf.DUMMYFUNCTION("IF(F2295&lt;=0,0,IFERROR(ROUNDUP(F2295/INDEX(FILTER('warehouse config'!$D:$D,('warehouse config'!$B:$B=C2295)*('warehouse config'!$C:$C=D2295)*('warehouse config'!$G:$G&lt;=B2295)*(('warehouse config'!$H:$H&gt;=B2295)+ISBLANK('warehouse config'!$H:$H))),1)),0))"),0.0)</f>
        <v>0</v>
      </c>
      <c r="H2295" s="3">
        <f>IFERROR(__xludf.DUMMYFUNCTION("IFERROR(INDEX(FILTER('cost master'!$E:$E,('cost master'!$B:$B=C2295)*('cost master'!$D:$D=""Storage cost per pallet / week"")*('cost master'!$G:$G&lt;=B2295)*(('cost master'!$H:$H&gt;=B2295)+ISBLANK('cost master'!$H:$H))),1),0)"),0.0)</f>
        <v>0</v>
      </c>
      <c r="I2295" s="3">
        <f t="shared" si="4"/>
        <v>0</v>
      </c>
      <c r="J2295" s="27">
        <f t="shared" si="5"/>
        <v>693947</v>
      </c>
      <c r="K2295" s="27">
        <f t="shared" si="6"/>
        <v>693977</v>
      </c>
    </row>
    <row r="2296" hidden="1">
      <c r="A2296" s="3" t="str">
        <f t="shared" si="3"/>
        <v/>
      </c>
      <c r="B2296" s="2" t="str">
        <f t="array" ref="B2296">INDEX(helper!$A$3:$A3996,ROUNDUP((ROW()-1)/COUNTA(helper!$D$3:$D3996),0))</f>
        <v/>
      </c>
      <c r="C2296" s="5" t="str">
        <f t="array" ref="C2296">IF(B2296="","",INDEX(helper!$D$3:$D3996,MOD(ROW()-2,COUNTA(helper!$D$3:$D3996))+1))</f>
        <v/>
      </c>
      <c r="D2296" s="3" t="str">
        <f t="array" ref="D2296">IF(B2296="","",INDEX(helper!$E$3:$E3996,MOD(ROW()-2,COUNTA(helper!$D$3:$D3996))+1))</f>
        <v/>
      </c>
      <c r="E2296" s="3" t="str">
        <f t="array" ref="E2296">IF(B2296="","",INDEX(helper!$F$3:$F3996,MOD(ROW()-2,COUNTA(helper!$D$3:$D3996))+1))</f>
        <v/>
      </c>
      <c r="F2296" s="3" t="str">
        <f>IF(B2296="","",SUMIFS('inventory ledger'!$H:$H,'inventory ledger'!$C:$C,C2296,'inventory ledger'!$D:$D,D2296,'inventory ledger'!$E:$E,E2296,'inventory ledger'!$A:$A,"&lt;="&amp;B2296+TIME(23,59,59))-SUMIFS('inventory ledger'!$I:$I,'inventory ledger'!$C:$C,C2296,'inventory ledger'!$D:$D,D2296,'inventory ledger'!$E:$E,E2296,'inventory ledger'!$A:$A,"&lt;="&amp;B2296+TIME(23,59,59)))</f>
        <v/>
      </c>
      <c r="G2296" s="3">
        <f>IFERROR(__xludf.DUMMYFUNCTION("IF(F2296&lt;=0,0,IFERROR(ROUNDUP(F2296/INDEX(FILTER('warehouse config'!$D:$D,('warehouse config'!$B:$B=C2296)*('warehouse config'!$C:$C=D2296)*('warehouse config'!$G:$G&lt;=B2296)*(('warehouse config'!$H:$H&gt;=B2296)+ISBLANK('warehouse config'!$H:$H))),1)),0))"),0.0)</f>
        <v>0</v>
      </c>
      <c r="H2296" s="3">
        <f>IFERROR(__xludf.DUMMYFUNCTION("IFERROR(INDEX(FILTER('cost master'!$E:$E,('cost master'!$B:$B=C2296)*('cost master'!$D:$D=""Storage cost per pallet / week"")*('cost master'!$G:$G&lt;=B2296)*(('cost master'!$H:$H&gt;=B2296)+ISBLANK('cost master'!$H:$H))),1),0)"),0.0)</f>
        <v>0</v>
      </c>
      <c r="I2296" s="3">
        <f t="shared" si="4"/>
        <v>0</v>
      </c>
      <c r="J2296" s="27">
        <f t="shared" si="5"/>
        <v>693947</v>
      </c>
      <c r="K2296" s="27">
        <f t="shared" si="6"/>
        <v>693977</v>
      </c>
    </row>
    <row r="2297" hidden="1">
      <c r="A2297" s="3" t="str">
        <f t="shared" si="3"/>
        <v/>
      </c>
      <c r="B2297" s="2" t="str">
        <f t="array" ref="B2297">INDEX(helper!$A$3:$A3996,ROUNDUP((ROW()-1)/COUNTA(helper!$D$3:$D3996),0))</f>
        <v/>
      </c>
      <c r="C2297" s="5" t="str">
        <f t="array" ref="C2297">IF(B2297="","",INDEX(helper!$D$3:$D3996,MOD(ROW()-2,COUNTA(helper!$D$3:$D3996))+1))</f>
        <v/>
      </c>
      <c r="D2297" s="3" t="str">
        <f t="array" ref="D2297">IF(B2297="","",INDEX(helper!$E$3:$E3996,MOD(ROW()-2,COUNTA(helper!$D$3:$D3996))+1))</f>
        <v/>
      </c>
      <c r="E2297" s="3" t="str">
        <f t="array" ref="E2297">IF(B2297="","",INDEX(helper!$F$3:$F3996,MOD(ROW()-2,COUNTA(helper!$D$3:$D3996))+1))</f>
        <v/>
      </c>
      <c r="F2297" s="3" t="str">
        <f>IF(B2297="","",SUMIFS('inventory ledger'!$H:$H,'inventory ledger'!$C:$C,C2297,'inventory ledger'!$D:$D,D2297,'inventory ledger'!$E:$E,E2297,'inventory ledger'!$A:$A,"&lt;="&amp;B2297+TIME(23,59,59))-SUMIFS('inventory ledger'!$I:$I,'inventory ledger'!$C:$C,C2297,'inventory ledger'!$D:$D,D2297,'inventory ledger'!$E:$E,E2297,'inventory ledger'!$A:$A,"&lt;="&amp;B2297+TIME(23,59,59)))</f>
        <v/>
      </c>
      <c r="G2297" s="3">
        <f>IFERROR(__xludf.DUMMYFUNCTION("IF(F2297&lt;=0,0,IFERROR(ROUNDUP(F2297/INDEX(FILTER('warehouse config'!$D:$D,('warehouse config'!$B:$B=C2297)*('warehouse config'!$C:$C=D2297)*('warehouse config'!$G:$G&lt;=B2297)*(('warehouse config'!$H:$H&gt;=B2297)+ISBLANK('warehouse config'!$H:$H))),1)),0))"),0.0)</f>
        <v>0</v>
      </c>
      <c r="H2297" s="3">
        <f>IFERROR(__xludf.DUMMYFUNCTION("IFERROR(INDEX(FILTER('cost master'!$E:$E,('cost master'!$B:$B=C2297)*('cost master'!$D:$D=""Storage cost per pallet / week"")*('cost master'!$G:$G&lt;=B2297)*(('cost master'!$H:$H&gt;=B2297)+ISBLANK('cost master'!$H:$H))),1),0)"),0.0)</f>
        <v>0</v>
      </c>
      <c r="I2297" s="3">
        <f t="shared" si="4"/>
        <v>0</v>
      </c>
      <c r="J2297" s="27">
        <f t="shared" si="5"/>
        <v>693947</v>
      </c>
      <c r="K2297" s="27">
        <f t="shared" si="6"/>
        <v>693977</v>
      </c>
    </row>
    <row r="2298" hidden="1">
      <c r="A2298" s="3" t="str">
        <f t="shared" si="3"/>
        <v/>
      </c>
      <c r="B2298" s="2" t="str">
        <f t="array" ref="B2298">INDEX(helper!$A$3:$A3996,ROUNDUP((ROW()-1)/COUNTA(helper!$D$3:$D3996),0))</f>
        <v/>
      </c>
      <c r="C2298" s="5" t="str">
        <f t="array" ref="C2298">IF(B2298="","",INDEX(helper!$D$3:$D3996,MOD(ROW()-2,COUNTA(helper!$D$3:$D3996))+1))</f>
        <v/>
      </c>
      <c r="D2298" s="3" t="str">
        <f t="array" ref="D2298">IF(B2298="","",INDEX(helper!$E$3:$E3996,MOD(ROW()-2,COUNTA(helper!$D$3:$D3996))+1))</f>
        <v/>
      </c>
      <c r="E2298" s="3" t="str">
        <f t="array" ref="E2298">IF(B2298="","",INDEX(helper!$F$3:$F3996,MOD(ROW()-2,COUNTA(helper!$D$3:$D3996))+1))</f>
        <v/>
      </c>
      <c r="F2298" s="3" t="str">
        <f>IF(B2298="","",SUMIFS('inventory ledger'!$H:$H,'inventory ledger'!$C:$C,C2298,'inventory ledger'!$D:$D,D2298,'inventory ledger'!$E:$E,E2298,'inventory ledger'!$A:$A,"&lt;="&amp;B2298+TIME(23,59,59))-SUMIFS('inventory ledger'!$I:$I,'inventory ledger'!$C:$C,C2298,'inventory ledger'!$D:$D,D2298,'inventory ledger'!$E:$E,E2298,'inventory ledger'!$A:$A,"&lt;="&amp;B2298+TIME(23,59,59)))</f>
        <v/>
      </c>
      <c r="G2298" s="3">
        <f>IFERROR(__xludf.DUMMYFUNCTION("IF(F2298&lt;=0,0,IFERROR(ROUNDUP(F2298/INDEX(FILTER('warehouse config'!$D:$D,('warehouse config'!$B:$B=C2298)*('warehouse config'!$C:$C=D2298)*('warehouse config'!$G:$G&lt;=B2298)*(('warehouse config'!$H:$H&gt;=B2298)+ISBLANK('warehouse config'!$H:$H))),1)),0))"),0.0)</f>
        <v>0</v>
      </c>
      <c r="H2298" s="3">
        <f>IFERROR(__xludf.DUMMYFUNCTION("IFERROR(INDEX(FILTER('cost master'!$E:$E,('cost master'!$B:$B=C2298)*('cost master'!$D:$D=""Storage cost per pallet / week"")*('cost master'!$G:$G&lt;=B2298)*(('cost master'!$H:$H&gt;=B2298)+ISBLANK('cost master'!$H:$H))),1),0)"),0.0)</f>
        <v>0</v>
      </c>
      <c r="I2298" s="3">
        <f t="shared" si="4"/>
        <v>0</v>
      </c>
      <c r="J2298" s="27">
        <f t="shared" si="5"/>
        <v>693947</v>
      </c>
      <c r="K2298" s="27">
        <f t="shared" si="6"/>
        <v>693977</v>
      </c>
    </row>
    <row r="2299" hidden="1">
      <c r="A2299" s="3" t="str">
        <f t="shared" si="3"/>
        <v/>
      </c>
      <c r="B2299" s="2" t="str">
        <f t="array" ref="B2299">INDEX(helper!$A$3:$A3996,ROUNDUP((ROW()-1)/COUNTA(helper!$D$3:$D3996),0))</f>
        <v/>
      </c>
      <c r="C2299" s="5" t="str">
        <f t="array" ref="C2299">IF(B2299="","",INDEX(helper!$D$3:$D3996,MOD(ROW()-2,COUNTA(helper!$D$3:$D3996))+1))</f>
        <v/>
      </c>
      <c r="D2299" s="3" t="str">
        <f t="array" ref="D2299">IF(B2299="","",INDEX(helper!$E$3:$E3996,MOD(ROW()-2,COUNTA(helper!$D$3:$D3996))+1))</f>
        <v/>
      </c>
      <c r="E2299" s="3" t="str">
        <f t="array" ref="E2299">IF(B2299="","",INDEX(helper!$F$3:$F3996,MOD(ROW()-2,COUNTA(helper!$D$3:$D3996))+1))</f>
        <v/>
      </c>
      <c r="F2299" s="3" t="str">
        <f>IF(B2299="","",SUMIFS('inventory ledger'!$H:$H,'inventory ledger'!$C:$C,C2299,'inventory ledger'!$D:$D,D2299,'inventory ledger'!$E:$E,E2299,'inventory ledger'!$A:$A,"&lt;="&amp;B2299+TIME(23,59,59))-SUMIFS('inventory ledger'!$I:$I,'inventory ledger'!$C:$C,C2299,'inventory ledger'!$D:$D,D2299,'inventory ledger'!$E:$E,E2299,'inventory ledger'!$A:$A,"&lt;="&amp;B2299+TIME(23,59,59)))</f>
        <v/>
      </c>
      <c r="G2299" s="3">
        <f>IFERROR(__xludf.DUMMYFUNCTION("IF(F2299&lt;=0,0,IFERROR(ROUNDUP(F2299/INDEX(FILTER('warehouse config'!$D:$D,('warehouse config'!$B:$B=C2299)*('warehouse config'!$C:$C=D2299)*('warehouse config'!$G:$G&lt;=B2299)*(('warehouse config'!$H:$H&gt;=B2299)+ISBLANK('warehouse config'!$H:$H))),1)),0))"),0.0)</f>
        <v>0</v>
      </c>
      <c r="H2299" s="3">
        <f>IFERROR(__xludf.DUMMYFUNCTION("IFERROR(INDEX(FILTER('cost master'!$E:$E,('cost master'!$B:$B=C2299)*('cost master'!$D:$D=""Storage cost per pallet / week"")*('cost master'!$G:$G&lt;=B2299)*(('cost master'!$H:$H&gt;=B2299)+ISBLANK('cost master'!$H:$H))),1),0)"),0.0)</f>
        <v>0</v>
      </c>
      <c r="I2299" s="3">
        <f t="shared" si="4"/>
        <v>0</v>
      </c>
      <c r="J2299" s="27">
        <f t="shared" si="5"/>
        <v>693947</v>
      </c>
      <c r="K2299" s="27">
        <f t="shared" si="6"/>
        <v>693977</v>
      </c>
    </row>
    <row r="2300" hidden="1">
      <c r="A2300" s="3" t="str">
        <f t="shared" si="3"/>
        <v/>
      </c>
      <c r="B2300" s="2" t="str">
        <f t="array" ref="B2300">INDEX(helper!$A$3:$A3996,ROUNDUP((ROW()-1)/COUNTA(helper!$D$3:$D3996),0))</f>
        <v/>
      </c>
      <c r="C2300" s="5" t="str">
        <f t="array" ref="C2300">IF(B2300="","",INDEX(helper!$D$3:$D3996,MOD(ROW()-2,COUNTA(helper!$D$3:$D3996))+1))</f>
        <v/>
      </c>
      <c r="D2300" s="3" t="str">
        <f t="array" ref="D2300">IF(B2300="","",INDEX(helper!$E$3:$E3996,MOD(ROW()-2,COUNTA(helper!$D$3:$D3996))+1))</f>
        <v/>
      </c>
      <c r="E2300" s="3" t="str">
        <f t="array" ref="E2300">IF(B2300="","",INDEX(helper!$F$3:$F3996,MOD(ROW()-2,COUNTA(helper!$D$3:$D3996))+1))</f>
        <v/>
      </c>
      <c r="F2300" s="3" t="str">
        <f>IF(B2300="","",SUMIFS('inventory ledger'!$H:$H,'inventory ledger'!$C:$C,C2300,'inventory ledger'!$D:$D,D2300,'inventory ledger'!$E:$E,E2300,'inventory ledger'!$A:$A,"&lt;="&amp;B2300+TIME(23,59,59))-SUMIFS('inventory ledger'!$I:$I,'inventory ledger'!$C:$C,C2300,'inventory ledger'!$D:$D,D2300,'inventory ledger'!$E:$E,E2300,'inventory ledger'!$A:$A,"&lt;="&amp;B2300+TIME(23,59,59)))</f>
        <v/>
      </c>
      <c r="G2300" s="3">
        <f>IFERROR(__xludf.DUMMYFUNCTION("IF(F2300&lt;=0,0,IFERROR(ROUNDUP(F2300/INDEX(FILTER('warehouse config'!$D:$D,('warehouse config'!$B:$B=C2300)*('warehouse config'!$C:$C=D2300)*('warehouse config'!$G:$G&lt;=B2300)*(('warehouse config'!$H:$H&gt;=B2300)+ISBLANK('warehouse config'!$H:$H))),1)),0))"),0.0)</f>
        <v>0</v>
      </c>
      <c r="H2300" s="3">
        <f>IFERROR(__xludf.DUMMYFUNCTION("IFERROR(INDEX(FILTER('cost master'!$E:$E,('cost master'!$B:$B=C2300)*('cost master'!$D:$D=""Storage cost per pallet / week"")*('cost master'!$G:$G&lt;=B2300)*(('cost master'!$H:$H&gt;=B2300)+ISBLANK('cost master'!$H:$H))),1),0)"),0.0)</f>
        <v>0</v>
      </c>
      <c r="I2300" s="3">
        <f t="shared" si="4"/>
        <v>0</v>
      </c>
      <c r="J2300" s="27">
        <f t="shared" si="5"/>
        <v>693947</v>
      </c>
      <c r="K2300" s="27">
        <f t="shared" si="6"/>
        <v>693977</v>
      </c>
    </row>
    <row r="2301" hidden="1">
      <c r="A2301" s="3" t="str">
        <f t="shared" si="3"/>
        <v/>
      </c>
      <c r="B2301" s="2" t="str">
        <f t="array" ref="B2301">INDEX(helper!$A$3:$A3996,ROUNDUP((ROW()-1)/COUNTA(helper!$D$3:$D3996),0))</f>
        <v/>
      </c>
      <c r="C2301" s="5" t="str">
        <f t="array" ref="C2301">IF(B2301="","",INDEX(helper!$D$3:$D3996,MOD(ROW()-2,COUNTA(helper!$D$3:$D3996))+1))</f>
        <v/>
      </c>
      <c r="D2301" s="3" t="str">
        <f t="array" ref="D2301">IF(B2301="","",INDEX(helper!$E$3:$E3996,MOD(ROW()-2,COUNTA(helper!$D$3:$D3996))+1))</f>
        <v/>
      </c>
      <c r="E2301" s="3" t="str">
        <f t="array" ref="E2301">IF(B2301="","",INDEX(helper!$F$3:$F3996,MOD(ROW()-2,COUNTA(helper!$D$3:$D3996))+1))</f>
        <v/>
      </c>
      <c r="F2301" s="3" t="str">
        <f>IF(B2301="","",SUMIFS('inventory ledger'!$H:$H,'inventory ledger'!$C:$C,C2301,'inventory ledger'!$D:$D,D2301,'inventory ledger'!$E:$E,E2301,'inventory ledger'!$A:$A,"&lt;="&amp;B2301+TIME(23,59,59))-SUMIFS('inventory ledger'!$I:$I,'inventory ledger'!$C:$C,C2301,'inventory ledger'!$D:$D,D2301,'inventory ledger'!$E:$E,E2301,'inventory ledger'!$A:$A,"&lt;="&amp;B2301+TIME(23,59,59)))</f>
        <v/>
      </c>
      <c r="G2301" s="3">
        <f>IFERROR(__xludf.DUMMYFUNCTION("IF(F2301&lt;=0,0,IFERROR(ROUNDUP(F2301/INDEX(FILTER('warehouse config'!$D:$D,('warehouse config'!$B:$B=C2301)*('warehouse config'!$C:$C=D2301)*('warehouse config'!$G:$G&lt;=B2301)*(('warehouse config'!$H:$H&gt;=B2301)+ISBLANK('warehouse config'!$H:$H))),1)),0))"),0.0)</f>
        <v>0</v>
      </c>
      <c r="H2301" s="3">
        <f>IFERROR(__xludf.DUMMYFUNCTION("IFERROR(INDEX(FILTER('cost master'!$E:$E,('cost master'!$B:$B=C2301)*('cost master'!$D:$D=""Storage cost per pallet / week"")*('cost master'!$G:$G&lt;=B2301)*(('cost master'!$H:$H&gt;=B2301)+ISBLANK('cost master'!$H:$H))),1),0)"),0.0)</f>
        <v>0</v>
      </c>
      <c r="I2301" s="3">
        <f t="shared" si="4"/>
        <v>0</v>
      </c>
      <c r="J2301" s="27">
        <f t="shared" si="5"/>
        <v>693947</v>
      </c>
      <c r="K2301" s="27">
        <f t="shared" si="6"/>
        <v>693977</v>
      </c>
    </row>
    <row r="2302" hidden="1">
      <c r="A2302" s="3" t="str">
        <f t="shared" si="3"/>
        <v/>
      </c>
      <c r="B2302" s="2" t="str">
        <f t="array" ref="B2302">INDEX(helper!$A$3:$A3996,ROUNDUP((ROW()-1)/COUNTA(helper!$D$3:$D3996),0))</f>
        <v/>
      </c>
      <c r="C2302" s="5" t="str">
        <f t="array" ref="C2302">IF(B2302="","",INDEX(helper!$D$3:$D3996,MOD(ROW()-2,COUNTA(helper!$D$3:$D3996))+1))</f>
        <v/>
      </c>
      <c r="D2302" s="3" t="str">
        <f t="array" ref="D2302">IF(B2302="","",INDEX(helper!$E$3:$E3996,MOD(ROW()-2,COUNTA(helper!$D$3:$D3996))+1))</f>
        <v/>
      </c>
      <c r="E2302" s="3" t="str">
        <f t="array" ref="E2302">IF(B2302="","",INDEX(helper!$F$3:$F3996,MOD(ROW()-2,COUNTA(helper!$D$3:$D3996))+1))</f>
        <v/>
      </c>
      <c r="F2302" s="3" t="str">
        <f>IF(B2302="","",SUMIFS('inventory ledger'!$H:$H,'inventory ledger'!$C:$C,C2302,'inventory ledger'!$D:$D,D2302,'inventory ledger'!$E:$E,E2302,'inventory ledger'!$A:$A,"&lt;="&amp;B2302+TIME(23,59,59))-SUMIFS('inventory ledger'!$I:$I,'inventory ledger'!$C:$C,C2302,'inventory ledger'!$D:$D,D2302,'inventory ledger'!$E:$E,E2302,'inventory ledger'!$A:$A,"&lt;="&amp;B2302+TIME(23,59,59)))</f>
        <v/>
      </c>
      <c r="G2302" s="3">
        <f>IFERROR(__xludf.DUMMYFUNCTION("IF(F2302&lt;=0,0,IFERROR(ROUNDUP(F2302/INDEX(FILTER('warehouse config'!$D:$D,('warehouse config'!$B:$B=C2302)*('warehouse config'!$C:$C=D2302)*('warehouse config'!$G:$G&lt;=B2302)*(('warehouse config'!$H:$H&gt;=B2302)+ISBLANK('warehouse config'!$H:$H))),1)),0))"),0.0)</f>
        <v>0</v>
      </c>
      <c r="H2302" s="3">
        <f>IFERROR(__xludf.DUMMYFUNCTION("IFERROR(INDEX(FILTER('cost master'!$E:$E,('cost master'!$B:$B=C2302)*('cost master'!$D:$D=""Storage cost per pallet / week"")*('cost master'!$G:$G&lt;=B2302)*(('cost master'!$H:$H&gt;=B2302)+ISBLANK('cost master'!$H:$H))),1),0)"),0.0)</f>
        <v>0</v>
      </c>
      <c r="I2302" s="3">
        <f t="shared" si="4"/>
        <v>0</v>
      </c>
      <c r="J2302" s="27">
        <f t="shared" si="5"/>
        <v>693947</v>
      </c>
      <c r="K2302" s="27">
        <f t="shared" si="6"/>
        <v>693977</v>
      </c>
    </row>
    <row r="2303" hidden="1">
      <c r="A2303" s="3" t="str">
        <f t="shared" si="3"/>
        <v/>
      </c>
      <c r="B2303" s="2" t="str">
        <f t="array" ref="B2303">INDEX(helper!$A$3:$A3996,ROUNDUP((ROW()-1)/COUNTA(helper!$D$3:$D3996),0))</f>
        <v/>
      </c>
      <c r="C2303" s="5" t="str">
        <f t="array" ref="C2303">IF(B2303="","",INDEX(helper!$D$3:$D3996,MOD(ROW()-2,COUNTA(helper!$D$3:$D3996))+1))</f>
        <v/>
      </c>
      <c r="D2303" s="3" t="str">
        <f t="array" ref="D2303">IF(B2303="","",INDEX(helper!$E$3:$E3996,MOD(ROW()-2,COUNTA(helper!$D$3:$D3996))+1))</f>
        <v/>
      </c>
      <c r="E2303" s="3" t="str">
        <f t="array" ref="E2303">IF(B2303="","",INDEX(helper!$F$3:$F3996,MOD(ROW()-2,COUNTA(helper!$D$3:$D3996))+1))</f>
        <v/>
      </c>
      <c r="F2303" s="3" t="str">
        <f>IF(B2303="","",SUMIFS('inventory ledger'!$H:$H,'inventory ledger'!$C:$C,C2303,'inventory ledger'!$D:$D,D2303,'inventory ledger'!$E:$E,E2303,'inventory ledger'!$A:$A,"&lt;="&amp;B2303+TIME(23,59,59))-SUMIFS('inventory ledger'!$I:$I,'inventory ledger'!$C:$C,C2303,'inventory ledger'!$D:$D,D2303,'inventory ledger'!$E:$E,E2303,'inventory ledger'!$A:$A,"&lt;="&amp;B2303+TIME(23,59,59)))</f>
        <v/>
      </c>
      <c r="G2303" s="3">
        <f>IFERROR(__xludf.DUMMYFUNCTION("IF(F2303&lt;=0,0,IFERROR(ROUNDUP(F2303/INDEX(FILTER('warehouse config'!$D:$D,('warehouse config'!$B:$B=C2303)*('warehouse config'!$C:$C=D2303)*('warehouse config'!$G:$G&lt;=B2303)*(('warehouse config'!$H:$H&gt;=B2303)+ISBLANK('warehouse config'!$H:$H))),1)),0))"),0.0)</f>
        <v>0</v>
      </c>
      <c r="H2303" s="3">
        <f>IFERROR(__xludf.DUMMYFUNCTION("IFERROR(INDEX(FILTER('cost master'!$E:$E,('cost master'!$B:$B=C2303)*('cost master'!$D:$D=""Storage cost per pallet / week"")*('cost master'!$G:$G&lt;=B2303)*(('cost master'!$H:$H&gt;=B2303)+ISBLANK('cost master'!$H:$H))),1),0)"),0.0)</f>
        <v>0</v>
      </c>
      <c r="I2303" s="3">
        <f t="shared" si="4"/>
        <v>0</v>
      </c>
      <c r="J2303" s="27">
        <f t="shared" si="5"/>
        <v>693947</v>
      </c>
      <c r="K2303" s="27">
        <f t="shared" si="6"/>
        <v>693977</v>
      </c>
    </row>
    <row r="2304" hidden="1">
      <c r="A2304" s="3" t="str">
        <f t="shared" si="3"/>
        <v/>
      </c>
      <c r="B2304" s="2" t="str">
        <f t="array" ref="B2304">INDEX(helper!$A$3:$A3996,ROUNDUP((ROW()-1)/COUNTA(helper!$D$3:$D3996),0))</f>
        <v/>
      </c>
      <c r="C2304" s="5" t="str">
        <f t="array" ref="C2304">IF(B2304="","",INDEX(helper!$D$3:$D3996,MOD(ROW()-2,COUNTA(helper!$D$3:$D3996))+1))</f>
        <v/>
      </c>
      <c r="D2304" s="3" t="str">
        <f t="array" ref="D2304">IF(B2304="","",INDEX(helper!$E$3:$E3996,MOD(ROW()-2,COUNTA(helper!$D$3:$D3996))+1))</f>
        <v/>
      </c>
      <c r="E2304" s="3" t="str">
        <f t="array" ref="E2304">IF(B2304="","",INDEX(helper!$F$3:$F3996,MOD(ROW()-2,COUNTA(helper!$D$3:$D3996))+1))</f>
        <v/>
      </c>
      <c r="F2304" s="3" t="str">
        <f>IF(B2304="","",SUMIFS('inventory ledger'!$H:$H,'inventory ledger'!$C:$C,C2304,'inventory ledger'!$D:$D,D2304,'inventory ledger'!$E:$E,E2304,'inventory ledger'!$A:$A,"&lt;="&amp;B2304+TIME(23,59,59))-SUMIFS('inventory ledger'!$I:$I,'inventory ledger'!$C:$C,C2304,'inventory ledger'!$D:$D,D2304,'inventory ledger'!$E:$E,E2304,'inventory ledger'!$A:$A,"&lt;="&amp;B2304+TIME(23,59,59)))</f>
        <v/>
      </c>
      <c r="G2304" s="3">
        <f>IFERROR(__xludf.DUMMYFUNCTION("IF(F2304&lt;=0,0,IFERROR(ROUNDUP(F2304/INDEX(FILTER('warehouse config'!$D:$D,('warehouse config'!$B:$B=C2304)*('warehouse config'!$C:$C=D2304)*('warehouse config'!$G:$G&lt;=B2304)*(('warehouse config'!$H:$H&gt;=B2304)+ISBLANK('warehouse config'!$H:$H))),1)),0))"),0.0)</f>
        <v>0</v>
      </c>
      <c r="H2304" s="3">
        <f>IFERROR(__xludf.DUMMYFUNCTION("IFERROR(INDEX(FILTER('cost master'!$E:$E,('cost master'!$B:$B=C2304)*('cost master'!$D:$D=""Storage cost per pallet / week"")*('cost master'!$G:$G&lt;=B2304)*(('cost master'!$H:$H&gt;=B2304)+ISBLANK('cost master'!$H:$H))),1),0)"),0.0)</f>
        <v>0</v>
      </c>
      <c r="I2304" s="3">
        <f t="shared" si="4"/>
        <v>0</v>
      </c>
      <c r="J2304" s="27">
        <f t="shared" si="5"/>
        <v>693947</v>
      </c>
      <c r="K2304" s="27">
        <f t="shared" si="6"/>
        <v>693977</v>
      </c>
    </row>
    <row r="2305" hidden="1">
      <c r="A2305" s="3" t="str">
        <f t="shared" si="3"/>
        <v/>
      </c>
      <c r="B2305" s="2" t="str">
        <f t="array" ref="B2305">INDEX(helper!$A$3:$A3996,ROUNDUP((ROW()-1)/COUNTA(helper!$D$3:$D3996),0))</f>
        <v/>
      </c>
      <c r="C2305" s="5" t="str">
        <f t="array" ref="C2305">IF(B2305="","",INDEX(helper!$D$3:$D3996,MOD(ROW()-2,COUNTA(helper!$D$3:$D3996))+1))</f>
        <v/>
      </c>
      <c r="D2305" s="3" t="str">
        <f t="array" ref="D2305">IF(B2305="","",INDEX(helper!$E$3:$E3996,MOD(ROW()-2,COUNTA(helper!$D$3:$D3996))+1))</f>
        <v/>
      </c>
      <c r="E2305" s="3" t="str">
        <f t="array" ref="E2305">IF(B2305="","",INDEX(helper!$F$3:$F3996,MOD(ROW()-2,COUNTA(helper!$D$3:$D3996))+1))</f>
        <v/>
      </c>
      <c r="F2305" s="3" t="str">
        <f>IF(B2305="","",SUMIFS('inventory ledger'!$H:$H,'inventory ledger'!$C:$C,C2305,'inventory ledger'!$D:$D,D2305,'inventory ledger'!$E:$E,E2305,'inventory ledger'!$A:$A,"&lt;="&amp;B2305+TIME(23,59,59))-SUMIFS('inventory ledger'!$I:$I,'inventory ledger'!$C:$C,C2305,'inventory ledger'!$D:$D,D2305,'inventory ledger'!$E:$E,E2305,'inventory ledger'!$A:$A,"&lt;="&amp;B2305+TIME(23,59,59)))</f>
        <v/>
      </c>
      <c r="G2305" s="3">
        <f>IFERROR(__xludf.DUMMYFUNCTION("IF(F2305&lt;=0,0,IFERROR(ROUNDUP(F2305/INDEX(FILTER('warehouse config'!$D:$D,('warehouse config'!$B:$B=C2305)*('warehouse config'!$C:$C=D2305)*('warehouse config'!$G:$G&lt;=B2305)*(('warehouse config'!$H:$H&gt;=B2305)+ISBLANK('warehouse config'!$H:$H))),1)),0))"),0.0)</f>
        <v>0</v>
      </c>
      <c r="H2305" s="3">
        <f>IFERROR(__xludf.DUMMYFUNCTION("IFERROR(INDEX(FILTER('cost master'!$E:$E,('cost master'!$B:$B=C2305)*('cost master'!$D:$D=""Storage cost per pallet / week"")*('cost master'!$G:$G&lt;=B2305)*(('cost master'!$H:$H&gt;=B2305)+ISBLANK('cost master'!$H:$H))),1),0)"),0.0)</f>
        <v>0</v>
      </c>
      <c r="I2305" s="3">
        <f t="shared" si="4"/>
        <v>0</v>
      </c>
      <c r="J2305" s="27">
        <f t="shared" si="5"/>
        <v>693947</v>
      </c>
      <c r="K2305" s="27">
        <f t="shared" si="6"/>
        <v>693977</v>
      </c>
    </row>
    <row r="2306" hidden="1">
      <c r="A2306" s="3" t="str">
        <f t="shared" si="3"/>
        <v/>
      </c>
      <c r="B2306" s="2" t="str">
        <f t="array" ref="B2306">INDEX(helper!$A$3:$A3996,ROUNDUP((ROW()-1)/COUNTA(helper!$D$3:$D3996),0))</f>
        <v/>
      </c>
      <c r="C2306" s="5" t="str">
        <f t="array" ref="C2306">IF(B2306="","",INDEX(helper!$D$3:$D3996,MOD(ROW()-2,COUNTA(helper!$D$3:$D3996))+1))</f>
        <v/>
      </c>
      <c r="D2306" s="3" t="str">
        <f t="array" ref="D2306">IF(B2306="","",INDEX(helper!$E$3:$E3996,MOD(ROW()-2,COUNTA(helper!$D$3:$D3996))+1))</f>
        <v/>
      </c>
      <c r="E2306" s="3" t="str">
        <f t="array" ref="E2306">IF(B2306="","",INDEX(helper!$F$3:$F3996,MOD(ROW()-2,COUNTA(helper!$D$3:$D3996))+1))</f>
        <v/>
      </c>
      <c r="F2306" s="3" t="str">
        <f>IF(B2306="","",SUMIFS('inventory ledger'!$H:$H,'inventory ledger'!$C:$C,C2306,'inventory ledger'!$D:$D,D2306,'inventory ledger'!$E:$E,E2306,'inventory ledger'!$A:$A,"&lt;="&amp;B2306+TIME(23,59,59))-SUMIFS('inventory ledger'!$I:$I,'inventory ledger'!$C:$C,C2306,'inventory ledger'!$D:$D,D2306,'inventory ledger'!$E:$E,E2306,'inventory ledger'!$A:$A,"&lt;="&amp;B2306+TIME(23,59,59)))</f>
        <v/>
      </c>
      <c r="G2306" s="3">
        <f>IFERROR(__xludf.DUMMYFUNCTION("IF(F2306&lt;=0,0,IFERROR(ROUNDUP(F2306/INDEX(FILTER('warehouse config'!$D:$D,('warehouse config'!$B:$B=C2306)*('warehouse config'!$C:$C=D2306)*('warehouse config'!$G:$G&lt;=B2306)*(('warehouse config'!$H:$H&gt;=B2306)+ISBLANK('warehouse config'!$H:$H))),1)),0))"),0.0)</f>
        <v>0</v>
      </c>
      <c r="H2306" s="3">
        <f>IFERROR(__xludf.DUMMYFUNCTION("IFERROR(INDEX(FILTER('cost master'!$E:$E,('cost master'!$B:$B=C2306)*('cost master'!$D:$D=""Storage cost per pallet / week"")*('cost master'!$G:$G&lt;=B2306)*(('cost master'!$H:$H&gt;=B2306)+ISBLANK('cost master'!$H:$H))),1),0)"),0.0)</f>
        <v>0</v>
      </c>
      <c r="I2306" s="3">
        <f t="shared" si="4"/>
        <v>0</v>
      </c>
      <c r="J2306" s="27">
        <f t="shared" si="5"/>
        <v>693947</v>
      </c>
      <c r="K2306" s="27">
        <f t="shared" si="6"/>
        <v>693977</v>
      </c>
    </row>
    <row r="2307" hidden="1">
      <c r="A2307" s="3" t="str">
        <f t="shared" si="3"/>
        <v/>
      </c>
      <c r="B2307" s="2" t="str">
        <f t="array" ref="B2307">INDEX(helper!$A$3:$A3996,ROUNDUP((ROW()-1)/COUNTA(helper!$D$3:$D3996),0))</f>
        <v/>
      </c>
      <c r="C2307" s="5" t="str">
        <f t="array" ref="C2307">IF(B2307="","",INDEX(helper!$D$3:$D3996,MOD(ROW()-2,COUNTA(helper!$D$3:$D3996))+1))</f>
        <v/>
      </c>
      <c r="D2307" s="3" t="str">
        <f t="array" ref="D2307">IF(B2307="","",INDEX(helper!$E$3:$E3996,MOD(ROW()-2,COUNTA(helper!$D$3:$D3996))+1))</f>
        <v/>
      </c>
      <c r="E2307" s="3" t="str">
        <f t="array" ref="E2307">IF(B2307="","",INDEX(helper!$F$3:$F3996,MOD(ROW()-2,COUNTA(helper!$D$3:$D3996))+1))</f>
        <v/>
      </c>
      <c r="F2307" s="3" t="str">
        <f>IF(B2307="","",SUMIFS('inventory ledger'!$H:$H,'inventory ledger'!$C:$C,C2307,'inventory ledger'!$D:$D,D2307,'inventory ledger'!$E:$E,E2307,'inventory ledger'!$A:$A,"&lt;="&amp;B2307+TIME(23,59,59))-SUMIFS('inventory ledger'!$I:$I,'inventory ledger'!$C:$C,C2307,'inventory ledger'!$D:$D,D2307,'inventory ledger'!$E:$E,E2307,'inventory ledger'!$A:$A,"&lt;="&amp;B2307+TIME(23,59,59)))</f>
        <v/>
      </c>
      <c r="G2307" s="3">
        <f>IFERROR(__xludf.DUMMYFUNCTION("IF(F2307&lt;=0,0,IFERROR(ROUNDUP(F2307/INDEX(FILTER('warehouse config'!$D:$D,('warehouse config'!$B:$B=C2307)*('warehouse config'!$C:$C=D2307)*('warehouse config'!$G:$G&lt;=B2307)*(('warehouse config'!$H:$H&gt;=B2307)+ISBLANK('warehouse config'!$H:$H))),1)),0))"),0.0)</f>
        <v>0</v>
      </c>
      <c r="H2307" s="3">
        <f>IFERROR(__xludf.DUMMYFUNCTION("IFERROR(INDEX(FILTER('cost master'!$E:$E,('cost master'!$B:$B=C2307)*('cost master'!$D:$D=""Storage cost per pallet / week"")*('cost master'!$G:$G&lt;=B2307)*(('cost master'!$H:$H&gt;=B2307)+ISBLANK('cost master'!$H:$H))),1),0)"),0.0)</f>
        <v>0</v>
      </c>
      <c r="I2307" s="3">
        <f t="shared" si="4"/>
        <v>0</v>
      </c>
      <c r="J2307" s="27">
        <f t="shared" si="5"/>
        <v>693947</v>
      </c>
      <c r="K2307" s="27">
        <f t="shared" si="6"/>
        <v>693977</v>
      </c>
    </row>
    <row r="2308" hidden="1">
      <c r="A2308" s="3" t="str">
        <f t="shared" si="3"/>
        <v/>
      </c>
      <c r="B2308" s="2" t="str">
        <f t="array" ref="B2308">INDEX(helper!$A$3:$A3996,ROUNDUP((ROW()-1)/COUNTA(helper!$D$3:$D3996),0))</f>
        <v/>
      </c>
      <c r="C2308" s="5" t="str">
        <f t="array" ref="C2308">IF(B2308="","",INDEX(helper!$D$3:$D3996,MOD(ROW()-2,COUNTA(helper!$D$3:$D3996))+1))</f>
        <v/>
      </c>
      <c r="D2308" s="3" t="str">
        <f t="array" ref="D2308">IF(B2308="","",INDEX(helper!$E$3:$E3996,MOD(ROW()-2,COUNTA(helper!$D$3:$D3996))+1))</f>
        <v/>
      </c>
      <c r="E2308" s="3" t="str">
        <f t="array" ref="E2308">IF(B2308="","",INDEX(helper!$F$3:$F3996,MOD(ROW()-2,COUNTA(helper!$D$3:$D3996))+1))</f>
        <v/>
      </c>
      <c r="F2308" s="3" t="str">
        <f>IF(B2308="","",SUMIFS('inventory ledger'!$H:$H,'inventory ledger'!$C:$C,C2308,'inventory ledger'!$D:$D,D2308,'inventory ledger'!$E:$E,E2308,'inventory ledger'!$A:$A,"&lt;="&amp;B2308+TIME(23,59,59))-SUMIFS('inventory ledger'!$I:$I,'inventory ledger'!$C:$C,C2308,'inventory ledger'!$D:$D,D2308,'inventory ledger'!$E:$E,E2308,'inventory ledger'!$A:$A,"&lt;="&amp;B2308+TIME(23,59,59)))</f>
        <v/>
      </c>
      <c r="G2308" s="3">
        <f>IFERROR(__xludf.DUMMYFUNCTION("IF(F2308&lt;=0,0,IFERROR(ROUNDUP(F2308/INDEX(FILTER('warehouse config'!$D:$D,('warehouse config'!$B:$B=C2308)*('warehouse config'!$C:$C=D2308)*('warehouse config'!$G:$G&lt;=B2308)*(('warehouse config'!$H:$H&gt;=B2308)+ISBLANK('warehouse config'!$H:$H))),1)),0))"),0.0)</f>
        <v>0</v>
      </c>
      <c r="H2308" s="3">
        <f>IFERROR(__xludf.DUMMYFUNCTION("IFERROR(INDEX(FILTER('cost master'!$E:$E,('cost master'!$B:$B=C2308)*('cost master'!$D:$D=""Storage cost per pallet / week"")*('cost master'!$G:$G&lt;=B2308)*(('cost master'!$H:$H&gt;=B2308)+ISBLANK('cost master'!$H:$H))),1),0)"),0.0)</f>
        <v>0</v>
      </c>
      <c r="I2308" s="3">
        <f t="shared" si="4"/>
        <v>0</v>
      </c>
      <c r="J2308" s="27">
        <f t="shared" si="5"/>
        <v>693947</v>
      </c>
      <c r="K2308" s="27">
        <f t="shared" si="6"/>
        <v>693977</v>
      </c>
    </row>
    <row r="2309" hidden="1">
      <c r="A2309" s="3" t="str">
        <f t="shared" si="3"/>
        <v/>
      </c>
      <c r="B2309" s="2" t="str">
        <f t="array" ref="B2309">INDEX(helper!$A$3:$A3996,ROUNDUP((ROW()-1)/COUNTA(helper!$D$3:$D3996),0))</f>
        <v/>
      </c>
      <c r="C2309" s="5" t="str">
        <f t="array" ref="C2309">IF(B2309="","",INDEX(helper!$D$3:$D3996,MOD(ROW()-2,COUNTA(helper!$D$3:$D3996))+1))</f>
        <v/>
      </c>
      <c r="D2309" s="3" t="str">
        <f t="array" ref="D2309">IF(B2309="","",INDEX(helper!$E$3:$E3996,MOD(ROW()-2,COUNTA(helper!$D$3:$D3996))+1))</f>
        <v/>
      </c>
      <c r="E2309" s="3" t="str">
        <f t="array" ref="E2309">IF(B2309="","",INDEX(helper!$F$3:$F3996,MOD(ROW()-2,COUNTA(helper!$D$3:$D3996))+1))</f>
        <v/>
      </c>
      <c r="F2309" s="3" t="str">
        <f>IF(B2309="","",SUMIFS('inventory ledger'!$H:$H,'inventory ledger'!$C:$C,C2309,'inventory ledger'!$D:$D,D2309,'inventory ledger'!$E:$E,E2309,'inventory ledger'!$A:$A,"&lt;="&amp;B2309+TIME(23,59,59))-SUMIFS('inventory ledger'!$I:$I,'inventory ledger'!$C:$C,C2309,'inventory ledger'!$D:$D,D2309,'inventory ledger'!$E:$E,E2309,'inventory ledger'!$A:$A,"&lt;="&amp;B2309+TIME(23,59,59)))</f>
        <v/>
      </c>
      <c r="G2309" s="3">
        <f>IFERROR(__xludf.DUMMYFUNCTION("IF(F2309&lt;=0,0,IFERROR(ROUNDUP(F2309/INDEX(FILTER('warehouse config'!$D:$D,('warehouse config'!$B:$B=C2309)*('warehouse config'!$C:$C=D2309)*('warehouse config'!$G:$G&lt;=B2309)*(('warehouse config'!$H:$H&gt;=B2309)+ISBLANK('warehouse config'!$H:$H))),1)),0))"),0.0)</f>
        <v>0</v>
      </c>
      <c r="H2309" s="3">
        <f>IFERROR(__xludf.DUMMYFUNCTION("IFERROR(INDEX(FILTER('cost master'!$E:$E,('cost master'!$B:$B=C2309)*('cost master'!$D:$D=""Storage cost per pallet / week"")*('cost master'!$G:$G&lt;=B2309)*(('cost master'!$H:$H&gt;=B2309)+ISBLANK('cost master'!$H:$H))),1),0)"),0.0)</f>
        <v>0</v>
      </c>
      <c r="I2309" s="3">
        <f t="shared" si="4"/>
        <v>0</v>
      </c>
      <c r="J2309" s="27">
        <f t="shared" si="5"/>
        <v>693947</v>
      </c>
      <c r="K2309" s="27">
        <f t="shared" si="6"/>
        <v>693977</v>
      </c>
    </row>
    <row r="2310" hidden="1">
      <c r="A2310" s="3" t="str">
        <f t="shared" si="3"/>
        <v/>
      </c>
      <c r="B2310" s="2" t="str">
        <f t="array" ref="B2310">INDEX(helper!$A$3:$A3996,ROUNDUP((ROW()-1)/COUNTA(helper!$D$3:$D3996),0))</f>
        <v/>
      </c>
      <c r="C2310" s="5" t="str">
        <f t="array" ref="C2310">IF(B2310="","",INDEX(helper!$D$3:$D3996,MOD(ROW()-2,COUNTA(helper!$D$3:$D3996))+1))</f>
        <v/>
      </c>
      <c r="D2310" s="3" t="str">
        <f t="array" ref="D2310">IF(B2310="","",INDEX(helper!$E$3:$E3996,MOD(ROW()-2,COUNTA(helper!$D$3:$D3996))+1))</f>
        <v/>
      </c>
      <c r="E2310" s="3" t="str">
        <f t="array" ref="E2310">IF(B2310="","",INDEX(helper!$F$3:$F3996,MOD(ROW()-2,COUNTA(helper!$D$3:$D3996))+1))</f>
        <v/>
      </c>
      <c r="F2310" s="3" t="str">
        <f>IF(B2310="","",SUMIFS('inventory ledger'!$H:$H,'inventory ledger'!$C:$C,C2310,'inventory ledger'!$D:$D,D2310,'inventory ledger'!$E:$E,E2310,'inventory ledger'!$A:$A,"&lt;="&amp;B2310+TIME(23,59,59))-SUMIFS('inventory ledger'!$I:$I,'inventory ledger'!$C:$C,C2310,'inventory ledger'!$D:$D,D2310,'inventory ledger'!$E:$E,E2310,'inventory ledger'!$A:$A,"&lt;="&amp;B2310+TIME(23,59,59)))</f>
        <v/>
      </c>
      <c r="G2310" s="3">
        <f>IFERROR(__xludf.DUMMYFUNCTION("IF(F2310&lt;=0,0,IFERROR(ROUNDUP(F2310/INDEX(FILTER('warehouse config'!$D:$D,('warehouse config'!$B:$B=C2310)*('warehouse config'!$C:$C=D2310)*('warehouse config'!$G:$G&lt;=B2310)*(('warehouse config'!$H:$H&gt;=B2310)+ISBLANK('warehouse config'!$H:$H))),1)),0))"),0.0)</f>
        <v>0</v>
      </c>
      <c r="H2310" s="3">
        <f>IFERROR(__xludf.DUMMYFUNCTION("IFERROR(INDEX(FILTER('cost master'!$E:$E,('cost master'!$B:$B=C2310)*('cost master'!$D:$D=""Storage cost per pallet / week"")*('cost master'!$G:$G&lt;=B2310)*(('cost master'!$H:$H&gt;=B2310)+ISBLANK('cost master'!$H:$H))),1),0)"),0.0)</f>
        <v>0</v>
      </c>
      <c r="I2310" s="3">
        <f t="shared" si="4"/>
        <v>0</v>
      </c>
      <c r="J2310" s="27">
        <f t="shared" si="5"/>
        <v>693947</v>
      </c>
      <c r="K2310" s="27">
        <f t="shared" si="6"/>
        <v>693977</v>
      </c>
    </row>
    <row r="2311" hidden="1">
      <c r="A2311" s="3" t="str">
        <f t="shared" si="3"/>
        <v/>
      </c>
      <c r="B2311" s="2" t="str">
        <f t="array" ref="B2311">INDEX(helper!$A$3:$A3996,ROUNDUP((ROW()-1)/COUNTA(helper!$D$3:$D3996),0))</f>
        <v/>
      </c>
      <c r="C2311" s="5" t="str">
        <f t="array" ref="C2311">IF(B2311="","",INDEX(helper!$D$3:$D3996,MOD(ROW()-2,COUNTA(helper!$D$3:$D3996))+1))</f>
        <v/>
      </c>
      <c r="D2311" s="3" t="str">
        <f t="array" ref="D2311">IF(B2311="","",INDEX(helper!$E$3:$E3996,MOD(ROW()-2,COUNTA(helper!$D$3:$D3996))+1))</f>
        <v/>
      </c>
      <c r="E2311" s="3" t="str">
        <f t="array" ref="E2311">IF(B2311="","",INDEX(helper!$F$3:$F3996,MOD(ROW()-2,COUNTA(helper!$D$3:$D3996))+1))</f>
        <v/>
      </c>
      <c r="F2311" s="3" t="str">
        <f>IF(B2311="","",SUMIFS('inventory ledger'!$H:$H,'inventory ledger'!$C:$C,C2311,'inventory ledger'!$D:$D,D2311,'inventory ledger'!$E:$E,E2311,'inventory ledger'!$A:$A,"&lt;="&amp;B2311+TIME(23,59,59))-SUMIFS('inventory ledger'!$I:$I,'inventory ledger'!$C:$C,C2311,'inventory ledger'!$D:$D,D2311,'inventory ledger'!$E:$E,E2311,'inventory ledger'!$A:$A,"&lt;="&amp;B2311+TIME(23,59,59)))</f>
        <v/>
      </c>
      <c r="G2311" s="3">
        <f>IFERROR(__xludf.DUMMYFUNCTION("IF(F2311&lt;=0,0,IFERROR(ROUNDUP(F2311/INDEX(FILTER('warehouse config'!$D:$D,('warehouse config'!$B:$B=C2311)*('warehouse config'!$C:$C=D2311)*('warehouse config'!$G:$G&lt;=B2311)*(('warehouse config'!$H:$H&gt;=B2311)+ISBLANK('warehouse config'!$H:$H))),1)),0))"),0.0)</f>
        <v>0</v>
      </c>
      <c r="H2311" s="3">
        <f>IFERROR(__xludf.DUMMYFUNCTION("IFERROR(INDEX(FILTER('cost master'!$E:$E,('cost master'!$B:$B=C2311)*('cost master'!$D:$D=""Storage cost per pallet / week"")*('cost master'!$G:$G&lt;=B2311)*(('cost master'!$H:$H&gt;=B2311)+ISBLANK('cost master'!$H:$H))),1),0)"),0.0)</f>
        <v>0</v>
      </c>
      <c r="I2311" s="3">
        <f t="shared" si="4"/>
        <v>0</v>
      </c>
      <c r="J2311" s="27">
        <f t="shared" si="5"/>
        <v>693947</v>
      </c>
      <c r="K2311" s="27">
        <f t="shared" si="6"/>
        <v>693977</v>
      </c>
    </row>
    <row r="2312" hidden="1">
      <c r="A2312" s="3" t="str">
        <f t="shared" si="3"/>
        <v/>
      </c>
      <c r="B2312" s="2" t="str">
        <f t="array" ref="B2312">INDEX(helper!$A$3:$A3996,ROUNDUP((ROW()-1)/COUNTA(helper!$D$3:$D3996),0))</f>
        <v/>
      </c>
      <c r="C2312" s="5" t="str">
        <f t="array" ref="C2312">IF(B2312="","",INDEX(helper!$D$3:$D3996,MOD(ROW()-2,COUNTA(helper!$D$3:$D3996))+1))</f>
        <v/>
      </c>
      <c r="D2312" s="3" t="str">
        <f t="array" ref="D2312">IF(B2312="","",INDEX(helper!$E$3:$E3996,MOD(ROW()-2,COUNTA(helper!$D$3:$D3996))+1))</f>
        <v/>
      </c>
      <c r="E2312" s="3" t="str">
        <f t="array" ref="E2312">IF(B2312="","",INDEX(helper!$F$3:$F3996,MOD(ROW()-2,COUNTA(helper!$D$3:$D3996))+1))</f>
        <v/>
      </c>
      <c r="F2312" s="3" t="str">
        <f>IF(B2312="","",SUMIFS('inventory ledger'!$H:$H,'inventory ledger'!$C:$C,C2312,'inventory ledger'!$D:$D,D2312,'inventory ledger'!$E:$E,E2312,'inventory ledger'!$A:$A,"&lt;="&amp;B2312+TIME(23,59,59))-SUMIFS('inventory ledger'!$I:$I,'inventory ledger'!$C:$C,C2312,'inventory ledger'!$D:$D,D2312,'inventory ledger'!$E:$E,E2312,'inventory ledger'!$A:$A,"&lt;="&amp;B2312+TIME(23,59,59)))</f>
        <v/>
      </c>
      <c r="G2312" s="3">
        <f>IFERROR(__xludf.DUMMYFUNCTION("IF(F2312&lt;=0,0,IFERROR(ROUNDUP(F2312/INDEX(FILTER('warehouse config'!$D:$D,('warehouse config'!$B:$B=C2312)*('warehouse config'!$C:$C=D2312)*('warehouse config'!$G:$G&lt;=B2312)*(('warehouse config'!$H:$H&gt;=B2312)+ISBLANK('warehouse config'!$H:$H))),1)),0))"),0.0)</f>
        <v>0</v>
      </c>
      <c r="H2312" s="3">
        <f>IFERROR(__xludf.DUMMYFUNCTION("IFERROR(INDEX(FILTER('cost master'!$E:$E,('cost master'!$B:$B=C2312)*('cost master'!$D:$D=""Storage cost per pallet / week"")*('cost master'!$G:$G&lt;=B2312)*(('cost master'!$H:$H&gt;=B2312)+ISBLANK('cost master'!$H:$H))),1),0)"),0.0)</f>
        <v>0</v>
      </c>
      <c r="I2312" s="3">
        <f t="shared" si="4"/>
        <v>0</v>
      </c>
      <c r="J2312" s="27">
        <f t="shared" si="5"/>
        <v>693947</v>
      </c>
      <c r="K2312" s="27">
        <f t="shared" si="6"/>
        <v>693977</v>
      </c>
    </row>
    <row r="2313" hidden="1">
      <c r="A2313" s="3" t="str">
        <f t="shared" si="3"/>
        <v/>
      </c>
      <c r="B2313" s="2" t="str">
        <f t="array" ref="B2313">INDEX(helper!$A$3:$A3996,ROUNDUP((ROW()-1)/COUNTA(helper!$D$3:$D3996),0))</f>
        <v/>
      </c>
      <c r="C2313" s="5" t="str">
        <f t="array" ref="C2313">IF(B2313="","",INDEX(helper!$D$3:$D3996,MOD(ROW()-2,COUNTA(helper!$D$3:$D3996))+1))</f>
        <v/>
      </c>
      <c r="D2313" s="3" t="str">
        <f t="array" ref="D2313">IF(B2313="","",INDEX(helper!$E$3:$E3996,MOD(ROW()-2,COUNTA(helper!$D$3:$D3996))+1))</f>
        <v/>
      </c>
      <c r="E2313" s="3" t="str">
        <f t="array" ref="E2313">IF(B2313="","",INDEX(helper!$F$3:$F3996,MOD(ROW()-2,COUNTA(helper!$D$3:$D3996))+1))</f>
        <v/>
      </c>
      <c r="F2313" s="3" t="str">
        <f>IF(B2313="","",SUMIFS('inventory ledger'!$H:$H,'inventory ledger'!$C:$C,C2313,'inventory ledger'!$D:$D,D2313,'inventory ledger'!$E:$E,E2313,'inventory ledger'!$A:$A,"&lt;="&amp;B2313+TIME(23,59,59))-SUMIFS('inventory ledger'!$I:$I,'inventory ledger'!$C:$C,C2313,'inventory ledger'!$D:$D,D2313,'inventory ledger'!$E:$E,E2313,'inventory ledger'!$A:$A,"&lt;="&amp;B2313+TIME(23,59,59)))</f>
        <v/>
      </c>
      <c r="G2313" s="3">
        <f>IFERROR(__xludf.DUMMYFUNCTION("IF(F2313&lt;=0,0,IFERROR(ROUNDUP(F2313/INDEX(FILTER('warehouse config'!$D:$D,('warehouse config'!$B:$B=C2313)*('warehouse config'!$C:$C=D2313)*('warehouse config'!$G:$G&lt;=B2313)*(('warehouse config'!$H:$H&gt;=B2313)+ISBLANK('warehouse config'!$H:$H))),1)),0))"),0.0)</f>
        <v>0</v>
      </c>
      <c r="H2313" s="3">
        <f>IFERROR(__xludf.DUMMYFUNCTION("IFERROR(INDEX(FILTER('cost master'!$E:$E,('cost master'!$B:$B=C2313)*('cost master'!$D:$D=""Storage cost per pallet / week"")*('cost master'!$G:$G&lt;=B2313)*(('cost master'!$H:$H&gt;=B2313)+ISBLANK('cost master'!$H:$H))),1),0)"),0.0)</f>
        <v>0</v>
      </c>
      <c r="I2313" s="3">
        <f t="shared" si="4"/>
        <v>0</v>
      </c>
      <c r="J2313" s="27">
        <f t="shared" si="5"/>
        <v>693947</v>
      </c>
      <c r="K2313" s="27">
        <f t="shared" si="6"/>
        <v>693977</v>
      </c>
    </row>
    <row r="2314" hidden="1">
      <c r="A2314" s="3" t="str">
        <f t="shared" si="3"/>
        <v/>
      </c>
      <c r="B2314" s="2" t="str">
        <f t="array" ref="B2314">INDEX(helper!$A$3:$A3996,ROUNDUP((ROW()-1)/COUNTA(helper!$D$3:$D3996),0))</f>
        <v/>
      </c>
      <c r="C2314" s="5" t="str">
        <f t="array" ref="C2314">IF(B2314="","",INDEX(helper!$D$3:$D3996,MOD(ROW()-2,COUNTA(helper!$D$3:$D3996))+1))</f>
        <v/>
      </c>
      <c r="D2314" s="3" t="str">
        <f t="array" ref="D2314">IF(B2314="","",INDEX(helper!$E$3:$E3996,MOD(ROW()-2,COUNTA(helper!$D$3:$D3996))+1))</f>
        <v/>
      </c>
      <c r="E2314" s="3" t="str">
        <f t="array" ref="E2314">IF(B2314="","",INDEX(helper!$F$3:$F3996,MOD(ROW()-2,COUNTA(helper!$D$3:$D3996))+1))</f>
        <v/>
      </c>
      <c r="F2314" s="3" t="str">
        <f>IF(B2314="","",SUMIFS('inventory ledger'!$H:$H,'inventory ledger'!$C:$C,C2314,'inventory ledger'!$D:$D,D2314,'inventory ledger'!$E:$E,E2314,'inventory ledger'!$A:$A,"&lt;="&amp;B2314+TIME(23,59,59))-SUMIFS('inventory ledger'!$I:$I,'inventory ledger'!$C:$C,C2314,'inventory ledger'!$D:$D,D2314,'inventory ledger'!$E:$E,E2314,'inventory ledger'!$A:$A,"&lt;="&amp;B2314+TIME(23,59,59)))</f>
        <v/>
      </c>
      <c r="G2314" s="3">
        <f>IFERROR(__xludf.DUMMYFUNCTION("IF(F2314&lt;=0,0,IFERROR(ROUNDUP(F2314/INDEX(FILTER('warehouse config'!$D:$D,('warehouse config'!$B:$B=C2314)*('warehouse config'!$C:$C=D2314)*('warehouse config'!$G:$G&lt;=B2314)*(('warehouse config'!$H:$H&gt;=B2314)+ISBLANK('warehouse config'!$H:$H))),1)),0))"),0.0)</f>
        <v>0</v>
      </c>
      <c r="H2314" s="3">
        <f>IFERROR(__xludf.DUMMYFUNCTION("IFERROR(INDEX(FILTER('cost master'!$E:$E,('cost master'!$B:$B=C2314)*('cost master'!$D:$D=""Storage cost per pallet / week"")*('cost master'!$G:$G&lt;=B2314)*(('cost master'!$H:$H&gt;=B2314)+ISBLANK('cost master'!$H:$H))),1),0)"),0.0)</f>
        <v>0</v>
      </c>
      <c r="I2314" s="3">
        <f t="shared" si="4"/>
        <v>0</v>
      </c>
      <c r="J2314" s="27">
        <f t="shared" si="5"/>
        <v>693947</v>
      </c>
      <c r="K2314" s="27">
        <f t="shared" si="6"/>
        <v>693977</v>
      </c>
    </row>
    <row r="2315" hidden="1">
      <c r="A2315" s="3" t="str">
        <f t="shared" si="3"/>
        <v/>
      </c>
      <c r="B2315" s="2" t="str">
        <f t="array" ref="B2315">INDEX(helper!$A$3:$A3996,ROUNDUP((ROW()-1)/COUNTA(helper!$D$3:$D3996),0))</f>
        <v/>
      </c>
      <c r="C2315" s="5" t="str">
        <f t="array" ref="C2315">IF(B2315="","",INDEX(helper!$D$3:$D3996,MOD(ROW()-2,COUNTA(helper!$D$3:$D3996))+1))</f>
        <v/>
      </c>
      <c r="D2315" s="3" t="str">
        <f t="array" ref="D2315">IF(B2315="","",INDEX(helper!$E$3:$E3996,MOD(ROW()-2,COUNTA(helper!$D$3:$D3996))+1))</f>
        <v/>
      </c>
      <c r="E2315" s="3" t="str">
        <f t="array" ref="E2315">IF(B2315="","",INDEX(helper!$F$3:$F3996,MOD(ROW()-2,COUNTA(helper!$D$3:$D3996))+1))</f>
        <v/>
      </c>
      <c r="F2315" s="3" t="str">
        <f>IF(B2315="","",SUMIFS('inventory ledger'!$H:$H,'inventory ledger'!$C:$C,C2315,'inventory ledger'!$D:$D,D2315,'inventory ledger'!$E:$E,E2315,'inventory ledger'!$A:$A,"&lt;="&amp;B2315+TIME(23,59,59))-SUMIFS('inventory ledger'!$I:$I,'inventory ledger'!$C:$C,C2315,'inventory ledger'!$D:$D,D2315,'inventory ledger'!$E:$E,E2315,'inventory ledger'!$A:$A,"&lt;="&amp;B2315+TIME(23,59,59)))</f>
        <v/>
      </c>
      <c r="G2315" s="3">
        <f>IFERROR(__xludf.DUMMYFUNCTION("IF(F2315&lt;=0,0,IFERROR(ROUNDUP(F2315/INDEX(FILTER('warehouse config'!$D:$D,('warehouse config'!$B:$B=C2315)*('warehouse config'!$C:$C=D2315)*('warehouse config'!$G:$G&lt;=B2315)*(('warehouse config'!$H:$H&gt;=B2315)+ISBLANK('warehouse config'!$H:$H))),1)),0))"),0.0)</f>
        <v>0</v>
      </c>
      <c r="H2315" s="3">
        <f>IFERROR(__xludf.DUMMYFUNCTION("IFERROR(INDEX(FILTER('cost master'!$E:$E,('cost master'!$B:$B=C2315)*('cost master'!$D:$D=""Storage cost per pallet / week"")*('cost master'!$G:$G&lt;=B2315)*(('cost master'!$H:$H&gt;=B2315)+ISBLANK('cost master'!$H:$H))),1),0)"),0.0)</f>
        <v>0</v>
      </c>
      <c r="I2315" s="3">
        <f t="shared" si="4"/>
        <v>0</v>
      </c>
      <c r="J2315" s="27">
        <f t="shared" si="5"/>
        <v>693947</v>
      </c>
      <c r="K2315" s="27">
        <f t="shared" si="6"/>
        <v>693977</v>
      </c>
    </row>
    <row r="2316" hidden="1">
      <c r="A2316" s="3" t="str">
        <f t="shared" si="3"/>
        <v/>
      </c>
      <c r="B2316" s="2" t="str">
        <f t="array" ref="B2316">INDEX(helper!$A$3:$A3996,ROUNDUP((ROW()-1)/COUNTA(helper!$D$3:$D3996),0))</f>
        <v/>
      </c>
      <c r="C2316" s="5" t="str">
        <f t="array" ref="C2316">IF(B2316="","",INDEX(helper!$D$3:$D3996,MOD(ROW()-2,COUNTA(helper!$D$3:$D3996))+1))</f>
        <v/>
      </c>
      <c r="D2316" s="3" t="str">
        <f t="array" ref="D2316">IF(B2316="","",INDEX(helper!$E$3:$E3996,MOD(ROW()-2,COUNTA(helper!$D$3:$D3996))+1))</f>
        <v/>
      </c>
      <c r="E2316" s="3" t="str">
        <f t="array" ref="E2316">IF(B2316="","",INDEX(helper!$F$3:$F3996,MOD(ROW()-2,COUNTA(helper!$D$3:$D3996))+1))</f>
        <v/>
      </c>
      <c r="F2316" s="3" t="str">
        <f>IF(B2316="","",SUMIFS('inventory ledger'!$H:$H,'inventory ledger'!$C:$C,C2316,'inventory ledger'!$D:$D,D2316,'inventory ledger'!$E:$E,E2316,'inventory ledger'!$A:$A,"&lt;="&amp;B2316+TIME(23,59,59))-SUMIFS('inventory ledger'!$I:$I,'inventory ledger'!$C:$C,C2316,'inventory ledger'!$D:$D,D2316,'inventory ledger'!$E:$E,E2316,'inventory ledger'!$A:$A,"&lt;="&amp;B2316+TIME(23,59,59)))</f>
        <v/>
      </c>
      <c r="G2316" s="3">
        <f>IFERROR(__xludf.DUMMYFUNCTION("IF(F2316&lt;=0,0,IFERROR(ROUNDUP(F2316/INDEX(FILTER('warehouse config'!$D:$D,('warehouse config'!$B:$B=C2316)*('warehouse config'!$C:$C=D2316)*('warehouse config'!$G:$G&lt;=B2316)*(('warehouse config'!$H:$H&gt;=B2316)+ISBLANK('warehouse config'!$H:$H))),1)),0))"),0.0)</f>
        <v>0</v>
      </c>
      <c r="H2316" s="3">
        <f>IFERROR(__xludf.DUMMYFUNCTION("IFERROR(INDEX(FILTER('cost master'!$E:$E,('cost master'!$B:$B=C2316)*('cost master'!$D:$D=""Storage cost per pallet / week"")*('cost master'!$G:$G&lt;=B2316)*(('cost master'!$H:$H&gt;=B2316)+ISBLANK('cost master'!$H:$H))),1),0)"),0.0)</f>
        <v>0</v>
      </c>
      <c r="I2316" s="3">
        <f t="shared" si="4"/>
        <v>0</v>
      </c>
      <c r="J2316" s="27">
        <f t="shared" si="5"/>
        <v>693947</v>
      </c>
      <c r="K2316" s="27">
        <f t="shared" si="6"/>
        <v>693977</v>
      </c>
    </row>
    <row r="2317" hidden="1">
      <c r="A2317" s="3" t="str">
        <f t="shared" si="3"/>
        <v/>
      </c>
      <c r="B2317" s="2" t="str">
        <f t="array" ref="B2317">INDEX(helper!$A$3:$A3996,ROUNDUP((ROW()-1)/COUNTA(helper!$D$3:$D3996),0))</f>
        <v/>
      </c>
      <c r="C2317" s="5" t="str">
        <f t="array" ref="C2317">IF(B2317="","",INDEX(helper!$D$3:$D3996,MOD(ROW()-2,COUNTA(helper!$D$3:$D3996))+1))</f>
        <v/>
      </c>
      <c r="D2317" s="3" t="str">
        <f t="array" ref="D2317">IF(B2317="","",INDEX(helper!$E$3:$E3996,MOD(ROW()-2,COUNTA(helper!$D$3:$D3996))+1))</f>
        <v/>
      </c>
      <c r="E2317" s="3" t="str">
        <f t="array" ref="E2317">IF(B2317="","",INDEX(helper!$F$3:$F3996,MOD(ROW()-2,COUNTA(helper!$D$3:$D3996))+1))</f>
        <v/>
      </c>
      <c r="F2317" s="3" t="str">
        <f>IF(B2317="","",SUMIFS('inventory ledger'!$H:$H,'inventory ledger'!$C:$C,C2317,'inventory ledger'!$D:$D,D2317,'inventory ledger'!$E:$E,E2317,'inventory ledger'!$A:$A,"&lt;="&amp;B2317+TIME(23,59,59))-SUMIFS('inventory ledger'!$I:$I,'inventory ledger'!$C:$C,C2317,'inventory ledger'!$D:$D,D2317,'inventory ledger'!$E:$E,E2317,'inventory ledger'!$A:$A,"&lt;="&amp;B2317+TIME(23,59,59)))</f>
        <v/>
      </c>
      <c r="G2317" s="3">
        <f>IFERROR(__xludf.DUMMYFUNCTION("IF(F2317&lt;=0,0,IFERROR(ROUNDUP(F2317/INDEX(FILTER('warehouse config'!$D:$D,('warehouse config'!$B:$B=C2317)*('warehouse config'!$C:$C=D2317)*('warehouse config'!$G:$G&lt;=B2317)*(('warehouse config'!$H:$H&gt;=B2317)+ISBLANK('warehouse config'!$H:$H))),1)),0))"),0.0)</f>
        <v>0</v>
      </c>
      <c r="H2317" s="3">
        <f>IFERROR(__xludf.DUMMYFUNCTION("IFERROR(INDEX(FILTER('cost master'!$E:$E,('cost master'!$B:$B=C2317)*('cost master'!$D:$D=""Storage cost per pallet / week"")*('cost master'!$G:$G&lt;=B2317)*(('cost master'!$H:$H&gt;=B2317)+ISBLANK('cost master'!$H:$H))),1),0)"),0.0)</f>
        <v>0</v>
      </c>
      <c r="I2317" s="3">
        <f t="shared" si="4"/>
        <v>0</v>
      </c>
      <c r="J2317" s="27">
        <f t="shared" si="5"/>
        <v>693947</v>
      </c>
      <c r="K2317" s="27">
        <f t="shared" si="6"/>
        <v>693977</v>
      </c>
    </row>
    <row r="2318" hidden="1">
      <c r="A2318" s="3" t="str">
        <f t="shared" si="3"/>
        <v/>
      </c>
      <c r="B2318" s="2" t="str">
        <f t="array" ref="B2318">INDEX(helper!$A$3:$A3996,ROUNDUP((ROW()-1)/COUNTA(helper!$D$3:$D3996),0))</f>
        <v/>
      </c>
      <c r="C2318" s="5" t="str">
        <f t="array" ref="C2318">IF(B2318="","",INDEX(helper!$D$3:$D3996,MOD(ROW()-2,COUNTA(helper!$D$3:$D3996))+1))</f>
        <v/>
      </c>
      <c r="D2318" s="3" t="str">
        <f t="array" ref="D2318">IF(B2318="","",INDEX(helper!$E$3:$E3996,MOD(ROW()-2,COUNTA(helper!$D$3:$D3996))+1))</f>
        <v/>
      </c>
      <c r="E2318" s="3" t="str">
        <f t="array" ref="E2318">IF(B2318="","",INDEX(helper!$F$3:$F3996,MOD(ROW()-2,COUNTA(helper!$D$3:$D3996))+1))</f>
        <v/>
      </c>
      <c r="F2318" s="3" t="str">
        <f>IF(B2318="","",SUMIFS('inventory ledger'!$H:$H,'inventory ledger'!$C:$C,C2318,'inventory ledger'!$D:$D,D2318,'inventory ledger'!$E:$E,E2318,'inventory ledger'!$A:$A,"&lt;="&amp;B2318+TIME(23,59,59))-SUMIFS('inventory ledger'!$I:$I,'inventory ledger'!$C:$C,C2318,'inventory ledger'!$D:$D,D2318,'inventory ledger'!$E:$E,E2318,'inventory ledger'!$A:$A,"&lt;="&amp;B2318+TIME(23,59,59)))</f>
        <v/>
      </c>
      <c r="G2318" s="3">
        <f>IFERROR(__xludf.DUMMYFUNCTION("IF(F2318&lt;=0,0,IFERROR(ROUNDUP(F2318/INDEX(FILTER('warehouse config'!$D:$D,('warehouse config'!$B:$B=C2318)*('warehouse config'!$C:$C=D2318)*('warehouse config'!$G:$G&lt;=B2318)*(('warehouse config'!$H:$H&gt;=B2318)+ISBLANK('warehouse config'!$H:$H))),1)),0))"),0.0)</f>
        <v>0</v>
      </c>
      <c r="H2318" s="3">
        <f>IFERROR(__xludf.DUMMYFUNCTION("IFERROR(INDEX(FILTER('cost master'!$E:$E,('cost master'!$B:$B=C2318)*('cost master'!$D:$D=""Storage cost per pallet / week"")*('cost master'!$G:$G&lt;=B2318)*(('cost master'!$H:$H&gt;=B2318)+ISBLANK('cost master'!$H:$H))),1),0)"),0.0)</f>
        <v>0</v>
      </c>
      <c r="I2318" s="3">
        <f t="shared" si="4"/>
        <v>0</v>
      </c>
      <c r="J2318" s="27">
        <f t="shared" si="5"/>
        <v>693947</v>
      </c>
      <c r="K2318" s="27">
        <f t="shared" si="6"/>
        <v>693977</v>
      </c>
    </row>
    <row r="2319" hidden="1">
      <c r="A2319" s="3" t="str">
        <f t="shared" si="3"/>
        <v/>
      </c>
      <c r="B2319" s="2" t="str">
        <f t="array" ref="B2319">INDEX(helper!$A$3:$A3996,ROUNDUP((ROW()-1)/COUNTA(helper!$D$3:$D3996),0))</f>
        <v/>
      </c>
      <c r="C2319" s="5" t="str">
        <f t="array" ref="C2319">IF(B2319="","",INDEX(helper!$D$3:$D3996,MOD(ROW()-2,COUNTA(helper!$D$3:$D3996))+1))</f>
        <v/>
      </c>
      <c r="D2319" s="3" t="str">
        <f t="array" ref="D2319">IF(B2319="","",INDEX(helper!$E$3:$E3996,MOD(ROW()-2,COUNTA(helper!$D$3:$D3996))+1))</f>
        <v/>
      </c>
      <c r="E2319" s="3" t="str">
        <f t="array" ref="E2319">IF(B2319="","",INDEX(helper!$F$3:$F3996,MOD(ROW()-2,COUNTA(helper!$D$3:$D3996))+1))</f>
        <v/>
      </c>
      <c r="F2319" s="3" t="str">
        <f>IF(B2319="","",SUMIFS('inventory ledger'!$H:$H,'inventory ledger'!$C:$C,C2319,'inventory ledger'!$D:$D,D2319,'inventory ledger'!$E:$E,E2319,'inventory ledger'!$A:$A,"&lt;="&amp;B2319+TIME(23,59,59))-SUMIFS('inventory ledger'!$I:$I,'inventory ledger'!$C:$C,C2319,'inventory ledger'!$D:$D,D2319,'inventory ledger'!$E:$E,E2319,'inventory ledger'!$A:$A,"&lt;="&amp;B2319+TIME(23,59,59)))</f>
        <v/>
      </c>
      <c r="G2319" s="3">
        <f>IFERROR(__xludf.DUMMYFUNCTION("IF(F2319&lt;=0,0,IFERROR(ROUNDUP(F2319/INDEX(FILTER('warehouse config'!$D:$D,('warehouse config'!$B:$B=C2319)*('warehouse config'!$C:$C=D2319)*('warehouse config'!$G:$G&lt;=B2319)*(('warehouse config'!$H:$H&gt;=B2319)+ISBLANK('warehouse config'!$H:$H))),1)),0))"),0.0)</f>
        <v>0</v>
      </c>
      <c r="H2319" s="3">
        <f>IFERROR(__xludf.DUMMYFUNCTION("IFERROR(INDEX(FILTER('cost master'!$E:$E,('cost master'!$B:$B=C2319)*('cost master'!$D:$D=""Storage cost per pallet / week"")*('cost master'!$G:$G&lt;=B2319)*(('cost master'!$H:$H&gt;=B2319)+ISBLANK('cost master'!$H:$H))),1),0)"),0.0)</f>
        <v>0</v>
      </c>
      <c r="I2319" s="3">
        <f t="shared" si="4"/>
        <v>0</v>
      </c>
      <c r="J2319" s="27">
        <f t="shared" si="5"/>
        <v>693947</v>
      </c>
      <c r="K2319" s="27">
        <f t="shared" si="6"/>
        <v>693977</v>
      </c>
    </row>
    <row r="2320" hidden="1">
      <c r="A2320" s="3" t="str">
        <f t="shared" si="3"/>
        <v/>
      </c>
      <c r="B2320" s="2" t="str">
        <f t="array" ref="B2320">INDEX(helper!$A$3:$A3996,ROUNDUP((ROW()-1)/COUNTA(helper!$D$3:$D3996),0))</f>
        <v/>
      </c>
      <c r="C2320" s="5" t="str">
        <f t="array" ref="C2320">IF(B2320="","",INDEX(helper!$D$3:$D3996,MOD(ROW()-2,COUNTA(helper!$D$3:$D3996))+1))</f>
        <v/>
      </c>
      <c r="D2320" s="3" t="str">
        <f t="array" ref="D2320">IF(B2320="","",INDEX(helper!$E$3:$E3996,MOD(ROW()-2,COUNTA(helper!$D$3:$D3996))+1))</f>
        <v/>
      </c>
      <c r="E2320" s="3" t="str">
        <f t="array" ref="E2320">IF(B2320="","",INDEX(helper!$F$3:$F3996,MOD(ROW()-2,COUNTA(helper!$D$3:$D3996))+1))</f>
        <v/>
      </c>
      <c r="F2320" s="3" t="str">
        <f>IF(B2320="","",SUMIFS('inventory ledger'!$H:$H,'inventory ledger'!$C:$C,C2320,'inventory ledger'!$D:$D,D2320,'inventory ledger'!$E:$E,E2320,'inventory ledger'!$A:$A,"&lt;="&amp;B2320+TIME(23,59,59))-SUMIFS('inventory ledger'!$I:$I,'inventory ledger'!$C:$C,C2320,'inventory ledger'!$D:$D,D2320,'inventory ledger'!$E:$E,E2320,'inventory ledger'!$A:$A,"&lt;="&amp;B2320+TIME(23,59,59)))</f>
        <v/>
      </c>
      <c r="G2320" s="3">
        <f>IFERROR(__xludf.DUMMYFUNCTION("IF(F2320&lt;=0,0,IFERROR(ROUNDUP(F2320/INDEX(FILTER('warehouse config'!$D:$D,('warehouse config'!$B:$B=C2320)*('warehouse config'!$C:$C=D2320)*('warehouse config'!$G:$G&lt;=B2320)*(('warehouse config'!$H:$H&gt;=B2320)+ISBLANK('warehouse config'!$H:$H))),1)),0))"),0.0)</f>
        <v>0</v>
      </c>
      <c r="H2320" s="3">
        <f>IFERROR(__xludf.DUMMYFUNCTION("IFERROR(INDEX(FILTER('cost master'!$E:$E,('cost master'!$B:$B=C2320)*('cost master'!$D:$D=""Storage cost per pallet / week"")*('cost master'!$G:$G&lt;=B2320)*(('cost master'!$H:$H&gt;=B2320)+ISBLANK('cost master'!$H:$H))),1),0)"),0.0)</f>
        <v>0</v>
      </c>
      <c r="I2320" s="3">
        <f t="shared" si="4"/>
        <v>0</v>
      </c>
      <c r="J2320" s="27">
        <f t="shared" si="5"/>
        <v>693947</v>
      </c>
      <c r="K2320" s="27">
        <f t="shared" si="6"/>
        <v>693977</v>
      </c>
    </row>
    <row r="2321" hidden="1">
      <c r="A2321" s="3" t="str">
        <f t="shared" si="3"/>
        <v/>
      </c>
      <c r="B2321" s="2" t="str">
        <f t="array" ref="B2321">INDEX(helper!$A$3:$A3996,ROUNDUP((ROW()-1)/COUNTA(helper!$D$3:$D3996),0))</f>
        <v/>
      </c>
      <c r="C2321" s="5" t="str">
        <f t="array" ref="C2321">IF(B2321="","",INDEX(helper!$D$3:$D3996,MOD(ROW()-2,COUNTA(helper!$D$3:$D3996))+1))</f>
        <v/>
      </c>
      <c r="D2321" s="3" t="str">
        <f t="array" ref="D2321">IF(B2321="","",INDEX(helper!$E$3:$E3996,MOD(ROW()-2,COUNTA(helper!$D$3:$D3996))+1))</f>
        <v/>
      </c>
      <c r="E2321" s="3" t="str">
        <f t="array" ref="E2321">IF(B2321="","",INDEX(helper!$F$3:$F3996,MOD(ROW()-2,COUNTA(helper!$D$3:$D3996))+1))</f>
        <v/>
      </c>
      <c r="F2321" s="3" t="str">
        <f>IF(B2321="","",SUMIFS('inventory ledger'!$H:$H,'inventory ledger'!$C:$C,C2321,'inventory ledger'!$D:$D,D2321,'inventory ledger'!$E:$E,E2321,'inventory ledger'!$A:$A,"&lt;="&amp;B2321+TIME(23,59,59))-SUMIFS('inventory ledger'!$I:$I,'inventory ledger'!$C:$C,C2321,'inventory ledger'!$D:$D,D2321,'inventory ledger'!$E:$E,E2321,'inventory ledger'!$A:$A,"&lt;="&amp;B2321+TIME(23,59,59)))</f>
        <v/>
      </c>
      <c r="G2321" s="3">
        <f>IFERROR(__xludf.DUMMYFUNCTION("IF(F2321&lt;=0,0,IFERROR(ROUNDUP(F2321/INDEX(FILTER('warehouse config'!$D:$D,('warehouse config'!$B:$B=C2321)*('warehouse config'!$C:$C=D2321)*('warehouse config'!$G:$G&lt;=B2321)*(('warehouse config'!$H:$H&gt;=B2321)+ISBLANK('warehouse config'!$H:$H))),1)),0))"),0.0)</f>
        <v>0</v>
      </c>
      <c r="H2321" s="3">
        <f>IFERROR(__xludf.DUMMYFUNCTION("IFERROR(INDEX(FILTER('cost master'!$E:$E,('cost master'!$B:$B=C2321)*('cost master'!$D:$D=""Storage cost per pallet / week"")*('cost master'!$G:$G&lt;=B2321)*(('cost master'!$H:$H&gt;=B2321)+ISBLANK('cost master'!$H:$H))),1),0)"),0.0)</f>
        <v>0</v>
      </c>
      <c r="I2321" s="3">
        <f t="shared" si="4"/>
        <v>0</v>
      </c>
      <c r="J2321" s="27">
        <f t="shared" si="5"/>
        <v>693947</v>
      </c>
      <c r="K2321" s="27">
        <f t="shared" si="6"/>
        <v>693977</v>
      </c>
    </row>
    <row r="2322" hidden="1">
      <c r="A2322" s="3" t="str">
        <f t="shared" si="3"/>
        <v/>
      </c>
      <c r="B2322" s="2" t="str">
        <f t="array" ref="B2322">INDEX(helper!$A$3:$A3996,ROUNDUP((ROW()-1)/COUNTA(helper!$D$3:$D3996),0))</f>
        <v/>
      </c>
      <c r="C2322" s="5" t="str">
        <f t="array" ref="C2322">IF(B2322="","",INDEX(helper!$D$3:$D3996,MOD(ROW()-2,COUNTA(helper!$D$3:$D3996))+1))</f>
        <v/>
      </c>
      <c r="D2322" s="3" t="str">
        <f t="array" ref="D2322">IF(B2322="","",INDEX(helper!$E$3:$E3996,MOD(ROW()-2,COUNTA(helper!$D$3:$D3996))+1))</f>
        <v/>
      </c>
      <c r="E2322" s="3" t="str">
        <f t="array" ref="E2322">IF(B2322="","",INDEX(helper!$F$3:$F3996,MOD(ROW()-2,COUNTA(helper!$D$3:$D3996))+1))</f>
        <v/>
      </c>
      <c r="F2322" s="3" t="str">
        <f>IF(B2322="","",SUMIFS('inventory ledger'!$H:$H,'inventory ledger'!$C:$C,C2322,'inventory ledger'!$D:$D,D2322,'inventory ledger'!$E:$E,E2322,'inventory ledger'!$A:$A,"&lt;="&amp;B2322+TIME(23,59,59))-SUMIFS('inventory ledger'!$I:$I,'inventory ledger'!$C:$C,C2322,'inventory ledger'!$D:$D,D2322,'inventory ledger'!$E:$E,E2322,'inventory ledger'!$A:$A,"&lt;="&amp;B2322+TIME(23,59,59)))</f>
        <v/>
      </c>
      <c r="G2322" s="3">
        <f>IFERROR(__xludf.DUMMYFUNCTION("IF(F2322&lt;=0,0,IFERROR(ROUNDUP(F2322/INDEX(FILTER('warehouse config'!$D:$D,('warehouse config'!$B:$B=C2322)*('warehouse config'!$C:$C=D2322)*('warehouse config'!$G:$G&lt;=B2322)*(('warehouse config'!$H:$H&gt;=B2322)+ISBLANK('warehouse config'!$H:$H))),1)),0))"),0.0)</f>
        <v>0</v>
      </c>
      <c r="H2322" s="3">
        <f>IFERROR(__xludf.DUMMYFUNCTION("IFERROR(INDEX(FILTER('cost master'!$E:$E,('cost master'!$B:$B=C2322)*('cost master'!$D:$D=""Storage cost per pallet / week"")*('cost master'!$G:$G&lt;=B2322)*(('cost master'!$H:$H&gt;=B2322)+ISBLANK('cost master'!$H:$H))),1),0)"),0.0)</f>
        <v>0</v>
      </c>
      <c r="I2322" s="3">
        <f t="shared" si="4"/>
        <v>0</v>
      </c>
      <c r="J2322" s="27">
        <f t="shared" si="5"/>
        <v>693947</v>
      </c>
      <c r="K2322" s="27">
        <f t="shared" si="6"/>
        <v>693977</v>
      </c>
    </row>
    <row r="2323" hidden="1">
      <c r="A2323" s="3" t="str">
        <f t="shared" si="3"/>
        <v/>
      </c>
      <c r="B2323" s="2" t="str">
        <f t="array" ref="B2323">INDEX(helper!$A$3:$A3996,ROUNDUP((ROW()-1)/COUNTA(helper!$D$3:$D3996),0))</f>
        <v/>
      </c>
      <c r="C2323" s="5" t="str">
        <f t="array" ref="C2323">IF(B2323="","",INDEX(helper!$D$3:$D3996,MOD(ROW()-2,COUNTA(helper!$D$3:$D3996))+1))</f>
        <v/>
      </c>
      <c r="D2323" s="3" t="str">
        <f t="array" ref="D2323">IF(B2323="","",INDEX(helper!$E$3:$E3996,MOD(ROW()-2,COUNTA(helper!$D$3:$D3996))+1))</f>
        <v/>
      </c>
      <c r="E2323" s="3" t="str">
        <f t="array" ref="E2323">IF(B2323="","",INDEX(helper!$F$3:$F3996,MOD(ROW()-2,COUNTA(helper!$D$3:$D3996))+1))</f>
        <v/>
      </c>
      <c r="F2323" s="3" t="str">
        <f>IF(B2323="","",SUMIFS('inventory ledger'!$H:$H,'inventory ledger'!$C:$C,C2323,'inventory ledger'!$D:$D,D2323,'inventory ledger'!$E:$E,E2323,'inventory ledger'!$A:$A,"&lt;="&amp;B2323+TIME(23,59,59))-SUMIFS('inventory ledger'!$I:$I,'inventory ledger'!$C:$C,C2323,'inventory ledger'!$D:$D,D2323,'inventory ledger'!$E:$E,E2323,'inventory ledger'!$A:$A,"&lt;="&amp;B2323+TIME(23,59,59)))</f>
        <v/>
      </c>
      <c r="G2323" s="3">
        <f>IFERROR(__xludf.DUMMYFUNCTION("IF(F2323&lt;=0,0,IFERROR(ROUNDUP(F2323/INDEX(FILTER('warehouse config'!$D:$D,('warehouse config'!$B:$B=C2323)*('warehouse config'!$C:$C=D2323)*('warehouse config'!$G:$G&lt;=B2323)*(('warehouse config'!$H:$H&gt;=B2323)+ISBLANK('warehouse config'!$H:$H))),1)),0))"),0.0)</f>
        <v>0</v>
      </c>
      <c r="H2323" s="3">
        <f>IFERROR(__xludf.DUMMYFUNCTION("IFERROR(INDEX(FILTER('cost master'!$E:$E,('cost master'!$B:$B=C2323)*('cost master'!$D:$D=""Storage cost per pallet / week"")*('cost master'!$G:$G&lt;=B2323)*(('cost master'!$H:$H&gt;=B2323)+ISBLANK('cost master'!$H:$H))),1),0)"),0.0)</f>
        <v>0</v>
      </c>
      <c r="I2323" s="3">
        <f t="shared" si="4"/>
        <v>0</v>
      </c>
      <c r="J2323" s="27">
        <f t="shared" si="5"/>
        <v>693947</v>
      </c>
      <c r="K2323" s="27">
        <f t="shared" si="6"/>
        <v>693977</v>
      </c>
    </row>
    <row r="2324" hidden="1">
      <c r="A2324" s="3" t="str">
        <f t="shared" si="3"/>
        <v/>
      </c>
      <c r="B2324" s="2" t="str">
        <f t="array" ref="B2324">INDEX(helper!$A$3:$A3996,ROUNDUP((ROW()-1)/COUNTA(helper!$D$3:$D3996),0))</f>
        <v/>
      </c>
      <c r="C2324" s="5" t="str">
        <f t="array" ref="C2324">IF(B2324="","",INDEX(helper!$D$3:$D3996,MOD(ROW()-2,COUNTA(helper!$D$3:$D3996))+1))</f>
        <v/>
      </c>
      <c r="D2324" s="3" t="str">
        <f t="array" ref="D2324">IF(B2324="","",INDEX(helper!$E$3:$E3996,MOD(ROW()-2,COUNTA(helper!$D$3:$D3996))+1))</f>
        <v/>
      </c>
      <c r="E2324" s="3" t="str">
        <f t="array" ref="E2324">IF(B2324="","",INDEX(helper!$F$3:$F3996,MOD(ROW()-2,COUNTA(helper!$D$3:$D3996))+1))</f>
        <v/>
      </c>
      <c r="F2324" s="3" t="str">
        <f>IF(B2324="","",SUMIFS('inventory ledger'!$H:$H,'inventory ledger'!$C:$C,C2324,'inventory ledger'!$D:$D,D2324,'inventory ledger'!$E:$E,E2324,'inventory ledger'!$A:$A,"&lt;="&amp;B2324+TIME(23,59,59))-SUMIFS('inventory ledger'!$I:$I,'inventory ledger'!$C:$C,C2324,'inventory ledger'!$D:$D,D2324,'inventory ledger'!$E:$E,E2324,'inventory ledger'!$A:$A,"&lt;="&amp;B2324+TIME(23,59,59)))</f>
        <v/>
      </c>
      <c r="G2324" s="3">
        <f>IFERROR(__xludf.DUMMYFUNCTION("IF(F2324&lt;=0,0,IFERROR(ROUNDUP(F2324/INDEX(FILTER('warehouse config'!$D:$D,('warehouse config'!$B:$B=C2324)*('warehouse config'!$C:$C=D2324)*('warehouse config'!$G:$G&lt;=B2324)*(('warehouse config'!$H:$H&gt;=B2324)+ISBLANK('warehouse config'!$H:$H))),1)),0))"),0.0)</f>
        <v>0</v>
      </c>
      <c r="H2324" s="3">
        <f>IFERROR(__xludf.DUMMYFUNCTION("IFERROR(INDEX(FILTER('cost master'!$E:$E,('cost master'!$B:$B=C2324)*('cost master'!$D:$D=""Storage cost per pallet / week"")*('cost master'!$G:$G&lt;=B2324)*(('cost master'!$H:$H&gt;=B2324)+ISBLANK('cost master'!$H:$H))),1),0)"),0.0)</f>
        <v>0</v>
      </c>
      <c r="I2324" s="3">
        <f t="shared" si="4"/>
        <v>0</v>
      </c>
      <c r="J2324" s="27">
        <f t="shared" si="5"/>
        <v>693947</v>
      </c>
      <c r="K2324" s="27">
        <f t="shared" si="6"/>
        <v>693977</v>
      </c>
    </row>
    <row r="2325" hidden="1">
      <c r="A2325" s="3" t="str">
        <f t="shared" si="3"/>
        <v/>
      </c>
      <c r="B2325" s="2" t="str">
        <f t="array" ref="B2325">INDEX(helper!$A$3:$A3996,ROUNDUP((ROW()-1)/COUNTA(helper!$D$3:$D3996),0))</f>
        <v/>
      </c>
      <c r="C2325" s="5" t="str">
        <f t="array" ref="C2325">IF(B2325="","",INDEX(helper!$D$3:$D3996,MOD(ROW()-2,COUNTA(helper!$D$3:$D3996))+1))</f>
        <v/>
      </c>
      <c r="D2325" s="3" t="str">
        <f t="array" ref="D2325">IF(B2325="","",INDEX(helper!$E$3:$E3996,MOD(ROW()-2,COUNTA(helper!$D$3:$D3996))+1))</f>
        <v/>
      </c>
      <c r="E2325" s="3" t="str">
        <f t="array" ref="E2325">IF(B2325="","",INDEX(helper!$F$3:$F3996,MOD(ROW()-2,COUNTA(helper!$D$3:$D3996))+1))</f>
        <v/>
      </c>
      <c r="F2325" s="3" t="str">
        <f>IF(B2325="","",SUMIFS('inventory ledger'!$H:$H,'inventory ledger'!$C:$C,C2325,'inventory ledger'!$D:$D,D2325,'inventory ledger'!$E:$E,E2325,'inventory ledger'!$A:$A,"&lt;="&amp;B2325+TIME(23,59,59))-SUMIFS('inventory ledger'!$I:$I,'inventory ledger'!$C:$C,C2325,'inventory ledger'!$D:$D,D2325,'inventory ledger'!$E:$E,E2325,'inventory ledger'!$A:$A,"&lt;="&amp;B2325+TIME(23,59,59)))</f>
        <v/>
      </c>
      <c r="G2325" s="3">
        <f>IFERROR(__xludf.DUMMYFUNCTION("IF(F2325&lt;=0,0,IFERROR(ROUNDUP(F2325/INDEX(FILTER('warehouse config'!$D:$D,('warehouse config'!$B:$B=C2325)*('warehouse config'!$C:$C=D2325)*('warehouse config'!$G:$G&lt;=B2325)*(('warehouse config'!$H:$H&gt;=B2325)+ISBLANK('warehouse config'!$H:$H))),1)),0))"),0.0)</f>
        <v>0</v>
      </c>
      <c r="H2325" s="3">
        <f>IFERROR(__xludf.DUMMYFUNCTION("IFERROR(INDEX(FILTER('cost master'!$E:$E,('cost master'!$B:$B=C2325)*('cost master'!$D:$D=""Storage cost per pallet / week"")*('cost master'!$G:$G&lt;=B2325)*(('cost master'!$H:$H&gt;=B2325)+ISBLANK('cost master'!$H:$H))),1),0)"),0.0)</f>
        <v>0</v>
      </c>
      <c r="I2325" s="3">
        <f t="shared" si="4"/>
        <v>0</v>
      </c>
      <c r="J2325" s="27">
        <f t="shared" si="5"/>
        <v>693947</v>
      </c>
      <c r="K2325" s="27">
        <f t="shared" si="6"/>
        <v>693977</v>
      </c>
    </row>
    <row r="2326" hidden="1">
      <c r="A2326" s="3" t="str">
        <f t="shared" si="3"/>
        <v/>
      </c>
      <c r="B2326" s="2" t="str">
        <f t="array" ref="B2326">INDEX(helper!$A$3:$A3996,ROUNDUP((ROW()-1)/COUNTA(helper!$D$3:$D3996),0))</f>
        <v/>
      </c>
      <c r="C2326" s="5" t="str">
        <f t="array" ref="C2326">IF(B2326="","",INDEX(helper!$D$3:$D3996,MOD(ROW()-2,COUNTA(helper!$D$3:$D3996))+1))</f>
        <v/>
      </c>
      <c r="D2326" s="3" t="str">
        <f t="array" ref="D2326">IF(B2326="","",INDEX(helper!$E$3:$E3996,MOD(ROW()-2,COUNTA(helper!$D$3:$D3996))+1))</f>
        <v/>
      </c>
      <c r="E2326" s="3" t="str">
        <f t="array" ref="E2326">IF(B2326="","",INDEX(helper!$F$3:$F3996,MOD(ROW()-2,COUNTA(helper!$D$3:$D3996))+1))</f>
        <v/>
      </c>
      <c r="F2326" s="3" t="str">
        <f>IF(B2326="","",SUMIFS('inventory ledger'!$H:$H,'inventory ledger'!$C:$C,C2326,'inventory ledger'!$D:$D,D2326,'inventory ledger'!$E:$E,E2326,'inventory ledger'!$A:$A,"&lt;="&amp;B2326+TIME(23,59,59))-SUMIFS('inventory ledger'!$I:$I,'inventory ledger'!$C:$C,C2326,'inventory ledger'!$D:$D,D2326,'inventory ledger'!$E:$E,E2326,'inventory ledger'!$A:$A,"&lt;="&amp;B2326+TIME(23,59,59)))</f>
        <v/>
      </c>
      <c r="G2326" s="3">
        <f>IFERROR(__xludf.DUMMYFUNCTION("IF(F2326&lt;=0,0,IFERROR(ROUNDUP(F2326/INDEX(FILTER('warehouse config'!$D:$D,('warehouse config'!$B:$B=C2326)*('warehouse config'!$C:$C=D2326)*('warehouse config'!$G:$G&lt;=B2326)*(('warehouse config'!$H:$H&gt;=B2326)+ISBLANK('warehouse config'!$H:$H))),1)),0))"),0.0)</f>
        <v>0</v>
      </c>
      <c r="H2326" s="3">
        <f>IFERROR(__xludf.DUMMYFUNCTION("IFERROR(INDEX(FILTER('cost master'!$E:$E,('cost master'!$B:$B=C2326)*('cost master'!$D:$D=""Storage cost per pallet / week"")*('cost master'!$G:$G&lt;=B2326)*(('cost master'!$H:$H&gt;=B2326)+ISBLANK('cost master'!$H:$H))),1),0)"),0.0)</f>
        <v>0</v>
      </c>
      <c r="I2326" s="3">
        <f t="shared" si="4"/>
        <v>0</v>
      </c>
      <c r="J2326" s="27">
        <f t="shared" si="5"/>
        <v>693947</v>
      </c>
      <c r="K2326" s="27">
        <f t="shared" si="6"/>
        <v>693977</v>
      </c>
    </row>
    <row r="2327" hidden="1">
      <c r="A2327" s="3" t="str">
        <f t="shared" si="3"/>
        <v/>
      </c>
      <c r="B2327" s="2" t="str">
        <f t="array" ref="B2327">INDEX(helper!$A$3:$A3996,ROUNDUP((ROW()-1)/COUNTA(helper!$D$3:$D3996),0))</f>
        <v/>
      </c>
      <c r="C2327" s="5" t="str">
        <f t="array" ref="C2327">IF(B2327="","",INDEX(helper!$D$3:$D3996,MOD(ROW()-2,COUNTA(helper!$D$3:$D3996))+1))</f>
        <v/>
      </c>
      <c r="D2327" s="3" t="str">
        <f t="array" ref="D2327">IF(B2327="","",INDEX(helper!$E$3:$E3996,MOD(ROW()-2,COUNTA(helper!$D$3:$D3996))+1))</f>
        <v/>
      </c>
      <c r="E2327" s="3" t="str">
        <f t="array" ref="E2327">IF(B2327="","",INDEX(helper!$F$3:$F3996,MOD(ROW()-2,COUNTA(helper!$D$3:$D3996))+1))</f>
        <v/>
      </c>
      <c r="F2327" s="3" t="str">
        <f>IF(B2327="","",SUMIFS('inventory ledger'!$H:$H,'inventory ledger'!$C:$C,C2327,'inventory ledger'!$D:$D,D2327,'inventory ledger'!$E:$E,E2327,'inventory ledger'!$A:$A,"&lt;="&amp;B2327+TIME(23,59,59))-SUMIFS('inventory ledger'!$I:$I,'inventory ledger'!$C:$C,C2327,'inventory ledger'!$D:$D,D2327,'inventory ledger'!$E:$E,E2327,'inventory ledger'!$A:$A,"&lt;="&amp;B2327+TIME(23,59,59)))</f>
        <v/>
      </c>
      <c r="G2327" s="3">
        <f>IFERROR(__xludf.DUMMYFUNCTION("IF(F2327&lt;=0,0,IFERROR(ROUNDUP(F2327/INDEX(FILTER('warehouse config'!$D:$D,('warehouse config'!$B:$B=C2327)*('warehouse config'!$C:$C=D2327)*('warehouse config'!$G:$G&lt;=B2327)*(('warehouse config'!$H:$H&gt;=B2327)+ISBLANK('warehouse config'!$H:$H))),1)),0))"),0.0)</f>
        <v>0</v>
      </c>
      <c r="H2327" s="3">
        <f>IFERROR(__xludf.DUMMYFUNCTION("IFERROR(INDEX(FILTER('cost master'!$E:$E,('cost master'!$B:$B=C2327)*('cost master'!$D:$D=""Storage cost per pallet / week"")*('cost master'!$G:$G&lt;=B2327)*(('cost master'!$H:$H&gt;=B2327)+ISBLANK('cost master'!$H:$H))),1),0)"),0.0)</f>
        <v>0</v>
      </c>
      <c r="I2327" s="3">
        <f t="shared" si="4"/>
        <v>0</v>
      </c>
      <c r="J2327" s="27">
        <f t="shared" si="5"/>
        <v>693947</v>
      </c>
      <c r="K2327" s="27">
        <f t="shared" si="6"/>
        <v>693977</v>
      </c>
    </row>
    <row r="2328" hidden="1">
      <c r="A2328" s="3" t="str">
        <f t="shared" si="3"/>
        <v/>
      </c>
      <c r="B2328" s="2" t="str">
        <f t="array" ref="B2328">INDEX(helper!$A$3:$A3996,ROUNDUP((ROW()-1)/COUNTA(helper!$D$3:$D3996),0))</f>
        <v/>
      </c>
      <c r="C2328" s="5" t="str">
        <f t="array" ref="C2328">IF(B2328="","",INDEX(helper!$D$3:$D3996,MOD(ROW()-2,COUNTA(helper!$D$3:$D3996))+1))</f>
        <v/>
      </c>
      <c r="D2328" s="3" t="str">
        <f t="array" ref="D2328">IF(B2328="","",INDEX(helper!$E$3:$E3996,MOD(ROW()-2,COUNTA(helper!$D$3:$D3996))+1))</f>
        <v/>
      </c>
      <c r="E2328" s="3" t="str">
        <f t="array" ref="E2328">IF(B2328="","",INDEX(helper!$F$3:$F3996,MOD(ROW()-2,COUNTA(helper!$D$3:$D3996))+1))</f>
        <v/>
      </c>
      <c r="F2328" s="3" t="str">
        <f>IF(B2328="","",SUMIFS('inventory ledger'!$H:$H,'inventory ledger'!$C:$C,C2328,'inventory ledger'!$D:$D,D2328,'inventory ledger'!$E:$E,E2328,'inventory ledger'!$A:$A,"&lt;="&amp;B2328+TIME(23,59,59))-SUMIFS('inventory ledger'!$I:$I,'inventory ledger'!$C:$C,C2328,'inventory ledger'!$D:$D,D2328,'inventory ledger'!$E:$E,E2328,'inventory ledger'!$A:$A,"&lt;="&amp;B2328+TIME(23,59,59)))</f>
        <v/>
      </c>
      <c r="G2328" s="3">
        <f>IFERROR(__xludf.DUMMYFUNCTION("IF(F2328&lt;=0,0,IFERROR(ROUNDUP(F2328/INDEX(FILTER('warehouse config'!$D:$D,('warehouse config'!$B:$B=C2328)*('warehouse config'!$C:$C=D2328)*('warehouse config'!$G:$G&lt;=B2328)*(('warehouse config'!$H:$H&gt;=B2328)+ISBLANK('warehouse config'!$H:$H))),1)),0))"),0.0)</f>
        <v>0</v>
      </c>
      <c r="H2328" s="3">
        <f>IFERROR(__xludf.DUMMYFUNCTION("IFERROR(INDEX(FILTER('cost master'!$E:$E,('cost master'!$B:$B=C2328)*('cost master'!$D:$D=""Storage cost per pallet / week"")*('cost master'!$G:$G&lt;=B2328)*(('cost master'!$H:$H&gt;=B2328)+ISBLANK('cost master'!$H:$H))),1),0)"),0.0)</f>
        <v>0</v>
      </c>
      <c r="I2328" s="3">
        <f t="shared" si="4"/>
        <v>0</v>
      </c>
      <c r="J2328" s="27">
        <f t="shared" si="5"/>
        <v>693947</v>
      </c>
      <c r="K2328" s="27">
        <f t="shared" si="6"/>
        <v>693977</v>
      </c>
    </row>
    <row r="2329" hidden="1">
      <c r="A2329" s="3" t="str">
        <f t="shared" si="3"/>
        <v/>
      </c>
      <c r="B2329" s="2" t="str">
        <f t="array" ref="B2329">INDEX(helper!$A$3:$A3996,ROUNDUP((ROW()-1)/COUNTA(helper!$D$3:$D3996),0))</f>
        <v/>
      </c>
      <c r="C2329" s="5" t="str">
        <f t="array" ref="C2329">IF(B2329="","",INDEX(helper!$D$3:$D3996,MOD(ROW()-2,COUNTA(helper!$D$3:$D3996))+1))</f>
        <v/>
      </c>
      <c r="D2329" s="3" t="str">
        <f t="array" ref="D2329">IF(B2329="","",INDEX(helper!$E$3:$E3996,MOD(ROW()-2,COUNTA(helper!$D$3:$D3996))+1))</f>
        <v/>
      </c>
      <c r="E2329" s="3" t="str">
        <f t="array" ref="E2329">IF(B2329="","",INDEX(helper!$F$3:$F3996,MOD(ROW()-2,COUNTA(helper!$D$3:$D3996))+1))</f>
        <v/>
      </c>
      <c r="F2329" s="3" t="str">
        <f>IF(B2329="","",SUMIFS('inventory ledger'!$H:$H,'inventory ledger'!$C:$C,C2329,'inventory ledger'!$D:$D,D2329,'inventory ledger'!$E:$E,E2329,'inventory ledger'!$A:$A,"&lt;="&amp;B2329+TIME(23,59,59))-SUMIFS('inventory ledger'!$I:$I,'inventory ledger'!$C:$C,C2329,'inventory ledger'!$D:$D,D2329,'inventory ledger'!$E:$E,E2329,'inventory ledger'!$A:$A,"&lt;="&amp;B2329+TIME(23,59,59)))</f>
        <v/>
      </c>
      <c r="G2329" s="3">
        <f>IFERROR(__xludf.DUMMYFUNCTION("IF(F2329&lt;=0,0,IFERROR(ROUNDUP(F2329/INDEX(FILTER('warehouse config'!$D:$D,('warehouse config'!$B:$B=C2329)*('warehouse config'!$C:$C=D2329)*('warehouse config'!$G:$G&lt;=B2329)*(('warehouse config'!$H:$H&gt;=B2329)+ISBLANK('warehouse config'!$H:$H))),1)),0))"),0.0)</f>
        <v>0</v>
      </c>
      <c r="H2329" s="3">
        <f>IFERROR(__xludf.DUMMYFUNCTION("IFERROR(INDEX(FILTER('cost master'!$E:$E,('cost master'!$B:$B=C2329)*('cost master'!$D:$D=""Storage cost per pallet / week"")*('cost master'!$G:$G&lt;=B2329)*(('cost master'!$H:$H&gt;=B2329)+ISBLANK('cost master'!$H:$H))),1),0)"),0.0)</f>
        <v>0</v>
      </c>
      <c r="I2329" s="3">
        <f t="shared" si="4"/>
        <v>0</v>
      </c>
      <c r="J2329" s="27">
        <f t="shared" si="5"/>
        <v>693947</v>
      </c>
      <c r="K2329" s="27">
        <f t="shared" si="6"/>
        <v>693977</v>
      </c>
    </row>
    <row r="2330" hidden="1">
      <c r="A2330" s="3" t="str">
        <f t="shared" si="3"/>
        <v/>
      </c>
      <c r="B2330" s="2" t="str">
        <f t="array" ref="B2330">INDEX(helper!$A$3:$A3996,ROUNDUP((ROW()-1)/COUNTA(helper!$D$3:$D3996),0))</f>
        <v/>
      </c>
      <c r="C2330" s="5" t="str">
        <f t="array" ref="C2330">IF(B2330="","",INDEX(helper!$D$3:$D3996,MOD(ROW()-2,COUNTA(helper!$D$3:$D3996))+1))</f>
        <v/>
      </c>
      <c r="D2330" s="3" t="str">
        <f t="array" ref="D2330">IF(B2330="","",INDEX(helper!$E$3:$E3996,MOD(ROW()-2,COUNTA(helper!$D$3:$D3996))+1))</f>
        <v/>
      </c>
      <c r="E2330" s="3" t="str">
        <f t="array" ref="E2330">IF(B2330="","",INDEX(helper!$F$3:$F3996,MOD(ROW()-2,COUNTA(helper!$D$3:$D3996))+1))</f>
        <v/>
      </c>
      <c r="F2330" s="3" t="str">
        <f>IF(B2330="","",SUMIFS('inventory ledger'!$H:$H,'inventory ledger'!$C:$C,C2330,'inventory ledger'!$D:$D,D2330,'inventory ledger'!$E:$E,E2330,'inventory ledger'!$A:$A,"&lt;="&amp;B2330+TIME(23,59,59))-SUMIFS('inventory ledger'!$I:$I,'inventory ledger'!$C:$C,C2330,'inventory ledger'!$D:$D,D2330,'inventory ledger'!$E:$E,E2330,'inventory ledger'!$A:$A,"&lt;="&amp;B2330+TIME(23,59,59)))</f>
        <v/>
      </c>
      <c r="G2330" s="3">
        <f>IFERROR(__xludf.DUMMYFUNCTION("IF(F2330&lt;=0,0,IFERROR(ROUNDUP(F2330/INDEX(FILTER('warehouse config'!$D:$D,('warehouse config'!$B:$B=C2330)*('warehouse config'!$C:$C=D2330)*('warehouse config'!$G:$G&lt;=B2330)*(('warehouse config'!$H:$H&gt;=B2330)+ISBLANK('warehouse config'!$H:$H))),1)),0))"),0.0)</f>
        <v>0</v>
      </c>
      <c r="H2330" s="3">
        <f>IFERROR(__xludf.DUMMYFUNCTION("IFERROR(INDEX(FILTER('cost master'!$E:$E,('cost master'!$B:$B=C2330)*('cost master'!$D:$D=""Storage cost per pallet / week"")*('cost master'!$G:$G&lt;=B2330)*(('cost master'!$H:$H&gt;=B2330)+ISBLANK('cost master'!$H:$H))),1),0)"),0.0)</f>
        <v>0</v>
      </c>
      <c r="I2330" s="3">
        <f t="shared" si="4"/>
        <v>0</v>
      </c>
      <c r="J2330" s="27">
        <f t="shared" si="5"/>
        <v>693947</v>
      </c>
      <c r="K2330" s="27">
        <f t="shared" si="6"/>
        <v>693977</v>
      </c>
    </row>
    <row r="2331" hidden="1">
      <c r="A2331" s="3" t="str">
        <f t="shared" si="3"/>
        <v/>
      </c>
      <c r="B2331" s="2" t="str">
        <f t="array" ref="B2331">INDEX(helper!$A$3:$A3996,ROUNDUP((ROW()-1)/COUNTA(helper!$D$3:$D3996),0))</f>
        <v/>
      </c>
      <c r="C2331" s="5" t="str">
        <f t="array" ref="C2331">IF(B2331="","",INDEX(helper!$D$3:$D3996,MOD(ROW()-2,COUNTA(helper!$D$3:$D3996))+1))</f>
        <v/>
      </c>
      <c r="D2331" s="3" t="str">
        <f t="array" ref="D2331">IF(B2331="","",INDEX(helper!$E$3:$E3996,MOD(ROW()-2,COUNTA(helper!$D$3:$D3996))+1))</f>
        <v/>
      </c>
      <c r="E2331" s="3" t="str">
        <f t="array" ref="E2331">IF(B2331="","",INDEX(helper!$F$3:$F3996,MOD(ROW()-2,COUNTA(helper!$D$3:$D3996))+1))</f>
        <v/>
      </c>
      <c r="F2331" s="3" t="str">
        <f>IF(B2331="","",SUMIFS('inventory ledger'!$H:$H,'inventory ledger'!$C:$C,C2331,'inventory ledger'!$D:$D,D2331,'inventory ledger'!$E:$E,E2331,'inventory ledger'!$A:$A,"&lt;="&amp;B2331+TIME(23,59,59))-SUMIFS('inventory ledger'!$I:$I,'inventory ledger'!$C:$C,C2331,'inventory ledger'!$D:$D,D2331,'inventory ledger'!$E:$E,E2331,'inventory ledger'!$A:$A,"&lt;="&amp;B2331+TIME(23,59,59)))</f>
        <v/>
      </c>
      <c r="G2331" s="3">
        <f>IFERROR(__xludf.DUMMYFUNCTION("IF(F2331&lt;=0,0,IFERROR(ROUNDUP(F2331/INDEX(FILTER('warehouse config'!$D:$D,('warehouse config'!$B:$B=C2331)*('warehouse config'!$C:$C=D2331)*('warehouse config'!$G:$G&lt;=B2331)*(('warehouse config'!$H:$H&gt;=B2331)+ISBLANK('warehouse config'!$H:$H))),1)),0))"),0.0)</f>
        <v>0</v>
      </c>
      <c r="H2331" s="3">
        <f>IFERROR(__xludf.DUMMYFUNCTION("IFERROR(INDEX(FILTER('cost master'!$E:$E,('cost master'!$B:$B=C2331)*('cost master'!$D:$D=""Storage cost per pallet / week"")*('cost master'!$G:$G&lt;=B2331)*(('cost master'!$H:$H&gt;=B2331)+ISBLANK('cost master'!$H:$H))),1),0)"),0.0)</f>
        <v>0</v>
      </c>
      <c r="I2331" s="3">
        <f t="shared" si="4"/>
        <v>0</v>
      </c>
      <c r="J2331" s="27">
        <f t="shared" si="5"/>
        <v>693947</v>
      </c>
      <c r="K2331" s="27">
        <f t="shared" si="6"/>
        <v>693977</v>
      </c>
    </row>
    <row r="2332" hidden="1">
      <c r="A2332" s="3" t="str">
        <f t="shared" si="3"/>
        <v/>
      </c>
      <c r="B2332" s="2" t="str">
        <f t="array" ref="B2332">INDEX(helper!$A$3:$A3996,ROUNDUP((ROW()-1)/COUNTA(helper!$D$3:$D3996),0))</f>
        <v/>
      </c>
      <c r="C2332" s="5" t="str">
        <f t="array" ref="C2332">IF(B2332="","",INDEX(helper!$D$3:$D3996,MOD(ROW()-2,COUNTA(helper!$D$3:$D3996))+1))</f>
        <v/>
      </c>
      <c r="D2332" s="3" t="str">
        <f t="array" ref="D2332">IF(B2332="","",INDEX(helper!$E$3:$E3996,MOD(ROW()-2,COUNTA(helper!$D$3:$D3996))+1))</f>
        <v/>
      </c>
      <c r="E2332" s="3" t="str">
        <f t="array" ref="E2332">IF(B2332="","",INDEX(helper!$F$3:$F3996,MOD(ROW()-2,COUNTA(helper!$D$3:$D3996))+1))</f>
        <v/>
      </c>
      <c r="F2332" s="3" t="str">
        <f>IF(B2332="","",SUMIFS('inventory ledger'!$H:$H,'inventory ledger'!$C:$C,C2332,'inventory ledger'!$D:$D,D2332,'inventory ledger'!$E:$E,E2332,'inventory ledger'!$A:$A,"&lt;="&amp;B2332+TIME(23,59,59))-SUMIFS('inventory ledger'!$I:$I,'inventory ledger'!$C:$C,C2332,'inventory ledger'!$D:$D,D2332,'inventory ledger'!$E:$E,E2332,'inventory ledger'!$A:$A,"&lt;="&amp;B2332+TIME(23,59,59)))</f>
        <v/>
      </c>
      <c r="G2332" s="3">
        <f>IFERROR(__xludf.DUMMYFUNCTION("IF(F2332&lt;=0,0,IFERROR(ROUNDUP(F2332/INDEX(FILTER('warehouse config'!$D:$D,('warehouse config'!$B:$B=C2332)*('warehouse config'!$C:$C=D2332)*('warehouse config'!$G:$G&lt;=B2332)*(('warehouse config'!$H:$H&gt;=B2332)+ISBLANK('warehouse config'!$H:$H))),1)),0))"),0.0)</f>
        <v>0</v>
      </c>
      <c r="H2332" s="3">
        <f>IFERROR(__xludf.DUMMYFUNCTION("IFERROR(INDEX(FILTER('cost master'!$E:$E,('cost master'!$B:$B=C2332)*('cost master'!$D:$D=""Storage cost per pallet / week"")*('cost master'!$G:$G&lt;=B2332)*(('cost master'!$H:$H&gt;=B2332)+ISBLANK('cost master'!$H:$H))),1),0)"),0.0)</f>
        <v>0</v>
      </c>
      <c r="I2332" s="3">
        <f t="shared" si="4"/>
        <v>0</v>
      </c>
      <c r="J2332" s="27">
        <f t="shared" si="5"/>
        <v>693947</v>
      </c>
      <c r="K2332" s="27">
        <f t="shared" si="6"/>
        <v>693977</v>
      </c>
    </row>
    <row r="2333" hidden="1">
      <c r="A2333" s="3" t="str">
        <f t="shared" si="3"/>
        <v/>
      </c>
      <c r="B2333" s="2" t="str">
        <f t="array" ref="B2333">INDEX(helper!$A$3:$A3996,ROUNDUP((ROW()-1)/COUNTA(helper!$D$3:$D3996),0))</f>
        <v/>
      </c>
      <c r="C2333" s="5" t="str">
        <f t="array" ref="C2333">IF(B2333="","",INDEX(helper!$D$3:$D3996,MOD(ROW()-2,COUNTA(helper!$D$3:$D3996))+1))</f>
        <v/>
      </c>
      <c r="D2333" s="3" t="str">
        <f t="array" ref="D2333">IF(B2333="","",INDEX(helper!$E$3:$E3996,MOD(ROW()-2,COUNTA(helper!$D$3:$D3996))+1))</f>
        <v/>
      </c>
      <c r="E2333" s="3" t="str">
        <f t="array" ref="E2333">IF(B2333="","",INDEX(helper!$F$3:$F3996,MOD(ROW()-2,COUNTA(helper!$D$3:$D3996))+1))</f>
        <v/>
      </c>
      <c r="F2333" s="3" t="str">
        <f>IF(B2333="","",SUMIFS('inventory ledger'!$H:$H,'inventory ledger'!$C:$C,C2333,'inventory ledger'!$D:$D,D2333,'inventory ledger'!$E:$E,E2333,'inventory ledger'!$A:$A,"&lt;="&amp;B2333+TIME(23,59,59))-SUMIFS('inventory ledger'!$I:$I,'inventory ledger'!$C:$C,C2333,'inventory ledger'!$D:$D,D2333,'inventory ledger'!$E:$E,E2333,'inventory ledger'!$A:$A,"&lt;="&amp;B2333+TIME(23,59,59)))</f>
        <v/>
      </c>
      <c r="G2333" s="3">
        <f>IFERROR(__xludf.DUMMYFUNCTION("IF(F2333&lt;=0,0,IFERROR(ROUNDUP(F2333/INDEX(FILTER('warehouse config'!$D:$D,('warehouse config'!$B:$B=C2333)*('warehouse config'!$C:$C=D2333)*('warehouse config'!$G:$G&lt;=B2333)*(('warehouse config'!$H:$H&gt;=B2333)+ISBLANK('warehouse config'!$H:$H))),1)),0))"),0.0)</f>
        <v>0</v>
      </c>
      <c r="H2333" s="3">
        <f>IFERROR(__xludf.DUMMYFUNCTION("IFERROR(INDEX(FILTER('cost master'!$E:$E,('cost master'!$B:$B=C2333)*('cost master'!$D:$D=""Storage cost per pallet / week"")*('cost master'!$G:$G&lt;=B2333)*(('cost master'!$H:$H&gt;=B2333)+ISBLANK('cost master'!$H:$H))),1),0)"),0.0)</f>
        <v>0</v>
      </c>
      <c r="I2333" s="3">
        <f t="shared" si="4"/>
        <v>0</v>
      </c>
      <c r="J2333" s="27">
        <f t="shared" si="5"/>
        <v>693947</v>
      </c>
      <c r="K2333" s="27">
        <f t="shared" si="6"/>
        <v>693977</v>
      </c>
    </row>
    <row r="2334" hidden="1">
      <c r="A2334" s="3" t="str">
        <f t="shared" si="3"/>
        <v/>
      </c>
      <c r="B2334" s="2" t="str">
        <f t="array" ref="B2334">INDEX(helper!$A$3:$A3996,ROUNDUP((ROW()-1)/COUNTA(helper!$D$3:$D3996),0))</f>
        <v/>
      </c>
      <c r="C2334" s="5" t="str">
        <f t="array" ref="C2334">IF(B2334="","",INDEX(helper!$D$3:$D3996,MOD(ROW()-2,COUNTA(helper!$D$3:$D3996))+1))</f>
        <v/>
      </c>
      <c r="D2334" s="3" t="str">
        <f t="array" ref="D2334">IF(B2334="","",INDEX(helper!$E$3:$E3996,MOD(ROW()-2,COUNTA(helper!$D$3:$D3996))+1))</f>
        <v/>
      </c>
      <c r="E2334" s="3" t="str">
        <f t="array" ref="E2334">IF(B2334="","",INDEX(helper!$F$3:$F3996,MOD(ROW()-2,COUNTA(helper!$D$3:$D3996))+1))</f>
        <v/>
      </c>
      <c r="F2334" s="3" t="str">
        <f>IF(B2334="","",SUMIFS('inventory ledger'!$H:$H,'inventory ledger'!$C:$C,C2334,'inventory ledger'!$D:$D,D2334,'inventory ledger'!$E:$E,E2334,'inventory ledger'!$A:$A,"&lt;="&amp;B2334+TIME(23,59,59))-SUMIFS('inventory ledger'!$I:$I,'inventory ledger'!$C:$C,C2334,'inventory ledger'!$D:$D,D2334,'inventory ledger'!$E:$E,E2334,'inventory ledger'!$A:$A,"&lt;="&amp;B2334+TIME(23,59,59)))</f>
        <v/>
      </c>
      <c r="G2334" s="3">
        <f>IFERROR(__xludf.DUMMYFUNCTION("IF(F2334&lt;=0,0,IFERROR(ROUNDUP(F2334/INDEX(FILTER('warehouse config'!$D:$D,('warehouse config'!$B:$B=C2334)*('warehouse config'!$C:$C=D2334)*('warehouse config'!$G:$G&lt;=B2334)*(('warehouse config'!$H:$H&gt;=B2334)+ISBLANK('warehouse config'!$H:$H))),1)),0))"),0.0)</f>
        <v>0</v>
      </c>
      <c r="H2334" s="3">
        <f>IFERROR(__xludf.DUMMYFUNCTION("IFERROR(INDEX(FILTER('cost master'!$E:$E,('cost master'!$B:$B=C2334)*('cost master'!$D:$D=""Storage cost per pallet / week"")*('cost master'!$G:$G&lt;=B2334)*(('cost master'!$H:$H&gt;=B2334)+ISBLANK('cost master'!$H:$H))),1),0)"),0.0)</f>
        <v>0</v>
      </c>
      <c r="I2334" s="3">
        <f t="shared" si="4"/>
        <v>0</v>
      </c>
      <c r="J2334" s="27">
        <f t="shared" si="5"/>
        <v>693947</v>
      </c>
      <c r="K2334" s="27">
        <f t="shared" si="6"/>
        <v>693977</v>
      </c>
    </row>
    <row r="2335" hidden="1">
      <c r="A2335" s="3" t="str">
        <f t="shared" si="3"/>
        <v/>
      </c>
      <c r="B2335" s="2" t="str">
        <f t="array" ref="B2335">INDEX(helper!$A$3:$A3996,ROUNDUP((ROW()-1)/COUNTA(helper!$D$3:$D3996),0))</f>
        <v/>
      </c>
      <c r="C2335" s="5" t="str">
        <f t="array" ref="C2335">IF(B2335="","",INDEX(helper!$D$3:$D3996,MOD(ROW()-2,COUNTA(helper!$D$3:$D3996))+1))</f>
        <v/>
      </c>
      <c r="D2335" s="3" t="str">
        <f t="array" ref="D2335">IF(B2335="","",INDEX(helper!$E$3:$E3996,MOD(ROW()-2,COUNTA(helper!$D$3:$D3996))+1))</f>
        <v/>
      </c>
      <c r="E2335" s="3" t="str">
        <f t="array" ref="E2335">IF(B2335="","",INDEX(helper!$F$3:$F3996,MOD(ROW()-2,COUNTA(helper!$D$3:$D3996))+1))</f>
        <v/>
      </c>
      <c r="F2335" s="3" t="str">
        <f>IF(B2335="","",SUMIFS('inventory ledger'!$H:$H,'inventory ledger'!$C:$C,C2335,'inventory ledger'!$D:$D,D2335,'inventory ledger'!$E:$E,E2335,'inventory ledger'!$A:$A,"&lt;="&amp;B2335+TIME(23,59,59))-SUMIFS('inventory ledger'!$I:$I,'inventory ledger'!$C:$C,C2335,'inventory ledger'!$D:$D,D2335,'inventory ledger'!$E:$E,E2335,'inventory ledger'!$A:$A,"&lt;="&amp;B2335+TIME(23,59,59)))</f>
        <v/>
      </c>
      <c r="G2335" s="3">
        <f>IFERROR(__xludf.DUMMYFUNCTION("IF(F2335&lt;=0,0,IFERROR(ROUNDUP(F2335/INDEX(FILTER('warehouse config'!$D:$D,('warehouse config'!$B:$B=C2335)*('warehouse config'!$C:$C=D2335)*('warehouse config'!$G:$G&lt;=B2335)*(('warehouse config'!$H:$H&gt;=B2335)+ISBLANK('warehouse config'!$H:$H))),1)),0))"),0.0)</f>
        <v>0</v>
      </c>
      <c r="H2335" s="3">
        <f>IFERROR(__xludf.DUMMYFUNCTION("IFERROR(INDEX(FILTER('cost master'!$E:$E,('cost master'!$B:$B=C2335)*('cost master'!$D:$D=""Storage cost per pallet / week"")*('cost master'!$G:$G&lt;=B2335)*(('cost master'!$H:$H&gt;=B2335)+ISBLANK('cost master'!$H:$H))),1),0)"),0.0)</f>
        <v>0</v>
      </c>
      <c r="I2335" s="3">
        <f t="shared" si="4"/>
        <v>0</v>
      </c>
      <c r="J2335" s="27">
        <f t="shared" si="5"/>
        <v>693947</v>
      </c>
      <c r="K2335" s="27">
        <f t="shared" si="6"/>
        <v>693977</v>
      </c>
    </row>
    <row r="2336" hidden="1">
      <c r="A2336" s="3" t="str">
        <f t="shared" si="3"/>
        <v/>
      </c>
      <c r="B2336" s="2" t="str">
        <f t="array" ref="B2336">INDEX(helper!$A$3:$A3996,ROUNDUP((ROW()-1)/COUNTA(helper!$D$3:$D3996),0))</f>
        <v/>
      </c>
      <c r="C2336" s="5" t="str">
        <f t="array" ref="C2336">IF(B2336="","",INDEX(helper!$D$3:$D3996,MOD(ROW()-2,COUNTA(helper!$D$3:$D3996))+1))</f>
        <v/>
      </c>
      <c r="D2336" s="3" t="str">
        <f t="array" ref="D2336">IF(B2336="","",INDEX(helper!$E$3:$E3996,MOD(ROW()-2,COUNTA(helper!$D$3:$D3996))+1))</f>
        <v/>
      </c>
      <c r="E2336" s="3" t="str">
        <f t="array" ref="E2336">IF(B2336="","",INDEX(helper!$F$3:$F3996,MOD(ROW()-2,COUNTA(helper!$D$3:$D3996))+1))</f>
        <v/>
      </c>
      <c r="F2336" s="3" t="str">
        <f>IF(B2336="","",SUMIFS('inventory ledger'!$H:$H,'inventory ledger'!$C:$C,C2336,'inventory ledger'!$D:$D,D2336,'inventory ledger'!$E:$E,E2336,'inventory ledger'!$A:$A,"&lt;="&amp;B2336+TIME(23,59,59))-SUMIFS('inventory ledger'!$I:$I,'inventory ledger'!$C:$C,C2336,'inventory ledger'!$D:$D,D2336,'inventory ledger'!$E:$E,E2336,'inventory ledger'!$A:$A,"&lt;="&amp;B2336+TIME(23,59,59)))</f>
        <v/>
      </c>
      <c r="G2336" s="3">
        <f>IFERROR(__xludf.DUMMYFUNCTION("IF(F2336&lt;=0,0,IFERROR(ROUNDUP(F2336/INDEX(FILTER('warehouse config'!$D:$D,('warehouse config'!$B:$B=C2336)*('warehouse config'!$C:$C=D2336)*('warehouse config'!$G:$G&lt;=B2336)*(('warehouse config'!$H:$H&gt;=B2336)+ISBLANK('warehouse config'!$H:$H))),1)),0))"),0.0)</f>
        <v>0</v>
      </c>
      <c r="H2336" s="3">
        <f>IFERROR(__xludf.DUMMYFUNCTION("IFERROR(INDEX(FILTER('cost master'!$E:$E,('cost master'!$B:$B=C2336)*('cost master'!$D:$D=""Storage cost per pallet / week"")*('cost master'!$G:$G&lt;=B2336)*(('cost master'!$H:$H&gt;=B2336)+ISBLANK('cost master'!$H:$H))),1),0)"),0.0)</f>
        <v>0</v>
      </c>
      <c r="I2336" s="3">
        <f t="shared" si="4"/>
        <v>0</v>
      </c>
      <c r="J2336" s="27">
        <f t="shared" si="5"/>
        <v>693947</v>
      </c>
      <c r="K2336" s="27">
        <f t="shared" si="6"/>
        <v>693977</v>
      </c>
    </row>
    <row r="2337" hidden="1">
      <c r="A2337" s="3" t="str">
        <f t="shared" si="3"/>
        <v/>
      </c>
      <c r="B2337" s="2" t="str">
        <f t="array" ref="B2337">INDEX(helper!$A$3:$A3996,ROUNDUP((ROW()-1)/COUNTA(helper!$D$3:$D3996),0))</f>
        <v/>
      </c>
      <c r="C2337" s="5" t="str">
        <f t="array" ref="C2337">IF(B2337="","",INDEX(helper!$D$3:$D3996,MOD(ROW()-2,COUNTA(helper!$D$3:$D3996))+1))</f>
        <v/>
      </c>
      <c r="D2337" s="3" t="str">
        <f t="array" ref="D2337">IF(B2337="","",INDEX(helper!$E$3:$E3996,MOD(ROW()-2,COUNTA(helper!$D$3:$D3996))+1))</f>
        <v/>
      </c>
      <c r="E2337" s="3" t="str">
        <f t="array" ref="E2337">IF(B2337="","",INDEX(helper!$F$3:$F3996,MOD(ROW()-2,COUNTA(helper!$D$3:$D3996))+1))</f>
        <v/>
      </c>
      <c r="F2337" s="3" t="str">
        <f>IF(B2337="","",SUMIFS('inventory ledger'!$H:$H,'inventory ledger'!$C:$C,C2337,'inventory ledger'!$D:$D,D2337,'inventory ledger'!$E:$E,E2337,'inventory ledger'!$A:$A,"&lt;="&amp;B2337+TIME(23,59,59))-SUMIFS('inventory ledger'!$I:$I,'inventory ledger'!$C:$C,C2337,'inventory ledger'!$D:$D,D2337,'inventory ledger'!$E:$E,E2337,'inventory ledger'!$A:$A,"&lt;="&amp;B2337+TIME(23,59,59)))</f>
        <v/>
      </c>
      <c r="G2337" s="3">
        <f>IFERROR(__xludf.DUMMYFUNCTION("IF(F2337&lt;=0,0,IFERROR(ROUNDUP(F2337/INDEX(FILTER('warehouse config'!$D:$D,('warehouse config'!$B:$B=C2337)*('warehouse config'!$C:$C=D2337)*('warehouse config'!$G:$G&lt;=B2337)*(('warehouse config'!$H:$H&gt;=B2337)+ISBLANK('warehouse config'!$H:$H))),1)),0))"),0.0)</f>
        <v>0</v>
      </c>
      <c r="H2337" s="3">
        <f>IFERROR(__xludf.DUMMYFUNCTION("IFERROR(INDEX(FILTER('cost master'!$E:$E,('cost master'!$B:$B=C2337)*('cost master'!$D:$D=""Storage cost per pallet / week"")*('cost master'!$G:$G&lt;=B2337)*(('cost master'!$H:$H&gt;=B2337)+ISBLANK('cost master'!$H:$H))),1),0)"),0.0)</f>
        <v>0</v>
      </c>
      <c r="I2337" s="3">
        <f t="shared" si="4"/>
        <v>0</v>
      </c>
      <c r="J2337" s="27">
        <f t="shared" si="5"/>
        <v>693947</v>
      </c>
      <c r="K2337" s="27">
        <f t="shared" si="6"/>
        <v>693977</v>
      </c>
    </row>
    <row r="2338" hidden="1">
      <c r="A2338" s="3" t="str">
        <f t="shared" si="3"/>
        <v/>
      </c>
      <c r="B2338" s="2" t="str">
        <f t="array" ref="B2338">INDEX(helper!$A$3:$A3996,ROUNDUP((ROW()-1)/COUNTA(helper!$D$3:$D3996),0))</f>
        <v/>
      </c>
      <c r="C2338" s="5" t="str">
        <f t="array" ref="C2338">IF(B2338="","",INDEX(helper!$D$3:$D3996,MOD(ROW()-2,COUNTA(helper!$D$3:$D3996))+1))</f>
        <v/>
      </c>
      <c r="D2338" s="3" t="str">
        <f t="array" ref="D2338">IF(B2338="","",INDEX(helper!$E$3:$E3996,MOD(ROW()-2,COUNTA(helper!$D$3:$D3996))+1))</f>
        <v/>
      </c>
      <c r="E2338" s="3" t="str">
        <f t="array" ref="E2338">IF(B2338="","",INDEX(helper!$F$3:$F3996,MOD(ROW()-2,COUNTA(helper!$D$3:$D3996))+1))</f>
        <v/>
      </c>
      <c r="F2338" s="3" t="str">
        <f>IF(B2338="","",SUMIFS('inventory ledger'!$H:$H,'inventory ledger'!$C:$C,C2338,'inventory ledger'!$D:$D,D2338,'inventory ledger'!$E:$E,E2338,'inventory ledger'!$A:$A,"&lt;="&amp;B2338+TIME(23,59,59))-SUMIFS('inventory ledger'!$I:$I,'inventory ledger'!$C:$C,C2338,'inventory ledger'!$D:$D,D2338,'inventory ledger'!$E:$E,E2338,'inventory ledger'!$A:$A,"&lt;="&amp;B2338+TIME(23,59,59)))</f>
        <v/>
      </c>
      <c r="G2338" s="3">
        <f>IFERROR(__xludf.DUMMYFUNCTION("IF(F2338&lt;=0,0,IFERROR(ROUNDUP(F2338/INDEX(FILTER('warehouse config'!$D:$D,('warehouse config'!$B:$B=C2338)*('warehouse config'!$C:$C=D2338)*('warehouse config'!$G:$G&lt;=B2338)*(('warehouse config'!$H:$H&gt;=B2338)+ISBLANK('warehouse config'!$H:$H))),1)),0))"),0.0)</f>
        <v>0</v>
      </c>
      <c r="H2338" s="3">
        <f>IFERROR(__xludf.DUMMYFUNCTION("IFERROR(INDEX(FILTER('cost master'!$E:$E,('cost master'!$B:$B=C2338)*('cost master'!$D:$D=""Storage cost per pallet / week"")*('cost master'!$G:$G&lt;=B2338)*(('cost master'!$H:$H&gt;=B2338)+ISBLANK('cost master'!$H:$H))),1),0)"),0.0)</f>
        <v>0</v>
      </c>
      <c r="I2338" s="3">
        <f t="shared" si="4"/>
        <v>0</v>
      </c>
      <c r="J2338" s="27">
        <f t="shared" si="5"/>
        <v>693947</v>
      </c>
      <c r="K2338" s="27">
        <f t="shared" si="6"/>
        <v>693977</v>
      </c>
    </row>
    <row r="2339" hidden="1">
      <c r="A2339" s="3" t="str">
        <f t="shared" si="3"/>
        <v/>
      </c>
      <c r="B2339" s="2" t="str">
        <f t="array" ref="B2339">INDEX(helper!$A$3:$A3996,ROUNDUP((ROW()-1)/COUNTA(helper!$D$3:$D3996),0))</f>
        <v/>
      </c>
      <c r="C2339" s="5" t="str">
        <f t="array" ref="C2339">IF(B2339="","",INDEX(helper!$D$3:$D3996,MOD(ROW()-2,COUNTA(helper!$D$3:$D3996))+1))</f>
        <v/>
      </c>
      <c r="D2339" s="3" t="str">
        <f t="array" ref="D2339">IF(B2339="","",INDEX(helper!$E$3:$E3996,MOD(ROW()-2,COUNTA(helper!$D$3:$D3996))+1))</f>
        <v/>
      </c>
      <c r="E2339" s="3" t="str">
        <f t="array" ref="E2339">IF(B2339="","",INDEX(helper!$F$3:$F3996,MOD(ROW()-2,COUNTA(helper!$D$3:$D3996))+1))</f>
        <v/>
      </c>
      <c r="F2339" s="3" t="str">
        <f>IF(B2339="","",SUMIFS('inventory ledger'!$H:$H,'inventory ledger'!$C:$C,C2339,'inventory ledger'!$D:$D,D2339,'inventory ledger'!$E:$E,E2339,'inventory ledger'!$A:$A,"&lt;="&amp;B2339+TIME(23,59,59))-SUMIFS('inventory ledger'!$I:$I,'inventory ledger'!$C:$C,C2339,'inventory ledger'!$D:$D,D2339,'inventory ledger'!$E:$E,E2339,'inventory ledger'!$A:$A,"&lt;="&amp;B2339+TIME(23,59,59)))</f>
        <v/>
      </c>
      <c r="G2339" s="3">
        <f>IFERROR(__xludf.DUMMYFUNCTION("IF(F2339&lt;=0,0,IFERROR(ROUNDUP(F2339/INDEX(FILTER('warehouse config'!$D:$D,('warehouse config'!$B:$B=C2339)*('warehouse config'!$C:$C=D2339)*('warehouse config'!$G:$G&lt;=B2339)*(('warehouse config'!$H:$H&gt;=B2339)+ISBLANK('warehouse config'!$H:$H))),1)),0))"),0.0)</f>
        <v>0</v>
      </c>
      <c r="H2339" s="3">
        <f>IFERROR(__xludf.DUMMYFUNCTION("IFERROR(INDEX(FILTER('cost master'!$E:$E,('cost master'!$B:$B=C2339)*('cost master'!$D:$D=""Storage cost per pallet / week"")*('cost master'!$G:$G&lt;=B2339)*(('cost master'!$H:$H&gt;=B2339)+ISBLANK('cost master'!$H:$H))),1),0)"),0.0)</f>
        <v>0</v>
      </c>
      <c r="I2339" s="3">
        <f t="shared" si="4"/>
        <v>0</v>
      </c>
      <c r="J2339" s="27">
        <f t="shared" si="5"/>
        <v>693947</v>
      </c>
      <c r="K2339" s="27">
        <f t="shared" si="6"/>
        <v>693977</v>
      </c>
    </row>
    <row r="2340" hidden="1">
      <c r="A2340" s="3" t="str">
        <f t="shared" si="3"/>
        <v/>
      </c>
      <c r="B2340" s="2" t="str">
        <f t="array" ref="B2340">INDEX(helper!$A$3:$A3996,ROUNDUP((ROW()-1)/COUNTA(helper!$D$3:$D3996),0))</f>
        <v/>
      </c>
      <c r="C2340" s="5" t="str">
        <f t="array" ref="C2340">IF(B2340="","",INDEX(helper!$D$3:$D3996,MOD(ROW()-2,COUNTA(helper!$D$3:$D3996))+1))</f>
        <v/>
      </c>
      <c r="D2340" s="3" t="str">
        <f t="array" ref="D2340">IF(B2340="","",INDEX(helper!$E$3:$E3996,MOD(ROW()-2,COUNTA(helper!$D$3:$D3996))+1))</f>
        <v/>
      </c>
      <c r="E2340" s="3" t="str">
        <f t="array" ref="E2340">IF(B2340="","",INDEX(helper!$F$3:$F3996,MOD(ROW()-2,COUNTA(helper!$D$3:$D3996))+1))</f>
        <v/>
      </c>
      <c r="F2340" s="3" t="str">
        <f>IF(B2340="","",SUMIFS('inventory ledger'!$H:$H,'inventory ledger'!$C:$C,C2340,'inventory ledger'!$D:$D,D2340,'inventory ledger'!$E:$E,E2340,'inventory ledger'!$A:$A,"&lt;="&amp;B2340+TIME(23,59,59))-SUMIFS('inventory ledger'!$I:$I,'inventory ledger'!$C:$C,C2340,'inventory ledger'!$D:$D,D2340,'inventory ledger'!$E:$E,E2340,'inventory ledger'!$A:$A,"&lt;="&amp;B2340+TIME(23,59,59)))</f>
        <v/>
      </c>
      <c r="G2340" s="3">
        <f>IFERROR(__xludf.DUMMYFUNCTION("IF(F2340&lt;=0,0,IFERROR(ROUNDUP(F2340/INDEX(FILTER('warehouse config'!$D:$D,('warehouse config'!$B:$B=C2340)*('warehouse config'!$C:$C=D2340)*('warehouse config'!$G:$G&lt;=B2340)*(('warehouse config'!$H:$H&gt;=B2340)+ISBLANK('warehouse config'!$H:$H))),1)),0))"),0.0)</f>
        <v>0</v>
      </c>
      <c r="H2340" s="3">
        <f>IFERROR(__xludf.DUMMYFUNCTION("IFERROR(INDEX(FILTER('cost master'!$E:$E,('cost master'!$B:$B=C2340)*('cost master'!$D:$D=""Storage cost per pallet / week"")*('cost master'!$G:$G&lt;=B2340)*(('cost master'!$H:$H&gt;=B2340)+ISBLANK('cost master'!$H:$H))),1),0)"),0.0)</f>
        <v>0</v>
      </c>
      <c r="I2340" s="3">
        <f t="shared" si="4"/>
        <v>0</v>
      </c>
      <c r="J2340" s="27">
        <f t="shared" si="5"/>
        <v>693947</v>
      </c>
      <c r="K2340" s="27">
        <f t="shared" si="6"/>
        <v>693977</v>
      </c>
    </row>
    <row r="2341" hidden="1">
      <c r="A2341" s="3" t="str">
        <f t="shared" si="3"/>
        <v/>
      </c>
      <c r="B2341" s="2" t="str">
        <f t="array" ref="B2341">INDEX(helper!$A$3:$A3996,ROUNDUP((ROW()-1)/COUNTA(helper!$D$3:$D3996),0))</f>
        <v/>
      </c>
      <c r="C2341" s="5" t="str">
        <f t="array" ref="C2341">IF(B2341="","",INDEX(helper!$D$3:$D3996,MOD(ROW()-2,COUNTA(helper!$D$3:$D3996))+1))</f>
        <v/>
      </c>
      <c r="D2341" s="3" t="str">
        <f t="array" ref="D2341">IF(B2341="","",INDEX(helper!$E$3:$E3996,MOD(ROW()-2,COUNTA(helper!$D$3:$D3996))+1))</f>
        <v/>
      </c>
      <c r="E2341" s="3" t="str">
        <f t="array" ref="E2341">IF(B2341="","",INDEX(helper!$F$3:$F3996,MOD(ROW()-2,COUNTA(helper!$D$3:$D3996))+1))</f>
        <v/>
      </c>
      <c r="F2341" s="3" t="str">
        <f>IF(B2341="","",SUMIFS('inventory ledger'!$H:$H,'inventory ledger'!$C:$C,C2341,'inventory ledger'!$D:$D,D2341,'inventory ledger'!$E:$E,E2341,'inventory ledger'!$A:$A,"&lt;="&amp;B2341+TIME(23,59,59))-SUMIFS('inventory ledger'!$I:$I,'inventory ledger'!$C:$C,C2341,'inventory ledger'!$D:$D,D2341,'inventory ledger'!$E:$E,E2341,'inventory ledger'!$A:$A,"&lt;="&amp;B2341+TIME(23,59,59)))</f>
        <v/>
      </c>
      <c r="G2341" s="3">
        <f>IFERROR(__xludf.DUMMYFUNCTION("IF(F2341&lt;=0,0,IFERROR(ROUNDUP(F2341/INDEX(FILTER('warehouse config'!$D:$D,('warehouse config'!$B:$B=C2341)*('warehouse config'!$C:$C=D2341)*('warehouse config'!$G:$G&lt;=B2341)*(('warehouse config'!$H:$H&gt;=B2341)+ISBLANK('warehouse config'!$H:$H))),1)),0))"),0.0)</f>
        <v>0</v>
      </c>
      <c r="H2341" s="3">
        <f>IFERROR(__xludf.DUMMYFUNCTION("IFERROR(INDEX(FILTER('cost master'!$E:$E,('cost master'!$B:$B=C2341)*('cost master'!$D:$D=""Storage cost per pallet / week"")*('cost master'!$G:$G&lt;=B2341)*(('cost master'!$H:$H&gt;=B2341)+ISBLANK('cost master'!$H:$H))),1),0)"),0.0)</f>
        <v>0</v>
      </c>
      <c r="I2341" s="3">
        <f t="shared" si="4"/>
        <v>0</v>
      </c>
      <c r="J2341" s="27">
        <f t="shared" si="5"/>
        <v>693947</v>
      </c>
      <c r="K2341" s="27">
        <f t="shared" si="6"/>
        <v>693977</v>
      </c>
    </row>
    <row r="2342" hidden="1">
      <c r="A2342" s="3" t="str">
        <f t="shared" si="3"/>
        <v/>
      </c>
      <c r="B2342" s="2" t="str">
        <f t="array" ref="B2342">INDEX(helper!$A$3:$A3996,ROUNDUP((ROW()-1)/COUNTA(helper!$D$3:$D3996),0))</f>
        <v/>
      </c>
      <c r="C2342" s="5" t="str">
        <f t="array" ref="C2342">IF(B2342="","",INDEX(helper!$D$3:$D3996,MOD(ROW()-2,COUNTA(helper!$D$3:$D3996))+1))</f>
        <v/>
      </c>
      <c r="D2342" s="3" t="str">
        <f t="array" ref="D2342">IF(B2342="","",INDEX(helper!$E$3:$E3996,MOD(ROW()-2,COUNTA(helper!$D$3:$D3996))+1))</f>
        <v/>
      </c>
      <c r="E2342" s="3" t="str">
        <f t="array" ref="E2342">IF(B2342="","",INDEX(helper!$F$3:$F3996,MOD(ROW()-2,COUNTA(helper!$D$3:$D3996))+1))</f>
        <v/>
      </c>
      <c r="F2342" s="3" t="str">
        <f>IF(B2342="","",SUMIFS('inventory ledger'!$H:$H,'inventory ledger'!$C:$C,C2342,'inventory ledger'!$D:$D,D2342,'inventory ledger'!$E:$E,E2342,'inventory ledger'!$A:$A,"&lt;="&amp;B2342+TIME(23,59,59))-SUMIFS('inventory ledger'!$I:$I,'inventory ledger'!$C:$C,C2342,'inventory ledger'!$D:$D,D2342,'inventory ledger'!$E:$E,E2342,'inventory ledger'!$A:$A,"&lt;="&amp;B2342+TIME(23,59,59)))</f>
        <v/>
      </c>
      <c r="G2342" s="3">
        <f>IFERROR(__xludf.DUMMYFUNCTION("IF(F2342&lt;=0,0,IFERROR(ROUNDUP(F2342/INDEX(FILTER('warehouse config'!$D:$D,('warehouse config'!$B:$B=C2342)*('warehouse config'!$C:$C=D2342)*('warehouse config'!$G:$G&lt;=B2342)*(('warehouse config'!$H:$H&gt;=B2342)+ISBLANK('warehouse config'!$H:$H))),1)),0))"),0.0)</f>
        <v>0</v>
      </c>
      <c r="H2342" s="3">
        <f>IFERROR(__xludf.DUMMYFUNCTION("IFERROR(INDEX(FILTER('cost master'!$E:$E,('cost master'!$B:$B=C2342)*('cost master'!$D:$D=""Storage cost per pallet / week"")*('cost master'!$G:$G&lt;=B2342)*(('cost master'!$H:$H&gt;=B2342)+ISBLANK('cost master'!$H:$H))),1),0)"),0.0)</f>
        <v>0</v>
      </c>
      <c r="I2342" s="3">
        <f t="shared" si="4"/>
        <v>0</v>
      </c>
      <c r="J2342" s="27">
        <f t="shared" si="5"/>
        <v>693947</v>
      </c>
      <c r="K2342" s="27">
        <f t="shared" si="6"/>
        <v>693977</v>
      </c>
    </row>
    <row r="2343" hidden="1">
      <c r="A2343" s="3" t="str">
        <f t="shared" si="3"/>
        <v/>
      </c>
      <c r="B2343" s="2" t="str">
        <f t="array" ref="B2343">INDEX(helper!$A$3:$A3996,ROUNDUP((ROW()-1)/COUNTA(helper!$D$3:$D3996),0))</f>
        <v/>
      </c>
      <c r="C2343" s="5" t="str">
        <f t="array" ref="C2343">IF(B2343="","",INDEX(helper!$D$3:$D3996,MOD(ROW()-2,COUNTA(helper!$D$3:$D3996))+1))</f>
        <v/>
      </c>
      <c r="D2343" s="3" t="str">
        <f t="array" ref="D2343">IF(B2343="","",INDEX(helper!$E$3:$E3996,MOD(ROW()-2,COUNTA(helper!$D$3:$D3996))+1))</f>
        <v/>
      </c>
      <c r="E2343" s="3" t="str">
        <f t="array" ref="E2343">IF(B2343="","",INDEX(helper!$F$3:$F3996,MOD(ROW()-2,COUNTA(helper!$D$3:$D3996))+1))</f>
        <v/>
      </c>
      <c r="F2343" s="3" t="str">
        <f>IF(B2343="","",SUMIFS('inventory ledger'!$H:$H,'inventory ledger'!$C:$C,C2343,'inventory ledger'!$D:$D,D2343,'inventory ledger'!$E:$E,E2343,'inventory ledger'!$A:$A,"&lt;="&amp;B2343+TIME(23,59,59))-SUMIFS('inventory ledger'!$I:$I,'inventory ledger'!$C:$C,C2343,'inventory ledger'!$D:$D,D2343,'inventory ledger'!$E:$E,E2343,'inventory ledger'!$A:$A,"&lt;="&amp;B2343+TIME(23,59,59)))</f>
        <v/>
      </c>
      <c r="G2343" s="3">
        <f>IFERROR(__xludf.DUMMYFUNCTION("IF(F2343&lt;=0,0,IFERROR(ROUNDUP(F2343/INDEX(FILTER('warehouse config'!$D:$D,('warehouse config'!$B:$B=C2343)*('warehouse config'!$C:$C=D2343)*('warehouse config'!$G:$G&lt;=B2343)*(('warehouse config'!$H:$H&gt;=B2343)+ISBLANK('warehouse config'!$H:$H))),1)),0))"),0.0)</f>
        <v>0</v>
      </c>
      <c r="H2343" s="3">
        <f>IFERROR(__xludf.DUMMYFUNCTION("IFERROR(INDEX(FILTER('cost master'!$E:$E,('cost master'!$B:$B=C2343)*('cost master'!$D:$D=""Storage cost per pallet / week"")*('cost master'!$G:$G&lt;=B2343)*(('cost master'!$H:$H&gt;=B2343)+ISBLANK('cost master'!$H:$H))),1),0)"),0.0)</f>
        <v>0</v>
      </c>
      <c r="I2343" s="3">
        <f t="shared" si="4"/>
        <v>0</v>
      </c>
      <c r="J2343" s="27">
        <f t="shared" si="5"/>
        <v>693947</v>
      </c>
      <c r="K2343" s="27">
        <f t="shared" si="6"/>
        <v>693977</v>
      </c>
    </row>
    <row r="2344" hidden="1">
      <c r="A2344" s="3" t="str">
        <f t="shared" si="3"/>
        <v/>
      </c>
      <c r="B2344" s="2" t="str">
        <f t="array" ref="B2344">INDEX(helper!$A$3:$A3996,ROUNDUP((ROW()-1)/COUNTA(helper!$D$3:$D3996),0))</f>
        <v/>
      </c>
      <c r="C2344" s="5" t="str">
        <f t="array" ref="C2344">IF(B2344="","",INDEX(helper!$D$3:$D3996,MOD(ROW()-2,COUNTA(helper!$D$3:$D3996))+1))</f>
        <v/>
      </c>
      <c r="D2344" s="3" t="str">
        <f t="array" ref="D2344">IF(B2344="","",INDEX(helper!$E$3:$E3996,MOD(ROW()-2,COUNTA(helper!$D$3:$D3996))+1))</f>
        <v/>
      </c>
      <c r="E2344" s="3" t="str">
        <f t="array" ref="E2344">IF(B2344="","",INDEX(helper!$F$3:$F3996,MOD(ROW()-2,COUNTA(helper!$D$3:$D3996))+1))</f>
        <v/>
      </c>
      <c r="F2344" s="3" t="str">
        <f>IF(B2344="","",SUMIFS('inventory ledger'!$H:$H,'inventory ledger'!$C:$C,C2344,'inventory ledger'!$D:$D,D2344,'inventory ledger'!$E:$E,E2344,'inventory ledger'!$A:$A,"&lt;="&amp;B2344+TIME(23,59,59))-SUMIFS('inventory ledger'!$I:$I,'inventory ledger'!$C:$C,C2344,'inventory ledger'!$D:$D,D2344,'inventory ledger'!$E:$E,E2344,'inventory ledger'!$A:$A,"&lt;="&amp;B2344+TIME(23,59,59)))</f>
        <v/>
      </c>
      <c r="G2344" s="3">
        <f>IFERROR(__xludf.DUMMYFUNCTION("IF(F2344&lt;=0,0,IFERROR(ROUNDUP(F2344/INDEX(FILTER('warehouse config'!$D:$D,('warehouse config'!$B:$B=C2344)*('warehouse config'!$C:$C=D2344)*('warehouse config'!$G:$G&lt;=B2344)*(('warehouse config'!$H:$H&gt;=B2344)+ISBLANK('warehouse config'!$H:$H))),1)),0))"),0.0)</f>
        <v>0</v>
      </c>
      <c r="H2344" s="3">
        <f>IFERROR(__xludf.DUMMYFUNCTION("IFERROR(INDEX(FILTER('cost master'!$E:$E,('cost master'!$B:$B=C2344)*('cost master'!$D:$D=""Storage cost per pallet / week"")*('cost master'!$G:$G&lt;=B2344)*(('cost master'!$H:$H&gt;=B2344)+ISBLANK('cost master'!$H:$H))),1),0)"),0.0)</f>
        <v>0</v>
      </c>
      <c r="I2344" s="3">
        <f t="shared" si="4"/>
        <v>0</v>
      </c>
      <c r="J2344" s="27">
        <f t="shared" si="5"/>
        <v>693947</v>
      </c>
      <c r="K2344" s="27">
        <f t="shared" si="6"/>
        <v>693977</v>
      </c>
    </row>
    <row r="2345" hidden="1">
      <c r="A2345" s="3" t="str">
        <f t="shared" si="3"/>
        <v/>
      </c>
      <c r="B2345" s="2" t="str">
        <f t="array" ref="B2345">INDEX(helper!$A$3:$A3996,ROUNDUP((ROW()-1)/COUNTA(helper!$D$3:$D3996),0))</f>
        <v/>
      </c>
      <c r="C2345" s="5" t="str">
        <f t="array" ref="C2345">IF(B2345="","",INDEX(helper!$D$3:$D3996,MOD(ROW()-2,COUNTA(helper!$D$3:$D3996))+1))</f>
        <v/>
      </c>
      <c r="D2345" s="3" t="str">
        <f t="array" ref="D2345">IF(B2345="","",INDEX(helper!$E$3:$E3996,MOD(ROW()-2,COUNTA(helper!$D$3:$D3996))+1))</f>
        <v/>
      </c>
      <c r="E2345" s="3" t="str">
        <f t="array" ref="E2345">IF(B2345="","",INDEX(helper!$F$3:$F3996,MOD(ROW()-2,COUNTA(helper!$D$3:$D3996))+1))</f>
        <v/>
      </c>
      <c r="F2345" s="3" t="str">
        <f>IF(B2345="","",SUMIFS('inventory ledger'!$H:$H,'inventory ledger'!$C:$C,C2345,'inventory ledger'!$D:$D,D2345,'inventory ledger'!$E:$E,E2345,'inventory ledger'!$A:$A,"&lt;="&amp;B2345+TIME(23,59,59))-SUMIFS('inventory ledger'!$I:$I,'inventory ledger'!$C:$C,C2345,'inventory ledger'!$D:$D,D2345,'inventory ledger'!$E:$E,E2345,'inventory ledger'!$A:$A,"&lt;="&amp;B2345+TIME(23,59,59)))</f>
        <v/>
      </c>
      <c r="G2345" s="3">
        <f>IFERROR(__xludf.DUMMYFUNCTION("IF(F2345&lt;=0,0,IFERROR(ROUNDUP(F2345/INDEX(FILTER('warehouse config'!$D:$D,('warehouse config'!$B:$B=C2345)*('warehouse config'!$C:$C=D2345)*('warehouse config'!$G:$G&lt;=B2345)*(('warehouse config'!$H:$H&gt;=B2345)+ISBLANK('warehouse config'!$H:$H))),1)),0))"),0.0)</f>
        <v>0</v>
      </c>
      <c r="H2345" s="3">
        <f>IFERROR(__xludf.DUMMYFUNCTION("IFERROR(INDEX(FILTER('cost master'!$E:$E,('cost master'!$B:$B=C2345)*('cost master'!$D:$D=""Storage cost per pallet / week"")*('cost master'!$G:$G&lt;=B2345)*(('cost master'!$H:$H&gt;=B2345)+ISBLANK('cost master'!$H:$H))),1),0)"),0.0)</f>
        <v>0</v>
      </c>
      <c r="I2345" s="3">
        <f t="shared" si="4"/>
        <v>0</v>
      </c>
      <c r="J2345" s="27">
        <f t="shared" si="5"/>
        <v>693947</v>
      </c>
      <c r="K2345" s="27">
        <f t="shared" si="6"/>
        <v>693977</v>
      </c>
    </row>
    <row r="2346" hidden="1">
      <c r="A2346" s="3" t="str">
        <f t="shared" si="3"/>
        <v/>
      </c>
      <c r="B2346" s="2" t="str">
        <f t="array" ref="B2346">INDEX(helper!$A$3:$A3996,ROUNDUP((ROW()-1)/COUNTA(helper!$D$3:$D3996),0))</f>
        <v/>
      </c>
      <c r="C2346" s="5" t="str">
        <f t="array" ref="C2346">IF(B2346="","",INDEX(helper!$D$3:$D3996,MOD(ROW()-2,COUNTA(helper!$D$3:$D3996))+1))</f>
        <v/>
      </c>
      <c r="D2346" s="3" t="str">
        <f t="array" ref="D2346">IF(B2346="","",INDEX(helper!$E$3:$E3996,MOD(ROW()-2,COUNTA(helper!$D$3:$D3996))+1))</f>
        <v/>
      </c>
      <c r="E2346" s="3" t="str">
        <f t="array" ref="E2346">IF(B2346="","",INDEX(helper!$F$3:$F3996,MOD(ROW()-2,COUNTA(helper!$D$3:$D3996))+1))</f>
        <v/>
      </c>
      <c r="F2346" s="3" t="str">
        <f>IF(B2346="","",SUMIFS('inventory ledger'!$H:$H,'inventory ledger'!$C:$C,C2346,'inventory ledger'!$D:$D,D2346,'inventory ledger'!$E:$E,E2346,'inventory ledger'!$A:$A,"&lt;="&amp;B2346+TIME(23,59,59))-SUMIFS('inventory ledger'!$I:$I,'inventory ledger'!$C:$C,C2346,'inventory ledger'!$D:$D,D2346,'inventory ledger'!$E:$E,E2346,'inventory ledger'!$A:$A,"&lt;="&amp;B2346+TIME(23,59,59)))</f>
        <v/>
      </c>
      <c r="G2346" s="3">
        <f>IFERROR(__xludf.DUMMYFUNCTION("IF(F2346&lt;=0,0,IFERROR(ROUNDUP(F2346/INDEX(FILTER('warehouse config'!$D:$D,('warehouse config'!$B:$B=C2346)*('warehouse config'!$C:$C=D2346)*('warehouse config'!$G:$G&lt;=B2346)*(('warehouse config'!$H:$H&gt;=B2346)+ISBLANK('warehouse config'!$H:$H))),1)),0))"),0.0)</f>
        <v>0</v>
      </c>
      <c r="H2346" s="3">
        <f>IFERROR(__xludf.DUMMYFUNCTION("IFERROR(INDEX(FILTER('cost master'!$E:$E,('cost master'!$B:$B=C2346)*('cost master'!$D:$D=""Storage cost per pallet / week"")*('cost master'!$G:$G&lt;=B2346)*(('cost master'!$H:$H&gt;=B2346)+ISBLANK('cost master'!$H:$H))),1),0)"),0.0)</f>
        <v>0</v>
      </c>
      <c r="I2346" s="3">
        <f t="shared" si="4"/>
        <v>0</v>
      </c>
      <c r="J2346" s="27">
        <f t="shared" si="5"/>
        <v>693947</v>
      </c>
      <c r="K2346" s="27">
        <f t="shared" si="6"/>
        <v>693977</v>
      </c>
    </row>
    <row r="2347" hidden="1">
      <c r="A2347" s="3" t="str">
        <f t="shared" si="3"/>
        <v/>
      </c>
      <c r="B2347" s="2" t="str">
        <f t="array" ref="B2347">INDEX(helper!$A$3:$A3996,ROUNDUP((ROW()-1)/COUNTA(helper!$D$3:$D3996),0))</f>
        <v/>
      </c>
      <c r="C2347" s="5" t="str">
        <f t="array" ref="C2347">IF(B2347="","",INDEX(helper!$D$3:$D3996,MOD(ROW()-2,COUNTA(helper!$D$3:$D3996))+1))</f>
        <v/>
      </c>
      <c r="D2347" s="3" t="str">
        <f t="array" ref="D2347">IF(B2347="","",INDEX(helper!$E$3:$E3996,MOD(ROW()-2,COUNTA(helper!$D$3:$D3996))+1))</f>
        <v/>
      </c>
      <c r="E2347" s="3" t="str">
        <f t="array" ref="E2347">IF(B2347="","",INDEX(helper!$F$3:$F3996,MOD(ROW()-2,COUNTA(helper!$D$3:$D3996))+1))</f>
        <v/>
      </c>
      <c r="F2347" s="3" t="str">
        <f>IF(B2347="","",SUMIFS('inventory ledger'!$H:$H,'inventory ledger'!$C:$C,C2347,'inventory ledger'!$D:$D,D2347,'inventory ledger'!$E:$E,E2347,'inventory ledger'!$A:$A,"&lt;="&amp;B2347+TIME(23,59,59))-SUMIFS('inventory ledger'!$I:$I,'inventory ledger'!$C:$C,C2347,'inventory ledger'!$D:$D,D2347,'inventory ledger'!$E:$E,E2347,'inventory ledger'!$A:$A,"&lt;="&amp;B2347+TIME(23,59,59)))</f>
        <v/>
      </c>
      <c r="G2347" s="3">
        <f>IFERROR(__xludf.DUMMYFUNCTION("IF(F2347&lt;=0,0,IFERROR(ROUNDUP(F2347/INDEX(FILTER('warehouse config'!$D:$D,('warehouse config'!$B:$B=C2347)*('warehouse config'!$C:$C=D2347)*('warehouse config'!$G:$G&lt;=B2347)*(('warehouse config'!$H:$H&gt;=B2347)+ISBLANK('warehouse config'!$H:$H))),1)),0))"),0.0)</f>
        <v>0</v>
      </c>
      <c r="H2347" s="3">
        <f>IFERROR(__xludf.DUMMYFUNCTION("IFERROR(INDEX(FILTER('cost master'!$E:$E,('cost master'!$B:$B=C2347)*('cost master'!$D:$D=""Storage cost per pallet / week"")*('cost master'!$G:$G&lt;=B2347)*(('cost master'!$H:$H&gt;=B2347)+ISBLANK('cost master'!$H:$H))),1),0)"),0.0)</f>
        <v>0</v>
      </c>
      <c r="I2347" s="3">
        <f t="shared" si="4"/>
        <v>0</v>
      </c>
      <c r="J2347" s="27">
        <f t="shared" si="5"/>
        <v>693947</v>
      </c>
      <c r="K2347" s="27">
        <f t="shared" si="6"/>
        <v>693977</v>
      </c>
    </row>
    <row r="2348" hidden="1">
      <c r="A2348" s="3" t="str">
        <f t="shared" si="3"/>
        <v/>
      </c>
      <c r="B2348" s="2" t="str">
        <f t="array" ref="B2348">INDEX(helper!$A$3:$A3996,ROUNDUP((ROW()-1)/COUNTA(helper!$D$3:$D3996),0))</f>
        <v/>
      </c>
      <c r="C2348" s="5" t="str">
        <f t="array" ref="C2348">IF(B2348="","",INDEX(helper!$D$3:$D3996,MOD(ROW()-2,COUNTA(helper!$D$3:$D3996))+1))</f>
        <v/>
      </c>
      <c r="D2348" s="3" t="str">
        <f t="array" ref="D2348">IF(B2348="","",INDEX(helper!$E$3:$E3996,MOD(ROW()-2,COUNTA(helper!$D$3:$D3996))+1))</f>
        <v/>
      </c>
      <c r="E2348" s="3" t="str">
        <f t="array" ref="E2348">IF(B2348="","",INDEX(helper!$F$3:$F3996,MOD(ROW()-2,COUNTA(helper!$D$3:$D3996))+1))</f>
        <v/>
      </c>
      <c r="F2348" s="3" t="str">
        <f>IF(B2348="","",SUMIFS('inventory ledger'!$H:$H,'inventory ledger'!$C:$C,C2348,'inventory ledger'!$D:$D,D2348,'inventory ledger'!$E:$E,E2348,'inventory ledger'!$A:$A,"&lt;="&amp;B2348+TIME(23,59,59))-SUMIFS('inventory ledger'!$I:$I,'inventory ledger'!$C:$C,C2348,'inventory ledger'!$D:$D,D2348,'inventory ledger'!$E:$E,E2348,'inventory ledger'!$A:$A,"&lt;="&amp;B2348+TIME(23,59,59)))</f>
        <v/>
      </c>
      <c r="G2348" s="3">
        <f>IFERROR(__xludf.DUMMYFUNCTION("IF(F2348&lt;=0,0,IFERROR(ROUNDUP(F2348/INDEX(FILTER('warehouse config'!$D:$D,('warehouse config'!$B:$B=C2348)*('warehouse config'!$C:$C=D2348)*('warehouse config'!$G:$G&lt;=B2348)*(('warehouse config'!$H:$H&gt;=B2348)+ISBLANK('warehouse config'!$H:$H))),1)),0))"),0.0)</f>
        <v>0</v>
      </c>
      <c r="H2348" s="3">
        <f>IFERROR(__xludf.DUMMYFUNCTION("IFERROR(INDEX(FILTER('cost master'!$E:$E,('cost master'!$B:$B=C2348)*('cost master'!$D:$D=""Storage cost per pallet / week"")*('cost master'!$G:$G&lt;=B2348)*(('cost master'!$H:$H&gt;=B2348)+ISBLANK('cost master'!$H:$H))),1),0)"),0.0)</f>
        <v>0</v>
      </c>
      <c r="I2348" s="3">
        <f t="shared" si="4"/>
        <v>0</v>
      </c>
      <c r="J2348" s="27">
        <f t="shared" si="5"/>
        <v>693947</v>
      </c>
      <c r="K2348" s="27">
        <f t="shared" si="6"/>
        <v>693977</v>
      </c>
    </row>
    <row r="2349" hidden="1">
      <c r="A2349" s="3" t="str">
        <f t="shared" si="3"/>
        <v/>
      </c>
      <c r="B2349" s="2" t="str">
        <f t="array" ref="B2349">INDEX(helper!$A$3:$A3996,ROUNDUP((ROW()-1)/COUNTA(helper!$D$3:$D3996),0))</f>
        <v/>
      </c>
      <c r="C2349" s="5" t="str">
        <f t="array" ref="C2349">IF(B2349="","",INDEX(helper!$D$3:$D3996,MOD(ROW()-2,COUNTA(helper!$D$3:$D3996))+1))</f>
        <v/>
      </c>
      <c r="D2349" s="3" t="str">
        <f t="array" ref="D2349">IF(B2349="","",INDEX(helper!$E$3:$E3996,MOD(ROW()-2,COUNTA(helper!$D$3:$D3996))+1))</f>
        <v/>
      </c>
      <c r="E2349" s="3" t="str">
        <f t="array" ref="E2349">IF(B2349="","",INDEX(helper!$F$3:$F3996,MOD(ROW()-2,COUNTA(helper!$D$3:$D3996))+1))</f>
        <v/>
      </c>
      <c r="F2349" s="3" t="str">
        <f>IF(B2349="","",SUMIFS('inventory ledger'!$H:$H,'inventory ledger'!$C:$C,C2349,'inventory ledger'!$D:$D,D2349,'inventory ledger'!$E:$E,E2349,'inventory ledger'!$A:$A,"&lt;="&amp;B2349+TIME(23,59,59))-SUMIFS('inventory ledger'!$I:$I,'inventory ledger'!$C:$C,C2349,'inventory ledger'!$D:$D,D2349,'inventory ledger'!$E:$E,E2349,'inventory ledger'!$A:$A,"&lt;="&amp;B2349+TIME(23,59,59)))</f>
        <v/>
      </c>
      <c r="G2349" s="3">
        <f>IFERROR(__xludf.DUMMYFUNCTION("IF(F2349&lt;=0,0,IFERROR(ROUNDUP(F2349/INDEX(FILTER('warehouse config'!$D:$D,('warehouse config'!$B:$B=C2349)*('warehouse config'!$C:$C=D2349)*('warehouse config'!$G:$G&lt;=B2349)*(('warehouse config'!$H:$H&gt;=B2349)+ISBLANK('warehouse config'!$H:$H))),1)),0))"),0.0)</f>
        <v>0</v>
      </c>
      <c r="H2349" s="3">
        <f>IFERROR(__xludf.DUMMYFUNCTION("IFERROR(INDEX(FILTER('cost master'!$E:$E,('cost master'!$B:$B=C2349)*('cost master'!$D:$D=""Storage cost per pallet / week"")*('cost master'!$G:$G&lt;=B2349)*(('cost master'!$H:$H&gt;=B2349)+ISBLANK('cost master'!$H:$H))),1),0)"),0.0)</f>
        <v>0</v>
      </c>
      <c r="I2349" s="3">
        <f t="shared" si="4"/>
        <v>0</v>
      </c>
      <c r="J2349" s="27">
        <f t="shared" si="5"/>
        <v>693947</v>
      </c>
      <c r="K2349" s="27">
        <f t="shared" si="6"/>
        <v>693977</v>
      </c>
    </row>
    <row r="2350" hidden="1">
      <c r="A2350" s="3" t="str">
        <f t="shared" si="3"/>
        <v/>
      </c>
      <c r="B2350" s="2" t="str">
        <f t="array" ref="B2350">INDEX(helper!$A$3:$A3996,ROUNDUP((ROW()-1)/COUNTA(helper!$D$3:$D3996),0))</f>
        <v/>
      </c>
      <c r="C2350" s="5" t="str">
        <f t="array" ref="C2350">IF(B2350="","",INDEX(helper!$D$3:$D3996,MOD(ROW()-2,COUNTA(helper!$D$3:$D3996))+1))</f>
        <v/>
      </c>
      <c r="D2350" s="3" t="str">
        <f t="array" ref="D2350">IF(B2350="","",INDEX(helper!$E$3:$E3996,MOD(ROW()-2,COUNTA(helper!$D$3:$D3996))+1))</f>
        <v/>
      </c>
      <c r="E2350" s="3" t="str">
        <f t="array" ref="E2350">IF(B2350="","",INDEX(helper!$F$3:$F3996,MOD(ROW()-2,COUNTA(helper!$D$3:$D3996))+1))</f>
        <v/>
      </c>
      <c r="F2350" s="3" t="str">
        <f>IF(B2350="","",SUMIFS('inventory ledger'!$H:$H,'inventory ledger'!$C:$C,C2350,'inventory ledger'!$D:$D,D2350,'inventory ledger'!$E:$E,E2350,'inventory ledger'!$A:$A,"&lt;="&amp;B2350+TIME(23,59,59))-SUMIFS('inventory ledger'!$I:$I,'inventory ledger'!$C:$C,C2350,'inventory ledger'!$D:$D,D2350,'inventory ledger'!$E:$E,E2350,'inventory ledger'!$A:$A,"&lt;="&amp;B2350+TIME(23,59,59)))</f>
        <v/>
      </c>
      <c r="G2350" s="3">
        <f>IFERROR(__xludf.DUMMYFUNCTION("IF(F2350&lt;=0,0,IFERROR(ROUNDUP(F2350/INDEX(FILTER('warehouse config'!$D:$D,('warehouse config'!$B:$B=C2350)*('warehouse config'!$C:$C=D2350)*('warehouse config'!$G:$G&lt;=B2350)*(('warehouse config'!$H:$H&gt;=B2350)+ISBLANK('warehouse config'!$H:$H))),1)),0))"),0.0)</f>
        <v>0</v>
      </c>
      <c r="H2350" s="3">
        <f>IFERROR(__xludf.DUMMYFUNCTION("IFERROR(INDEX(FILTER('cost master'!$E:$E,('cost master'!$B:$B=C2350)*('cost master'!$D:$D=""Storage cost per pallet / week"")*('cost master'!$G:$G&lt;=B2350)*(('cost master'!$H:$H&gt;=B2350)+ISBLANK('cost master'!$H:$H))),1),0)"),0.0)</f>
        <v>0</v>
      </c>
      <c r="I2350" s="3">
        <f t="shared" si="4"/>
        <v>0</v>
      </c>
      <c r="J2350" s="27">
        <f t="shared" si="5"/>
        <v>693947</v>
      </c>
      <c r="K2350" s="27">
        <f t="shared" si="6"/>
        <v>693977</v>
      </c>
    </row>
    <row r="2351" hidden="1">
      <c r="A2351" s="3" t="str">
        <f t="shared" si="3"/>
        <v/>
      </c>
      <c r="B2351" s="2" t="str">
        <f t="array" ref="B2351">INDEX(helper!$A$3:$A3996,ROUNDUP((ROW()-1)/COUNTA(helper!$D$3:$D3996),0))</f>
        <v/>
      </c>
      <c r="C2351" s="5" t="str">
        <f t="array" ref="C2351">IF(B2351="","",INDEX(helper!$D$3:$D3996,MOD(ROW()-2,COUNTA(helper!$D$3:$D3996))+1))</f>
        <v/>
      </c>
      <c r="D2351" s="3" t="str">
        <f t="array" ref="D2351">IF(B2351="","",INDEX(helper!$E$3:$E3996,MOD(ROW()-2,COUNTA(helper!$D$3:$D3996))+1))</f>
        <v/>
      </c>
      <c r="E2351" s="3" t="str">
        <f t="array" ref="E2351">IF(B2351="","",INDEX(helper!$F$3:$F3996,MOD(ROW()-2,COUNTA(helper!$D$3:$D3996))+1))</f>
        <v/>
      </c>
      <c r="F2351" s="3" t="str">
        <f>IF(B2351="","",SUMIFS('inventory ledger'!$H:$H,'inventory ledger'!$C:$C,C2351,'inventory ledger'!$D:$D,D2351,'inventory ledger'!$E:$E,E2351,'inventory ledger'!$A:$A,"&lt;="&amp;B2351+TIME(23,59,59))-SUMIFS('inventory ledger'!$I:$I,'inventory ledger'!$C:$C,C2351,'inventory ledger'!$D:$D,D2351,'inventory ledger'!$E:$E,E2351,'inventory ledger'!$A:$A,"&lt;="&amp;B2351+TIME(23,59,59)))</f>
        <v/>
      </c>
      <c r="G2351" s="3">
        <f>IFERROR(__xludf.DUMMYFUNCTION("IF(F2351&lt;=0,0,IFERROR(ROUNDUP(F2351/INDEX(FILTER('warehouse config'!$D:$D,('warehouse config'!$B:$B=C2351)*('warehouse config'!$C:$C=D2351)*('warehouse config'!$G:$G&lt;=B2351)*(('warehouse config'!$H:$H&gt;=B2351)+ISBLANK('warehouse config'!$H:$H))),1)),0))"),0.0)</f>
        <v>0</v>
      </c>
      <c r="H2351" s="3">
        <f>IFERROR(__xludf.DUMMYFUNCTION("IFERROR(INDEX(FILTER('cost master'!$E:$E,('cost master'!$B:$B=C2351)*('cost master'!$D:$D=""Storage cost per pallet / week"")*('cost master'!$G:$G&lt;=B2351)*(('cost master'!$H:$H&gt;=B2351)+ISBLANK('cost master'!$H:$H))),1),0)"),0.0)</f>
        <v>0</v>
      </c>
      <c r="I2351" s="3">
        <f t="shared" si="4"/>
        <v>0</v>
      </c>
      <c r="J2351" s="27">
        <f t="shared" si="5"/>
        <v>693947</v>
      </c>
      <c r="K2351" s="27">
        <f t="shared" si="6"/>
        <v>693977</v>
      </c>
    </row>
    <row r="2352" hidden="1">
      <c r="A2352" s="3" t="str">
        <f t="shared" si="3"/>
        <v/>
      </c>
      <c r="B2352" s="2" t="str">
        <f t="array" ref="B2352">INDEX(helper!$A$3:$A3996,ROUNDUP((ROW()-1)/COUNTA(helper!$D$3:$D3996),0))</f>
        <v/>
      </c>
      <c r="C2352" s="5" t="str">
        <f t="array" ref="C2352">IF(B2352="","",INDEX(helper!$D$3:$D3996,MOD(ROW()-2,COUNTA(helper!$D$3:$D3996))+1))</f>
        <v/>
      </c>
      <c r="D2352" s="3" t="str">
        <f t="array" ref="D2352">IF(B2352="","",INDEX(helper!$E$3:$E3996,MOD(ROW()-2,COUNTA(helper!$D$3:$D3996))+1))</f>
        <v/>
      </c>
      <c r="E2352" s="3" t="str">
        <f t="array" ref="E2352">IF(B2352="","",INDEX(helper!$F$3:$F3996,MOD(ROW()-2,COUNTA(helper!$D$3:$D3996))+1))</f>
        <v/>
      </c>
      <c r="F2352" s="3" t="str">
        <f>IF(B2352="","",SUMIFS('inventory ledger'!$H:$H,'inventory ledger'!$C:$C,C2352,'inventory ledger'!$D:$D,D2352,'inventory ledger'!$E:$E,E2352,'inventory ledger'!$A:$A,"&lt;="&amp;B2352+TIME(23,59,59))-SUMIFS('inventory ledger'!$I:$I,'inventory ledger'!$C:$C,C2352,'inventory ledger'!$D:$D,D2352,'inventory ledger'!$E:$E,E2352,'inventory ledger'!$A:$A,"&lt;="&amp;B2352+TIME(23,59,59)))</f>
        <v/>
      </c>
      <c r="G2352" s="3">
        <f>IFERROR(__xludf.DUMMYFUNCTION("IF(F2352&lt;=0,0,IFERROR(ROUNDUP(F2352/INDEX(FILTER('warehouse config'!$D:$D,('warehouse config'!$B:$B=C2352)*('warehouse config'!$C:$C=D2352)*('warehouse config'!$G:$G&lt;=B2352)*(('warehouse config'!$H:$H&gt;=B2352)+ISBLANK('warehouse config'!$H:$H))),1)),0))"),0.0)</f>
        <v>0</v>
      </c>
      <c r="H2352" s="3">
        <f>IFERROR(__xludf.DUMMYFUNCTION("IFERROR(INDEX(FILTER('cost master'!$E:$E,('cost master'!$B:$B=C2352)*('cost master'!$D:$D=""Storage cost per pallet / week"")*('cost master'!$G:$G&lt;=B2352)*(('cost master'!$H:$H&gt;=B2352)+ISBLANK('cost master'!$H:$H))),1),0)"),0.0)</f>
        <v>0</v>
      </c>
      <c r="I2352" s="3">
        <f t="shared" si="4"/>
        <v>0</v>
      </c>
      <c r="J2352" s="27">
        <f t="shared" si="5"/>
        <v>693947</v>
      </c>
      <c r="K2352" s="27">
        <f t="shared" si="6"/>
        <v>693977</v>
      </c>
    </row>
    <row r="2353" hidden="1">
      <c r="A2353" s="3" t="str">
        <f t="shared" si="3"/>
        <v/>
      </c>
      <c r="B2353" s="2" t="str">
        <f t="array" ref="B2353">INDEX(helper!$A$3:$A3996,ROUNDUP((ROW()-1)/COUNTA(helper!$D$3:$D3996),0))</f>
        <v/>
      </c>
      <c r="C2353" s="5" t="str">
        <f t="array" ref="C2353">IF(B2353="","",INDEX(helper!$D$3:$D3996,MOD(ROW()-2,COUNTA(helper!$D$3:$D3996))+1))</f>
        <v/>
      </c>
      <c r="D2353" s="3" t="str">
        <f t="array" ref="D2353">IF(B2353="","",INDEX(helper!$E$3:$E3996,MOD(ROW()-2,COUNTA(helper!$D$3:$D3996))+1))</f>
        <v/>
      </c>
      <c r="E2353" s="3" t="str">
        <f t="array" ref="E2353">IF(B2353="","",INDEX(helper!$F$3:$F3996,MOD(ROW()-2,COUNTA(helper!$D$3:$D3996))+1))</f>
        <v/>
      </c>
      <c r="F2353" s="3" t="str">
        <f>IF(B2353="","",SUMIFS('inventory ledger'!$H:$H,'inventory ledger'!$C:$C,C2353,'inventory ledger'!$D:$D,D2353,'inventory ledger'!$E:$E,E2353,'inventory ledger'!$A:$A,"&lt;="&amp;B2353+TIME(23,59,59))-SUMIFS('inventory ledger'!$I:$I,'inventory ledger'!$C:$C,C2353,'inventory ledger'!$D:$D,D2353,'inventory ledger'!$E:$E,E2353,'inventory ledger'!$A:$A,"&lt;="&amp;B2353+TIME(23,59,59)))</f>
        <v/>
      </c>
      <c r="G2353" s="3">
        <f>IFERROR(__xludf.DUMMYFUNCTION("IF(F2353&lt;=0,0,IFERROR(ROUNDUP(F2353/INDEX(FILTER('warehouse config'!$D:$D,('warehouse config'!$B:$B=C2353)*('warehouse config'!$C:$C=D2353)*('warehouse config'!$G:$G&lt;=B2353)*(('warehouse config'!$H:$H&gt;=B2353)+ISBLANK('warehouse config'!$H:$H))),1)),0))"),0.0)</f>
        <v>0</v>
      </c>
      <c r="H2353" s="3">
        <f>IFERROR(__xludf.DUMMYFUNCTION("IFERROR(INDEX(FILTER('cost master'!$E:$E,('cost master'!$B:$B=C2353)*('cost master'!$D:$D=""Storage cost per pallet / week"")*('cost master'!$G:$G&lt;=B2353)*(('cost master'!$H:$H&gt;=B2353)+ISBLANK('cost master'!$H:$H))),1),0)"),0.0)</f>
        <v>0</v>
      </c>
      <c r="I2353" s="3">
        <f t="shared" si="4"/>
        <v>0</v>
      </c>
      <c r="J2353" s="27">
        <f t="shared" si="5"/>
        <v>693947</v>
      </c>
      <c r="K2353" s="27">
        <f t="shared" si="6"/>
        <v>693977</v>
      </c>
    </row>
    <row r="2354" hidden="1">
      <c r="A2354" s="3" t="str">
        <f t="shared" si="3"/>
        <v/>
      </c>
      <c r="B2354" s="2" t="str">
        <f t="array" ref="B2354">INDEX(helper!$A$3:$A3996,ROUNDUP((ROW()-1)/COUNTA(helper!$D$3:$D3996),0))</f>
        <v/>
      </c>
      <c r="C2354" s="5" t="str">
        <f t="array" ref="C2354">IF(B2354="","",INDEX(helper!$D$3:$D3996,MOD(ROW()-2,COUNTA(helper!$D$3:$D3996))+1))</f>
        <v/>
      </c>
      <c r="D2354" s="3" t="str">
        <f t="array" ref="D2354">IF(B2354="","",INDEX(helper!$E$3:$E3996,MOD(ROW()-2,COUNTA(helper!$D$3:$D3996))+1))</f>
        <v/>
      </c>
      <c r="E2354" s="3" t="str">
        <f t="array" ref="E2354">IF(B2354="","",INDEX(helper!$F$3:$F3996,MOD(ROW()-2,COUNTA(helper!$D$3:$D3996))+1))</f>
        <v/>
      </c>
      <c r="F2354" s="3" t="str">
        <f>IF(B2354="","",SUMIFS('inventory ledger'!$H:$H,'inventory ledger'!$C:$C,C2354,'inventory ledger'!$D:$D,D2354,'inventory ledger'!$E:$E,E2354,'inventory ledger'!$A:$A,"&lt;="&amp;B2354+TIME(23,59,59))-SUMIFS('inventory ledger'!$I:$I,'inventory ledger'!$C:$C,C2354,'inventory ledger'!$D:$D,D2354,'inventory ledger'!$E:$E,E2354,'inventory ledger'!$A:$A,"&lt;="&amp;B2354+TIME(23,59,59)))</f>
        <v/>
      </c>
      <c r="G2354" s="3">
        <f>IFERROR(__xludf.DUMMYFUNCTION("IF(F2354&lt;=0,0,IFERROR(ROUNDUP(F2354/INDEX(FILTER('warehouse config'!$D:$D,('warehouse config'!$B:$B=C2354)*('warehouse config'!$C:$C=D2354)*('warehouse config'!$G:$G&lt;=B2354)*(('warehouse config'!$H:$H&gt;=B2354)+ISBLANK('warehouse config'!$H:$H))),1)),0))"),0.0)</f>
        <v>0</v>
      </c>
      <c r="H2354" s="3">
        <f>IFERROR(__xludf.DUMMYFUNCTION("IFERROR(INDEX(FILTER('cost master'!$E:$E,('cost master'!$B:$B=C2354)*('cost master'!$D:$D=""Storage cost per pallet / week"")*('cost master'!$G:$G&lt;=B2354)*(('cost master'!$H:$H&gt;=B2354)+ISBLANK('cost master'!$H:$H))),1),0)"),0.0)</f>
        <v>0</v>
      </c>
      <c r="I2354" s="3">
        <f t="shared" si="4"/>
        <v>0</v>
      </c>
      <c r="J2354" s="27">
        <f t="shared" si="5"/>
        <v>693947</v>
      </c>
      <c r="K2354" s="27">
        <f t="shared" si="6"/>
        <v>693977</v>
      </c>
    </row>
    <row r="2355" hidden="1">
      <c r="A2355" s="3" t="str">
        <f t="shared" si="3"/>
        <v/>
      </c>
      <c r="B2355" s="2" t="str">
        <f t="array" ref="B2355">INDEX(helper!$A$3:$A3996,ROUNDUP((ROW()-1)/COUNTA(helper!$D$3:$D3996),0))</f>
        <v/>
      </c>
      <c r="C2355" s="5" t="str">
        <f t="array" ref="C2355">IF(B2355="","",INDEX(helper!$D$3:$D3996,MOD(ROW()-2,COUNTA(helper!$D$3:$D3996))+1))</f>
        <v/>
      </c>
      <c r="D2355" s="3" t="str">
        <f t="array" ref="D2355">IF(B2355="","",INDEX(helper!$E$3:$E3996,MOD(ROW()-2,COUNTA(helper!$D$3:$D3996))+1))</f>
        <v/>
      </c>
      <c r="E2355" s="3" t="str">
        <f t="array" ref="E2355">IF(B2355="","",INDEX(helper!$F$3:$F3996,MOD(ROW()-2,COUNTA(helper!$D$3:$D3996))+1))</f>
        <v/>
      </c>
      <c r="F2355" s="3" t="str">
        <f>IF(B2355="","",SUMIFS('inventory ledger'!$H:$H,'inventory ledger'!$C:$C,C2355,'inventory ledger'!$D:$D,D2355,'inventory ledger'!$E:$E,E2355,'inventory ledger'!$A:$A,"&lt;="&amp;B2355+TIME(23,59,59))-SUMIFS('inventory ledger'!$I:$I,'inventory ledger'!$C:$C,C2355,'inventory ledger'!$D:$D,D2355,'inventory ledger'!$E:$E,E2355,'inventory ledger'!$A:$A,"&lt;="&amp;B2355+TIME(23,59,59)))</f>
        <v/>
      </c>
      <c r="G2355" s="3">
        <f>IFERROR(__xludf.DUMMYFUNCTION("IF(F2355&lt;=0,0,IFERROR(ROUNDUP(F2355/INDEX(FILTER('warehouse config'!$D:$D,('warehouse config'!$B:$B=C2355)*('warehouse config'!$C:$C=D2355)*('warehouse config'!$G:$G&lt;=B2355)*(('warehouse config'!$H:$H&gt;=B2355)+ISBLANK('warehouse config'!$H:$H))),1)),0))"),0.0)</f>
        <v>0</v>
      </c>
      <c r="H2355" s="3">
        <f>IFERROR(__xludf.DUMMYFUNCTION("IFERROR(INDEX(FILTER('cost master'!$E:$E,('cost master'!$B:$B=C2355)*('cost master'!$D:$D=""Storage cost per pallet / week"")*('cost master'!$G:$G&lt;=B2355)*(('cost master'!$H:$H&gt;=B2355)+ISBLANK('cost master'!$H:$H))),1),0)"),0.0)</f>
        <v>0</v>
      </c>
      <c r="I2355" s="3">
        <f t="shared" si="4"/>
        <v>0</v>
      </c>
      <c r="J2355" s="27">
        <f t="shared" si="5"/>
        <v>693947</v>
      </c>
      <c r="K2355" s="27">
        <f t="shared" si="6"/>
        <v>693977</v>
      </c>
    </row>
    <row r="2356" hidden="1">
      <c r="A2356" s="3" t="str">
        <f t="shared" si="3"/>
        <v/>
      </c>
      <c r="B2356" s="2" t="str">
        <f t="array" ref="B2356">INDEX(helper!$A$3:$A3996,ROUNDUP((ROW()-1)/COUNTA(helper!$D$3:$D3996),0))</f>
        <v/>
      </c>
      <c r="C2356" s="5" t="str">
        <f t="array" ref="C2356">IF(B2356="","",INDEX(helper!$D$3:$D3996,MOD(ROW()-2,COUNTA(helper!$D$3:$D3996))+1))</f>
        <v/>
      </c>
      <c r="D2356" s="3" t="str">
        <f t="array" ref="D2356">IF(B2356="","",INDEX(helper!$E$3:$E3996,MOD(ROW()-2,COUNTA(helper!$D$3:$D3996))+1))</f>
        <v/>
      </c>
      <c r="E2356" s="3" t="str">
        <f t="array" ref="E2356">IF(B2356="","",INDEX(helper!$F$3:$F3996,MOD(ROW()-2,COUNTA(helper!$D$3:$D3996))+1))</f>
        <v/>
      </c>
      <c r="F2356" s="3" t="str">
        <f>IF(B2356="","",SUMIFS('inventory ledger'!$H:$H,'inventory ledger'!$C:$C,C2356,'inventory ledger'!$D:$D,D2356,'inventory ledger'!$E:$E,E2356,'inventory ledger'!$A:$A,"&lt;="&amp;B2356+TIME(23,59,59))-SUMIFS('inventory ledger'!$I:$I,'inventory ledger'!$C:$C,C2356,'inventory ledger'!$D:$D,D2356,'inventory ledger'!$E:$E,E2356,'inventory ledger'!$A:$A,"&lt;="&amp;B2356+TIME(23,59,59)))</f>
        <v/>
      </c>
      <c r="G2356" s="3">
        <f>IFERROR(__xludf.DUMMYFUNCTION("IF(F2356&lt;=0,0,IFERROR(ROUNDUP(F2356/INDEX(FILTER('warehouse config'!$D:$D,('warehouse config'!$B:$B=C2356)*('warehouse config'!$C:$C=D2356)*('warehouse config'!$G:$G&lt;=B2356)*(('warehouse config'!$H:$H&gt;=B2356)+ISBLANK('warehouse config'!$H:$H))),1)),0))"),0.0)</f>
        <v>0</v>
      </c>
      <c r="H2356" s="3">
        <f>IFERROR(__xludf.DUMMYFUNCTION("IFERROR(INDEX(FILTER('cost master'!$E:$E,('cost master'!$B:$B=C2356)*('cost master'!$D:$D=""Storage cost per pallet / week"")*('cost master'!$G:$G&lt;=B2356)*(('cost master'!$H:$H&gt;=B2356)+ISBLANK('cost master'!$H:$H))),1),0)"),0.0)</f>
        <v>0</v>
      </c>
      <c r="I2356" s="3">
        <f t="shared" si="4"/>
        <v>0</v>
      </c>
      <c r="J2356" s="27">
        <f t="shared" si="5"/>
        <v>693947</v>
      </c>
      <c r="K2356" s="27">
        <f t="shared" si="6"/>
        <v>693977</v>
      </c>
    </row>
    <row r="2357" hidden="1">
      <c r="A2357" s="3" t="str">
        <f t="shared" si="3"/>
        <v/>
      </c>
      <c r="B2357" s="2" t="str">
        <f t="array" ref="B2357">INDEX(helper!$A$3:$A3996,ROUNDUP((ROW()-1)/COUNTA(helper!$D$3:$D3996),0))</f>
        <v/>
      </c>
      <c r="C2357" s="5" t="str">
        <f t="array" ref="C2357">IF(B2357="","",INDEX(helper!$D$3:$D3996,MOD(ROW()-2,COUNTA(helper!$D$3:$D3996))+1))</f>
        <v/>
      </c>
      <c r="D2357" s="3" t="str">
        <f t="array" ref="D2357">IF(B2357="","",INDEX(helper!$E$3:$E3996,MOD(ROW()-2,COUNTA(helper!$D$3:$D3996))+1))</f>
        <v/>
      </c>
      <c r="E2357" s="3" t="str">
        <f t="array" ref="E2357">IF(B2357="","",INDEX(helper!$F$3:$F3996,MOD(ROW()-2,COUNTA(helper!$D$3:$D3996))+1))</f>
        <v/>
      </c>
      <c r="F2357" s="3" t="str">
        <f>IF(B2357="","",SUMIFS('inventory ledger'!$H:$H,'inventory ledger'!$C:$C,C2357,'inventory ledger'!$D:$D,D2357,'inventory ledger'!$E:$E,E2357,'inventory ledger'!$A:$A,"&lt;="&amp;B2357+TIME(23,59,59))-SUMIFS('inventory ledger'!$I:$I,'inventory ledger'!$C:$C,C2357,'inventory ledger'!$D:$D,D2357,'inventory ledger'!$E:$E,E2357,'inventory ledger'!$A:$A,"&lt;="&amp;B2357+TIME(23,59,59)))</f>
        <v/>
      </c>
      <c r="G2357" s="3">
        <f>IFERROR(__xludf.DUMMYFUNCTION("IF(F2357&lt;=0,0,IFERROR(ROUNDUP(F2357/INDEX(FILTER('warehouse config'!$D:$D,('warehouse config'!$B:$B=C2357)*('warehouse config'!$C:$C=D2357)*('warehouse config'!$G:$G&lt;=B2357)*(('warehouse config'!$H:$H&gt;=B2357)+ISBLANK('warehouse config'!$H:$H))),1)),0))"),0.0)</f>
        <v>0</v>
      </c>
      <c r="H2357" s="3">
        <f>IFERROR(__xludf.DUMMYFUNCTION("IFERROR(INDEX(FILTER('cost master'!$E:$E,('cost master'!$B:$B=C2357)*('cost master'!$D:$D=""Storage cost per pallet / week"")*('cost master'!$G:$G&lt;=B2357)*(('cost master'!$H:$H&gt;=B2357)+ISBLANK('cost master'!$H:$H))),1),0)"),0.0)</f>
        <v>0</v>
      </c>
      <c r="I2357" s="3">
        <f t="shared" si="4"/>
        <v>0</v>
      </c>
      <c r="J2357" s="27">
        <f t="shared" si="5"/>
        <v>693947</v>
      </c>
      <c r="K2357" s="27">
        <f t="shared" si="6"/>
        <v>693977</v>
      </c>
    </row>
    <row r="2358" hidden="1">
      <c r="A2358" s="3" t="str">
        <f t="shared" si="3"/>
        <v/>
      </c>
      <c r="B2358" s="2" t="str">
        <f t="array" ref="B2358">INDEX(helper!$A$3:$A3996,ROUNDUP((ROW()-1)/COUNTA(helper!$D$3:$D3996),0))</f>
        <v/>
      </c>
      <c r="C2358" s="5" t="str">
        <f t="array" ref="C2358">IF(B2358="","",INDEX(helper!$D$3:$D3996,MOD(ROW()-2,COUNTA(helper!$D$3:$D3996))+1))</f>
        <v/>
      </c>
      <c r="D2358" s="3" t="str">
        <f t="array" ref="D2358">IF(B2358="","",INDEX(helper!$E$3:$E3996,MOD(ROW()-2,COUNTA(helper!$D$3:$D3996))+1))</f>
        <v/>
      </c>
      <c r="E2358" s="3" t="str">
        <f t="array" ref="E2358">IF(B2358="","",INDEX(helper!$F$3:$F3996,MOD(ROW()-2,COUNTA(helper!$D$3:$D3996))+1))</f>
        <v/>
      </c>
      <c r="F2358" s="3" t="str">
        <f>IF(B2358="","",SUMIFS('inventory ledger'!$H:$H,'inventory ledger'!$C:$C,C2358,'inventory ledger'!$D:$D,D2358,'inventory ledger'!$E:$E,E2358,'inventory ledger'!$A:$A,"&lt;="&amp;B2358+TIME(23,59,59))-SUMIFS('inventory ledger'!$I:$I,'inventory ledger'!$C:$C,C2358,'inventory ledger'!$D:$D,D2358,'inventory ledger'!$E:$E,E2358,'inventory ledger'!$A:$A,"&lt;="&amp;B2358+TIME(23,59,59)))</f>
        <v/>
      </c>
      <c r="G2358" s="3">
        <f>IFERROR(__xludf.DUMMYFUNCTION("IF(F2358&lt;=0,0,IFERROR(ROUNDUP(F2358/INDEX(FILTER('warehouse config'!$D:$D,('warehouse config'!$B:$B=C2358)*('warehouse config'!$C:$C=D2358)*('warehouse config'!$G:$G&lt;=B2358)*(('warehouse config'!$H:$H&gt;=B2358)+ISBLANK('warehouse config'!$H:$H))),1)),0))"),0.0)</f>
        <v>0</v>
      </c>
      <c r="H2358" s="3">
        <f>IFERROR(__xludf.DUMMYFUNCTION("IFERROR(INDEX(FILTER('cost master'!$E:$E,('cost master'!$B:$B=C2358)*('cost master'!$D:$D=""Storage cost per pallet / week"")*('cost master'!$G:$G&lt;=B2358)*(('cost master'!$H:$H&gt;=B2358)+ISBLANK('cost master'!$H:$H))),1),0)"),0.0)</f>
        <v>0</v>
      </c>
      <c r="I2358" s="3">
        <f t="shared" si="4"/>
        <v>0</v>
      </c>
      <c r="J2358" s="27">
        <f t="shared" si="5"/>
        <v>693947</v>
      </c>
      <c r="K2358" s="27">
        <f t="shared" si="6"/>
        <v>693977</v>
      </c>
    </row>
    <row r="2359" hidden="1">
      <c r="A2359" s="3" t="str">
        <f t="shared" si="3"/>
        <v/>
      </c>
      <c r="B2359" s="2" t="str">
        <f t="array" ref="B2359">INDEX(helper!$A$3:$A3996,ROUNDUP((ROW()-1)/COUNTA(helper!$D$3:$D3996),0))</f>
        <v/>
      </c>
      <c r="C2359" s="5" t="str">
        <f t="array" ref="C2359">IF(B2359="","",INDEX(helper!$D$3:$D3996,MOD(ROW()-2,COUNTA(helper!$D$3:$D3996))+1))</f>
        <v/>
      </c>
      <c r="D2359" s="3" t="str">
        <f t="array" ref="D2359">IF(B2359="","",INDEX(helper!$E$3:$E3996,MOD(ROW()-2,COUNTA(helper!$D$3:$D3996))+1))</f>
        <v/>
      </c>
      <c r="E2359" s="3" t="str">
        <f t="array" ref="E2359">IF(B2359="","",INDEX(helper!$F$3:$F3996,MOD(ROW()-2,COUNTA(helper!$D$3:$D3996))+1))</f>
        <v/>
      </c>
      <c r="F2359" s="3" t="str">
        <f>IF(B2359="","",SUMIFS('inventory ledger'!$H:$H,'inventory ledger'!$C:$C,C2359,'inventory ledger'!$D:$D,D2359,'inventory ledger'!$E:$E,E2359,'inventory ledger'!$A:$A,"&lt;="&amp;B2359+TIME(23,59,59))-SUMIFS('inventory ledger'!$I:$I,'inventory ledger'!$C:$C,C2359,'inventory ledger'!$D:$D,D2359,'inventory ledger'!$E:$E,E2359,'inventory ledger'!$A:$A,"&lt;="&amp;B2359+TIME(23,59,59)))</f>
        <v/>
      </c>
      <c r="G2359" s="3">
        <f>IFERROR(__xludf.DUMMYFUNCTION("IF(F2359&lt;=0,0,IFERROR(ROUNDUP(F2359/INDEX(FILTER('warehouse config'!$D:$D,('warehouse config'!$B:$B=C2359)*('warehouse config'!$C:$C=D2359)*('warehouse config'!$G:$G&lt;=B2359)*(('warehouse config'!$H:$H&gt;=B2359)+ISBLANK('warehouse config'!$H:$H))),1)),0))"),0.0)</f>
        <v>0</v>
      </c>
      <c r="H2359" s="3">
        <f>IFERROR(__xludf.DUMMYFUNCTION("IFERROR(INDEX(FILTER('cost master'!$E:$E,('cost master'!$B:$B=C2359)*('cost master'!$D:$D=""Storage cost per pallet / week"")*('cost master'!$G:$G&lt;=B2359)*(('cost master'!$H:$H&gt;=B2359)+ISBLANK('cost master'!$H:$H))),1),0)"),0.0)</f>
        <v>0</v>
      </c>
      <c r="I2359" s="3">
        <f t="shared" si="4"/>
        <v>0</v>
      </c>
      <c r="J2359" s="27">
        <f t="shared" si="5"/>
        <v>693947</v>
      </c>
      <c r="K2359" s="27">
        <f t="shared" si="6"/>
        <v>693977</v>
      </c>
    </row>
    <row r="2360" hidden="1">
      <c r="A2360" s="3" t="str">
        <f t="shared" si="3"/>
        <v/>
      </c>
      <c r="B2360" s="2" t="str">
        <f t="array" ref="B2360">INDEX(helper!$A$3:$A3996,ROUNDUP((ROW()-1)/COUNTA(helper!$D$3:$D3996),0))</f>
        <v/>
      </c>
      <c r="C2360" s="5" t="str">
        <f t="array" ref="C2360">IF(B2360="","",INDEX(helper!$D$3:$D3996,MOD(ROW()-2,COUNTA(helper!$D$3:$D3996))+1))</f>
        <v/>
      </c>
      <c r="D2360" s="3" t="str">
        <f t="array" ref="D2360">IF(B2360="","",INDEX(helper!$E$3:$E3996,MOD(ROW()-2,COUNTA(helper!$D$3:$D3996))+1))</f>
        <v/>
      </c>
      <c r="E2360" s="3" t="str">
        <f t="array" ref="E2360">IF(B2360="","",INDEX(helper!$F$3:$F3996,MOD(ROW()-2,COUNTA(helper!$D$3:$D3996))+1))</f>
        <v/>
      </c>
      <c r="F2360" s="3" t="str">
        <f>IF(B2360="","",SUMIFS('inventory ledger'!$H:$H,'inventory ledger'!$C:$C,C2360,'inventory ledger'!$D:$D,D2360,'inventory ledger'!$E:$E,E2360,'inventory ledger'!$A:$A,"&lt;="&amp;B2360+TIME(23,59,59))-SUMIFS('inventory ledger'!$I:$I,'inventory ledger'!$C:$C,C2360,'inventory ledger'!$D:$D,D2360,'inventory ledger'!$E:$E,E2360,'inventory ledger'!$A:$A,"&lt;="&amp;B2360+TIME(23,59,59)))</f>
        <v/>
      </c>
      <c r="G2360" s="3">
        <f>IFERROR(__xludf.DUMMYFUNCTION("IF(F2360&lt;=0,0,IFERROR(ROUNDUP(F2360/INDEX(FILTER('warehouse config'!$D:$D,('warehouse config'!$B:$B=C2360)*('warehouse config'!$C:$C=D2360)*('warehouse config'!$G:$G&lt;=B2360)*(('warehouse config'!$H:$H&gt;=B2360)+ISBLANK('warehouse config'!$H:$H))),1)),0))"),0.0)</f>
        <v>0</v>
      </c>
      <c r="H2360" s="3">
        <f>IFERROR(__xludf.DUMMYFUNCTION("IFERROR(INDEX(FILTER('cost master'!$E:$E,('cost master'!$B:$B=C2360)*('cost master'!$D:$D=""Storage cost per pallet / week"")*('cost master'!$G:$G&lt;=B2360)*(('cost master'!$H:$H&gt;=B2360)+ISBLANK('cost master'!$H:$H))),1),0)"),0.0)</f>
        <v>0</v>
      </c>
      <c r="I2360" s="3">
        <f t="shared" si="4"/>
        <v>0</v>
      </c>
      <c r="J2360" s="27">
        <f t="shared" si="5"/>
        <v>693947</v>
      </c>
      <c r="K2360" s="27">
        <f t="shared" si="6"/>
        <v>693977</v>
      </c>
    </row>
    <row r="2361" hidden="1">
      <c r="A2361" s="3" t="str">
        <f t="shared" si="3"/>
        <v/>
      </c>
      <c r="B2361" s="2" t="str">
        <f t="array" ref="B2361">INDEX(helper!$A$3:$A3996,ROUNDUP((ROW()-1)/COUNTA(helper!$D$3:$D3996),0))</f>
        <v/>
      </c>
      <c r="C2361" s="5" t="str">
        <f t="array" ref="C2361">IF(B2361="","",INDEX(helper!$D$3:$D3996,MOD(ROW()-2,COUNTA(helper!$D$3:$D3996))+1))</f>
        <v/>
      </c>
      <c r="D2361" s="3" t="str">
        <f t="array" ref="D2361">IF(B2361="","",INDEX(helper!$E$3:$E3996,MOD(ROW()-2,COUNTA(helper!$D$3:$D3996))+1))</f>
        <v/>
      </c>
      <c r="E2361" s="3" t="str">
        <f t="array" ref="E2361">IF(B2361="","",INDEX(helper!$F$3:$F3996,MOD(ROW()-2,COUNTA(helper!$D$3:$D3996))+1))</f>
        <v/>
      </c>
      <c r="F2361" s="3" t="str">
        <f>IF(B2361="","",SUMIFS('inventory ledger'!$H:$H,'inventory ledger'!$C:$C,C2361,'inventory ledger'!$D:$D,D2361,'inventory ledger'!$E:$E,E2361,'inventory ledger'!$A:$A,"&lt;="&amp;B2361+TIME(23,59,59))-SUMIFS('inventory ledger'!$I:$I,'inventory ledger'!$C:$C,C2361,'inventory ledger'!$D:$D,D2361,'inventory ledger'!$E:$E,E2361,'inventory ledger'!$A:$A,"&lt;="&amp;B2361+TIME(23,59,59)))</f>
        <v/>
      </c>
      <c r="G2361" s="3">
        <f>IFERROR(__xludf.DUMMYFUNCTION("IF(F2361&lt;=0,0,IFERROR(ROUNDUP(F2361/INDEX(FILTER('warehouse config'!$D:$D,('warehouse config'!$B:$B=C2361)*('warehouse config'!$C:$C=D2361)*('warehouse config'!$G:$G&lt;=B2361)*(('warehouse config'!$H:$H&gt;=B2361)+ISBLANK('warehouse config'!$H:$H))),1)),0))"),0.0)</f>
        <v>0</v>
      </c>
      <c r="H2361" s="3">
        <f>IFERROR(__xludf.DUMMYFUNCTION("IFERROR(INDEX(FILTER('cost master'!$E:$E,('cost master'!$B:$B=C2361)*('cost master'!$D:$D=""Storage cost per pallet / week"")*('cost master'!$G:$G&lt;=B2361)*(('cost master'!$H:$H&gt;=B2361)+ISBLANK('cost master'!$H:$H))),1),0)"),0.0)</f>
        <v>0</v>
      </c>
      <c r="I2361" s="3">
        <f t="shared" si="4"/>
        <v>0</v>
      </c>
      <c r="J2361" s="27">
        <f t="shared" si="5"/>
        <v>693947</v>
      </c>
      <c r="K2361" s="27">
        <f t="shared" si="6"/>
        <v>693977</v>
      </c>
    </row>
    <row r="2362" hidden="1">
      <c r="A2362" s="3" t="str">
        <f t="shared" si="3"/>
        <v/>
      </c>
      <c r="B2362" s="2" t="str">
        <f t="array" ref="B2362">INDEX(helper!$A$3:$A3996,ROUNDUP((ROW()-1)/COUNTA(helper!$D$3:$D3996),0))</f>
        <v/>
      </c>
      <c r="C2362" s="5" t="str">
        <f t="array" ref="C2362">IF(B2362="","",INDEX(helper!$D$3:$D3996,MOD(ROW()-2,COUNTA(helper!$D$3:$D3996))+1))</f>
        <v/>
      </c>
      <c r="D2362" s="3" t="str">
        <f t="array" ref="D2362">IF(B2362="","",INDEX(helper!$E$3:$E3996,MOD(ROW()-2,COUNTA(helper!$D$3:$D3996))+1))</f>
        <v/>
      </c>
      <c r="E2362" s="3" t="str">
        <f t="array" ref="E2362">IF(B2362="","",INDEX(helper!$F$3:$F3996,MOD(ROW()-2,COUNTA(helper!$D$3:$D3996))+1))</f>
        <v/>
      </c>
      <c r="F2362" s="3" t="str">
        <f>IF(B2362="","",SUMIFS('inventory ledger'!$H:$H,'inventory ledger'!$C:$C,C2362,'inventory ledger'!$D:$D,D2362,'inventory ledger'!$E:$E,E2362,'inventory ledger'!$A:$A,"&lt;="&amp;B2362+TIME(23,59,59))-SUMIFS('inventory ledger'!$I:$I,'inventory ledger'!$C:$C,C2362,'inventory ledger'!$D:$D,D2362,'inventory ledger'!$E:$E,E2362,'inventory ledger'!$A:$A,"&lt;="&amp;B2362+TIME(23,59,59)))</f>
        <v/>
      </c>
      <c r="G2362" s="3">
        <f>IFERROR(__xludf.DUMMYFUNCTION("IF(F2362&lt;=0,0,IFERROR(ROUNDUP(F2362/INDEX(FILTER('warehouse config'!$D:$D,('warehouse config'!$B:$B=C2362)*('warehouse config'!$C:$C=D2362)*('warehouse config'!$G:$G&lt;=B2362)*(('warehouse config'!$H:$H&gt;=B2362)+ISBLANK('warehouse config'!$H:$H))),1)),0))"),0.0)</f>
        <v>0</v>
      </c>
      <c r="H2362" s="3">
        <f>IFERROR(__xludf.DUMMYFUNCTION("IFERROR(INDEX(FILTER('cost master'!$E:$E,('cost master'!$B:$B=C2362)*('cost master'!$D:$D=""Storage cost per pallet / week"")*('cost master'!$G:$G&lt;=B2362)*(('cost master'!$H:$H&gt;=B2362)+ISBLANK('cost master'!$H:$H))),1),0)"),0.0)</f>
        <v>0</v>
      </c>
      <c r="I2362" s="3">
        <f t="shared" si="4"/>
        <v>0</v>
      </c>
      <c r="J2362" s="27">
        <f t="shared" si="5"/>
        <v>693947</v>
      </c>
      <c r="K2362" s="27">
        <f t="shared" si="6"/>
        <v>693977</v>
      </c>
    </row>
    <row r="2363" hidden="1">
      <c r="A2363" s="3" t="str">
        <f t="shared" si="3"/>
        <v/>
      </c>
      <c r="B2363" s="2" t="str">
        <f t="array" ref="B2363">INDEX(helper!$A$3:$A3996,ROUNDUP((ROW()-1)/COUNTA(helper!$D$3:$D3996),0))</f>
        <v/>
      </c>
      <c r="C2363" s="5" t="str">
        <f t="array" ref="C2363">IF(B2363="","",INDEX(helper!$D$3:$D3996,MOD(ROW()-2,COUNTA(helper!$D$3:$D3996))+1))</f>
        <v/>
      </c>
      <c r="D2363" s="3" t="str">
        <f t="array" ref="D2363">IF(B2363="","",INDEX(helper!$E$3:$E3996,MOD(ROW()-2,COUNTA(helper!$D$3:$D3996))+1))</f>
        <v/>
      </c>
      <c r="E2363" s="3" t="str">
        <f t="array" ref="E2363">IF(B2363="","",INDEX(helper!$F$3:$F3996,MOD(ROW()-2,COUNTA(helper!$D$3:$D3996))+1))</f>
        <v/>
      </c>
      <c r="F2363" s="3" t="str">
        <f>IF(B2363="","",SUMIFS('inventory ledger'!$H:$H,'inventory ledger'!$C:$C,C2363,'inventory ledger'!$D:$D,D2363,'inventory ledger'!$E:$E,E2363,'inventory ledger'!$A:$A,"&lt;="&amp;B2363+TIME(23,59,59))-SUMIFS('inventory ledger'!$I:$I,'inventory ledger'!$C:$C,C2363,'inventory ledger'!$D:$D,D2363,'inventory ledger'!$E:$E,E2363,'inventory ledger'!$A:$A,"&lt;="&amp;B2363+TIME(23,59,59)))</f>
        <v/>
      </c>
      <c r="G2363" s="3">
        <f>IFERROR(__xludf.DUMMYFUNCTION("IF(F2363&lt;=0,0,IFERROR(ROUNDUP(F2363/INDEX(FILTER('warehouse config'!$D:$D,('warehouse config'!$B:$B=C2363)*('warehouse config'!$C:$C=D2363)*('warehouse config'!$G:$G&lt;=B2363)*(('warehouse config'!$H:$H&gt;=B2363)+ISBLANK('warehouse config'!$H:$H))),1)),0))"),0.0)</f>
        <v>0</v>
      </c>
      <c r="H2363" s="3">
        <f>IFERROR(__xludf.DUMMYFUNCTION("IFERROR(INDEX(FILTER('cost master'!$E:$E,('cost master'!$B:$B=C2363)*('cost master'!$D:$D=""Storage cost per pallet / week"")*('cost master'!$G:$G&lt;=B2363)*(('cost master'!$H:$H&gt;=B2363)+ISBLANK('cost master'!$H:$H))),1),0)"),0.0)</f>
        <v>0</v>
      </c>
      <c r="I2363" s="3">
        <f t="shared" si="4"/>
        <v>0</v>
      </c>
      <c r="J2363" s="27">
        <f t="shared" si="5"/>
        <v>693947</v>
      </c>
      <c r="K2363" s="27">
        <f t="shared" si="6"/>
        <v>693977</v>
      </c>
    </row>
    <row r="2364" hidden="1">
      <c r="A2364" s="3" t="str">
        <f t="shared" si="3"/>
        <v/>
      </c>
      <c r="B2364" s="2" t="str">
        <f t="array" ref="B2364">INDEX(helper!$A$3:$A3996,ROUNDUP((ROW()-1)/COUNTA(helper!$D$3:$D3996),0))</f>
        <v/>
      </c>
      <c r="C2364" s="5" t="str">
        <f t="array" ref="C2364">IF(B2364="","",INDEX(helper!$D$3:$D3996,MOD(ROW()-2,COUNTA(helper!$D$3:$D3996))+1))</f>
        <v/>
      </c>
      <c r="D2364" s="3" t="str">
        <f t="array" ref="D2364">IF(B2364="","",INDEX(helper!$E$3:$E3996,MOD(ROW()-2,COUNTA(helper!$D$3:$D3996))+1))</f>
        <v/>
      </c>
      <c r="E2364" s="3" t="str">
        <f t="array" ref="E2364">IF(B2364="","",INDEX(helper!$F$3:$F3996,MOD(ROW()-2,COUNTA(helper!$D$3:$D3996))+1))</f>
        <v/>
      </c>
      <c r="F2364" s="3" t="str">
        <f>IF(B2364="","",SUMIFS('inventory ledger'!$H:$H,'inventory ledger'!$C:$C,C2364,'inventory ledger'!$D:$D,D2364,'inventory ledger'!$E:$E,E2364,'inventory ledger'!$A:$A,"&lt;="&amp;B2364+TIME(23,59,59))-SUMIFS('inventory ledger'!$I:$I,'inventory ledger'!$C:$C,C2364,'inventory ledger'!$D:$D,D2364,'inventory ledger'!$E:$E,E2364,'inventory ledger'!$A:$A,"&lt;="&amp;B2364+TIME(23,59,59)))</f>
        <v/>
      </c>
      <c r="G2364" s="3">
        <f>IFERROR(__xludf.DUMMYFUNCTION("IF(F2364&lt;=0,0,IFERROR(ROUNDUP(F2364/INDEX(FILTER('warehouse config'!$D:$D,('warehouse config'!$B:$B=C2364)*('warehouse config'!$C:$C=D2364)*('warehouse config'!$G:$G&lt;=B2364)*(('warehouse config'!$H:$H&gt;=B2364)+ISBLANK('warehouse config'!$H:$H))),1)),0))"),0.0)</f>
        <v>0</v>
      </c>
      <c r="H2364" s="3">
        <f>IFERROR(__xludf.DUMMYFUNCTION("IFERROR(INDEX(FILTER('cost master'!$E:$E,('cost master'!$B:$B=C2364)*('cost master'!$D:$D=""Storage cost per pallet / week"")*('cost master'!$G:$G&lt;=B2364)*(('cost master'!$H:$H&gt;=B2364)+ISBLANK('cost master'!$H:$H))),1),0)"),0.0)</f>
        <v>0</v>
      </c>
      <c r="I2364" s="3">
        <f t="shared" si="4"/>
        <v>0</v>
      </c>
      <c r="J2364" s="27">
        <f t="shared" si="5"/>
        <v>693947</v>
      </c>
      <c r="K2364" s="27">
        <f t="shared" si="6"/>
        <v>693977</v>
      </c>
    </row>
    <row r="2365" hidden="1">
      <c r="A2365" s="3" t="str">
        <f t="shared" si="3"/>
        <v/>
      </c>
      <c r="B2365" s="2" t="str">
        <f t="array" ref="B2365">INDEX(helper!$A$3:$A3996,ROUNDUP((ROW()-1)/COUNTA(helper!$D$3:$D3996),0))</f>
        <v/>
      </c>
      <c r="C2365" s="5" t="str">
        <f t="array" ref="C2365">IF(B2365="","",INDEX(helper!$D$3:$D3996,MOD(ROW()-2,COUNTA(helper!$D$3:$D3996))+1))</f>
        <v/>
      </c>
      <c r="D2365" s="3" t="str">
        <f t="array" ref="D2365">IF(B2365="","",INDEX(helper!$E$3:$E3996,MOD(ROW()-2,COUNTA(helper!$D$3:$D3996))+1))</f>
        <v/>
      </c>
      <c r="E2365" s="3" t="str">
        <f t="array" ref="E2365">IF(B2365="","",INDEX(helper!$F$3:$F3996,MOD(ROW()-2,COUNTA(helper!$D$3:$D3996))+1))</f>
        <v/>
      </c>
      <c r="F2365" s="3" t="str">
        <f>IF(B2365="","",SUMIFS('inventory ledger'!$H:$H,'inventory ledger'!$C:$C,C2365,'inventory ledger'!$D:$D,D2365,'inventory ledger'!$E:$E,E2365,'inventory ledger'!$A:$A,"&lt;="&amp;B2365+TIME(23,59,59))-SUMIFS('inventory ledger'!$I:$I,'inventory ledger'!$C:$C,C2365,'inventory ledger'!$D:$D,D2365,'inventory ledger'!$E:$E,E2365,'inventory ledger'!$A:$A,"&lt;="&amp;B2365+TIME(23,59,59)))</f>
        <v/>
      </c>
      <c r="G2365" s="3">
        <f>IFERROR(__xludf.DUMMYFUNCTION("IF(F2365&lt;=0,0,IFERROR(ROUNDUP(F2365/INDEX(FILTER('warehouse config'!$D:$D,('warehouse config'!$B:$B=C2365)*('warehouse config'!$C:$C=D2365)*('warehouse config'!$G:$G&lt;=B2365)*(('warehouse config'!$H:$H&gt;=B2365)+ISBLANK('warehouse config'!$H:$H))),1)),0))"),0.0)</f>
        <v>0</v>
      </c>
      <c r="H2365" s="3">
        <f>IFERROR(__xludf.DUMMYFUNCTION("IFERROR(INDEX(FILTER('cost master'!$E:$E,('cost master'!$B:$B=C2365)*('cost master'!$D:$D=""Storage cost per pallet / week"")*('cost master'!$G:$G&lt;=B2365)*(('cost master'!$H:$H&gt;=B2365)+ISBLANK('cost master'!$H:$H))),1),0)"),0.0)</f>
        <v>0</v>
      </c>
      <c r="I2365" s="3">
        <f t="shared" si="4"/>
        <v>0</v>
      </c>
      <c r="J2365" s="27">
        <f t="shared" si="5"/>
        <v>693947</v>
      </c>
      <c r="K2365" s="27">
        <f t="shared" si="6"/>
        <v>693977</v>
      </c>
    </row>
    <row r="2366" hidden="1">
      <c r="A2366" s="3" t="str">
        <f t="shared" si="3"/>
        <v/>
      </c>
      <c r="B2366" s="2" t="str">
        <f t="array" ref="B2366">INDEX(helper!$A$3:$A3996,ROUNDUP((ROW()-1)/COUNTA(helper!$D$3:$D3996),0))</f>
        <v/>
      </c>
      <c r="C2366" s="5" t="str">
        <f t="array" ref="C2366">IF(B2366="","",INDEX(helper!$D$3:$D3996,MOD(ROW()-2,COUNTA(helper!$D$3:$D3996))+1))</f>
        <v/>
      </c>
      <c r="D2366" s="3" t="str">
        <f t="array" ref="D2366">IF(B2366="","",INDEX(helper!$E$3:$E3996,MOD(ROW()-2,COUNTA(helper!$D$3:$D3996))+1))</f>
        <v/>
      </c>
      <c r="E2366" s="3" t="str">
        <f t="array" ref="E2366">IF(B2366="","",INDEX(helper!$F$3:$F3996,MOD(ROW()-2,COUNTA(helper!$D$3:$D3996))+1))</f>
        <v/>
      </c>
      <c r="F2366" s="3" t="str">
        <f>IF(B2366="","",SUMIFS('inventory ledger'!$H:$H,'inventory ledger'!$C:$C,C2366,'inventory ledger'!$D:$D,D2366,'inventory ledger'!$E:$E,E2366,'inventory ledger'!$A:$A,"&lt;="&amp;B2366+TIME(23,59,59))-SUMIFS('inventory ledger'!$I:$I,'inventory ledger'!$C:$C,C2366,'inventory ledger'!$D:$D,D2366,'inventory ledger'!$E:$E,E2366,'inventory ledger'!$A:$A,"&lt;="&amp;B2366+TIME(23,59,59)))</f>
        <v/>
      </c>
      <c r="G2366" s="3">
        <f>IFERROR(__xludf.DUMMYFUNCTION("IF(F2366&lt;=0,0,IFERROR(ROUNDUP(F2366/INDEX(FILTER('warehouse config'!$D:$D,('warehouse config'!$B:$B=C2366)*('warehouse config'!$C:$C=D2366)*('warehouse config'!$G:$G&lt;=B2366)*(('warehouse config'!$H:$H&gt;=B2366)+ISBLANK('warehouse config'!$H:$H))),1)),0))"),0.0)</f>
        <v>0</v>
      </c>
      <c r="H2366" s="3">
        <f>IFERROR(__xludf.DUMMYFUNCTION("IFERROR(INDEX(FILTER('cost master'!$E:$E,('cost master'!$B:$B=C2366)*('cost master'!$D:$D=""Storage cost per pallet / week"")*('cost master'!$G:$G&lt;=B2366)*(('cost master'!$H:$H&gt;=B2366)+ISBLANK('cost master'!$H:$H))),1),0)"),0.0)</f>
        <v>0</v>
      </c>
      <c r="I2366" s="3">
        <f t="shared" si="4"/>
        <v>0</v>
      </c>
      <c r="J2366" s="27">
        <f t="shared" si="5"/>
        <v>693947</v>
      </c>
      <c r="K2366" s="27">
        <f t="shared" si="6"/>
        <v>693977</v>
      </c>
    </row>
    <row r="2367" hidden="1">
      <c r="A2367" s="3" t="str">
        <f t="shared" si="3"/>
        <v/>
      </c>
      <c r="B2367" s="2" t="str">
        <f t="array" ref="B2367">INDEX(helper!$A$3:$A3996,ROUNDUP((ROW()-1)/COUNTA(helper!$D$3:$D3996),0))</f>
        <v/>
      </c>
      <c r="C2367" s="5" t="str">
        <f t="array" ref="C2367">IF(B2367="","",INDEX(helper!$D$3:$D3996,MOD(ROW()-2,COUNTA(helper!$D$3:$D3996))+1))</f>
        <v/>
      </c>
      <c r="D2367" s="3" t="str">
        <f t="array" ref="D2367">IF(B2367="","",INDEX(helper!$E$3:$E3996,MOD(ROW()-2,COUNTA(helper!$D$3:$D3996))+1))</f>
        <v/>
      </c>
      <c r="E2367" s="3" t="str">
        <f t="array" ref="E2367">IF(B2367="","",INDEX(helper!$F$3:$F3996,MOD(ROW()-2,COUNTA(helper!$D$3:$D3996))+1))</f>
        <v/>
      </c>
      <c r="F2367" s="3" t="str">
        <f>IF(B2367="","",SUMIFS('inventory ledger'!$H:$H,'inventory ledger'!$C:$C,C2367,'inventory ledger'!$D:$D,D2367,'inventory ledger'!$E:$E,E2367,'inventory ledger'!$A:$A,"&lt;="&amp;B2367+TIME(23,59,59))-SUMIFS('inventory ledger'!$I:$I,'inventory ledger'!$C:$C,C2367,'inventory ledger'!$D:$D,D2367,'inventory ledger'!$E:$E,E2367,'inventory ledger'!$A:$A,"&lt;="&amp;B2367+TIME(23,59,59)))</f>
        <v/>
      </c>
      <c r="G2367" s="3">
        <f>IFERROR(__xludf.DUMMYFUNCTION("IF(F2367&lt;=0,0,IFERROR(ROUNDUP(F2367/INDEX(FILTER('warehouse config'!$D:$D,('warehouse config'!$B:$B=C2367)*('warehouse config'!$C:$C=D2367)*('warehouse config'!$G:$G&lt;=B2367)*(('warehouse config'!$H:$H&gt;=B2367)+ISBLANK('warehouse config'!$H:$H))),1)),0))"),0.0)</f>
        <v>0</v>
      </c>
      <c r="H2367" s="3">
        <f>IFERROR(__xludf.DUMMYFUNCTION("IFERROR(INDEX(FILTER('cost master'!$E:$E,('cost master'!$B:$B=C2367)*('cost master'!$D:$D=""Storage cost per pallet / week"")*('cost master'!$G:$G&lt;=B2367)*(('cost master'!$H:$H&gt;=B2367)+ISBLANK('cost master'!$H:$H))),1),0)"),0.0)</f>
        <v>0</v>
      </c>
      <c r="I2367" s="3">
        <f t="shared" si="4"/>
        <v>0</v>
      </c>
      <c r="J2367" s="27">
        <f t="shared" si="5"/>
        <v>693947</v>
      </c>
      <c r="K2367" s="27">
        <f t="shared" si="6"/>
        <v>693977</v>
      </c>
    </row>
    <row r="2368" hidden="1">
      <c r="A2368" s="3" t="str">
        <f t="shared" si="3"/>
        <v/>
      </c>
      <c r="B2368" s="2" t="str">
        <f t="array" ref="B2368">INDEX(helper!$A$3:$A3996,ROUNDUP((ROW()-1)/COUNTA(helper!$D$3:$D3996),0))</f>
        <v/>
      </c>
      <c r="C2368" s="5" t="str">
        <f t="array" ref="C2368">IF(B2368="","",INDEX(helper!$D$3:$D3996,MOD(ROW()-2,COUNTA(helper!$D$3:$D3996))+1))</f>
        <v/>
      </c>
      <c r="D2368" s="3" t="str">
        <f t="array" ref="D2368">IF(B2368="","",INDEX(helper!$E$3:$E3996,MOD(ROW()-2,COUNTA(helper!$D$3:$D3996))+1))</f>
        <v/>
      </c>
      <c r="E2368" s="3" t="str">
        <f t="array" ref="E2368">IF(B2368="","",INDEX(helper!$F$3:$F3996,MOD(ROW()-2,COUNTA(helper!$D$3:$D3996))+1))</f>
        <v/>
      </c>
      <c r="F2368" s="3" t="str">
        <f>IF(B2368="","",SUMIFS('inventory ledger'!$H:$H,'inventory ledger'!$C:$C,C2368,'inventory ledger'!$D:$D,D2368,'inventory ledger'!$E:$E,E2368,'inventory ledger'!$A:$A,"&lt;="&amp;B2368+TIME(23,59,59))-SUMIFS('inventory ledger'!$I:$I,'inventory ledger'!$C:$C,C2368,'inventory ledger'!$D:$D,D2368,'inventory ledger'!$E:$E,E2368,'inventory ledger'!$A:$A,"&lt;="&amp;B2368+TIME(23,59,59)))</f>
        <v/>
      </c>
      <c r="G2368" s="3">
        <f>IFERROR(__xludf.DUMMYFUNCTION("IF(F2368&lt;=0,0,IFERROR(ROUNDUP(F2368/INDEX(FILTER('warehouse config'!$D:$D,('warehouse config'!$B:$B=C2368)*('warehouse config'!$C:$C=D2368)*('warehouse config'!$G:$G&lt;=B2368)*(('warehouse config'!$H:$H&gt;=B2368)+ISBLANK('warehouse config'!$H:$H))),1)),0))"),0.0)</f>
        <v>0</v>
      </c>
      <c r="H2368" s="3">
        <f>IFERROR(__xludf.DUMMYFUNCTION("IFERROR(INDEX(FILTER('cost master'!$E:$E,('cost master'!$B:$B=C2368)*('cost master'!$D:$D=""Storage cost per pallet / week"")*('cost master'!$G:$G&lt;=B2368)*(('cost master'!$H:$H&gt;=B2368)+ISBLANK('cost master'!$H:$H))),1),0)"),0.0)</f>
        <v>0</v>
      </c>
      <c r="I2368" s="3">
        <f t="shared" si="4"/>
        <v>0</v>
      </c>
      <c r="J2368" s="27">
        <f t="shared" si="5"/>
        <v>693947</v>
      </c>
      <c r="K2368" s="27">
        <f t="shared" si="6"/>
        <v>693977</v>
      </c>
    </row>
    <row r="2369" hidden="1">
      <c r="A2369" s="3" t="str">
        <f t="shared" si="3"/>
        <v/>
      </c>
      <c r="B2369" s="2" t="str">
        <f t="array" ref="B2369">INDEX(helper!$A$3:$A3996,ROUNDUP((ROW()-1)/COUNTA(helper!$D$3:$D3996),0))</f>
        <v/>
      </c>
      <c r="C2369" s="5" t="str">
        <f t="array" ref="C2369">IF(B2369="","",INDEX(helper!$D$3:$D3996,MOD(ROW()-2,COUNTA(helper!$D$3:$D3996))+1))</f>
        <v/>
      </c>
      <c r="D2369" s="3" t="str">
        <f t="array" ref="D2369">IF(B2369="","",INDEX(helper!$E$3:$E3996,MOD(ROW()-2,COUNTA(helper!$D$3:$D3996))+1))</f>
        <v/>
      </c>
      <c r="E2369" s="3" t="str">
        <f t="array" ref="E2369">IF(B2369="","",INDEX(helper!$F$3:$F3996,MOD(ROW()-2,COUNTA(helper!$D$3:$D3996))+1))</f>
        <v/>
      </c>
      <c r="F2369" s="3" t="str">
        <f>IF(B2369="","",SUMIFS('inventory ledger'!$H:$H,'inventory ledger'!$C:$C,C2369,'inventory ledger'!$D:$D,D2369,'inventory ledger'!$E:$E,E2369,'inventory ledger'!$A:$A,"&lt;="&amp;B2369+TIME(23,59,59))-SUMIFS('inventory ledger'!$I:$I,'inventory ledger'!$C:$C,C2369,'inventory ledger'!$D:$D,D2369,'inventory ledger'!$E:$E,E2369,'inventory ledger'!$A:$A,"&lt;="&amp;B2369+TIME(23,59,59)))</f>
        <v/>
      </c>
      <c r="G2369" s="3">
        <f>IFERROR(__xludf.DUMMYFUNCTION("IF(F2369&lt;=0,0,IFERROR(ROUNDUP(F2369/INDEX(FILTER('warehouse config'!$D:$D,('warehouse config'!$B:$B=C2369)*('warehouse config'!$C:$C=D2369)*('warehouse config'!$G:$G&lt;=B2369)*(('warehouse config'!$H:$H&gt;=B2369)+ISBLANK('warehouse config'!$H:$H))),1)),0))"),0.0)</f>
        <v>0</v>
      </c>
      <c r="H2369" s="3">
        <f>IFERROR(__xludf.DUMMYFUNCTION("IFERROR(INDEX(FILTER('cost master'!$E:$E,('cost master'!$B:$B=C2369)*('cost master'!$D:$D=""Storage cost per pallet / week"")*('cost master'!$G:$G&lt;=B2369)*(('cost master'!$H:$H&gt;=B2369)+ISBLANK('cost master'!$H:$H))),1),0)"),0.0)</f>
        <v>0</v>
      </c>
      <c r="I2369" s="3">
        <f t="shared" si="4"/>
        <v>0</v>
      </c>
      <c r="J2369" s="27">
        <f t="shared" si="5"/>
        <v>693947</v>
      </c>
      <c r="K2369" s="27">
        <f t="shared" si="6"/>
        <v>693977</v>
      </c>
    </row>
    <row r="2370" hidden="1">
      <c r="A2370" s="3" t="str">
        <f t="shared" si="3"/>
        <v/>
      </c>
      <c r="B2370" s="2" t="str">
        <f t="array" ref="B2370">INDEX(helper!$A$3:$A3996,ROUNDUP((ROW()-1)/COUNTA(helper!$D$3:$D3996),0))</f>
        <v/>
      </c>
      <c r="C2370" s="5" t="str">
        <f t="array" ref="C2370">IF(B2370="","",INDEX(helper!$D$3:$D3996,MOD(ROW()-2,COUNTA(helper!$D$3:$D3996))+1))</f>
        <v/>
      </c>
      <c r="D2370" s="3" t="str">
        <f t="array" ref="D2370">IF(B2370="","",INDEX(helper!$E$3:$E3996,MOD(ROW()-2,COUNTA(helper!$D$3:$D3996))+1))</f>
        <v/>
      </c>
      <c r="E2370" s="3" t="str">
        <f t="array" ref="E2370">IF(B2370="","",INDEX(helper!$F$3:$F3996,MOD(ROW()-2,COUNTA(helper!$D$3:$D3996))+1))</f>
        <v/>
      </c>
      <c r="F2370" s="3" t="str">
        <f>IF(B2370="","",SUMIFS('inventory ledger'!$H:$H,'inventory ledger'!$C:$C,C2370,'inventory ledger'!$D:$D,D2370,'inventory ledger'!$E:$E,E2370,'inventory ledger'!$A:$A,"&lt;="&amp;B2370+TIME(23,59,59))-SUMIFS('inventory ledger'!$I:$I,'inventory ledger'!$C:$C,C2370,'inventory ledger'!$D:$D,D2370,'inventory ledger'!$E:$E,E2370,'inventory ledger'!$A:$A,"&lt;="&amp;B2370+TIME(23,59,59)))</f>
        <v/>
      </c>
      <c r="G2370" s="3">
        <f>IFERROR(__xludf.DUMMYFUNCTION("IF(F2370&lt;=0,0,IFERROR(ROUNDUP(F2370/INDEX(FILTER('warehouse config'!$D:$D,('warehouse config'!$B:$B=C2370)*('warehouse config'!$C:$C=D2370)*('warehouse config'!$G:$G&lt;=B2370)*(('warehouse config'!$H:$H&gt;=B2370)+ISBLANK('warehouse config'!$H:$H))),1)),0))"),0.0)</f>
        <v>0</v>
      </c>
      <c r="H2370" s="3">
        <f>IFERROR(__xludf.DUMMYFUNCTION("IFERROR(INDEX(FILTER('cost master'!$E:$E,('cost master'!$B:$B=C2370)*('cost master'!$D:$D=""Storage cost per pallet / week"")*('cost master'!$G:$G&lt;=B2370)*(('cost master'!$H:$H&gt;=B2370)+ISBLANK('cost master'!$H:$H))),1),0)"),0.0)</f>
        <v>0</v>
      </c>
      <c r="I2370" s="3">
        <f t="shared" si="4"/>
        <v>0</v>
      </c>
      <c r="J2370" s="27">
        <f t="shared" si="5"/>
        <v>693947</v>
      </c>
      <c r="K2370" s="27">
        <f t="shared" si="6"/>
        <v>693977</v>
      </c>
    </row>
    <row r="2371" hidden="1">
      <c r="A2371" s="3" t="str">
        <f t="shared" si="3"/>
        <v/>
      </c>
      <c r="B2371" s="2" t="str">
        <f t="array" ref="B2371">INDEX(helper!$A$3:$A3996,ROUNDUP((ROW()-1)/COUNTA(helper!$D$3:$D3996),0))</f>
        <v/>
      </c>
      <c r="C2371" s="5" t="str">
        <f t="array" ref="C2371">IF(B2371="","",INDEX(helper!$D$3:$D3996,MOD(ROW()-2,COUNTA(helper!$D$3:$D3996))+1))</f>
        <v/>
      </c>
      <c r="D2371" s="3" t="str">
        <f t="array" ref="D2371">IF(B2371="","",INDEX(helper!$E$3:$E3996,MOD(ROW()-2,COUNTA(helper!$D$3:$D3996))+1))</f>
        <v/>
      </c>
      <c r="E2371" s="3" t="str">
        <f t="array" ref="E2371">IF(B2371="","",INDEX(helper!$F$3:$F3996,MOD(ROW()-2,COUNTA(helper!$D$3:$D3996))+1))</f>
        <v/>
      </c>
      <c r="F2371" s="3" t="str">
        <f>IF(B2371="","",SUMIFS('inventory ledger'!$H:$H,'inventory ledger'!$C:$C,C2371,'inventory ledger'!$D:$D,D2371,'inventory ledger'!$E:$E,E2371,'inventory ledger'!$A:$A,"&lt;="&amp;B2371+TIME(23,59,59))-SUMIFS('inventory ledger'!$I:$I,'inventory ledger'!$C:$C,C2371,'inventory ledger'!$D:$D,D2371,'inventory ledger'!$E:$E,E2371,'inventory ledger'!$A:$A,"&lt;="&amp;B2371+TIME(23,59,59)))</f>
        <v/>
      </c>
      <c r="G2371" s="3">
        <f>IFERROR(__xludf.DUMMYFUNCTION("IF(F2371&lt;=0,0,IFERROR(ROUNDUP(F2371/INDEX(FILTER('warehouse config'!$D:$D,('warehouse config'!$B:$B=C2371)*('warehouse config'!$C:$C=D2371)*('warehouse config'!$G:$G&lt;=B2371)*(('warehouse config'!$H:$H&gt;=B2371)+ISBLANK('warehouse config'!$H:$H))),1)),0))"),0.0)</f>
        <v>0</v>
      </c>
      <c r="H2371" s="3">
        <f>IFERROR(__xludf.DUMMYFUNCTION("IFERROR(INDEX(FILTER('cost master'!$E:$E,('cost master'!$B:$B=C2371)*('cost master'!$D:$D=""Storage cost per pallet / week"")*('cost master'!$G:$G&lt;=B2371)*(('cost master'!$H:$H&gt;=B2371)+ISBLANK('cost master'!$H:$H))),1),0)"),0.0)</f>
        <v>0</v>
      </c>
      <c r="I2371" s="3">
        <f t="shared" si="4"/>
        <v>0</v>
      </c>
      <c r="J2371" s="27">
        <f t="shared" si="5"/>
        <v>693947</v>
      </c>
      <c r="K2371" s="27">
        <f t="shared" si="6"/>
        <v>693977</v>
      </c>
    </row>
    <row r="2372" hidden="1">
      <c r="A2372" s="3" t="str">
        <f t="shared" si="3"/>
        <v/>
      </c>
      <c r="B2372" s="2" t="str">
        <f t="array" ref="B2372">INDEX(helper!$A$3:$A3996,ROUNDUP((ROW()-1)/COUNTA(helper!$D$3:$D3996),0))</f>
        <v/>
      </c>
      <c r="C2372" s="5" t="str">
        <f t="array" ref="C2372">IF(B2372="","",INDEX(helper!$D$3:$D3996,MOD(ROW()-2,COUNTA(helper!$D$3:$D3996))+1))</f>
        <v/>
      </c>
      <c r="D2372" s="3" t="str">
        <f t="array" ref="D2372">IF(B2372="","",INDEX(helper!$E$3:$E3996,MOD(ROW()-2,COUNTA(helper!$D$3:$D3996))+1))</f>
        <v/>
      </c>
      <c r="E2372" s="3" t="str">
        <f t="array" ref="E2372">IF(B2372="","",INDEX(helper!$F$3:$F3996,MOD(ROW()-2,COUNTA(helper!$D$3:$D3996))+1))</f>
        <v/>
      </c>
      <c r="F2372" s="3" t="str">
        <f>IF(B2372="","",SUMIFS('inventory ledger'!$H:$H,'inventory ledger'!$C:$C,C2372,'inventory ledger'!$D:$D,D2372,'inventory ledger'!$E:$E,E2372,'inventory ledger'!$A:$A,"&lt;="&amp;B2372+TIME(23,59,59))-SUMIFS('inventory ledger'!$I:$I,'inventory ledger'!$C:$C,C2372,'inventory ledger'!$D:$D,D2372,'inventory ledger'!$E:$E,E2372,'inventory ledger'!$A:$A,"&lt;="&amp;B2372+TIME(23,59,59)))</f>
        <v/>
      </c>
      <c r="G2372" s="3">
        <f>IFERROR(__xludf.DUMMYFUNCTION("IF(F2372&lt;=0,0,IFERROR(ROUNDUP(F2372/INDEX(FILTER('warehouse config'!$D:$D,('warehouse config'!$B:$B=C2372)*('warehouse config'!$C:$C=D2372)*('warehouse config'!$G:$G&lt;=B2372)*(('warehouse config'!$H:$H&gt;=B2372)+ISBLANK('warehouse config'!$H:$H))),1)),0))"),0.0)</f>
        <v>0</v>
      </c>
      <c r="H2372" s="3">
        <f>IFERROR(__xludf.DUMMYFUNCTION("IFERROR(INDEX(FILTER('cost master'!$E:$E,('cost master'!$B:$B=C2372)*('cost master'!$D:$D=""Storage cost per pallet / week"")*('cost master'!$G:$G&lt;=B2372)*(('cost master'!$H:$H&gt;=B2372)+ISBLANK('cost master'!$H:$H))),1),0)"),0.0)</f>
        <v>0</v>
      </c>
      <c r="I2372" s="3">
        <f t="shared" si="4"/>
        <v>0</v>
      </c>
      <c r="J2372" s="27">
        <f t="shared" si="5"/>
        <v>693947</v>
      </c>
      <c r="K2372" s="27">
        <f t="shared" si="6"/>
        <v>693977</v>
      </c>
    </row>
    <row r="2373" hidden="1">
      <c r="A2373" s="3" t="str">
        <f t="shared" si="3"/>
        <v/>
      </c>
      <c r="B2373" s="2" t="str">
        <f t="array" ref="B2373">INDEX(helper!$A$3:$A3996,ROUNDUP((ROW()-1)/COUNTA(helper!$D$3:$D3996),0))</f>
        <v/>
      </c>
      <c r="C2373" s="5" t="str">
        <f t="array" ref="C2373">IF(B2373="","",INDEX(helper!$D$3:$D3996,MOD(ROW()-2,COUNTA(helper!$D$3:$D3996))+1))</f>
        <v/>
      </c>
      <c r="D2373" s="3" t="str">
        <f t="array" ref="D2373">IF(B2373="","",INDEX(helper!$E$3:$E3996,MOD(ROW()-2,COUNTA(helper!$D$3:$D3996))+1))</f>
        <v/>
      </c>
      <c r="E2373" s="3" t="str">
        <f t="array" ref="E2373">IF(B2373="","",INDEX(helper!$F$3:$F3996,MOD(ROW()-2,COUNTA(helper!$D$3:$D3996))+1))</f>
        <v/>
      </c>
      <c r="F2373" s="3" t="str">
        <f>IF(B2373="","",SUMIFS('inventory ledger'!$H:$H,'inventory ledger'!$C:$C,C2373,'inventory ledger'!$D:$D,D2373,'inventory ledger'!$E:$E,E2373,'inventory ledger'!$A:$A,"&lt;="&amp;B2373+TIME(23,59,59))-SUMIFS('inventory ledger'!$I:$I,'inventory ledger'!$C:$C,C2373,'inventory ledger'!$D:$D,D2373,'inventory ledger'!$E:$E,E2373,'inventory ledger'!$A:$A,"&lt;="&amp;B2373+TIME(23,59,59)))</f>
        <v/>
      </c>
      <c r="G2373" s="3">
        <f>IFERROR(__xludf.DUMMYFUNCTION("IF(F2373&lt;=0,0,IFERROR(ROUNDUP(F2373/INDEX(FILTER('warehouse config'!$D:$D,('warehouse config'!$B:$B=C2373)*('warehouse config'!$C:$C=D2373)*('warehouse config'!$G:$G&lt;=B2373)*(('warehouse config'!$H:$H&gt;=B2373)+ISBLANK('warehouse config'!$H:$H))),1)),0))"),0.0)</f>
        <v>0</v>
      </c>
      <c r="H2373" s="3">
        <f>IFERROR(__xludf.DUMMYFUNCTION("IFERROR(INDEX(FILTER('cost master'!$E:$E,('cost master'!$B:$B=C2373)*('cost master'!$D:$D=""Storage cost per pallet / week"")*('cost master'!$G:$G&lt;=B2373)*(('cost master'!$H:$H&gt;=B2373)+ISBLANK('cost master'!$H:$H))),1),0)"),0.0)</f>
        <v>0</v>
      </c>
      <c r="I2373" s="3">
        <f t="shared" si="4"/>
        <v>0</v>
      </c>
      <c r="J2373" s="27">
        <f t="shared" si="5"/>
        <v>693947</v>
      </c>
      <c r="K2373" s="27">
        <f t="shared" si="6"/>
        <v>693977</v>
      </c>
    </row>
    <row r="2374" hidden="1">
      <c r="A2374" s="3" t="str">
        <f t="shared" si="3"/>
        <v/>
      </c>
      <c r="B2374" s="2" t="str">
        <f t="array" ref="B2374">INDEX(helper!$A$3:$A3996,ROUNDUP((ROW()-1)/COUNTA(helper!$D$3:$D3996),0))</f>
        <v/>
      </c>
      <c r="C2374" s="5" t="str">
        <f t="array" ref="C2374">IF(B2374="","",INDEX(helper!$D$3:$D3996,MOD(ROW()-2,COUNTA(helper!$D$3:$D3996))+1))</f>
        <v/>
      </c>
      <c r="D2374" s="3" t="str">
        <f t="array" ref="D2374">IF(B2374="","",INDEX(helper!$E$3:$E3996,MOD(ROW()-2,COUNTA(helper!$D$3:$D3996))+1))</f>
        <v/>
      </c>
      <c r="E2374" s="3" t="str">
        <f t="array" ref="E2374">IF(B2374="","",INDEX(helper!$F$3:$F3996,MOD(ROW()-2,COUNTA(helper!$D$3:$D3996))+1))</f>
        <v/>
      </c>
      <c r="F2374" s="3" t="str">
        <f>IF(B2374="","",SUMIFS('inventory ledger'!$H:$H,'inventory ledger'!$C:$C,C2374,'inventory ledger'!$D:$D,D2374,'inventory ledger'!$E:$E,E2374,'inventory ledger'!$A:$A,"&lt;="&amp;B2374+TIME(23,59,59))-SUMIFS('inventory ledger'!$I:$I,'inventory ledger'!$C:$C,C2374,'inventory ledger'!$D:$D,D2374,'inventory ledger'!$E:$E,E2374,'inventory ledger'!$A:$A,"&lt;="&amp;B2374+TIME(23,59,59)))</f>
        <v/>
      </c>
      <c r="G2374" s="3">
        <f>IFERROR(__xludf.DUMMYFUNCTION("IF(F2374&lt;=0,0,IFERROR(ROUNDUP(F2374/INDEX(FILTER('warehouse config'!$D:$D,('warehouse config'!$B:$B=C2374)*('warehouse config'!$C:$C=D2374)*('warehouse config'!$G:$G&lt;=B2374)*(('warehouse config'!$H:$H&gt;=B2374)+ISBLANK('warehouse config'!$H:$H))),1)),0))"),0.0)</f>
        <v>0</v>
      </c>
      <c r="H2374" s="3">
        <f>IFERROR(__xludf.DUMMYFUNCTION("IFERROR(INDEX(FILTER('cost master'!$E:$E,('cost master'!$B:$B=C2374)*('cost master'!$D:$D=""Storage cost per pallet / week"")*('cost master'!$G:$G&lt;=B2374)*(('cost master'!$H:$H&gt;=B2374)+ISBLANK('cost master'!$H:$H))),1),0)"),0.0)</f>
        <v>0</v>
      </c>
      <c r="I2374" s="3">
        <f t="shared" si="4"/>
        <v>0</v>
      </c>
      <c r="J2374" s="27">
        <f t="shared" si="5"/>
        <v>693947</v>
      </c>
      <c r="K2374" s="27">
        <f t="shared" si="6"/>
        <v>693977</v>
      </c>
    </row>
    <row r="2375" hidden="1">
      <c r="A2375" s="3" t="str">
        <f t="shared" si="3"/>
        <v/>
      </c>
      <c r="B2375" s="2" t="str">
        <f t="array" ref="B2375">INDEX(helper!$A$3:$A3996,ROUNDUP((ROW()-1)/COUNTA(helper!$D$3:$D3996),0))</f>
        <v/>
      </c>
      <c r="C2375" s="5" t="str">
        <f t="array" ref="C2375">IF(B2375="","",INDEX(helper!$D$3:$D3996,MOD(ROW()-2,COUNTA(helper!$D$3:$D3996))+1))</f>
        <v/>
      </c>
      <c r="D2375" s="3" t="str">
        <f t="array" ref="D2375">IF(B2375="","",INDEX(helper!$E$3:$E3996,MOD(ROW()-2,COUNTA(helper!$D$3:$D3996))+1))</f>
        <v/>
      </c>
      <c r="E2375" s="3" t="str">
        <f t="array" ref="E2375">IF(B2375="","",INDEX(helper!$F$3:$F3996,MOD(ROW()-2,COUNTA(helper!$D$3:$D3996))+1))</f>
        <v/>
      </c>
      <c r="F2375" s="3" t="str">
        <f>IF(B2375="","",SUMIFS('inventory ledger'!$H:$H,'inventory ledger'!$C:$C,C2375,'inventory ledger'!$D:$D,D2375,'inventory ledger'!$E:$E,E2375,'inventory ledger'!$A:$A,"&lt;="&amp;B2375+TIME(23,59,59))-SUMIFS('inventory ledger'!$I:$I,'inventory ledger'!$C:$C,C2375,'inventory ledger'!$D:$D,D2375,'inventory ledger'!$E:$E,E2375,'inventory ledger'!$A:$A,"&lt;="&amp;B2375+TIME(23,59,59)))</f>
        <v/>
      </c>
      <c r="G2375" s="3">
        <f>IFERROR(__xludf.DUMMYFUNCTION("IF(F2375&lt;=0,0,IFERROR(ROUNDUP(F2375/INDEX(FILTER('warehouse config'!$D:$D,('warehouse config'!$B:$B=C2375)*('warehouse config'!$C:$C=D2375)*('warehouse config'!$G:$G&lt;=B2375)*(('warehouse config'!$H:$H&gt;=B2375)+ISBLANK('warehouse config'!$H:$H))),1)),0))"),0.0)</f>
        <v>0</v>
      </c>
      <c r="H2375" s="3">
        <f>IFERROR(__xludf.DUMMYFUNCTION("IFERROR(INDEX(FILTER('cost master'!$E:$E,('cost master'!$B:$B=C2375)*('cost master'!$D:$D=""Storage cost per pallet / week"")*('cost master'!$G:$G&lt;=B2375)*(('cost master'!$H:$H&gt;=B2375)+ISBLANK('cost master'!$H:$H))),1),0)"),0.0)</f>
        <v>0</v>
      </c>
      <c r="I2375" s="3">
        <f t="shared" si="4"/>
        <v>0</v>
      </c>
      <c r="J2375" s="27">
        <f t="shared" si="5"/>
        <v>693947</v>
      </c>
      <c r="K2375" s="27">
        <f t="shared" si="6"/>
        <v>693977</v>
      </c>
    </row>
    <row r="2376" hidden="1">
      <c r="A2376" s="3" t="str">
        <f t="shared" si="3"/>
        <v/>
      </c>
      <c r="B2376" s="2" t="str">
        <f t="array" ref="B2376">INDEX(helper!$A$3:$A3996,ROUNDUP((ROW()-1)/COUNTA(helper!$D$3:$D3996),0))</f>
        <v/>
      </c>
      <c r="C2376" s="5" t="str">
        <f t="array" ref="C2376">IF(B2376="","",INDEX(helper!$D$3:$D3996,MOD(ROW()-2,COUNTA(helper!$D$3:$D3996))+1))</f>
        <v/>
      </c>
      <c r="D2376" s="3" t="str">
        <f t="array" ref="D2376">IF(B2376="","",INDEX(helper!$E$3:$E3996,MOD(ROW()-2,COUNTA(helper!$D$3:$D3996))+1))</f>
        <v/>
      </c>
      <c r="E2376" s="3" t="str">
        <f t="array" ref="E2376">IF(B2376="","",INDEX(helper!$F$3:$F3996,MOD(ROW()-2,COUNTA(helper!$D$3:$D3996))+1))</f>
        <v/>
      </c>
      <c r="F2376" s="3" t="str">
        <f>IF(B2376="","",SUMIFS('inventory ledger'!$H:$H,'inventory ledger'!$C:$C,C2376,'inventory ledger'!$D:$D,D2376,'inventory ledger'!$E:$E,E2376,'inventory ledger'!$A:$A,"&lt;="&amp;B2376+TIME(23,59,59))-SUMIFS('inventory ledger'!$I:$I,'inventory ledger'!$C:$C,C2376,'inventory ledger'!$D:$D,D2376,'inventory ledger'!$E:$E,E2376,'inventory ledger'!$A:$A,"&lt;="&amp;B2376+TIME(23,59,59)))</f>
        <v/>
      </c>
      <c r="G2376" s="3">
        <f>IFERROR(__xludf.DUMMYFUNCTION("IF(F2376&lt;=0,0,IFERROR(ROUNDUP(F2376/INDEX(FILTER('warehouse config'!$D:$D,('warehouse config'!$B:$B=C2376)*('warehouse config'!$C:$C=D2376)*('warehouse config'!$G:$G&lt;=B2376)*(('warehouse config'!$H:$H&gt;=B2376)+ISBLANK('warehouse config'!$H:$H))),1)),0))"),0.0)</f>
        <v>0</v>
      </c>
      <c r="H2376" s="3">
        <f>IFERROR(__xludf.DUMMYFUNCTION("IFERROR(INDEX(FILTER('cost master'!$E:$E,('cost master'!$B:$B=C2376)*('cost master'!$D:$D=""Storage cost per pallet / week"")*('cost master'!$G:$G&lt;=B2376)*(('cost master'!$H:$H&gt;=B2376)+ISBLANK('cost master'!$H:$H))),1),0)"),0.0)</f>
        <v>0</v>
      </c>
      <c r="I2376" s="3">
        <f t="shared" si="4"/>
        <v>0</v>
      </c>
      <c r="J2376" s="27">
        <f t="shared" si="5"/>
        <v>693947</v>
      </c>
      <c r="K2376" s="27">
        <f t="shared" si="6"/>
        <v>693977</v>
      </c>
    </row>
    <row r="2377" hidden="1">
      <c r="A2377" s="3" t="str">
        <f t="shared" si="3"/>
        <v/>
      </c>
      <c r="B2377" s="2" t="str">
        <f t="array" ref="B2377">INDEX(helper!$A$3:$A3996,ROUNDUP((ROW()-1)/COUNTA(helper!$D$3:$D3996),0))</f>
        <v/>
      </c>
      <c r="C2377" s="5" t="str">
        <f t="array" ref="C2377">IF(B2377="","",INDEX(helper!$D$3:$D3996,MOD(ROW()-2,COUNTA(helper!$D$3:$D3996))+1))</f>
        <v/>
      </c>
      <c r="D2377" s="3" t="str">
        <f t="array" ref="D2377">IF(B2377="","",INDEX(helper!$E$3:$E3996,MOD(ROW()-2,COUNTA(helper!$D$3:$D3996))+1))</f>
        <v/>
      </c>
      <c r="E2377" s="3" t="str">
        <f t="array" ref="E2377">IF(B2377="","",INDEX(helper!$F$3:$F3996,MOD(ROW()-2,COUNTA(helper!$D$3:$D3996))+1))</f>
        <v/>
      </c>
      <c r="F2377" s="3" t="str">
        <f>IF(B2377="","",SUMIFS('inventory ledger'!$H:$H,'inventory ledger'!$C:$C,C2377,'inventory ledger'!$D:$D,D2377,'inventory ledger'!$E:$E,E2377,'inventory ledger'!$A:$A,"&lt;="&amp;B2377+TIME(23,59,59))-SUMIFS('inventory ledger'!$I:$I,'inventory ledger'!$C:$C,C2377,'inventory ledger'!$D:$D,D2377,'inventory ledger'!$E:$E,E2377,'inventory ledger'!$A:$A,"&lt;="&amp;B2377+TIME(23,59,59)))</f>
        <v/>
      </c>
      <c r="G2377" s="3">
        <f>IFERROR(__xludf.DUMMYFUNCTION("IF(F2377&lt;=0,0,IFERROR(ROUNDUP(F2377/INDEX(FILTER('warehouse config'!$D:$D,('warehouse config'!$B:$B=C2377)*('warehouse config'!$C:$C=D2377)*('warehouse config'!$G:$G&lt;=B2377)*(('warehouse config'!$H:$H&gt;=B2377)+ISBLANK('warehouse config'!$H:$H))),1)),0))"),0.0)</f>
        <v>0</v>
      </c>
      <c r="H2377" s="3">
        <f>IFERROR(__xludf.DUMMYFUNCTION("IFERROR(INDEX(FILTER('cost master'!$E:$E,('cost master'!$B:$B=C2377)*('cost master'!$D:$D=""Storage cost per pallet / week"")*('cost master'!$G:$G&lt;=B2377)*(('cost master'!$H:$H&gt;=B2377)+ISBLANK('cost master'!$H:$H))),1),0)"),0.0)</f>
        <v>0</v>
      </c>
      <c r="I2377" s="3">
        <f t="shared" si="4"/>
        <v>0</v>
      </c>
      <c r="J2377" s="27">
        <f t="shared" si="5"/>
        <v>693947</v>
      </c>
      <c r="K2377" s="27">
        <f t="shared" si="6"/>
        <v>693977</v>
      </c>
    </row>
    <row r="2378" hidden="1">
      <c r="A2378" s="3" t="str">
        <f t="shared" si="3"/>
        <v/>
      </c>
      <c r="B2378" s="2" t="str">
        <f t="array" ref="B2378">INDEX(helper!$A$3:$A3996,ROUNDUP((ROW()-1)/COUNTA(helper!$D$3:$D3996),0))</f>
        <v/>
      </c>
      <c r="C2378" s="5" t="str">
        <f t="array" ref="C2378">IF(B2378="","",INDEX(helper!$D$3:$D3996,MOD(ROW()-2,COUNTA(helper!$D$3:$D3996))+1))</f>
        <v/>
      </c>
      <c r="D2378" s="3" t="str">
        <f t="array" ref="D2378">IF(B2378="","",INDEX(helper!$E$3:$E3996,MOD(ROW()-2,COUNTA(helper!$D$3:$D3996))+1))</f>
        <v/>
      </c>
      <c r="E2378" s="3" t="str">
        <f t="array" ref="E2378">IF(B2378="","",INDEX(helper!$F$3:$F3996,MOD(ROW()-2,COUNTA(helper!$D$3:$D3996))+1))</f>
        <v/>
      </c>
      <c r="F2378" s="3" t="str">
        <f>IF(B2378="","",SUMIFS('inventory ledger'!$H:$H,'inventory ledger'!$C:$C,C2378,'inventory ledger'!$D:$D,D2378,'inventory ledger'!$E:$E,E2378,'inventory ledger'!$A:$A,"&lt;="&amp;B2378+TIME(23,59,59))-SUMIFS('inventory ledger'!$I:$I,'inventory ledger'!$C:$C,C2378,'inventory ledger'!$D:$D,D2378,'inventory ledger'!$E:$E,E2378,'inventory ledger'!$A:$A,"&lt;="&amp;B2378+TIME(23,59,59)))</f>
        <v/>
      </c>
      <c r="G2378" s="3">
        <f>IFERROR(__xludf.DUMMYFUNCTION("IF(F2378&lt;=0,0,IFERROR(ROUNDUP(F2378/INDEX(FILTER('warehouse config'!$D:$D,('warehouse config'!$B:$B=C2378)*('warehouse config'!$C:$C=D2378)*('warehouse config'!$G:$G&lt;=B2378)*(('warehouse config'!$H:$H&gt;=B2378)+ISBLANK('warehouse config'!$H:$H))),1)),0))"),0.0)</f>
        <v>0</v>
      </c>
      <c r="H2378" s="3">
        <f>IFERROR(__xludf.DUMMYFUNCTION("IFERROR(INDEX(FILTER('cost master'!$E:$E,('cost master'!$B:$B=C2378)*('cost master'!$D:$D=""Storage cost per pallet / week"")*('cost master'!$G:$G&lt;=B2378)*(('cost master'!$H:$H&gt;=B2378)+ISBLANK('cost master'!$H:$H))),1),0)"),0.0)</f>
        <v>0</v>
      </c>
      <c r="I2378" s="3">
        <f t="shared" si="4"/>
        <v>0</v>
      </c>
      <c r="J2378" s="27">
        <f t="shared" si="5"/>
        <v>693947</v>
      </c>
      <c r="K2378" s="27">
        <f t="shared" si="6"/>
        <v>693977</v>
      </c>
    </row>
    <row r="2379" hidden="1">
      <c r="A2379" s="3" t="str">
        <f t="shared" si="3"/>
        <v/>
      </c>
      <c r="B2379" s="2" t="str">
        <f t="array" ref="B2379">INDEX(helper!$A$3:$A3996,ROUNDUP((ROW()-1)/COUNTA(helper!$D$3:$D3996),0))</f>
        <v/>
      </c>
      <c r="C2379" s="5" t="str">
        <f t="array" ref="C2379">IF(B2379="","",INDEX(helper!$D$3:$D3996,MOD(ROW()-2,COUNTA(helper!$D$3:$D3996))+1))</f>
        <v/>
      </c>
      <c r="D2379" s="3" t="str">
        <f t="array" ref="D2379">IF(B2379="","",INDEX(helper!$E$3:$E3996,MOD(ROW()-2,COUNTA(helper!$D$3:$D3996))+1))</f>
        <v/>
      </c>
      <c r="E2379" s="3" t="str">
        <f t="array" ref="E2379">IF(B2379="","",INDEX(helper!$F$3:$F3996,MOD(ROW()-2,COUNTA(helper!$D$3:$D3996))+1))</f>
        <v/>
      </c>
      <c r="F2379" s="3" t="str">
        <f>IF(B2379="","",SUMIFS('inventory ledger'!$H:$H,'inventory ledger'!$C:$C,C2379,'inventory ledger'!$D:$D,D2379,'inventory ledger'!$E:$E,E2379,'inventory ledger'!$A:$A,"&lt;="&amp;B2379+TIME(23,59,59))-SUMIFS('inventory ledger'!$I:$I,'inventory ledger'!$C:$C,C2379,'inventory ledger'!$D:$D,D2379,'inventory ledger'!$E:$E,E2379,'inventory ledger'!$A:$A,"&lt;="&amp;B2379+TIME(23,59,59)))</f>
        <v/>
      </c>
      <c r="G2379" s="3">
        <f>IFERROR(__xludf.DUMMYFUNCTION("IF(F2379&lt;=0,0,IFERROR(ROUNDUP(F2379/INDEX(FILTER('warehouse config'!$D:$D,('warehouse config'!$B:$B=C2379)*('warehouse config'!$C:$C=D2379)*('warehouse config'!$G:$G&lt;=B2379)*(('warehouse config'!$H:$H&gt;=B2379)+ISBLANK('warehouse config'!$H:$H))),1)),0))"),0.0)</f>
        <v>0</v>
      </c>
      <c r="H2379" s="3">
        <f>IFERROR(__xludf.DUMMYFUNCTION("IFERROR(INDEX(FILTER('cost master'!$E:$E,('cost master'!$B:$B=C2379)*('cost master'!$D:$D=""Storage cost per pallet / week"")*('cost master'!$G:$G&lt;=B2379)*(('cost master'!$H:$H&gt;=B2379)+ISBLANK('cost master'!$H:$H))),1),0)"),0.0)</f>
        <v>0</v>
      </c>
      <c r="I2379" s="3">
        <f t="shared" si="4"/>
        <v>0</v>
      </c>
      <c r="J2379" s="27">
        <f t="shared" si="5"/>
        <v>693947</v>
      </c>
      <c r="K2379" s="27">
        <f t="shared" si="6"/>
        <v>693977</v>
      </c>
    </row>
    <row r="2380" hidden="1">
      <c r="A2380" s="3" t="str">
        <f t="shared" si="3"/>
        <v/>
      </c>
      <c r="B2380" s="2" t="str">
        <f t="array" ref="B2380">INDEX(helper!$A$3:$A3996,ROUNDUP((ROW()-1)/COUNTA(helper!$D$3:$D3996),0))</f>
        <v/>
      </c>
      <c r="C2380" s="5" t="str">
        <f t="array" ref="C2380">IF(B2380="","",INDEX(helper!$D$3:$D3996,MOD(ROW()-2,COUNTA(helper!$D$3:$D3996))+1))</f>
        <v/>
      </c>
      <c r="D2380" s="3" t="str">
        <f t="array" ref="D2380">IF(B2380="","",INDEX(helper!$E$3:$E3996,MOD(ROW()-2,COUNTA(helper!$D$3:$D3996))+1))</f>
        <v/>
      </c>
      <c r="E2380" s="3" t="str">
        <f t="array" ref="E2380">IF(B2380="","",INDEX(helper!$F$3:$F3996,MOD(ROW()-2,COUNTA(helper!$D$3:$D3996))+1))</f>
        <v/>
      </c>
      <c r="F2380" s="3" t="str">
        <f>IF(B2380="","",SUMIFS('inventory ledger'!$H:$H,'inventory ledger'!$C:$C,C2380,'inventory ledger'!$D:$D,D2380,'inventory ledger'!$E:$E,E2380,'inventory ledger'!$A:$A,"&lt;="&amp;B2380+TIME(23,59,59))-SUMIFS('inventory ledger'!$I:$I,'inventory ledger'!$C:$C,C2380,'inventory ledger'!$D:$D,D2380,'inventory ledger'!$E:$E,E2380,'inventory ledger'!$A:$A,"&lt;="&amp;B2380+TIME(23,59,59)))</f>
        <v/>
      </c>
      <c r="G2380" s="3">
        <f>IFERROR(__xludf.DUMMYFUNCTION("IF(F2380&lt;=0,0,IFERROR(ROUNDUP(F2380/INDEX(FILTER('warehouse config'!$D:$D,('warehouse config'!$B:$B=C2380)*('warehouse config'!$C:$C=D2380)*('warehouse config'!$G:$G&lt;=B2380)*(('warehouse config'!$H:$H&gt;=B2380)+ISBLANK('warehouse config'!$H:$H))),1)),0))"),0.0)</f>
        <v>0</v>
      </c>
      <c r="H2380" s="3">
        <f>IFERROR(__xludf.DUMMYFUNCTION("IFERROR(INDEX(FILTER('cost master'!$E:$E,('cost master'!$B:$B=C2380)*('cost master'!$D:$D=""Storage cost per pallet / week"")*('cost master'!$G:$G&lt;=B2380)*(('cost master'!$H:$H&gt;=B2380)+ISBLANK('cost master'!$H:$H))),1),0)"),0.0)</f>
        <v>0</v>
      </c>
      <c r="I2380" s="3">
        <f t="shared" si="4"/>
        <v>0</v>
      </c>
      <c r="J2380" s="27">
        <f t="shared" si="5"/>
        <v>693947</v>
      </c>
      <c r="K2380" s="27">
        <f t="shared" si="6"/>
        <v>693977</v>
      </c>
    </row>
    <row r="2381" hidden="1">
      <c r="A2381" s="3" t="str">
        <f t="shared" si="3"/>
        <v/>
      </c>
      <c r="B2381" s="2" t="str">
        <f t="array" ref="B2381">INDEX(helper!$A$3:$A3996,ROUNDUP((ROW()-1)/COUNTA(helper!$D$3:$D3996),0))</f>
        <v/>
      </c>
      <c r="C2381" s="5" t="str">
        <f t="array" ref="C2381">IF(B2381="","",INDEX(helper!$D$3:$D3996,MOD(ROW()-2,COUNTA(helper!$D$3:$D3996))+1))</f>
        <v/>
      </c>
      <c r="D2381" s="3" t="str">
        <f t="array" ref="D2381">IF(B2381="","",INDEX(helper!$E$3:$E3996,MOD(ROW()-2,COUNTA(helper!$D$3:$D3996))+1))</f>
        <v/>
      </c>
      <c r="E2381" s="3" t="str">
        <f t="array" ref="E2381">IF(B2381="","",INDEX(helper!$F$3:$F3996,MOD(ROW()-2,COUNTA(helper!$D$3:$D3996))+1))</f>
        <v/>
      </c>
      <c r="F2381" s="3" t="str">
        <f>IF(B2381="","",SUMIFS('inventory ledger'!$H:$H,'inventory ledger'!$C:$C,C2381,'inventory ledger'!$D:$D,D2381,'inventory ledger'!$E:$E,E2381,'inventory ledger'!$A:$A,"&lt;="&amp;B2381+TIME(23,59,59))-SUMIFS('inventory ledger'!$I:$I,'inventory ledger'!$C:$C,C2381,'inventory ledger'!$D:$D,D2381,'inventory ledger'!$E:$E,E2381,'inventory ledger'!$A:$A,"&lt;="&amp;B2381+TIME(23,59,59)))</f>
        <v/>
      </c>
      <c r="G2381" s="3">
        <f>IFERROR(__xludf.DUMMYFUNCTION("IF(F2381&lt;=0,0,IFERROR(ROUNDUP(F2381/INDEX(FILTER('warehouse config'!$D:$D,('warehouse config'!$B:$B=C2381)*('warehouse config'!$C:$C=D2381)*('warehouse config'!$G:$G&lt;=B2381)*(('warehouse config'!$H:$H&gt;=B2381)+ISBLANK('warehouse config'!$H:$H))),1)),0))"),0.0)</f>
        <v>0</v>
      </c>
      <c r="H2381" s="3">
        <f>IFERROR(__xludf.DUMMYFUNCTION("IFERROR(INDEX(FILTER('cost master'!$E:$E,('cost master'!$B:$B=C2381)*('cost master'!$D:$D=""Storage cost per pallet / week"")*('cost master'!$G:$G&lt;=B2381)*(('cost master'!$H:$H&gt;=B2381)+ISBLANK('cost master'!$H:$H))),1),0)"),0.0)</f>
        <v>0</v>
      </c>
      <c r="I2381" s="3">
        <f t="shared" si="4"/>
        <v>0</v>
      </c>
      <c r="J2381" s="27">
        <f t="shared" si="5"/>
        <v>693947</v>
      </c>
      <c r="K2381" s="27">
        <f t="shared" si="6"/>
        <v>693977</v>
      </c>
    </row>
    <row r="2382" hidden="1">
      <c r="A2382" s="3" t="str">
        <f t="shared" si="3"/>
        <v/>
      </c>
      <c r="B2382" s="2" t="str">
        <f t="array" ref="B2382">INDEX(helper!$A$3:$A3996,ROUNDUP((ROW()-1)/COUNTA(helper!$D$3:$D3996),0))</f>
        <v/>
      </c>
      <c r="C2382" s="5" t="str">
        <f t="array" ref="C2382">IF(B2382="","",INDEX(helper!$D$3:$D3996,MOD(ROW()-2,COUNTA(helper!$D$3:$D3996))+1))</f>
        <v/>
      </c>
      <c r="D2382" s="3" t="str">
        <f t="array" ref="D2382">IF(B2382="","",INDEX(helper!$E$3:$E3996,MOD(ROW()-2,COUNTA(helper!$D$3:$D3996))+1))</f>
        <v/>
      </c>
      <c r="E2382" s="3" t="str">
        <f t="array" ref="E2382">IF(B2382="","",INDEX(helper!$F$3:$F3996,MOD(ROW()-2,COUNTA(helper!$D$3:$D3996))+1))</f>
        <v/>
      </c>
      <c r="F2382" s="3" t="str">
        <f>IF(B2382="","",SUMIFS('inventory ledger'!$H:$H,'inventory ledger'!$C:$C,C2382,'inventory ledger'!$D:$D,D2382,'inventory ledger'!$E:$E,E2382,'inventory ledger'!$A:$A,"&lt;="&amp;B2382+TIME(23,59,59))-SUMIFS('inventory ledger'!$I:$I,'inventory ledger'!$C:$C,C2382,'inventory ledger'!$D:$D,D2382,'inventory ledger'!$E:$E,E2382,'inventory ledger'!$A:$A,"&lt;="&amp;B2382+TIME(23,59,59)))</f>
        <v/>
      </c>
      <c r="G2382" s="3">
        <f>IFERROR(__xludf.DUMMYFUNCTION("IF(F2382&lt;=0,0,IFERROR(ROUNDUP(F2382/INDEX(FILTER('warehouse config'!$D:$D,('warehouse config'!$B:$B=C2382)*('warehouse config'!$C:$C=D2382)*('warehouse config'!$G:$G&lt;=B2382)*(('warehouse config'!$H:$H&gt;=B2382)+ISBLANK('warehouse config'!$H:$H))),1)),0))"),0.0)</f>
        <v>0</v>
      </c>
      <c r="H2382" s="3">
        <f>IFERROR(__xludf.DUMMYFUNCTION("IFERROR(INDEX(FILTER('cost master'!$E:$E,('cost master'!$B:$B=C2382)*('cost master'!$D:$D=""Storage cost per pallet / week"")*('cost master'!$G:$G&lt;=B2382)*(('cost master'!$H:$H&gt;=B2382)+ISBLANK('cost master'!$H:$H))),1),0)"),0.0)</f>
        <v>0</v>
      </c>
      <c r="I2382" s="3">
        <f t="shared" si="4"/>
        <v>0</v>
      </c>
      <c r="J2382" s="27">
        <f t="shared" si="5"/>
        <v>693947</v>
      </c>
      <c r="K2382" s="27">
        <f t="shared" si="6"/>
        <v>693977</v>
      </c>
    </row>
    <row r="2383" hidden="1">
      <c r="A2383" s="3" t="str">
        <f t="shared" si="3"/>
        <v/>
      </c>
      <c r="B2383" s="2" t="str">
        <f t="array" ref="B2383">INDEX(helper!$A$3:$A3996,ROUNDUP((ROW()-1)/COUNTA(helper!$D$3:$D3996),0))</f>
        <v/>
      </c>
      <c r="C2383" s="5" t="str">
        <f t="array" ref="C2383">IF(B2383="","",INDEX(helper!$D$3:$D3996,MOD(ROW()-2,COUNTA(helper!$D$3:$D3996))+1))</f>
        <v/>
      </c>
      <c r="D2383" s="3" t="str">
        <f t="array" ref="D2383">IF(B2383="","",INDEX(helper!$E$3:$E3996,MOD(ROW()-2,COUNTA(helper!$D$3:$D3996))+1))</f>
        <v/>
      </c>
      <c r="E2383" s="3" t="str">
        <f t="array" ref="E2383">IF(B2383="","",INDEX(helper!$F$3:$F3996,MOD(ROW()-2,COUNTA(helper!$D$3:$D3996))+1))</f>
        <v/>
      </c>
      <c r="F2383" s="3" t="str">
        <f>IF(B2383="","",SUMIFS('inventory ledger'!$H:$H,'inventory ledger'!$C:$C,C2383,'inventory ledger'!$D:$D,D2383,'inventory ledger'!$E:$E,E2383,'inventory ledger'!$A:$A,"&lt;="&amp;B2383+TIME(23,59,59))-SUMIFS('inventory ledger'!$I:$I,'inventory ledger'!$C:$C,C2383,'inventory ledger'!$D:$D,D2383,'inventory ledger'!$E:$E,E2383,'inventory ledger'!$A:$A,"&lt;="&amp;B2383+TIME(23,59,59)))</f>
        <v/>
      </c>
      <c r="G2383" s="3">
        <f>IFERROR(__xludf.DUMMYFUNCTION("IF(F2383&lt;=0,0,IFERROR(ROUNDUP(F2383/INDEX(FILTER('warehouse config'!$D:$D,('warehouse config'!$B:$B=C2383)*('warehouse config'!$C:$C=D2383)*('warehouse config'!$G:$G&lt;=B2383)*(('warehouse config'!$H:$H&gt;=B2383)+ISBLANK('warehouse config'!$H:$H))),1)),0))"),0.0)</f>
        <v>0</v>
      </c>
      <c r="H2383" s="3">
        <f>IFERROR(__xludf.DUMMYFUNCTION("IFERROR(INDEX(FILTER('cost master'!$E:$E,('cost master'!$B:$B=C2383)*('cost master'!$D:$D=""Storage cost per pallet / week"")*('cost master'!$G:$G&lt;=B2383)*(('cost master'!$H:$H&gt;=B2383)+ISBLANK('cost master'!$H:$H))),1),0)"),0.0)</f>
        <v>0</v>
      </c>
      <c r="I2383" s="3">
        <f t="shared" si="4"/>
        <v>0</v>
      </c>
      <c r="J2383" s="27">
        <f t="shared" si="5"/>
        <v>693947</v>
      </c>
      <c r="K2383" s="27">
        <f t="shared" si="6"/>
        <v>693977</v>
      </c>
    </row>
    <row r="2384" hidden="1">
      <c r="A2384" s="3" t="str">
        <f t="shared" si="3"/>
        <v/>
      </c>
      <c r="B2384" s="2" t="str">
        <f t="array" ref="B2384">INDEX(helper!$A$3:$A3996,ROUNDUP((ROW()-1)/COUNTA(helper!$D$3:$D3996),0))</f>
        <v/>
      </c>
      <c r="C2384" s="5" t="str">
        <f t="array" ref="C2384">IF(B2384="","",INDEX(helper!$D$3:$D3996,MOD(ROW()-2,COUNTA(helper!$D$3:$D3996))+1))</f>
        <v/>
      </c>
      <c r="D2384" s="3" t="str">
        <f t="array" ref="D2384">IF(B2384="","",INDEX(helper!$E$3:$E3996,MOD(ROW()-2,COUNTA(helper!$D$3:$D3996))+1))</f>
        <v/>
      </c>
      <c r="E2384" s="3" t="str">
        <f t="array" ref="E2384">IF(B2384="","",INDEX(helper!$F$3:$F3996,MOD(ROW()-2,COUNTA(helper!$D$3:$D3996))+1))</f>
        <v/>
      </c>
      <c r="F2384" s="3" t="str">
        <f>IF(B2384="","",SUMIFS('inventory ledger'!$H:$H,'inventory ledger'!$C:$C,C2384,'inventory ledger'!$D:$D,D2384,'inventory ledger'!$E:$E,E2384,'inventory ledger'!$A:$A,"&lt;="&amp;B2384+TIME(23,59,59))-SUMIFS('inventory ledger'!$I:$I,'inventory ledger'!$C:$C,C2384,'inventory ledger'!$D:$D,D2384,'inventory ledger'!$E:$E,E2384,'inventory ledger'!$A:$A,"&lt;="&amp;B2384+TIME(23,59,59)))</f>
        <v/>
      </c>
      <c r="G2384" s="3">
        <f>IFERROR(__xludf.DUMMYFUNCTION("IF(F2384&lt;=0,0,IFERROR(ROUNDUP(F2384/INDEX(FILTER('warehouse config'!$D:$D,('warehouse config'!$B:$B=C2384)*('warehouse config'!$C:$C=D2384)*('warehouse config'!$G:$G&lt;=B2384)*(('warehouse config'!$H:$H&gt;=B2384)+ISBLANK('warehouse config'!$H:$H))),1)),0))"),0.0)</f>
        <v>0</v>
      </c>
      <c r="H2384" s="3">
        <f>IFERROR(__xludf.DUMMYFUNCTION("IFERROR(INDEX(FILTER('cost master'!$E:$E,('cost master'!$B:$B=C2384)*('cost master'!$D:$D=""Storage cost per pallet / week"")*('cost master'!$G:$G&lt;=B2384)*(('cost master'!$H:$H&gt;=B2384)+ISBLANK('cost master'!$H:$H))),1),0)"),0.0)</f>
        <v>0</v>
      </c>
      <c r="I2384" s="3">
        <f t="shared" si="4"/>
        <v>0</v>
      </c>
      <c r="J2384" s="27">
        <f t="shared" si="5"/>
        <v>693947</v>
      </c>
      <c r="K2384" s="27">
        <f t="shared" si="6"/>
        <v>693977</v>
      </c>
    </row>
    <row r="2385" hidden="1">
      <c r="A2385" s="3" t="str">
        <f t="shared" si="3"/>
        <v/>
      </c>
      <c r="B2385" s="2" t="str">
        <f t="array" ref="B2385">INDEX(helper!$A$3:$A3996,ROUNDUP((ROW()-1)/COUNTA(helper!$D$3:$D3996),0))</f>
        <v/>
      </c>
      <c r="C2385" s="5" t="str">
        <f t="array" ref="C2385">IF(B2385="","",INDEX(helper!$D$3:$D3996,MOD(ROW()-2,COUNTA(helper!$D$3:$D3996))+1))</f>
        <v/>
      </c>
      <c r="D2385" s="3" t="str">
        <f t="array" ref="D2385">IF(B2385="","",INDEX(helper!$E$3:$E3996,MOD(ROW()-2,COUNTA(helper!$D$3:$D3996))+1))</f>
        <v/>
      </c>
      <c r="E2385" s="3" t="str">
        <f t="array" ref="E2385">IF(B2385="","",INDEX(helper!$F$3:$F3996,MOD(ROW()-2,COUNTA(helper!$D$3:$D3996))+1))</f>
        <v/>
      </c>
      <c r="F2385" s="3" t="str">
        <f>IF(B2385="","",SUMIFS('inventory ledger'!$H:$H,'inventory ledger'!$C:$C,C2385,'inventory ledger'!$D:$D,D2385,'inventory ledger'!$E:$E,E2385,'inventory ledger'!$A:$A,"&lt;="&amp;B2385+TIME(23,59,59))-SUMIFS('inventory ledger'!$I:$I,'inventory ledger'!$C:$C,C2385,'inventory ledger'!$D:$D,D2385,'inventory ledger'!$E:$E,E2385,'inventory ledger'!$A:$A,"&lt;="&amp;B2385+TIME(23,59,59)))</f>
        <v/>
      </c>
      <c r="G2385" s="3">
        <f>IFERROR(__xludf.DUMMYFUNCTION("IF(F2385&lt;=0,0,IFERROR(ROUNDUP(F2385/INDEX(FILTER('warehouse config'!$D:$D,('warehouse config'!$B:$B=C2385)*('warehouse config'!$C:$C=D2385)*('warehouse config'!$G:$G&lt;=B2385)*(('warehouse config'!$H:$H&gt;=B2385)+ISBLANK('warehouse config'!$H:$H))),1)),0))"),0.0)</f>
        <v>0</v>
      </c>
      <c r="H2385" s="3">
        <f>IFERROR(__xludf.DUMMYFUNCTION("IFERROR(INDEX(FILTER('cost master'!$E:$E,('cost master'!$B:$B=C2385)*('cost master'!$D:$D=""Storage cost per pallet / week"")*('cost master'!$G:$G&lt;=B2385)*(('cost master'!$H:$H&gt;=B2385)+ISBLANK('cost master'!$H:$H))),1),0)"),0.0)</f>
        <v>0</v>
      </c>
      <c r="I2385" s="3">
        <f t="shared" si="4"/>
        <v>0</v>
      </c>
      <c r="J2385" s="27">
        <f t="shared" si="5"/>
        <v>693947</v>
      </c>
      <c r="K2385" s="27">
        <f t="shared" si="6"/>
        <v>693977</v>
      </c>
    </row>
    <row r="2386" hidden="1">
      <c r="A2386" s="3" t="str">
        <f t="shared" si="3"/>
        <v/>
      </c>
      <c r="B2386" s="2" t="str">
        <f t="array" ref="B2386">INDEX(helper!$A$3:$A3996,ROUNDUP((ROW()-1)/COUNTA(helper!$D$3:$D3996),0))</f>
        <v/>
      </c>
      <c r="C2386" s="5" t="str">
        <f t="array" ref="C2386">IF(B2386="","",INDEX(helper!$D$3:$D3996,MOD(ROW()-2,COUNTA(helper!$D$3:$D3996))+1))</f>
        <v/>
      </c>
      <c r="D2386" s="3" t="str">
        <f t="array" ref="D2386">IF(B2386="","",INDEX(helper!$E$3:$E3996,MOD(ROW()-2,COUNTA(helper!$D$3:$D3996))+1))</f>
        <v/>
      </c>
      <c r="E2386" s="3" t="str">
        <f t="array" ref="E2386">IF(B2386="","",INDEX(helper!$F$3:$F3996,MOD(ROW()-2,COUNTA(helper!$D$3:$D3996))+1))</f>
        <v/>
      </c>
      <c r="F2386" s="3" t="str">
        <f>IF(B2386="","",SUMIFS('inventory ledger'!$H:$H,'inventory ledger'!$C:$C,C2386,'inventory ledger'!$D:$D,D2386,'inventory ledger'!$E:$E,E2386,'inventory ledger'!$A:$A,"&lt;="&amp;B2386+TIME(23,59,59))-SUMIFS('inventory ledger'!$I:$I,'inventory ledger'!$C:$C,C2386,'inventory ledger'!$D:$D,D2386,'inventory ledger'!$E:$E,E2386,'inventory ledger'!$A:$A,"&lt;="&amp;B2386+TIME(23,59,59)))</f>
        <v/>
      </c>
      <c r="G2386" s="3">
        <f>IFERROR(__xludf.DUMMYFUNCTION("IF(F2386&lt;=0,0,IFERROR(ROUNDUP(F2386/INDEX(FILTER('warehouse config'!$D:$D,('warehouse config'!$B:$B=C2386)*('warehouse config'!$C:$C=D2386)*('warehouse config'!$G:$G&lt;=B2386)*(('warehouse config'!$H:$H&gt;=B2386)+ISBLANK('warehouse config'!$H:$H))),1)),0))"),0.0)</f>
        <v>0</v>
      </c>
      <c r="H2386" s="3">
        <f>IFERROR(__xludf.DUMMYFUNCTION("IFERROR(INDEX(FILTER('cost master'!$E:$E,('cost master'!$B:$B=C2386)*('cost master'!$D:$D=""Storage cost per pallet / week"")*('cost master'!$G:$G&lt;=B2386)*(('cost master'!$H:$H&gt;=B2386)+ISBLANK('cost master'!$H:$H))),1),0)"),0.0)</f>
        <v>0</v>
      </c>
      <c r="I2386" s="3">
        <f t="shared" si="4"/>
        <v>0</v>
      </c>
      <c r="J2386" s="27">
        <f t="shared" si="5"/>
        <v>693947</v>
      </c>
      <c r="K2386" s="27">
        <f t="shared" si="6"/>
        <v>693977</v>
      </c>
    </row>
    <row r="2387" hidden="1">
      <c r="A2387" s="3" t="str">
        <f t="shared" si="3"/>
        <v/>
      </c>
      <c r="B2387" s="2" t="str">
        <f t="array" ref="B2387">INDEX(helper!$A$3:$A3996,ROUNDUP((ROW()-1)/COUNTA(helper!$D$3:$D3996),0))</f>
        <v/>
      </c>
      <c r="C2387" s="5" t="str">
        <f t="array" ref="C2387">IF(B2387="","",INDEX(helper!$D$3:$D3996,MOD(ROW()-2,COUNTA(helper!$D$3:$D3996))+1))</f>
        <v/>
      </c>
      <c r="D2387" s="3" t="str">
        <f t="array" ref="D2387">IF(B2387="","",INDEX(helper!$E$3:$E3996,MOD(ROW()-2,COUNTA(helper!$D$3:$D3996))+1))</f>
        <v/>
      </c>
      <c r="E2387" s="3" t="str">
        <f t="array" ref="E2387">IF(B2387="","",INDEX(helper!$F$3:$F3996,MOD(ROW()-2,COUNTA(helper!$D$3:$D3996))+1))</f>
        <v/>
      </c>
      <c r="F2387" s="3" t="str">
        <f>IF(B2387="","",SUMIFS('inventory ledger'!$H:$H,'inventory ledger'!$C:$C,C2387,'inventory ledger'!$D:$D,D2387,'inventory ledger'!$E:$E,E2387,'inventory ledger'!$A:$A,"&lt;="&amp;B2387+TIME(23,59,59))-SUMIFS('inventory ledger'!$I:$I,'inventory ledger'!$C:$C,C2387,'inventory ledger'!$D:$D,D2387,'inventory ledger'!$E:$E,E2387,'inventory ledger'!$A:$A,"&lt;="&amp;B2387+TIME(23,59,59)))</f>
        <v/>
      </c>
      <c r="G2387" s="3">
        <f>IFERROR(__xludf.DUMMYFUNCTION("IF(F2387&lt;=0,0,IFERROR(ROUNDUP(F2387/INDEX(FILTER('warehouse config'!$D:$D,('warehouse config'!$B:$B=C2387)*('warehouse config'!$C:$C=D2387)*('warehouse config'!$G:$G&lt;=B2387)*(('warehouse config'!$H:$H&gt;=B2387)+ISBLANK('warehouse config'!$H:$H))),1)),0))"),0.0)</f>
        <v>0</v>
      </c>
      <c r="H2387" s="3">
        <f>IFERROR(__xludf.DUMMYFUNCTION("IFERROR(INDEX(FILTER('cost master'!$E:$E,('cost master'!$B:$B=C2387)*('cost master'!$D:$D=""Storage cost per pallet / week"")*('cost master'!$G:$G&lt;=B2387)*(('cost master'!$H:$H&gt;=B2387)+ISBLANK('cost master'!$H:$H))),1),0)"),0.0)</f>
        <v>0</v>
      </c>
      <c r="I2387" s="3">
        <f t="shared" si="4"/>
        <v>0</v>
      </c>
      <c r="J2387" s="27">
        <f t="shared" si="5"/>
        <v>693947</v>
      </c>
      <c r="K2387" s="27">
        <f t="shared" si="6"/>
        <v>693977</v>
      </c>
    </row>
    <row r="2388" hidden="1">
      <c r="A2388" s="3" t="str">
        <f t="shared" si="3"/>
        <v/>
      </c>
      <c r="B2388" s="2" t="str">
        <f t="array" ref="B2388">INDEX(helper!$A$3:$A3996,ROUNDUP((ROW()-1)/COUNTA(helper!$D$3:$D3996),0))</f>
        <v/>
      </c>
      <c r="C2388" s="5" t="str">
        <f t="array" ref="C2388">IF(B2388="","",INDEX(helper!$D$3:$D3996,MOD(ROW()-2,COUNTA(helper!$D$3:$D3996))+1))</f>
        <v/>
      </c>
      <c r="D2388" s="3" t="str">
        <f t="array" ref="D2388">IF(B2388="","",INDEX(helper!$E$3:$E3996,MOD(ROW()-2,COUNTA(helper!$D$3:$D3996))+1))</f>
        <v/>
      </c>
      <c r="E2388" s="3" t="str">
        <f t="array" ref="E2388">IF(B2388="","",INDEX(helper!$F$3:$F3996,MOD(ROW()-2,COUNTA(helper!$D$3:$D3996))+1))</f>
        <v/>
      </c>
      <c r="F2388" s="3" t="str">
        <f>IF(B2388="","",SUMIFS('inventory ledger'!$H:$H,'inventory ledger'!$C:$C,C2388,'inventory ledger'!$D:$D,D2388,'inventory ledger'!$E:$E,E2388,'inventory ledger'!$A:$A,"&lt;="&amp;B2388+TIME(23,59,59))-SUMIFS('inventory ledger'!$I:$I,'inventory ledger'!$C:$C,C2388,'inventory ledger'!$D:$D,D2388,'inventory ledger'!$E:$E,E2388,'inventory ledger'!$A:$A,"&lt;="&amp;B2388+TIME(23,59,59)))</f>
        <v/>
      </c>
      <c r="G2388" s="3">
        <f>IFERROR(__xludf.DUMMYFUNCTION("IF(F2388&lt;=0,0,IFERROR(ROUNDUP(F2388/INDEX(FILTER('warehouse config'!$D:$D,('warehouse config'!$B:$B=C2388)*('warehouse config'!$C:$C=D2388)*('warehouse config'!$G:$G&lt;=B2388)*(('warehouse config'!$H:$H&gt;=B2388)+ISBLANK('warehouse config'!$H:$H))),1)),0))"),0.0)</f>
        <v>0</v>
      </c>
      <c r="H2388" s="3">
        <f>IFERROR(__xludf.DUMMYFUNCTION("IFERROR(INDEX(FILTER('cost master'!$E:$E,('cost master'!$B:$B=C2388)*('cost master'!$D:$D=""Storage cost per pallet / week"")*('cost master'!$G:$G&lt;=B2388)*(('cost master'!$H:$H&gt;=B2388)+ISBLANK('cost master'!$H:$H))),1),0)"),0.0)</f>
        <v>0</v>
      </c>
      <c r="I2388" s="3">
        <f t="shared" si="4"/>
        <v>0</v>
      </c>
      <c r="J2388" s="27">
        <f t="shared" si="5"/>
        <v>693947</v>
      </c>
      <c r="K2388" s="27">
        <f t="shared" si="6"/>
        <v>693977</v>
      </c>
    </row>
    <row r="2389" hidden="1">
      <c r="A2389" s="3" t="str">
        <f t="shared" si="3"/>
        <v/>
      </c>
      <c r="B2389" s="2" t="str">
        <f t="array" ref="B2389">INDEX(helper!$A$3:$A3996,ROUNDUP((ROW()-1)/COUNTA(helper!$D$3:$D3996),0))</f>
        <v/>
      </c>
      <c r="C2389" s="5" t="str">
        <f t="array" ref="C2389">IF(B2389="","",INDEX(helper!$D$3:$D3996,MOD(ROW()-2,COUNTA(helper!$D$3:$D3996))+1))</f>
        <v/>
      </c>
      <c r="D2389" s="3" t="str">
        <f t="array" ref="D2389">IF(B2389="","",INDEX(helper!$E$3:$E3996,MOD(ROW()-2,COUNTA(helper!$D$3:$D3996))+1))</f>
        <v/>
      </c>
      <c r="E2389" s="3" t="str">
        <f t="array" ref="E2389">IF(B2389="","",INDEX(helper!$F$3:$F3996,MOD(ROW()-2,COUNTA(helper!$D$3:$D3996))+1))</f>
        <v/>
      </c>
      <c r="F2389" s="3" t="str">
        <f>IF(B2389="","",SUMIFS('inventory ledger'!$H:$H,'inventory ledger'!$C:$C,C2389,'inventory ledger'!$D:$D,D2389,'inventory ledger'!$E:$E,E2389,'inventory ledger'!$A:$A,"&lt;="&amp;B2389+TIME(23,59,59))-SUMIFS('inventory ledger'!$I:$I,'inventory ledger'!$C:$C,C2389,'inventory ledger'!$D:$D,D2389,'inventory ledger'!$E:$E,E2389,'inventory ledger'!$A:$A,"&lt;="&amp;B2389+TIME(23,59,59)))</f>
        <v/>
      </c>
      <c r="G2389" s="3">
        <f>IFERROR(__xludf.DUMMYFUNCTION("IF(F2389&lt;=0,0,IFERROR(ROUNDUP(F2389/INDEX(FILTER('warehouse config'!$D:$D,('warehouse config'!$B:$B=C2389)*('warehouse config'!$C:$C=D2389)*('warehouse config'!$G:$G&lt;=B2389)*(('warehouse config'!$H:$H&gt;=B2389)+ISBLANK('warehouse config'!$H:$H))),1)),0))"),0.0)</f>
        <v>0</v>
      </c>
      <c r="H2389" s="3">
        <f>IFERROR(__xludf.DUMMYFUNCTION("IFERROR(INDEX(FILTER('cost master'!$E:$E,('cost master'!$B:$B=C2389)*('cost master'!$D:$D=""Storage cost per pallet / week"")*('cost master'!$G:$G&lt;=B2389)*(('cost master'!$H:$H&gt;=B2389)+ISBLANK('cost master'!$H:$H))),1),0)"),0.0)</f>
        <v>0</v>
      </c>
      <c r="I2389" s="3">
        <f t="shared" si="4"/>
        <v>0</v>
      </c>
      <c r="J2389" s="27">
        <f t="shared" si="5"/>
        <v>693947</v>
      </c>
      <c r="K2389" s="27">
        <f t="shared" si="6"/>
        <v>693977</v>
      </c>
    </row>
    <row r="2390" hidden="1">
      <c r="A2390" s="3" t="str">
        <f t="shared" si="3"/>
        <v/>
      </c>
      <c r="B2390" s="2" t="str">
        <f t="array" ref="B2390">INDEX(helper!$A$3:$A3996,ROUNDUP((ROW()-1)/COUNTA(helper!$D$3:$D3996),0))</f>
        <v/>
      </c>
      <c r="C2390" s="5" t="str">
        <f t="array" ref="C2390">IF(B2390="","",INDEX(helper!$D$3:$D3996,MOD(ROW()-2,COUNTA(helper!$D$3:$D3996))+1))</f>
        <v/>
      </c>
      <c r="D2390" s="3" t="str">
        <f t="array" ref="D2390">IF(B2390="","",INDEX(helper!$E$3:$E3996,MOD(ROW()-2,COUNTA(helper!$D$3:$D3996))+1))</f>
        <v/>
      </c>
      <c r="E2390" s="3" t="str">
        <f t="array" ref="E2390">IF(B2390="","",INDEX(helper!$F$3:$F3996,MOD(ROW()-2,COUNTA(helper!$D$3:$D3996))+1))</f>
        <v/>
      </c>
      <c r="F2390" s="3" t="str">
        <f>IF(B2390="","",SUMIFS('inventory ledger'!$H:$H,'inventory ledger'!$C:$C,C2390,'inventory ledger'!$D:$D,D2390,'inventory ledger'!$E:$E,E2390,'inventory ledger'!$A:$A,"&lt;="&amp;B2390+TIME(23,59,59))-SUMIFS('inventory ledger'!$I:$I,'inventory ledger'!$C:$C,C2390,'inventory ledger'!$D:$D,D2390,'inventory ledger'!$E:$E,E2390,'inventory ledger'!$A:$A,"&lt;="&amp;B2390+TIME(23,59,59)))</f>
        <v/>
      </c>
      <c r="G2390" s="3">
        <f>IFERROR(__xludf.DUMMYFUNCTION("IF(F2390&lt;=0,0,IFERROR(ROUNDUP(F2390/INDEX(FILTER('warehouse config'!$D:$D,('warehouse config'!$B:$B=C2390)*('warehouse config'!$C:$C=D2390)*('warehouse config'!$G:$G&lt;=B2390)*(('warehouse config'!$H:$H&gt;=B2390)+ISBLANK('warehouse config'!$H:$H))),1)),0))"),0.0)</f>
        <v>0</v>
      </c>
      <c r="H2390" s="3">
        <f>IFERROR(__xludf.DUMMYFUNCTION("IFERROR(INDEX(FILTER('cost master'!$E:$E,('cost master'!$B:$B=C2390)*('cost master'!$D:$D=""Storage cost per pallet / week"")*('cost master'!$G:$G&lt;=B2390)*(('cost master'!$H:$H&gt;=B2390)+ISBLANK('cost master'!$H:$H))),1),0)"),0.0)</f>
        <v>0</v>
      </c>
      <c r="I2390" s="3">
        <f t="shared" si="4"/>
        <v>0</v>
      </c>
      <c r="J2390" s="27">
        <f t="shared" si="5"/>
        <v>693947</v>
      </c>
      <c r="K2390" s="27">
        <f t="shared" si="6"/>
        <v>693977</v>
      </c>
    </row>
    <row r="2391" hidden="1">
      <c r="A2391" s="3" t="str">
        <f t="shared" si="3"/>
        <v/>
      </c>
      <c r="B2391" s="2" t="str">
        <f t="array" ref="B2391">INDEX(helper!$A$3:$A3996,ROUNDUP((ROW()-1)/COUNTA(helper!$D$3:$D3996),0))</f>
        <v/>
      </c>
      <c r="C2391" s="5" t="str">
        <f t="array" ref="C2391">IF(B2391="","",INDEX(helper!$D$3:$D3996,MOD(ROW()-2,COUNTA(helper!$D$3:$D3996))+1))</f>
        <v/>
      </c>
      <c r="D2391" s="3" t="str">
        <f t="array" ref="D2391">IF(B2391="","",INDEX(helper!$E$3:$E3996,MOD(ROW()-2,COUNTA(helper!$D$3:$D3996))+1))</f>
        <v/>
      </c>
      <c r="E2391" s="3" t="str">
        <f t="array" ref="E2391">IF(B2391="","",INDEX(helper!$F$3:$F3996,MOD(ROW()-2,COUNTA(helper!$D$3:$D3996))+1))</f>
        <v/>
      </c>
      <c r="F2391" s="3" t="str">
        <f>IF(B2391="","",SUMIFS('inventory ledger'!$H:$H,'inventory ledger'!$C:$C,C2391,'inventory ledger'!$D:$D,D2391,'inventory ledger'!$E:$E,E2391,'inventory ledger'!$A:$A,"&lt;="&amp;B2391+TIME(23,59,59))-SUMIFS('inventory ledger'!$I:$I,'inventory ledger'!$C:$C,C2391,'inventory ledger'!$D:$D,D2391,'inventory ledger'!$E:$E,E2391,'inventory ledger'!$A:$A,"&lt;="&amp;B2391+TIME(23,59,59)))</f>
        <v/>
      </c>
      <c r="G2391" s="3">
        <f>IFERROR(__xludf.DUMMYFUNCTION("IF(F2391&lt;=0,0,IFERROR(ROUNDUP(F2391/INDEX(FILTER('warehouse config'!$D:$D,('warehouse config'!$B:$B=C2391)*('warehouse config'!$C:$C=D2391)*('warehouse config'!$G:$G&lt;=B2391)*(('warehouse config'!$H:$H&gt;=B2391)+ISBLANK('warehouse config'!$H:$H))),1)),0))"),0.0)</f>
        <v>0</v>
      </c>
      <c r="H2391" s="3">
        <f>IFERROR(__xludf.DUMMYFUNCTION("IFERROR(INDEX(FILTER('cost master'!$E:$E,('cost master'!$B:$B=C2391)*('cost master'!$D:$D=""Storage cost per pallet / week"")*('cost master'!$G:$G&lt;=B2391)*(('cost master'!$H:$H&gt;=B2391)+ISBLANK('cost master'!$H:$H))),1),0)"),0.0)</f>
        <v>0</v>
      </c>
      <c r="I2391" s="3">
        <f t="shared" si="4"/>
        <v>0</v>
      </c>
      <c r="J2391" s="27">
        <f t="shared" si="5"/>
        <v>693947</v>
      </c>
      <c r="K2391" s="27">
        <f t="shared" si="6"/>
        <v>693977</v>
      </c>
    </row>
    <row r="2392" hidden="1">
      <c r="A2392" s="3" t="str">
        <f t="shared" si="3"/>
        <v/>
      </c>
      <c r="B2392" s="2" t="str">
        <f t="array" ref="B2392">INDEX(helper!$A$3:$A3996,ROUNDUP((ROW()-1)/COUNTA(helper!$D$3:$D3996),0))</f>
        <v/>
      </c>
      <c r="C2392" s="5" t="str">
        <f t="array" ref="C2392">IF(B2392="","",INDEX(helper!$D$3:$D3996,MOD(ROW()-2,COUNTA(helper!$D$3:$D3996))+1))</f>
        <v/>
      </c>
      <c r="D2392" s="3" t="str">
        <f t="array" ref="D2392">IF(B2392="","",INDEX(helper!$E$3:$E3996,MOD(ROW()-2,COUNTA(helper!$D$3:$D3996))+1))</f>
        <v/>
      </c>
      <c r="E2392" s="3" t="str">
        <f t="array" ref="E2392">IF(B2392="","",INDEX(helper!$F$3:$F3996,MOD(ROW()-2,COUNTA(helper!$D$3:$D3996))+1))</f>
        <v/>
      </c>
      <c r="F2392" s="3" t="str">
        <f>IF(B2392="","",SUMIFS('inventory ledger'!$H:$H,'inventory ledger'!$C:$C,C2392,'inventory ledger'!$D:$D,D2392,'inventory ledger'!$E:$E,E2392,'inventory ledger'!$A:$A,"&lt;="&amp;B2392+TIME(23,59,59))-SUMIFS('inventory ledger'!$I:$I,'inventory ledger'!$C:$C,C2392,'inventory ledger'!$D:$D,D2392,'inventory ledger'!$E:$E,E2392,'inventory ledger'!$A:$A,"&lt;="&amp;B2392+TIME(23,59,59)))</f>
        <v/>
      </c>
      <c r="G2392" s="3">
        <f>IFERROR(__xludf.DUMMYFUNCTION("IF(F2392&lt;=0,0,IFERROR(ROUNDUP(F2392/INDEX(FILTER('warehouse config'!$D:$D,('warehouse config'!$B:$B=C2392)*('warehouse config'!$C:$C=D2392)*('warehouse config'!$G:$G&lt;=B2392)*(('warehouse config'!$H:$H&gt;=B2392)+ISBLANK('warehouse config'!$H:$H))),1)),0))"),0.0)</f>
        <v>0</v>
      </c>
      <c r="H2392" s="3">
        <f>IFERROR(__xludf.DUMMYFUNCTION("IFERROR(INDEX(FILTER('cost master'!$E:$E,('cost master'!$B:$B=C2392)*('cost master'!$D:$D=""Storage cost per pallet / week"")*('cost master'!$G:$G&lt;=B2392)*(('cost master'!$H:$H&gt;=B2392)+ISBLANK('cost master'!$H:$H))),1),0)"),0.0)</f>
        <v>0</v>
      </c>
      <c r="I2392" s="3">
        <f t="shared" si="4"/>
        <v>0</v>
      </c>
      <c r="J2392" s="27">
        <f t="shared" si="5"/>
        <v>693947</v>
      </c>
      <c r="K2392" s="27">
        <f t="shared" si="6"/>
        <v>693977</v>
      </c>
    </row>
    <row r="2393" hidden="1">
      <c r="A2393" s="3" t="str">
        <f t="shared" si="3"/>
        <v/>
      </c>
      <c r="B2393" s="2" t="str">
        <f t="array" ref="B2393">INDEX(helper!$A$3:$A3996,ROUNDUP((ROW()-1)/COUNTA(helper!$D$3:$D3996),0))</f>
        <v/>
      </c>
      <c r="C2393" s="5" t="str">
        <f t="array" ref="C2393">IF(B2393="","",INDEX(helper!$D$3:$D3996,MOD(ROW()-2,COUNTA(helper!$D$3:$D3996))+1))</f>
        <v/>
      </c>
      <c r="D2393" s="3" t="str">
        <f t="array" ref="D2393">IF(B2393="","",INDEX(helper!$E$3:$E3996,MOD(ROW()-2,COUNTA(helper!$D$3:$D3996))+1))</f>
        <v/>
      </c>
      <c r="E2393" s="3" t="str">
        <f t="array" ref="E2393">IF(B2393="","",INDEX(helper!$F$3:$F3996,MOD(ROW()-2,COUNTA(helper!$D$3:$D3996))+1))</f>
        <v/>
      </c>
      <c r="F2393" s="3" t="str">
        <f>IF(B2393="","",SUMIFS('inventory ledger'!$H:$H,'inventory ledger'!$C:$C,C2393,'inventory ledger'!$D:$D,D2393,'inventory ledger'!$E:$E,E2393,'inventory ledger'!$A:$A,"&lt;="&amp;B2393+TIME(23,59,59))-SUMIFS('inventory ledger'!$I:$I,'inventory ledger'!$C:$C,C2393,'inventory ledger'!$D:$D,D2393,'inventory ledger'!$E:$E,E2393,'inventory ledger'!$A:$A,"&lt;="&amp;B2393+TIME(23,59,59)))</f>
        <v/>
      </c>
      <c r="G2393" s="3">
        <f>IFERROR(__xludf.DUMMYFUNCTION("IF(F2393&lt;=0,0,IFERROR(ROUNDUP(F2393/INDEX(FILTER('warehouse config'!$D:$D,('warehouse config'!$B:$B=C2393)*('warehouse config'!$C:$C=D2393)*('warehouse config'!$G:$G&lt;=B2393)*(('warehouse config'!$H:$H&gt;=B2393)+ISBLANK('warehouse config'!$H:$H))),1)),0))"),0.0)</f>
        <v>0</v>
      </c>
      <c r="H2393" s="3">
        <f>IFERROR(__xludf.DUMMYFUNCTION("IFERROR(INDEX(FILTER('cost master'!$E:$E,('cost master'!$B:$B=C2393)*('cost master'!$D:$D=""Storage cost per pallet / week"")*('cost master'!$G:$G&lt;=B2393)*(('cost master'!$H:$H&gt;=B2393)+ISBLANK('cost master'!$H:$H))),1),0)"),0.0)</f>
        <v>0</v>
      </c>
      <c r="I2393" s="3">
        <f t="shared" si="4"/>
        <v>0</v>
      </c>
      <c r="J2393" s="27">
        <f t="shared" si="5"/>
        <v>693947</v>
      </c>
      <c r="K2393" s="27">
        <f t="shared" si="6"/>
        <v>693977</v>
      </c>
    </row>
    <row r="2394" hidden="1">
      <c r="A2394" s="3" t="str">
        <f t="shared" si="3"/>
        <v/>
      </c>
      <c r="B2394" s="2" t="str">
        <f t="array" ref="B2394">INDEX(helper!$A$3:$A3996,ROUNDUP((ROW()-1)/COUNTA(helper!$D$3:$D3996),0))</f>
        <v/>
      </c>
      <c r="C2394" s="5" t="str">
        <f t="array" ref="C2394">IF(B2394="","",INDEX(helper!$D$3:$D3996,MOD(ROW()-2,COUNTA(helper!$D$3:$D3996))+1))</f>
        <v/>
      </c>
      <c r="D2394" s="3" t="str">
        <f t="array" ref="D2394">IF(B2394="","",INDEX(helper!$E$3:$E3996,MOD(ROW()-2,COUNTA(helper!$D$3:$D3996))+1))</f>
        <v/>
      </c>
      <c r="E2394" s="3" t="str">
        <f t="array" ref="E2394">IF(B2394="","",INDEX(helper!$F$3:$F3996,MOD(ROW()-2,COUNTA(helper!$D$3:$D3996))+1))</f>
        <v/>
      </c>
      <c r="F2394" s="3" t="str">
        <f>IF(B2394="","",SUMIFS('inventory ledger'!$H:$H,'inventory ledger'!$C:$C,C2394,'inventory ledger'!$D:$D,D2394,'inventory ledger'!$E:$E,E2394,'inventory ledger'!$A:$A,"&lt;="&amp;B2394+TIME(23,59,59))-SUMIFS('inventory ledger'!$I:$I,'inventory ledger'!$C:$C,C2394,'inventory ledger'!$D:$D,D2394,'inventory ledger'!$E:$E,E2394,'inventory ledger'!$A:$A,"&lt;="&amp;B2394+TIME(23,59,59)))</f>
        <v/>
      </c>
      <c r="G2394" s="3">
        <f>IFERROR(__xludf.DUMMYFUNCTION("IF(F2394&lt;=0,0,IFERROR(ROUNDUP(F2394/INDEX(FILTER('warehouse config'!$D:$D,('warehouse config'!$B:$B=C2394)*('warehouse config'!$C:$C=D2394)*('warehouse config'!$G:$G&lt;=B2394)*(('warehouse config'!$H:$H&gt;=B2394)+ISBLANK('warehouse config'!$H:$H))),1)),0))"),0.0)</f>
        <v>0</v>
      </c>
      <c r="H2394" s="3">
        <f>IFERROR(__xludf.DUMMYFUNCTION("IFERROR(INDEX(FILTER('cost master'!$E:$E,('cost master'!$B:$B=C2394)*('cost master'!$D:$D=""Storage cost per pallet / week"")*('cost master'!$G:$G&lt;=B2394)*(('cost master'!$H:$H&gt;=B2394)+ISBLANK('cost master'!$H:$H))),1),0)"),0.0)</f>
        <v>0</v>
      </c>
      <c r="I2394" s="3">
        <f t="shared" si="4"/>
        <v>0</v>
      </c>
      <c r="J2394" s="27">
        <f t="shared" si="5"/>
        <v>693947</v>
      </c>
      <c r="K2394" s="27">
        <f t="shared" si="6"/>
        <v>693977</v>
      </c>
    </row>
    <row r="2395" hidden="1">
      <c r="A2395" s="3" t="str">
        <f t="shared" si="3"/>
        <v/>
      </c>
      <c r="B2395" s="2" t="str">
        <f t="array" ref="B2395">INDEX(helper!$A$3:$A3996,ROUNDUP((ROW()-1)/COUNTA(helper!$D$3:$D3996),0))</f>
        <v/>
      </c>
      <c r="C2395" s="5" t="str">
        <f t="array" ref="C2395">IF(B2395="","",INDEX(helper!$D$3:$D3996,MOD(ROW()-2,COUNTA(helper!$D$3:$D3996))+1))</f>
        <v/>
      </c>
      <c r="D2395" s="3" t="str">
        <f t="array" ref="D2395">IF(B2395="","",INDEX(helper!$E$3:$E3996,MOD(ROW()-2,COUNTA(helper!$D$3:$D3996))+1))</f>
        <v/>
      </c>
      <c r="E2395" s="3" t="str">
        <f t="array" ref="E2395">IF(B2395="","",INDEX(helper!$F$3:$F3996,MOD(ROW()-2,COUNTA(helper!$D$3:$D3996))+1))</f>
        <v/>
      </c>
      <c r="F2395" s="3" t="str">
        <f>IF(B2395="","",SUMIFS('inventory ledger'!$H:$H,'inventory ledger'!$C:$C,C2395,'inventory ledger'!$D:$D,D2395,'inventory ledger'!$E:$E,E2395,'inventory ledger'!$A:$A,"&lt;="&amp;B2395+TIME(23,59,59))-SUMIFS('inventory ledger'!$I:$I,'inventory ledger'!$C:$C,C2395,'inventory ledger'!$D:$D,D2395,'inventory ledger'!$E:$E,E2395,'inventory ledger'!$A:$A,"&lt;="&amp;B2395+TIME(23,59,59)))</f>
        <v/>
      </c>
      <c r="G2395" s="3">
        <f>IFERROR(__xludf.DUMMYFUNCTION("IF(F2395&lt;=0,0,IFERROR(ROUNDUP(F2395/INDEX(FILTER('warehouse config'!$D:$D,('warehouse config'!$B:$B=C2395)*('warehouse config'!$C:$C=D2395)*('warehouse config'!$G:$G&lt;=B2395)*(('warehouse config'!$H:$H&gt;=B2395)+ISBLANK('warehouse config'!$H:$H))),1)),0))"),0.0)</f>
        <v>0</v>
      </c>
      <c r="H2395" s="3">
        <f>IFERROR(__xludf.DUMMYFUNCTION("IFERROR(INDEX(FILTER('cost master'!$E:$E,('cost master'!$B:$B=C2395)*('cost master'!$D:$D=""Storage cost per pallet / week"")*('cost master'!$G:$G&lt;=B2395)*(('cost master'!$H:$H&gt;=B2395)+ISBLANK('cost master'!$H:$H))),1),0)"),0.0)</f>
        <v>0</v>
      </c>
      <c r="I2395" s="3">
        <f t="shared" si="4"/>
        <v>0</v>
      </c>
      <c r="J2395" s="27">
        <f t="shared" si="5"/>
        <v>693947</v>
      </c>
      <c r="K2395" s="27">
        <f t="shared" si="6"/>
        <v>693977</v>
      </c>
    </row>
    <row r="2396" hidden="1">
      <c r="A2396" s="3" t="str">
        <f t="shared" si="3"/>
        <v/>
      </c>
      <c r="B2396" s="2" t="str">
        <f t="array" ref="B2396">INDEX(helper!$A$3:$A3996,ROUNDUP((ROW()-1)/COUNTA(helper!$D$3:$D3996),0))</f>
        <v/>
      </c>
      <c r="C2396" s="5" t="str">
        <f t="array" ref="C2396">IF(B2396="","",INDEX(helper!$D$3:$D3996,MOD(ROW()-2,COUNTA(helper!$D$3:$D3996))+1))</f>
        <v/>
      </c>
      <c r="D2396" s="3" t="str">
        <f t="array" ref="D2396">IF(B2396="","",INDEX(helper!$E$3:$E3996,MOD(ROW()-2,COUNTA(helper!$D$3:$D3996))+1))</f>
        <v/>
      </c>
      <c r="E2396" s="3" t="str">
        <f t="array" ref="E2396">IF(B2396="","",INDEX(helper!$F$3:$F3996,MOD(ROW()-2,COUNTA(helper!$D$3:$D3996))+1))</f>
        <v/>
      </c>
      <c r="F2396" s="3" t="str">
        <f>IF(B2396="","",SUMIFS('inventory ledger'!$H:$H,'inventory ledger'!$C:$C,C2396,'inventory ledger'!$D:$D,D2396,'inventory ledger'!$E:$E,E2396,'inventory ledger'!$A:$A,"&lt;="&amp;B2396+TIME(23,59,59))-SUMIFS('inventory ledger'!$I:$I,'inventory ledger'!$C:$C,C2396,'inventory ledger'!$D:$D,D2396,'inventory ledger'!$E:$E,E2396,'inventory ledger'!$A:$A,"&lt;="&amp;B2396+TIME(23,59,59)))</f>
        <v/>
      </c>
      <c r="G2396" s="3">
        <f>IFERROR(__xludf.DUMMYFUNCTION("IF(F2396&lt;=0,0,IFERROR(ROUNDUP(F2396/INDEX(FILTER('warehouse config'!$D:$D,('warehouse config'!$B:$B=C2396)*('warehouse config'!$C:$C=D2396)*('warehouse config'!$G:$G&lt;=B2396)*(('warehouse config'!$H:$H&gt;=B2396)+ISBLANK('warehouse config'!$H:$H))),1)),0))"),0.0)</f>
        <v>0</v>
      </c>
      <c r="H2396" s="3">
        <f>IFERROR(__xludf.DUMMYFUNCTION("IFERROR(INDEX(FILTER('cost master'!$E:$E,('cost master'!$B:$B=C2396)*('cost master'!$D:$D=""Storage cost per pallet / week"")*('cost master'!$G:$G&lt;=B2396)*(('cost master'!$H:$H&gt;=B2396)+ISBLANK('cost master'!$H:$H))),1),0)"),0.0)</f>
        <v>0</v>
      </c>
      <c r="I2396" s="3">
        <f t="shared" si="4"/>
        <v>0</v>
      </c>
      <c r="J2396" s="27">
        <f t="shared" si="5"/>
        <v>693947</v>
      </c>
      <c r="K2396" s="27">
        <f t="shared" si="6"/>
        <v>693977</v>
      </c>
    </row>
    <row r="2397" hidden="1">
      <c r="A2397" s="3" t="str">
        <f t="shared" si="3"/>
        <v/>
      </c>
      <c r="B2397" s="2" t="str">
        <f t="array" ref="B2397">INDEX(helper!$A$3:$A3996,ROUNDUP((ROW()-1)/COUNTA(helper!$D$3:$D3996),0))</f>
        <v/>
      </c>
      <c r="C2397" s="5" t="str">
        <f t="array" ref="C2397">IF(B2397="","",INDEX(helper!$D$3:$D3996,MOD(ROW()-2,COUNTA(helper!$D$3:$D3996))+1))</f>
        <v/>
      </c>
      <c r="D2397" s="3" t="str">
        <f t="array" ref="D2397">IF(B2397="","",INDEX(helper!$E$3:$E3996,MOD(ROW()-2,COUNTA(helper!$D$3:$D3996))+1))</f>
        <v/>
      </c>
      <c r="E2397" s="3" t="str">
        <f t="array" ref="E2397">IF(B2397="","",INDEX(helper!$F$3:$F3996,MOD(ROW()-2,COUNTA(helper!$D$3:$D3996))+1))</f>
        <v/>
      </c>
      <c r="F2397" s="3" t="str">
        <f>IF(B2397="","",SUMIFS('inventory ledger'!$H:$H,'inventory ledger'!$C:$C,C2397,'inventory ledger'!$D:$D,D2397,'inventory ledger'!$E:$E,E2397,'inventory ledger'!$A:$A,"&lt;="&amp;B2397+TIME(23,59,59))-SUMIFS('inventory ledger'!$I:$I,'inventory ledger'!$C:$C,C2397,'inventory ledger'!$D:$D,D2397,'inventory ledger'!$E:$E,E2397,'inventory ledger'!$A:$A,"&lt;="&amp;B2397+TIME(23,59,59)))</f>
        <v/>
      </c>
      <c r="G2397" s="3">
        <f>IFERROR(__xludf.DUMMYFUNCTION("IF(F2397&lt;=0,0,IFERROR(ROUNDUP(F2397/INDEX(FILTER('warehouse config'!$D:$D,('warehouse config'!$B:$B=C2397)*('warehouse config'!$C:$C=D2397)*('warehouse config'!$G:$G&lt;=B2397)*(('warehouse config'!$H:$H&gt;=B2397)+ISBLANK('warehouse config'!$H:$H))),1)),0))"),0.0)</f>
        <v>0</v>
      </c>
      <c r="H2397" s="3">
        <f>IFERROR(__xludf.DUMMYFUNCTION("IFERROR(INDEX(FILTER('cost master'!$E:$E,('cost master'!$B:$B=C2397)*('cost master'!$D:$D=""Storage cost per pallet / week"")*('cost master'!$G:$G&lt;=B2397)*(('cost master'!$H:$H&gt;=B2397)+ISBLANK('cost master'!$H:$H))),1),0)"),0.0)</f>
        <v>0</v>
      </c>
      <c r="I2397" s="3">
        <f t="shared" si="4"/>
        <v>0</v>
      </c>
      <c r="J2397" s="27">
        <f t="shared" si="5"/>
        <v>693947</v>
      </c>
      <c r="K2397" s="27">
        <f t="shared" si="6"/>
        <v>693977</v>
      </c>
    </row>
    <row r="2398" hidden="1">
      <c r="A2398" s="3" t="str">
        <f t="shared" si="3"/>
        <v/>
      </c>
      <c r="B2398" s="2" t="str">
        <f t="array" ref="B2398">INDEX(helper!$A$3:$A3996,ROUNDUP((ROW()-1)/COUNTA(helper!$D$3:$D3996),0))</f>
        <v/>
      </c>
      <c r="C2398" s="5" t="str">
        <f t="array" ref="C2398">IF(B2398="","",INDEX(helper!$D$3:$D3996,MOD(ROW()-2,COUNTA(helper!$D$3:$D3996))+1))</f>
        <v/>
      </c>
      <c r="D2398" s="3" t="str">
        <f t="array" ref="D2398">IF(B2398="","",INDEX(helper!$E$3:$E3996,MOD(ROW()-2,COUNTA(helper!$D$3:$D3996))+1))</f>
        <v/>
      </c>
      <c r="E2398" s="3" t="str">
        <f t="array" ref="E2398">IF(B2398="","",INDEX(helper!$F$3:$F3996,MOD(ROW()-2,COUNTA(helper!$D$3:$D3996))+1))</f>
        <v/>
      </c>
      <c r="F2398" s="3" t="str">
        <f>IF(B2398="","",SUMIFS('inventory ledger'!$H:$H,'inventory ledger'!$C:$C,C2398,'inventory ledger'!$D:$D,D2398,'inventory ledger'!$E:$E,E2398,'inventory ledger'!$A:$A,"&lt;="&amp;B2398+TIME(23,59,59))-SUMIFS('inventory ledger'!$I:$I,'inventory ledger'!$C:$C,C2398,'inventory ledger'!$D:$D,D2398,'inventory ledger'!$E:$E,E2398,'inventory ledger'!$A:$A,"&lt;="&amp;B2398+TIME(23,59,59)))</f>
        <v/>
      </c>
      <c r="G2398" s="3">
        <f>IFERROR(__xludf.DUMMYFUNCTION("IF(F2398&lt;=0,0,IFERROR(ROUNDUP(F2398/INDEX(FILTER('warehouse config'!$D:$D,('warehouse config'!$B:$B=C2398)*('warehouse config'!$C:$C=D2398)*('warehouse config'!$G:$G&lt;=B2398)*(('warehouse config'!$H:$H&gt;=B2398)+ISBLANK('warehouse config'!$H:$H))),1)),0))"),0.0)</f>
        <v>0</v>
      </c>
      <c r="H2398" s="3">
        <f>IFERROR(__xludf.DUMMYFUNCTION("IFERROR(INDEX(FILTER('cost master'!$E:$E,('cost master'!$B:$B=C2398)*('cost master'!$D:$D=""Storage cost per pallet / week"")*('cost master'!$G:$G&lt;=B2398)*(('cost master'!$H:$H&gt;=B2398)+ISBLANK('cost master'!$H:$H))),1),0)"),0.0)</f>
        <v>0</v>
      </c>
      <c r="I2398" s="3">
        <f t="shared" si="4"/>
        <v>0</v>
      </c>
      <c r="J2398" s="27">
        <f t="shared" si="5"/>
        <v>693947</v>
      </c>
      <c r="K2398" s="27">
        <f t="shared" si="6"/>
        <v>693977</v>
      </c>
    </row>
    <row r="2399" hidden="1">
      <c r="A2399" s="3" t="str">
        <f t="shared" si="3"/>
        <v/>
      </c>
      <c r="B2399" s="2" t="str">
        <f t="array" ref="B2399">INDEX(helper!$A$3:$A3996,ROUNDUP((ROW()-1)/COUNTA(helper!$D$3:$D3996),0))</f>
        <v/>
      </c>
      <c r="C2399" s="5" t="str">
        <f t="array" ref="C2399">IF(B2399="","",INDEX(helper!$D$3:$D3996,MOD(ROW()-2,COUNTA(helper!$D$3:$D3996))+1))</f>
        <v/>
      </c>
      <c r="D2399" s="3" t="str">
        <f t="array" ref="D2399">IF(B2399="","",INDEX(helper!$E$3:$E3996,MOD(ROW()-2,COUNTA(helper!$D$3:$D3996))+1))</f>
        <v/>
      </c>
      <c r="E2399" s="3" t="str">
        <f t="array" ref="E2399">IF(B2399="","",INDEX(helper!$F$3:$F3996,MOD(ROW()-2,COUNTA(helper!$D$3:$D3996))+1))</f>
        <v/>
      </c>
      <c r="F2399" s="3" t="str">
        <f>IF(B2399="","",SUMIFS('inventory ledger'!$H:$H,'inventory ledger'!$C:$C,C2399,'inventory ledger'!$D:$D,D2399,'inventory ledger'!$E:$E,E2399,'inventory ledger'!$A:$A,"&lt;="&amp;B2399+TIME(23,59,59))-SUMIFS('inventory ledger'!$I:$I,'inventory ledger'!$C:$C,C2399,'inventory ledger'!$D:$D,D2399,'inventory ledger'!$E:$E,E2399,'inventory ledger'!$A:$A,"&lt;="&amp;B2399+TIME(23,59,59)))</f>
        <v/>
      </c>
      <c r="G2399" s="3">
        <f>IFERROR(__xludf.DUMMYFUNCTION("IF(F2399&lt;=0,0,IFERROR(ROUNDUP(F2399/INDEX(FILTER('warehouse config'!$D:$D,('warehouse config'!$B:$B=C2399)*('warehouse config'!$C:$C=D2399)*('warehouse config'!$G:$G&lt;=B2399)*(('warehouse config'!$H:$H&gt;=B2399)+ISBLANK('warehouse config'!$H:$H))),1)),0))"),0.0)</f>
        <v>0</v>
      </c>
      <c r="H2399" s="3">
        <f>IFERROR(__xludf.DUMMYFUNCTION("IFERROR(INDEX(FILTER('cost master'!$E:$E,('cost master'!$B:$B=C2399)*('cost master'!$D:$D=""Storage cost per pallet / week"")*('cost master'!$G:$G&lt;=B2399)*(('cost master'!$H:$H&gt;=B2399)+ISBLANK('cost master'!$H:$H))),1),0)"),0.0)</f>
        <v>0</v>
      </c>
      <c r="I2399" s="3">
        <f t="shared" si="4"/>
        <v>0</v>
      </c>
      <c r="J2399" s="27">
        <f t="shared" si="5"/>
        <v>693947</v>
      </c>
      <c r="K2399" s="27">
        <f t="shared" si="6"/>
        <v>693977</v>
      </c>
    </row>
    <row r="2400" hidden="1">
      <c r="A2400" s="3" t="str">
        <f t="shared" si="3"/>
        <v/>
      </c>
      <c r="B2400" s="2" t="str">
        <f t="array" ref="B2400">INDEX(helper!$A$3:$A3996,ROUNDUP((ROW()-1)/COUNTA(helper!$D$3:$D3996),0))</f>
        <v/>
      </c>
      <c r="C2400" s="5" t="str">
        <f t="array" ref="C2400">IF(B2400="","",INDEX(helper!$D$3:$D3996,MOD(ROW()-2,COUNTA(helper!$D$3:$D3996))+1))</f>
        <v/>
      </c>
      <c r="D2400" s="3" t="str">
        <f t="array" ref="D2400">IF(B2400="","",INDEX(helper!$E$3:$E3996,MOD(ROW()-2,COUNTA(helper!$D$3:$D3996))+1))</f>
        <v/>
      </c>
      <c r="E2400" s="3" t="str">
        <f t="array" ref="E2400">IF(B2400="","",INDEX(helper!$F$3:$F3996,MOD(ROW()-2,COUNTA(helper!$D$3:$D3996))+1))</f>
        <v/>
      </c>
      <c r="F2400" s="3" t="str">
        <f>IF(B2400="","",SUMIFS('inventory ledger'!$H:$H,'inventory ledger'!$C:$C,C2400,'inventory ledger'!$D:$D,D2400,'inventory ledger'!$E:$E,E2400,'inventory ledger'!$A:$A,"&lt;="&amp;B2400+TIME(23,59,59))-SUMIFS('inventory ledger'!$I:$I,'inventory ledger'!$C:$C,C2400,'inventory ledger'!$D:$D,D2400,'inventory ledger'!$E:$E,E2400,'inventory ledger'!$A:$A,"&lt;="&amp;B2400+TIME(23,59,59)))</f>
        <v/>
      </c>
      <c r="G2400" s="3">
        <f>IFERROR(__xludf.DUMMYFUNCTION("IF(F2400&lt;=0,0,IFERROR(ROUNDUP(F2400/INDEX(FILTER('warehouse config'!$D:$D,('warehouse config'!$B:$B=C2400)*('warehouse config'!$C:$C=D2400)*('warehouse config'!$G:$G&lt;=B2400)*(('warehouse config'!$H:$H&gt;=B2400)+ISBLANK('warehouse config'!$H:$H))),1)),0))"),0.0)</f>
        <v>0</v>
      </c>
      <c r="H2400" s="3">
        <f>IFERROR(__xludf.DUMMYFUNCTION("IFERROR(INDEX(FILTER('cost master'!$E:$E,('cost master'!$B:$B=C2400)*('cost master'!$D:$D=""Storage cost per pallet / week"")*('cost master'!$G:$G&lt;=B2400)*(('cost master'!$H:$H&gt;=B2400)+ISBLANK('cost master'!$H:$H))),1),0)"),0.0)</f>
        <v>0</v>
      </c>
      <c r="I2400" s="3">
        <f t="shared" si="4"/>
        <v>0</v>
      </c>
      <c r="J2400" s="27">
        <f t="shared" si="5"/>
        <v>693947</v>
      </c>
      <c r="K2400" s="27">
        <f t="shared" si="6"/>
        <v>693977</v>
      </c>
    </row>
    <row r="2401" hidden="1">
      <c r="A2401" s="3" t="str">
        <f t="shared" si="3"/>
        <v/>
      </c>
      <c r="B2401" s="2" t="str">
        <f t="array" ref="B2401">INDEX(helper!$A$3:$A3996,ROUNDUP((ROW()-1)/COUNTA(helper!$D$3:$D3996),0))</f>
        <v/>
      </c>
      <c r="C2401" s="5" t="str">
        <f t="array" ref="C2401">IF(B2401="","",INDEX(helper!$D$3:$D3996,MOD(ROW()-2,COUNTA(helper!$D$3:$D3996))+1))</f>
        <v/>
      </c>
      <c r="D2401" s="3" t="str">
        <f t="array" ref="D2401">IF(B2401="","",INDEX(helper!$E$3:$E3996,MOD(ROW()-2,COUNTA(helper!$D$3:$D3996))+1))</f>
        <v/>
      </c>
      <c r="E2401" s="3" t="str">
        <f t="array" ref="E2401">IF(B2401="","",INDEX(helper!$F$3:$F3996,MOD(ROW()-2,COUNTA(helper!$D$3:$D3996))+1))</f>
        <v/>
      </c>
      <c r="F2401" s="3" t="str">
        <f>IF(B2401="","",SUMIFS('inventory ledger'!$H:$H,'inventory ledger'!$C:$C,C2401,'inventory ledger'!$D:$D,D2401,'inventory ledger'!$E:$E,E2401,'inventory ledger'!$A:$A,"&lt;="&amp;B2401+TIME(23,59,59))-SUMIFS('inventory ledger'!$I:$I,'inventory ledger'!$C:$C,C2401,'inventory ledger'!$D:$D,D2401,'inventory ledger'!$E:$E,E2401,'inventory ledger'!$A:$A,"&lt;="&amp;B2401+TIME(23,59,59)))</f>
        <v/>
      </c>
      <c r="G2401" s="3">
        <f>IFERROR(__xludf.DUMMYFUNCTION("IF(F2401&lt;=0,0,IFERROR(ROUNDUP(F2401/INDEX(FILTER('warehouse config'!$D:$D,('warehouse config'!$B:$B=C2401)*('warehouse config'!$C:$C=D2401)*('warehouse config'!$G:$G&lt;=B2401)*(('warehouse config'!$H:$H&gt;=B2401)+ISBLANK('warehouse config'!$H:$H))),1)),0))"),0.0)</f>
        <v>0</v>
      </c>
      <c r="H2401" s="3">
        <f>IFERROR(__xludf.DUMMYFUNCTION("IFERROR(INDEX(FILTER('cost master'!$E:$E,('cost master'!$B:$B=C2401)*('cost master'!$D:$D=""Storage cost per pallet / week"")*('cost master'!$G:$G&lt;=B2401)*(('cost master'!$H:$H&gt;=B2401)+ISBLANK('cost master'!$H:$H))),1),0)"),0.0)</f>
        <v>0</v>
      </c>
      <c r="I2401" s="3">
        <f t="shared" si="4"/>
        <v>0</v>
      </c>
      <c r="J2401" s="27">
        <f t="shared" si="5"/>
        <v>693947</v>
      </c>
      <c r="K2401" s="27">
        <f t="shared" si="6"/>
        <v>693977</v>
      </c>
    </row>
    <row r="2402" hidden="1">
      <c r="A2402" s="3" t="str">
        <f t="shared" si="3"/>
        <v/>
      </c>
      <c r="B2402" s="2" t="str">
        <f t="array" ref="B2402">INDEX(helper!$A$3:$A3996,ROUNDUP((ROW()-1)/COUNTA(helper!$D$3:$D3996),0))</f>
        <v/>
      </c>
      <c r="C2402" s="5" t="str">
        <f t="array" ref="C2402">IF(B2402="","",INDEX(helper!$D$3:$D3996,MOD(ROW()-2,COUNTA(helper!$D$3:$D3996))+1))</f>
        <v/>
      </c>
      <c r="D2402" s="3" t="str">
        <f t="array" ref="D2402">IF(B2402="","",INDEX(helper!$E$3:$E3996,MOD(ROW()-2,COUNTA(helper!$D$3:$D3996))+1))</f>
        <v/>
      </c>
      <c r="E2402" s="3" t="str">
        <f t="array" ref="E2402">IF(B2402="","",INDEX(helper!$F$3:$F3996,MOD(ROW()-2,COUNTA(helper!$D$3:$D3996))+1))</f>
        <v/>
      </c>
      <c r="F2402" s="3" t="str">
        <f>IF(B2402="","",SUMIFS('inventory ledger'!$H:$H,'inventory ledger'!$C:$C,C2402,'inventory ledger'!$D:$D,D2402,'inventory ledger'!$E:$E,E2402,'inventory ledger'!$A:$A,"&lt;="&amp;B2402+TIME(23,59,59))-SUMIFS('inventory ledger'!$I:$I,'inventory ledger'!$C:$C,C2402,'inventory ledger'!$D:$D,D2402,'inventory ledger'!$E:$E,E2402,'inventory ledger'!$A:$A,"&lt;="&amp;B2402+TIME(23,59,59)))</f>
        <v/>
      </c>
      <c r="G2402" s="3">
        <f>IFERROR(__xludf.DUMMYFUNCTION("IF(F2402&lt;=0,0,IFERROR(ROUNDUP(F2402/INDEX(FILTER('warehouse config'!$D:$D,('warehouse config'!$B:$B=C2402)*('warehouse config'!$C:$C=D2402)*('warehouse config'!$G:$G&lt;=B2402)*(('warehouse config'!$H:$H&gt;=B2402)+ISBLANK('warehouse config'!$H:$H))),1)),0))"),0.0)</f>
        <v>0</v>
      </c>
      <c r="H2402" s="3">
        <f>IFERROR(__xludf.DUMMYFUNCTION("IFERROR(INDEX(FILTER('cost master'!$E:$E,('cost master'!$B:$B=C2402)*('cost master'!$D:$D=""Storage cost per pallet / week"")*('cost master'!$G:$G&lt;=B2402)*(('cost master'!$H:$H&gt;=B2402)+ISBLANK('cost master'!$H:$H))),1),0)"),0.0)</f>
        <v>0</v>
      </c>
      <c r="I2402" s="3">
        <f t="shared" si="4"/>
        <v>0</v>
      </c>
      <c r="J2402" s="27">
        <f t="shared" si="5"/>
        <v>693947</v>
      </c>
      <c r="K2402" s="27">
        <f t="shared" si="6"/>
        <v>693977</v>
      </c>
    </row>
    <row r="2403" hidden="1">
      <c r="A2403" s="3" t="str">
        <f t="shared" si="3"/>
        <v/>
      </c>
      <c r="B2403" s="2" t="str">
        <f t="array" ref="B2403">INDEX(helper!$A$3:$A3996,ROUNDUP((ROW()-1)/COUNTA(helper!$D$3:$D3996),0))</f>
        <v/>
      </c>
      <c r="C2403" s="5" t="str">
        <f t="array" ref="C2403">IF(B2403="","",INDEX(helper!$D$3:$D3996,MOD(ROW()-2,COUNTA(helper!$D$3:$D3996))+1))</f>
        <v/>
      </c>
      <c r="D2403" s="3" t="str">
        <f t="array" ref="D2403">IF(B2403="","",INDEX(helper!$E$3:$E3996,MOD(ROW()-2,COUNTA(helper!$D$3:$D3996))+1))</f>
        <v/>
      </c>
      <c r="E2403" s="3" t="str">
        <f t="array" ref="E2403">IF(B2403="","",INDEX(helper!$F$3:$F3996,MOD(ROW()-2,COUNTA(helper!$D$3:$D3996))+1))</f>
        <v/>
      </c>
      <c r="F2403" s="3" t="str">
        <f>IF(B2403="","",SUMIFS('inventory ledger'!$H:$H,'inventory ledger'!$C:$C,C2403,'inventory ledger'!$D:$D,D2403,'inventory ledger'!$E:$E,E2403,'inventory ledger'!$A:$A,"&lt;="&amp;B2403+TIME(23,59,59))-SUMIFS('inventory ledger'!$I:$I,'inventory ledger'!$C:$C,C2403,'inventory ledger'!$D:$D,D2403,'inventory ledger'!$E:$E,E2403,'inventory ledger'!$A:$A,"&lt;="&amp;B2403+TIME(23,59,59)))</f>
        <v/>
      </c>
      <c r="G2403" s="3">
        <f>IFERROR(__xludf.DUMMYFUNCTION("IF(F2403&lt;=0,0,IFERROR(ROUNDUP(F2403/INDEX(FILTER('warehouse config'!$D:$D,('warehouse config'!$B:$B=C2403)*('warehouse config'!$C:$C=D2403)*('warehouse config'!$G:$G&lt;=B2403)*(('warehouse config'!$H:$H&gt;=B2403)+ISBLANK('warehouse config'!$H:$H))),1)),0))"),0.0)</f>
        <v>0</v>
      </c>
      <c r="H2403" s="3">
        <f>IFERROR(__xludf.DUMMYFUNCTION("IFERROR(INDEX(FILTER('cost master'!$E:$E,('cost master'!$B:$B=C2403)*('cost master'!$D:$D=""Storage cost per pallet / week"")*('cost master'!$G:$G&lt;=B2403)*(('cost master'!$H:$H&gt;=B2403)+ISBLANK('cost master'!$H:$H))),1),0)"),0.0)</f>
        <v>0</v>
      </c>
      <c r="I2403" s="3">
        <f t="shared" si="4"/>
        <v>0</v>
      </c>
      <c r="J2403" s="27">
        <f t="shared" si="5"/>
        <v>693947</v>
      </c>
      <c r="K2403" s="27">
        <f t="shared" si="6"/>
        <v>693977</v>
      </c>
    </row>
    <row r="2404" hidden="1">
      <c r="A2404" s="3" t="str">
        <f t="shared" si="3"/>
        <v/>
      </c>
      <c r="B2404" s="2" t="str">
        <f t="array" ref="B2404">INDEX(helper!$A$3:$A3996,ROUNDUP((ROW()-1)/COUNTA(helper!$D$3:$D3996),0))</f>
        <v/>
      </c>
      <c r="C2404" s="5" t="str">
        <f t="array" ref="C2404">IF(B2404="","",INDEX(helper!$D$3:$D3996,MOD(ROW()-2,COUNTA(helper!$D$3:$D3996))+1))</f>
        <v/>
      </c>
      <c r="D2404" s="3" t="str">
        <f t="array" ref="D2404">IF(B2404="","",INDEX(helper!$E$3:$E3996,MOD(ROW()-2,COUNTA(helper!$D$3:$D3996))+1))</f>
        <v/>
      </c>
      <c r="E2404" s="3" t="str">
        <f t="array" ref="E2404">IF(B2404="","",INDEX(helper!$F$3:$F3996,MOD(ROW()-2,COUNTA(helper!$D$3:$D3996))+1))</f>
        <v/>
      </c>
      <c r="F2404" s="3" t="str">
        <f>IF(B2404="","",SUMIFS('inventory ledger'!$H:$H,'inventory ledger'!$C:$C,C2404,'inventory ledger'!$D:$D,D2404,'inventory ledger'!$E:$E,E2404,'inventory ledger'!$A:$A,"&lt;="&amp;B2404+TIME(23,59,59))-SUMIFS('inventory ledger'!$I:$I,'inventory ledger'!$C:$C,C2404,'inventory ledger'!$D:$D,D2404,'inventory ledger'!$E:$E,E2404,'inventory ledger'!$A:$A,"&lt;="&amp;B2404+TIME(23,59,59)))</f>
        <v/>
      </c>
      <c r="G2404" s="3">
        <f>IFERROR(__xludf.DUMMYFUNCTION("IF(F2404&lt;=0,0,IFERROR(ROUNDUP(F2404/INDEX(FILTER('warehouse config'!$D:$D,('warehouse config'!$B:$B=C2404)*('warehouse config'!$C:$C=D2404)*('warehouse config'!$G:$G&lt;=B2404)*(('warehouse config'!$H:$H&gt;=B2404)+ISBLANK('warehouse config'!$H:$H))),1)),0))"),0.0)</f>
        <v>0</v>
      </c>
      <c r="H2404" s="3">
        <f>IFERROR(__xludf.DUMMYFUNCTION("IFERROR(INDEX(FILTER('cost master'!$E:$E,('cost master'!$B:$B=C2404)*('cost master'!$D:$D=""Storage cost per pallet / week"")*('cost master'!$G:$G&lt;=B2404)*(('cost master'!$H:$H&gt;=B2404)+ISBLANK('cost master'!$H:$H))),1),0)"),0.0)</f>
        <v>0</v>
      </c>
      <c r="I2404" s="3">
        <f t="shared" si="4"/>
        <v>0</v>
      </c>
      <c r="J2404" s="27">
        <f t="shared" si="5"/>
        <v>693947</v>
      </c>
      <c r="K2404" s="27">
        <f t="shared" si="6"/>
        <v>693977</v>
      </c>
    </row>
    <row r="2405" hidden="1">
      <c r="A2405" s="3" t="str">
        <f t="shared" si="3"/>
        <v/>
      </c>
      <c r="B2405" s="2" t="str">
        <f t="array" ref="B2405">INDEX(helper!$A$3:$A3996,ROUNDUP((ROW()-1)/COUNTA(helper!$D$3:$D3996),0))</f>
        <v/>
      </c>
      <c r="C2405" s="5" t="str">
        <f t="array" ref="C2405">IF(B2405="","",INDEX(helper!$D$3:$D3996,MOD(ROW()-2,COUNTA(helper!$D$3:$D3996))+1))</f>
        <v/>
      </c>
      <c r="D2405" s="3" t="str">
        <f t="array" ref="D2405">IF(B2405="","",INDEX(helper!$E$3:$E3996,MOD(ROW()-2,COUNTA(helper!$D$3:$D3996))+1))</f>
        <v/>
      </c>
      <c r="E2405" s="3" t="str">
        <f t="array" ref="E2405">IF(B2405="","",INDEX(helper!$F$3:$F3996,MOD(ROW()-2,COUNTA(helper!$D$3:$D3996))+1))</f>
        <v/>
      </c>
      <c r="F2405" s="3" t="str">
        <f>IF(B2405="","",SUMIFS('inventory ledger'!$H:$H,'inventory ledger'!$C:$C,C2405,'inventory ledger'!$D:$D,D2405,'inventory ledger'!$E:$E,E2405,'inventory ledger'!$A:$A,"&lt;="&amp;B2405+TIME(23,59,59))-SUMIFS('inventory ledger'!$I:$I,'inventory ledger'!$C:$C,C2405,'inventory ledger'!$D:$D,D2405,'inventory ledger'!$E:$E,E2405,'inventory ledger'!$A:$A,"&lt;="&amp;B2405+TIME(23,59,59)))</f>
        <v/>
      </c>
      <c r="G2405" s="3">
        <f>IFERROR(__xludf.DUMMYFUNCTION("IF(F2405&lt;=0,0,IFERROR(ROUNDUP(F2405/INDEX(FILTER('warehouse config'!$D:$D,('warehouse config'!$B:$B=C2405)*('warehouse config'!$C:$C=D2405)*('warehouse config'!$G:$G&lt;=B2405)*(('warehouse config'!$H:$H&gt;=B2405)+ISBLANK('warehouse config'!$H:$H))),1)),0))"),0.0)</f>
        <v>0</v>
      </c>
      <c r="H2405" s="3">
        <f>IFERROR(__xludf.DUMMYFUNCTION("IFERROR(INDEX(FILTER('cost master'!$E:$E,('cost master'!$B:$B=C2405)*('cost master'!$D:$D=""Storage cost per pallet / week"")*('cost master'!$G:$G&lt;=B2405)*(('cost master'!$H:$H&gt;=B2405)+ISBLANK('cost master'!$H:$H))),1),0)"),0.0)</f>
        <v>0</v>
      </c>
      <c r="I2405" s="3">
        <f t="shared" si="4"/>
        <v>0</v>
      </c>
      <c r="J2405" s="27">
        <f t="shared" si="5"/>
        <v>693947</v>
      </c>
      <c r="K2405" s="27">
        <f t="shared" si="6"/>
        <v>693977</v>
      </c>
    </row>
    <row r="2406" hidden="1">
      <c r="A2406" s="3" t="str">
        <f t="shared" si="3"/>
        <v/>
      </c>
      <c r="B2406" s="2" t="str">
        <f t="array" ref="B2406">INDEX(helper!$A$3:$A3996,ROUNDUP((ROW()-1)/COUNTA(helper!$D$3:$D3996),0))</f>
        <v/>
      </c>
      <c r="C2406" s="5" t="str">
        <f t="array" ref="C2406">IF(B2406="","",INDEX(helper!$D$3:$D3996,MOD(ROW()-2,COUNTA(helper!$D$3:$D3996))+1))</f>
        <v/>
      </c>
      <c r="D2406" s="3" t="str">
        <f t="array" ref="D2406">IF(B2406="","",INDEX(helper!$E$3:$E3996,MOD(ROW()-2,COUNTA(helper!$D$3:$D3996))+1))</f>
        <v/>
      </c>
      <c r="E2406" s="3" t="str">
        <f t="array" ref="E2406">IF(B2406="","",INDEX(helper!$F$3:$F3996,MOD(ROW()-2,COUNTA(helper!$D$3:$D3996))+1))</f>
        <v/>
      </c>
      <c r="F2406" s="3" t="str">
        <f>IF(B2406="","",SUMIFS('inventory ledger'!$H:$H,'inventory ledger'!$C:$C,C2406,'inventory ledger'!$D:$D,D2406,'inventory ledger'!$E:$E,E2406,'inventory ledger'!$A:$A,"&lt;="&amp;B2406+TIME(23,59,59))-SUMIFS('inventory ledger'!$I:$I,'inventory ledger'!$C:$C,C2406,'inventory ledger'!$D:$D,D2406,'inventory ledger'!$E:$E,E2406,'inventory ledger'!$A:$A,"&lt;="&amp;B2406+TIME(23,59,59)))</f>
        <v/>
      </c>
      <c r="G2406" s="3">
        <f>IFERROR(__xludf.DUMMYFUNCTION("IF(F2406&lt;=0,0,IFERROR(ROUNDUP(F2406/INDEX(FILTER('warehouse config'!$D:$D,('warehouse config'!$B:$B=C2406)*('warehouse config'!$C:$C=D2406)*('warehouse config'!$G:$G&lt;=B2406)*(('warehouse config'!$H:$H&gt;=B2406)+ISBLANK('warehouse config'!$H:$H))),1)),0))"),0.0)</f>
        <v>0</v>
      </c>
      <c r="H2406" s="3">
        <f>IFERROR(__xludf.DUMMYFUNCTION("IFERROR(INDEX(FILTER('cost master'!$E:$E,('cost master'!$B:$B=C2406)*('cost master'!$D:$D=""Storage cost per pallet / week"")*('cost master'!$G:$G&lt;=B2406)*(('cost master'!$H:$H&gt;=B2406)+ISBLANK('cost master'!$H:$H))),1),0)"),0.0)</f>
        <v>0</v>
      </c>
      <c r="I2406" s="3">
        <f t="shared" si="4"/>
        <v>0</v>
      </c>
      <c r="J2406" s="27">
        <f t="shared" si="5"/>
        <v>693947</v>
      </c>
      <c r="K2406" s="27">
        <f t="shared" si="6"/>
        <v>693977</v>
      </c>
    </row>
    <row r="2407" hidden="1">
      <c r="A2407" s="3" t="str">
        <f t="shared" si="3"/>
        <v/>
      </c>
      <c r="B2407" s="2" t="str">
        <f t="array" ref="B2407">INDEX(helper!$A$3:$A3996,ROUNDUP((ROW()-1)/COUNTA(helper!$D$3:$D3996),0))</f>
        <v/>
      </c>
      <c r="C2407" s="5" t="str">
        <f t="array" ref="C2407">IF(B2407="","",INDEX(helper!$D$3:$D3996,MOD(ROW()-2,COUNTA(helper!$D$3:$D3996))+1))</f>
        <v/>
      </c>
      <c r="D2407" s="3" t="str">
        <f t="array" ref="D2407">IF(B2407="","",INDEX(helper!$E$3:$E3996,MOD(ROW()-2,COUNTA(helper!$D$3:$D3996))+1))</f>
        <v/>
      </c>
      <c r="E2407" s="3" t="str">
        <f t="array" ref="E2407">IF(B2407="","",INDEX(helper!$F$3:$F3996,MOD(ROW()-2,COUNTA(helper!$D$3:$D3996))+1))</f>
        <v/>
      </c>
      <c r="F2407" s="3" t="str">
        <f>IF(B2407="","",SUMIFS('inventory ledger'!$H:$H,'inventory ledger'!$C:$C,C2407,'inventory ledger'!$D:$D,D2407,'inventory ledger'!$E:$E,E2407,'inventory ledger'!$A:$A,"&lt;="&amp;B2407+TIME(23,59,59))-SUMIFS('inventory ledger'!$I:$I,'inventory ledger'!$C:$C,C2407,'inventory ledger'!$D:$D,D2407,'inventory ledger'!$E:$E,E2407,'inventory ledger'!$A:$A,"&lt;="&amp;B2407+TIME(23,59,59)))</f>
        <v/>
      </c>
      <c r="G2407" s="3">
        <f>IFERROR(__xludf.DUMMYFUNCTION("IF(F2407&lt;=0,0,IFERROR(ROUNDUP(F2407/INDEX(FILTER('warehouse config'!$D:$D,('warehouse config'!$B:$B=C2407)*('warehouse config'!$C:$C=D2407)*('warehouse config'!$G:$G&lt;=B2407)*(('warehouse config'!$H:$H&gt;=B2407)+ISBLANK('warehouse config'!$H:$H))),1)),0))"),0.0)</f>
        <v>0</v>
      </c>
      <c r="H2407" s="3">
        <f>IFERROR(__xludf.DUMMYFUNCTION("IFERROR(INDEX(FILTER('cost master'!$E:$E,('cost master'!$B:$B=C2407)*('cost master'!$D:$D=""Storage cost per pallet / week"")*('cost master'!$G:$G&lt;=B2407)*(('cost master'!$H:$H&gt;=B2407)+ISBLANK('cost master'!$H:$H))),1),0)"),0.0)</f>
        <v>0</v>
      </c>
      <c r="I2407" s="3">
        <f t="shared" si="4"/>
        <v>0</v>
      </c>
      <c r="J2407" s="27">
        <f t="shared" si="5"/>
        <v>693947</v>
      </c>
      <c r="K2407" s="27">
        <f t="shared" si="6"/>
        <v>693977</v>
      </c>
    </row>
    <row r="2408" hidden="1">
      <c r="A2408" s="3" t="str">
        <f t="shared" si="3"/>
        <v/>
      </c>
      <c r="B2408" s="2" t="str">
        <f t="array" ref="B2408">INDEX(helper!$A$3:$A3996,ROUNDUP((ROW()-1)/COUNTA(helper!$D$3:$D3996),0))</f>
        <v/>
      </c>
      <c r="C2408" s="5" t="str">
        <f t="array" ref="C2408">IF(B2408="","",INDEX(helper!$D$3:$D3996,MOD(ROW()-2,COUNTA(helper!$D$3:$D3996))+1))</f>
        <v/>
      </c>
      <c r="D2408" s="3" t="str">
        <f t="array" ref="D2408">IF(B2408="","",INDEX(helper!$E$3:$E3996,MOD(ROW()-2,COUNTA(helper!$D$3:$D3996))+1))</f>
        <v/>
      </c>
      <c r="E2408" s="3" t="str">
        <f t="array" ref="E2408">IF(B2408="","",INDEX(helper!$F$3:$F3996,MOD(ROW()-2,COUNTA(helper!$D$3:$D3996))+1))</f>
        <v/>
      </c>
      <c r="F2408" s="3" t="str">
        <f>IF(B2408="","",SUMIFS('inventory ledger'!$H:$H,'inventory ledger'!$C:$C,C2408,'inventory ledger'!$D:$D,D2408,'inventory ledger'!$E:$E,E2408,'inventory ledger'!$A:$A,"&lt;="&amp;B2408+TIME(23,59,59))-SUMIFS('inventory ledger'!$I:$I,'inventory ledger'!$C:$C,C2408,'inventory ledger'!$D:$D,D2408,'inventory ledger'!$E:$E,E2408,'inventory ledger'!$A:$A,"&lt;="&amp;B2408+TIME(23,59,59)))</f>
        <v/>
      </c>
      <c r="G2408" s="3">
        <f>IFERROR(__xludf.DUMMYFUNCTION("IF(F2408&lt;=0,0,IFERROR(ROUNDUP(F2408/INDEX(FILTER('warehouse config'!$D:$D,('warehouse config'!$B:$B=C2408)*('warehouse config'!$C:$C=D2408)*('warehouse config'!$G:$G&lt;=B2408)*(('warehouse config'!$H:$H&gt;=B2408)+ISBLANK('warehouse config'!$H:$H))),1)),0))"),0.0)</f>
        <v>0</v>
      </c>
      <c r="H2408" s="3">
        <f>IFERROR(__xludf.DUMMYFUNCTION("IFERROR(INDEX(FILTER('cost master'!$E:$E,('cost master'!$B:$B=C2408)*('cost master'!$D:$D=""Storage cost per pallet / week"")*('cost master'!$G:$G&lt;=B2408)*(('cost master'!$H:$H&gt;=B2408)+ISBLANK('cost master'!$H:$H))),1),0)"),0.0)</f>
        <v>0</v>
      </c>
      <c r="I2408" s="3">
        <f t="shared" si="4"/>
        <v>0</v>
      </c>
      <c r="J2408" s="27">
        <f t="shared" si="5"/>
        <v>693947</v>
      </c>
      <c r="K2408" s="27">
        <f t="shared" si="6"/>
        <v>693977</v>
      </c>
    </row>
    <row r="2409" hidden="1">
      <c r="A2409" s="3" t="str">
        <f t="shared" si="3"/>
        <v/>
      </c>
      <c r="B2409" s="2" t="str">
        <f t="array" ref="B2409">INDEX(helper!$A$3:$A3996,ROUNDUP((ROW()-1)/COUNTA(helper!$D$3:$D3996),0))</f>
        <v/>
      </c>
      <c r="C2409" s="5" t="str">
        <f t="array" ref="C2409">IF(B2409="","",INDEX(helper!$D$3:$D3996,MOD(ROW()-2,COUNTA(helper!$D$3:$D3996))+1))</f>
        <v/>
      </c>
      <c r="D2409" s="3" t="str">
        <f t="array" ref="D2409">IF(B2409="","",INDEX(helper!$E$3:$E3996,MOD(ROW()-2,COUNTA(helper!$D$3:$D3996))+1))</f>
        <v/>
      </c>
      <c r="E2409" s="3" t="str">
        <f t="array" ref="E2409">IF(B2409="","",INDEX(helper!$F$3:$F3996,MOD(ROW()-2,COUNTA(helper!$D$3:$D3996))+1))</f>
        <v/>
      </c>
      <c r="F2409" s="3" t="str">
        <f>IF(B2409="","",SUMIFS('inventory ledger'!$H:$H,'inventory ledger'!$C:$C,C2409,'inventory ledger'!$D:$D,D2409,'inventory ledger'!$E:$E,E2409,'inventory ledger'!$A:$A,"&lt;="&amp;B2409+TIME(23,59,59))-SUMIFS('inventory ledger'!$I:$I,'inventory ledger'!$C:$C,C2409,'inventory ledger'!$D:$D,D2409,'inventory ledger'!$E:$E,E2409,'inventory ledger'!$A:$A,"&lt;="&amp;B2409+TIME(23,59,59)))</f>
        <v/>
      </c>
      <c r="G2409" s="3">
        <f>IFERROR(__xludf.DUMMYFUNCTION("IF(F2409&lt;=0,0,IFERROR(ROUNDUP(F2409/INDEX(FILTER('warehouse config'!$D:$D,('warehouse config'!$B:$B=C2409)*('warehouse config'!$C:$C=D2409)*('warehouse config'!$G:$G&lt;=B2409)*(('warehouse config'!$H:$H&gt;=B2409)+ISBLANK('warehouse config'!$H:$H))),1)),0))"),0.0)</f>
        <v>0</v>
      </c>
      <c r="H2409" s="3">
        <f>IFERROR(__xludf.DUMMYFUNCTION("IFERROR(INDEX(FILTER('cost master'!$E:$E,('cost master'!$B:$B=C2409)*('cost master'!$D:$D=""Storage cost per pallet / week"")*('cost master'!$G:$G&lt;=B2409)*(('cost master'!$H:$H&gt;=B2409)+ISBLANK('cost master'!$H:$H))),1),0)"),0.0)</f>
        <v>0</v>
      </c>
      <c r="I2409" s="3">
        <f t="shared" si="4"/>
        <v>0</v>
      </c>
      <c r="J2409" s="27">
        <f t="shared" si="5"/>
        <v>693947</v>
      </c>
      <c r="K2409" s="27">
        <f t="shared" si="6"/>
        <v>693977</v>
      </c>
    </row>
    <row r="2410" hidden="1">
      <c r="A2410" s="3" t="str">
        <f t="shared" si="3"/>
        <v/>
      </c>
      <c r="B2410" s="2" t="str">
        <f t="array" ref="B2410">INDEX(helper!$A$3:$A3996,ROUNDUP((ROW()-1)/COUNTA(helper!$D$3:$D3996),0))</f>
        <v/>
      </c>
      <c r="C2410" s="5" t="str">
        <f t="array" ref="C2410">IF(B2410="","",INDEX(helper!$D$3:$D3996,MOD(ROW()-2,COUNTA(helper!$D$3:$D3996))+1))</f>
        <v/>
      </c>
      <c r="D2410" s="3" t="str">
        <f t="array" ref="D2410">IF(B2410="","",INDEX(helper!$E$3:$E3996,MOD(ROW()-2,COUNTA(helper!$D$3:$D3996))+1))</f>
        <v/>
      </c>
      <c r="E2410" s="3" t="str">
        <f t="array" ref="E2410">IF(B2410="","",INDEX(helper!$F$3:$F3996,MOD(ROW()-2,COUNTA(helper!$D$3:$D3996))+1))</f>
        <v/>
      </c>
      <c r="F2410" s="3" t="str">
        <f>IF(B2410="","",SUMIFS('inventory ledger'!$H:$H,'inventory ledger'!$C:$C,C2410,'inventory ledger'!$D:$D,D2410,'inventory ledger'!$E:$E,E2410,'inventory ledger'!$A:$A,"&lt;="&amp;B2410+TIME(23,59,59))-SUMIFS('inventory ledger'!$I:$I,'inventory ledger'!$C:$C,C2410,'inventory ledger'!$D:$D,D2410,'inventory ledger'!$E:$E,E2410,'inventory ledger'!$A:$A,"&lt;="&amp;B2410+TIME(23,59,59)))</f>
        <v/>
      </c>
      <c r="G2410" s="3">
        <f>IFERROR(__xludf.DUMMYFUNCTION("IF(F2410&lt;=0,0,IFERROR(ROUNDUP(F2410/INDEX(FILTER('warehouse config'!$D:$D,('warehouse config'!$B:$B=C2410)*('warehouse config'!$C:$C=D2410)*('warehouse config'!$G:$G&lt;=B2410)*(('warehouse config'!$H:$H&gt;=B2410)+ISBLANK('warehouse config'!$H:$H))),1)),0))"),0.0)</f>
        <v>0</v>
      </c>
      <c r="H2410" s="3">
        <f>IFERROR(__xludf.DUMMYFUNCTION("IFERROR(INDEX(FILTER('cost master'!$E:$E,('cost master'!$B:$B=C2410)*('cost master'!$D:$D=""Storage cost per pallet / week"")*('cost master'!$G:$G&lt;=B2410)*(('cost master'!$H:$H&gt;=B2410)+ISBLANK('cost master'!$H:$H))),1),0)"),0.0)</f>
        <v>0</v>
      </c>
      <c r="I2410" s="3">
        <f t="shared" si="4"/>
        <v>0</v>
      </c>
      <c r="J2410" s="27">
        <f t="shared" si="5"/>
        <v>693947</v>
      </c>
      <c r="K2410" s="27">
        <f t="shared" si="6"/>
        <v>693977</v>
      </c>
    </row>
    <row r="2411" hidden="1">
      <c r="A2411" s="3" t="str">
        <f t="shared" si="3"/>
        <v/>
      </c>
      <c r="B2411" s="2" t="str">
        <f t="array" ref="B2411">INDEX(helper!$A$3:$A3996,ROUNDUP((ROW()-1)/COUNTA(helper!$D$3:$D3996),0))</f>
        <v/>
      </c>
      <c r="C2411" s="5" t="str">
        <f t="array" ref="C2411">IF(B2411="","",INDEX(helper!$D$3:$D3996,MOD(ROW()-2,COUNTA(helper!$D$3:$D3996))+1))</f>
        <v/>
      </c>
      <c r="D2411" s="3" t="str">
        <f t="array" ref="D2411">IF(B2411="","",INDEX(helper!$E$3:$E3996,MOD(ROW()-2,COUNTA(helper!$D$3:$D3996))+1))</f>
        <v/>
      </c>
      <c r="E2411" s="3" t="str">
        <f t="array" ref="E2411">IF(B2411="","",INDEX(helper!$F$3:$F3996,MOD(ROW()-2,COUNTA(helper!$D$3:$D3996))+1))</f>
        <v/>
      </c>
      <c r="F2411" s="3" t="str">
        <f>IF(B2411="","",SUMIFS('inventory ledger'!$H:$H,'inventory ledger'!$C:$C,C2411,'inventory ledger'!$D:$D,D2411,'inventory ledger'!$E:$E,E2411,'inventory ledger'!$A:$A,"&lt;="&amp;B2411+TIME(23,59,59))-SUMIFS('inventory ledger'!$I:$I,'inventory ledger'!$C:$C,C2411,'inventory ledger'!$D:$D,D2411,'inventory ledger'!$E:$E,E2411,'inventory ledger'!$A:$A,"&lt;="&amp;B2411+TIME(23,59,59)))</f>
        <v/>
      </c>
      <c r="G2411" s="3">
        <f>IFERROR(__xludf.DUMMYFUNCTION("IF(F2411&lt;=0,0,IFERROR(ROUNDUP(F2411/INDEX(FILTER('warehouse config'!$D:$D,('warehouse config'!$B:$B=C2411)*('warehouse config'!$C:$C=D2411)*('warehouse config'!$G:$G&lt;=B2411)*(('warehouse config'!$H:$H&gt;=B2411)+ISBLANK('warehouse config'!$H:$H))),1)),0))"),0.0)</f>
        <v>0</v>
      </c>
      <c r="H2411" s="3">
        <f>IFERROR(__xludf.DUMMYFUNCTION("IFERROR(INDEX(FILTER('cost master'!$E:$E,('cost master'!$B:$B=C2411)*('cost master'!$D:$D=""Storage cost per pallet / week"")*('cost master'!$G:$G&lt;=B2411)*(('cost master'!$H:$H&gt;=B2411)+ISBLANK('cost master'!$H:$H))),1),0)"),0.0)</f>
        <v>0</v>
      </c>
      <c r="I2411" s="3">
        <f t="shared" si="4"/>
        <v>0</v>
      </c>
      <c r="J2411" s="27">
        <f t="shared" si="5"/>
        <v>693947</v>
      </c>
      <c r="K2411" s="27">
        <f t="shared" si="6"/>
        <v>693977</v>
      </c>
    </row>
    <row r="2412" hidden="1">
      <c r="A2412" s="3" t="str">
        <f t="shared" si="3"/>
        <v/>
      </c>
      <c r="B2412" s="2" t="str">
        <f t="array" ref="B2412">INDEX(helper!$A$3:$A3996,ROUNDUP((ROW()-1)/COUNTA(helper!$D$3:$D3996),0))</f>
        <v/>
      </c>
      <c r="C2412" s="5" t="str">
        <f t="array" ref="C2412">IF(B2412="","",INDEX(helper!$D$3:$D3996,MOD(ROW()-2,COUNTA(helper!$D$3:$D3996))+1))</f>
        <v/>
      </c>
      <c r="D2412" s="3" t="str">
        <f t="array" ref="D2412">IF(B2412="","",INDEX(helper!$E$3:$E3996,MOD(ROW()-2,COUNTA(helper!$D$3:$D3996))+1))</f>
        <v/>
      </c>
      <c r="E2412" s="3" t="str">
        <f t="array" ref="E2412">IF(B2412="","",INDEX(helper!$F$3:$F3996,MOD(ROW()-2,COUNTA(helper!$D$3:$D3996))+1))</f>
        <v/>
      </c>
      <c r="F2412" s="3" t="str">
        <f>IF(B2412="","",SUMIFS('inventory ledger'!$H:$H,'inventory ledger'!$C:$C,C2412,'inventory ledger'!$D:$D,D2412,'inventory ledger'!$E:$E,E2412,'inventory ledger'!$A:$A,"&lt;="&amp;B2412+TIME(23,59,59))-SUMIFS('inventory ledger'!$I:$I,'inventory ledger'!$C:$C,C2412,'inventory ledger'!$D:$D,D2412,'inventory ledger'!$E:$E,E2412,'inventory ledger'!$A:$A,"&lt;="&amp;B2412+TIME(23,59,59)))</f>
        <v/>
      </c>
      <c r="G2412" s="3">
        <f>IFERROR(__xludf.DUMMYFUNCTION("IF(F2412&lt;=0,0,IFERROR(ROUNDUP(F2412/INDEX(FILTER('warehouse config'!$D:$D,('warehouse config'!$B:$B=C2412)*('warehouse config'!$C:$C=D2412)*('warehouse config'!$G:$G&lt;=B2412)*(('warehouse config'!$H:$H&gt;=B2412)+ISBLANK('warehouse config'!$H:$H))),1)),0))"),0.0)</f>
        <v>0</v>
      </c>
      <c r="H2412" s="3">
        <f>IFERROR(__xludf.DUMMYFUNCTION("IFERROR(INDEX(FILTER('cost master'!$E:$E,('cost master'!$B:$B=C2412)*('cost master'!$D:$D=""Storage cost per pallet / week"")*('cost master'!$G:$G&lt;=B2412)*(('cost master'!$H:$H&gt;=B2412)+ISBLANK('cost master'!$H:$H))),1),0)"),0.0)</f>
        <v>0</v>
      </c>
      <c r="I2412" s="3">
        <f t="shared" si="4"/>
        <v>0</v>
      </c>
      <c r="J2412" s="27">
        <f t="shared" si="5"/>
        <v>693947</v>
      </c>
      <c r="K2412" s="27">
        <f t="shared" si="6"/>
        <v>693977</v>
      </c>
    </row>
    <row r="2413" hidden="1">
      <c r="A2413" s="3" t="str">
        <f t="shared" si="3"/>
        <v/>
      </c>
      <c r="B2413" s="2" t="str">
        <f t="array" ref="B2413">INDEX(helper!$A$3:$A3996,ROUNDUP((ROW()-1)/COUNTA(helper!$D$3:$D3996),0))</f>
        <v/>
      </c>
      <c r="C2413" s="5" t="str">
        <f t="array" ref="C2413">IF(B2413="","",INDEX(helper!$D$3:$D3996,MOD(ROW()-2,COUNTA(helper!$D$3:$D3996))+1))</f>
        <v/>
      </c>
      <c r="D2413" s="3" t="str">
        <f t="array" ref="D2413">IF(B2413="","",INDEX(helper!$E$3:$E3996,MOD(ROW()-2,COUNTA(helper!$D$3:$D3996))+1))</f>
        <v/>
      </c>
      <c r="E2413" s="3" t="str">
        <f t="array" ref="E2413">IF(B2413="","",INDEX(helper!$F$3:$F3996,MOD(ROW()-2,COUNTA(helper!$D$3:$D3996))+1))</f>
        <v/>
      </c>
      <c r="F2413" s="3" t="str">
        <f>IF(B2413="","",SUMIFS('inventory ledger'!$H:$H,'inventory ledger'!$C:$C,C2413,'inventory ledger'!$D:$D,D2413,'inventory ledger'!$E:$E,E2413,'inventory ledger'!$A:$A,"&lt;="&amp;B2413+TIME(23,59,59))-SUMIFS('inventory ledger'!$I:$I,'inventory ledger'!$C:$C,C2413,'inventory ledger'!$D:$D,D2413,'inventory ledger'!$E:$E,E2413,'inventory ledger'!$A:$A,"&lt;="&amp;B2413+TIME(23,59,59)))</f>
        <v/>
      </c>
      <c r="G2413" s="3">
        <f>IFERROR(__xludf.DUMMYFUNCTION("IF(F2413&lt;=0,0,IFERROR(ROUNDUP(F2413/INDEX(FILTER('warehouse config'!$D:$D,('warehouse config'!$B:$B=C2413)*('warehouse config'!$C:$C=D2413)*('warehouse config'!$G:$G&lt;=B2413)*(('warehouse config'!$H:$H&gt;=B2413)+ISBLANK('warehouse config'!$H:$H))),1)),0))"),0.0)</f>
        <v>0</v>
      </c>
      <c r="H2413" s="3">
        <f>IFERROR(__xludf.DUMMYFUNCTION("IFERROR(INDEX(FILTER('cost master'!$E:$E,('cost master'!$B:$B=C2413)*('cost master'!$D:$D=""Storage cost per pallet / week"")*('cost master'!$G:$G&lt;=B2413)*(('cost master'!$H:$H&gt;=B2413)+ISBLANK('cost master'!$H:$H))),1),0)"),0.0)</f>
        <v>0</v>
      </c>
      <c r="I2413" s="3">
        <f t="shared" si="4"/>
        <v>0</v>
      </c>
      <c r="J2413" s="27">
        <f t="shared" si="5"/>
        <v>693947</v>
      </c>
      <c r="K2413" s="27">
        <f t="shared" si="6"/>
        <v>693977</v>
      </c>
    </row>
    <row r="2414" hidden="1">
      <c r="A2414" s="3" t="str">
        <f t="shared" si="3"/>
        <v/>
      </c>
      <c r="B2414" s="2" t="str">
        <f t="array" ref="B2414">INDEX(helper!$A$3:$A3996,ROUNDUP((ROW()-1)/COUNTA(helper!$D$3:$D3996),0))</f>
        <v/>
      </c>
      <c r="C2414" s="5" t="str">
        <f t="array" ref="C2414">IF(B2414="","",INDEX(helper!$D$3:$D3996,MOD(ROW()-2,COUNTA(helper!$D$3:$D3996))+1))</f>
        <v/>
      </c>
      <c r="D2414" s="3" t="str">
        <f t="array" ref="D2414">IF(B2414="","",INDEX(helper!$E$3:$E3996,MOD(ROW()-2,COUNTA(helper!$D$3:$D3996))+1))</f>
        <v/>
      </c>
      <c r="E2414" s="3" t="str">
        <f t="array" ref="E2414">IF(B2414="","",INDEX(helper!$F$3:$F3996,MOD(ROW()-2,COUNTA(helper!$D$3:$D3996))+1))</f>
        <v/>
      </c>
      <c r="F2414" s="3" t="str">
        <f>IF(B2414="","",SUMIFS('inventory ledger'!$H:$H,'inventory ledger'!$C:$C,C2414,'inventory ledger'!$D:$D,D2414,'inventory ledger'!$E:$E,E2414,'inventory ledger'!$A:$A,"&lt;="&amp;B2414+TIME(23,59,59))-SUMIFS('inventory ledger'!$I:$I,'inventory ledger'!$C:$C,C2414,'inventory ledger'!$D:$D,D2414,'inventory ledger'!$E:$E,E2414,'inventory ledger'!$A:$A,"&lt;="&amp;B2414+TIME(23,59,59)))</f>
        <v/>
      </c>
      <c r="G2414" s="3">
        <f>IFERROR(__xludf.DUMMYFUNCTION("IF(F2414&lt;=0,0,IFERROR(ROUNDUP(F2414/INDEX(FILTER('warehouse config'!$D:$D,('warehouse config'!$B:$B=C2414)*('warehouse config'!$C:$C=D2414)*('warehouse config'!$G:$G&lt;=B2414)*(('warehouse config'!$H:$H&gt;=B2414)+ISBLANK('warehouse config'!$H:$H))),1)),0))"),0.0)</f>
        <v>0</v>
      </c>
      <c r="H2414" s="3">
        <f>IFERROR(__xludf.DUMMYFUNCTION("IFERROR(INDEX(FILTER('cost master'!$E:$E,('cost master'!$B:$B=C2414)*('cost master'!$D:$D=""Storage cost per pallet / week"")*('cost master'!$G:$G&lt;=B2414)*(('cost master'!$H:$H&gt;=B2414)+ISBLANK('cost master'!$H:$H))),1),0)"),0.0)</f>
        <v>0</v>
      </c>
      <c r="I2414" s="3">
        <f t="shared" si="4"/>
        <v>0</v>
      </c>
      <c r="J2414" s="27">
        <f t="shared" si="5"/>
        <v>693947</v>
      </c>
      <c r="K2414" s="27">
        <f t="shared" si="6"/>
        <v>693977</v>
      </c>
    </row>
    <row r="2415" hidden="1">
      <c r="A2415" s="3" t="str">
        <f t="shared" si="3"/>
        <v/>
      </c>
      <c r="B2415" s="2" t="str">
        <f t="array" ref="B2415">INDEX(helper!$A$3:$A3996,ROUNDUP((ROW()-1)/COUNTA(helper!$D$3:$D3996),0))</f>
        <v/>
      </c>
      <c r="C2415" s="5" t="str">
        <f t="array" ref="C2415">IF(B2415="","",INDEX(helper!$D$3:$D3996,MOD(ROW()-2,COUNTA(helper!$D$3:$D3996))+1))</f>
        <v/>
      </c>
      <c r="D2415" s="3" t="str">
        <f t="array" ref="D2415">IF(B2415="","",INDEX(helper!$E$3:$E3996,MOD(ROW()-2,COUNTA(helper!$D$3:$D3996))+1))</f>
        <v/>
      </c>
      <c r="E2415" s="3" t="str">
        <f t="array" ref="E2415">IF(B2415="","",INDEX(helper!$F$3:$F3996,MOD(ROW()-2,COUNTA(helper!$D$3:$D3996))+1))</f>
        <v/>
      </c>
      <c r="F2415" s="3" t="str">
        <f>IF(B2415="","",SUMIFS('inventory ledger'!$H:$H,'inventory ledger'!$C:$C,C2415,'inventory ledger'!$D:$D,D2415,'inventory ledger'!$E:$E,E2415,'inventory ledger'!$A:$A,"&lt;="&amp;B2415+TIME(23,59,59))-SUMIFS('inventory ledger'!$I:$I,'inventory ledger'!$C:$C,C2415,'inventory ledger'!$D:$D,D2415,'inventory ledger'!$E:$E,E2415,'inventory ledger'!$A:$A,"&lt;="&amp;B2415+TIME(23,59,59)))</f>
        <v/>
      </c>
      <c r="G2415" s="3">
        <f>IFERROR(__xludf.DUMMYFUNCTION("IF(F2415&lt;=0,0,IFERROR(ROUNDUP(F2415/INDEX(FILTER('warehouse config'!$D:$D,('warehouse config'!$B:$B=C2415)*('warehouse config'!$C:$C=D2415)*('warehouse config'!$G:$G&lt;=B2415)*(('warehouse config'!$H:$H&gt;=B2415)+ISBLANK('warehouse config'!$H:$H))),1)),0))"),0.0)</f>
        <v>0</v>
      </c>
      <c r="H2415" s="3">
        <f>IFERROR(__xludf.DUMMYFUNCTION("IFERROR(INDEX(FILTER('cost master'!$E:$E,('cost master'!$B:$B=C2415)*('cost master'!$D:$D=""Storage cost per pallet / week"")*('cost master'!$G:$G&lt;=B2415)*(('cost master'!$H:$H&gt;=B2415)+ISBLANK('cost master'!$H:$H))),1),0)"),0.0)</f>
        <v>0</v>
      </c>
      <c r="I2415" s="3">
        <f t="shared" si="4"/>
        <v>0</v>
      </c>
      <c r="J2415" s="27">
        <f t="shared" si="5"/>
        <v>693947</v>
      </c>
      <c r="K2415" s="27">
        <f t="shared" si="6"/>
        <v>693977</v>
      </c>
    </row>
    <row r="2416" hidden="1">
      <c r="A2416" s="3" t="str">
        <f t="shared" si="3"/>
        <v/>
      </c>
      <c r="B2416" s="2" t="str">
        <f t="array" ref="B2416">INDEX(helper!$A$3:$A3996,ROUNDUP((ROW()-1)/COUNTA(helper!$D$3:$D3996),0))</f>
        <v/>
      </c>
      <c r="C2416" s="5" t="str">
        <f t="array" ref="C2416">IF(B2416="","",INDEX(helper!$D$3:$D3996,MOD(ROW()-2,COUNTA(helper!$D$3:$D3996))+1))</f>
        <v/>
      </c>
      <c r="D2416" s="3" t="str">
        <f t="array" ref="D2416">IF(B2416="","",INDEX(helper!$E$3:$E3996,MOD(ROW()-2,COUNTA(helper!$D$3:$D3996))+1))</f>
        <v/>
      </c>
      <c r="E2416" s="3" t="str">
        <f t="array" ref="E2416">IF(B2416="","",INDEX(helper!$F$3:$F3996,MOD(ROW()-2,COUNTA(helper!$D$3:$D3996))+1))</f>
        <v/>
      </c>
      <c r="F2416" s="3" t="str">
        <f>IF(B2416="","",SUMIFS('inventory ledger'!$H:$H,'inventory ledger'!$C:$C,C2416,'inventory ledger'!$D:$D,D2416,'inventory ledger'!$E:$E,E2416,'inventory ledger'!$A:$A,"&lt;="&amp;B2416+TIME(23,59,59))-SUMIFS('inventory ledger'!$I:$I,'inventory ledger'!$C:$C,C2416,'inventory ledger'!$D:$D,D2416,'inventory ledger'!$E:$E,E2416,'inventory ledger'!$A:$A,"&lt;="&amp;B2416+TIME(23,59,59)))</f>
        <v/>
      </c>
      <c r="G2416" s="3">
        <f>IFERROR(__xludf.DUMMYFUNCTION("IF(F2416&lt;=0,0,IFERROR(ROUNDUP(F2416/INDEX(FILTER('warehouse config'!$D:$D,('warehouse config'!$B:$B=C2416)*('warehouse config'!$C:$C=D2416)*('warehouse config'!$G:$G&lt;=B2416)*(('warehouse config'!$H:$H&gt;=B2416)+ISBLANK('warehouse config'!$H:$H))),1)),0))"),0.0)</f>
        <v>0</v>
      </c>
      <c r="H2416" s="3">
        <f>IFERROR(__xludf.DUMMYFUNCTION("IFERROR(INDEX(FILTER('cost master'!$E:$E,('cost master'!$B:$B=C2416)*('cost master'!$D:$D=""Storage cost per pallet / week"")*('cost master'!$G:$G&lt;=B2416)*(('cost master'!$H:$H&gt;=B2416)+ISBLANK('cost master'!$H:$H))),1),0)"),0.0)</f>
        <v>0</v>
      </c>
      <c r="I2416" s="3">
        <f t="shared" si="4"/>
        <v>0</v>
      </c>
      <c r="J2416" s="27">
        <f t="shared" si="5"/>
        <v>693947</v>
      </c>
      <c r="K2416" s="27">
        <f t="shared" si="6"/>
        <v>693977</v>
      </c>
    </row>
    <row r="2417" hidden="1">
      <c r="A2417" s="3" t="str">
        <f t="shared" si="3"/>
        <v/>
      </c>
      <c r="B2417" s="2" t="str">
        <f t="array" ref="B2417">INDEX(helper!$A$3:$A3996,ROUNDUP((ROW()-1)/COUNTA(helper!$D$3:$D3996),0))</f>
        <v/>
      </c>
      <c r="C2417" s="5" t="str">
        <f t="array" ref="C2417">IF(B2417="","",INDEX(helper!$D$3:$D3996,MOD(ROW()-2,COUNTA(helper!$D$3:$D3996))+1))</f>
        <v/>
      </c>
      <c r="D2417" s="3" t="str">
        <f t="array" ref="D2417">IF(B2417="","",INDEX(helper!$E$3:$E3996,MOD(ROW()-2,COUNTA(helper!$D$3:$D3996))+1))</f>
        <v/>
      </c>
      <c r="E2417" s="3" t="str">
        <f t="array" ref="E2417">IF(B2417="","",INDEX(helper!$F$3:$F3996,MOD(ROW()-2,COUNTA(helper!$D$3:$D3996))+1))</f>
        <v/>
      </c>
      <c r="F2417" s="3" t="str">
        <f>IF(B2417="","",SUMIFS('inventory ledger'!$H:$H,'inventory ledger'!$C:$C,C2417,'inventory ledger'!$D:$D,D2417,'inventory ledger'!$E:$E,E2417,'inventory ledger'!$A:$A,"&lt;="&amp;B2417+TIME(23,59,59))-SUMIFS('inventory ledger'!$I:$I,'inventory ledger'!$C:$C,C2417,'inventory ledger'!$D:$D,D2417,'inventory ledger'!$E:$E,E2417,'inventory ledger'!$A:$A,"&lt;="&amp;B2417+TIME(23,59,59)))</f>
        <v/>
      </c>
      <c r="G2417" s="3">
        <f>IFERROR(__xludf.DUMMYFUNCTION("IF(F2417&lt;=0,0,IFERROR(ROUNDUP(F2417/INDEX(FILTER('warehouse config'!$D:$D,('warehouse config'!$B:$B=C2417)*('warehouse config'!$C:$C=D2417)*('warehouse config'!$G:$G&lt;=B2417)*(('warehouse config'!$H:$H&gt;=B2417)+ISBLANK('warehouse config'!$H:$H))),1)),0))"),0.0)</f>
        <v>0</v>
      </c>
      <c r="H2417" s="3">
        <f>IFERROR(__xludf.DUMMYFUNCTION("IFERROR(INDEX(FILTER('cost master'!$E:$E,('cost master'!$B:$B=C2417)*('cost master'!$D:$D=""Storage cost per pallet / week"")*('cost master'!$G:$G&lt;=B2417)*(('cost master'!$H:$H&gt;=B2417)+ISBLANK('cost master'!$H:$H))),1),0)"),0.0)</f>
        <v>0</v>
      </c>
      <c r="I2417" s="3">
        <f t="shared" si="4"/>
        <v>0</v>
      </c>
      <c r="J2417" s="27">
        <f t="shared" si="5"/>
        <v>693947</v>
      </c>
      <c r="K2417" s="27">
        <f t="shared" si="6"/>
        <v>693977</v>
      </c>
    </row>
    <row r="2418" hidden="1">
      <c r="A2418" s="3" t="str">
        <f t="shared" si="3"/>
        <v/>
      </c>
      <c r="B2418" s="2" t="str">
        <f t="array" ref="B2418">INDEX(helper!$A$3:$A3996,ROUNDUP((ROW()-1)/COUNTA(helper!$D$3:$D3996),0))</f>
        <v/>
      </c>
      <c r="C2418" s="5" t="str">
        <f t="array" ref="C2418">IF(B2418="","",INDEX(helper!$D$3:$D3996,MOD(ROW()-2,COUNTA(helper!$D$3:$D3996))+1))</f>
        <v/>
      </c>
      <c r="D2418" s="3" t="str">
        <f t="array" ref="D2418">IF(B2418="","",INDEX(helper!$E$3:$E3996,MOD(ROW()-2,COUNTA(helper!$D$3:$D3996))+1))</f>
        <v/>
      </c>
      <c r="E2418" s="3" t="str">
        <f t="array" ref="E2418">IF(B2418="","",INDEX(helper!$F$3:$F3996,MOD(ROW()-2,COUNTA(helper!$D$3:$D3996))+1))</f>
        <v/>
      </c>
      <c r="F2418" s="3" t="str">
        <f>IF(B2418="","",SUMIFS('inventory ledger'!$H:$H,'inventory ledger'!$C:$C,C2418,'inventory ledger'!$D:$D,D2418,'inventory ledger'!$E:$E,E2418,'inventory ledger'!$A:$A,"&lt;="&amp;B2418+TIME(23,59,59))-SUMIFS('inventory ledger'!$I:$I,'inventory ledger'!$C:$C,C2418,'inventory ledger'!$D:$D,D2418,'inventory ledger'!$E:$E,E2418,'inventory ledger'!$A:$A,"&lt;="&amp;B2418+TIME(23,59,59)))</f>
        <v/>
      </c>
      <c r="G2418" s="3">
        <f>IFERROR(__xludf.DUMMYFUNCTION("IF(F2418&lt;=0,0,IFERROR(ROUNDUP(F2418/INDEX(FILTER('warehouse config'!$D:$D,('warehouse config'!$B:$B=C2418)*('warehouse config'!$C:$C=D2418)*('warehouse config'!$G:$G&lt;=B2418)*(('warehouse config'!$H:$H&gt;=B2418)+ISBLANK('warehouse config'!$H:$H))),1)),0))"),0.0)</f>
        <v>0</v>
      </c>
      <c r="H2418" s="3">
        <f>IFERROR(__xludf.DUMMYFUNCTION("IFERROR(INDEX(FILTER('cost master'!$E:$E,('cost master'!$B:$B=C2418)*('cost master'!$D:$D=""Storage cost per pallet / week"")*('cost master'!$G:$G&lt;=B2418)*(('cost master'!$H:$H&gt;=B2418)+ISBLANK('cost master'!$H:$H))),1),0)"),0.0)</f>
        <v>0</v>
      </c>
      <c r="I2418" s="3">
        <f t="shared" si="4"/>
        <v>0</v>
      </c>
      <c r="J2418" s="27">
        <f t="shared" si="5"/>
        <v>693947</v>
      </c>
      <c r="K2418" s="27">
        <f t="shared" si="6"/>
        <v>693977</v>
      </c>
    </row>
    <row r="2419" hidden="1">
      <c r="A2419" s="3" t="str">
        <f t="shared" si="3"/>
        <v/>
      </c>
      <c r="B2419" s="2" t="str">
        <f t="array" ref="B2419">INDEX(helper!$A$3:$A3996,ROUNDUP((ROW()-1)/COUNTA(helper!$D$3:$D3996),0))</f>
        <v/>
      </c>
      <c r="C2419" s="5" t="str">
        <f t="array" ref="C2419">IF(B2419="","",INDEX(helper!$D$3:$D3996,MOD(ROW()-2,COUNTA(helper!$D$3:$D3996))+1))</f>
        <v/>
      </c>
      <c r="D2419" s="3" t="str">
        <f t="array" ref="D2419">IF(B2419="","",INDEX(helper!$E$3:$E3996,MOD(ROW()-2,COUNTA(helper!$D$3:$D3996))+1))</f>
        <v/>
      </c>
      <c r="E2419" s="3" t="str">
        <f t="array" ref="E2419">IF(B2419="","",INDEX(helper!$F$3:$F3996,MOD(ROW()-2,COUNTA(helper!$D$3:$D3996))+1))</f>
        <v/>
      </c>
      <c r="F2419" s="3" t="str">
        <f>IF(B2419="","",SUMIFS('inventory ledger'!$H:$H,'inventory ledger'!$C:$C,C2419,'inventory ledger'!$D:$D,D2419,'inventory ledger'!$E:$E,E2419,'inventory ledger'!$A:$A,"&lt;="&amp;B2419+TIME(23,59,59))-SUMIFS('inventory ledger'!$I:$I,'inventory ledger'!$C:$C,C2419,'inventory ledger'!$D:$D,D2419,'inventory ledger'!$E:$E,E2419,'inventory ledger'!$A:$A,"&lt;="&amp;B2419+TIME(23,59,59)))</f>
        <v/>
      </c>
      <c r="G2419" s="3">
        <f>IFERROR(__xludf.DUMMYFUNCTION("IF(F2419&lt;=0,0,IFERROR(ROUNDUP(F2419/INDEX(FILTER('warehouse config'!$D:$D,('warehouse config'!$B:$B=C2419)*('warehouse config'!$C:$C=D2419)*('warehouse config'!$G:$G&lt;=B2419)*(('warehouse config'!$H:$H&gt;=B2419)+ISBLANK('warehouse config'!$H:$H))),1)),0))"),0.0)</f>
        <v>0</v>
      </c>
      <c r="H2419" s="3">
        <f>IFERROR(__xludf.DUMMYFUNCTION("IFERROR(INDEX(FILTER('cost master'!$E:$E,('cost master'!$B:$B=C2419)*('cost master'!$D:$D=""Storage cost per pallet / week"")*('cost master'!$G:$G&lt;=B2419)*(('cost master'!$H:$H&gt;=B2419)+ISBLANK('cost master'!$H:$H))),1),0)"),0.0)</f>
        <v>0</v>
      </c>
      <c r="I2419" s="3">
        <f t="shared" si="4"/>
        <v>0</v>
      </c>
      <c r="J2419" s="27">
        <f t="shared" si="5"/>
        <v>693947</v>
      </c>
      <c r="K2419" s="27">
        <f t="shared" si="6"/>
        <v>693977</v>
      </c>
    </row>
    <row r="2420" hidden="1">
      <c r="A2420" s="3" t="str">
        <f t="shared" si="3"/>
        <v/>
      </c>
      <c r="B2420" s="2" t="str">
        <f t="array" ref="B2420">INDEX(helper!$A$3:$A3996,ROUNDUP((ROW()-1)/COUNTA(helper!$D$3:$D3996),0))</f>
        <v/>
      </c>
      <c r="C2420" s="5" t="str">
        <f t="array" ref="C2420">IF(B2420="","",INDEX(helper!$D$3:$D3996,MOD(ROW()-2,COUNTA(helper!$D$3:$D3996))+1))</f>
        <v/>
      </c>
      <c r="D2420" s="3" t="str">
        <f t="array" ref="D2420">IF(B2420="","",INDEX(helper!$E$3:$E3996,MOD(ROW()-2,COUNTA(helper!$D$3:$D3996))+1))</f>
        <v/>
      </c>
      <c r="E2420" s="3" t="str">
        <f t="array" ref="E2420">IF(B2420="","",INDEX(helper!$F$3:$F3996,MOD(ROW()-2,COUNTA(helper!$D$3:$D3996))+1))</f>
        <v/>
      </c>
      <c r="F2420" s="3" t="str">
        <f>IF(B2420="","",SUMIFS('inventory ledger'!$H:$H,'inventory ledger'!$C:$C,C2420,'inventory ledger'!$D:$D,D2420,'inventory ledger'!$E:$E,E2420,'inventory ledger'!$A:$A,"&lt;="&amp;B2420+TIME(23,59,59))-SUMIFS('inventory ledger'!$I:$I,'inventory ledger'!$C:$C,C2420,'inventory ledger'!$D:$D,D2420,'inventory ledger'!$E:$E,E2420,'inventory ledger'!$A:$A,"&lt;="&amp;B2420+TIME(23,59,59)))</f>
        <v/>
      </c>
      <c r="G2420" s="3">
        <f>IFERROR(__xludf.DUMMYFUNCTION("IF(F2420&lt;=0,0,IFERROR(ROUNDUP(F2420/INDEX(FILTER('warehouse config'!$D:$D,('warehouse config'!$B:$B=C2420)*('warehouse config'!$C:$C=D2420)*('warehouse config'!$G:$G&lt;=B2420)*(('warehouse config'!$H:$H&gt;=B2420)+ISBLANK('warehouse config'!$H:$H))),1)),0))"),0.0)</f>
        <v>0</v>
      </c>
      <c r="H2420" s="3">
        <f>IFERROR(__xludf.DUMMYFUNCTION("IFERROR(INDEX(FILTER('cost master'!$E:$E,('cost master'!$B:$B=C2420)*('cost master'!$D:$D=""Storage cost per pallet / week"")*('cost master'!$G:$G&lt;=B2420)*(('cost master'!$H:$H&gt;=B2420)+ISBLANK('cost master'!$H:$H))),1),0)"),0.0)</f>
        <v>0</v>
      </c>
      <c r="I2420" s="3">
        <f t="shared" si="4"/>
        <v>0</v>
      </c>
      <c r="J2420" s="27">
        <f t="shared" si="5"/>
        <v>693947</v>
      </c>
      <c r="K2420" s="27">
        <f t="shared" si="6"/>
        <v>693977</v>
      </c>
    </row>
    <row r="2421" hidden="1">
      <c r="A2421" s="3" t="str">
        <f t="shared" si="3"/>
        <v/>
      </c>
      <c r="B2421" s="2" t="str">
        <f t="array" ref="B2421">INDEX(helper!$A$3:$A3996,ROUNDUP((ROW()-1)/COUNTA(helper!$D$3:$D3996),0))</f>
        <v/>
      </c>
      <c r="C2421" s="5" t="str">
        <f t="array" ref="C2421">IF(B2421="","",INDEX(helper!$D$3:$D3996,MOD(ROW()-2,COUNTA(helper!$D$3:$D3996))+1))</f>
        <v/>
      </c>
      <c r="D2421" s="3" t="str">
        <f t="array" ref="D2421">IF(B2421="","",INDEX(helper!$E$3:$E3996,MOD(ROW()-2,COUNTA(helper!$D$3:$D3996))+1))</f>
        <v/>
      </c>
      <c r="E2421" s="3" t="str">
        <f t="array" ref="E2421">IF(B2421="","",INDEX(helper!$F$3:$F3996,MOD(ROW()-2,COUNTA(helper!$D$3:$D3996))+1))</f>
        <v/>
      </c>
      <c r="F2421" s="3" t="str">
        <f>IF(B2421="","",SUMIFS('inventory ledger'!$H:$H,'inventory ledger'!$C:$C,C2421,'inventory ledger'!$D:$D,D2421,'inventory ledger'!$E:$E,E2421,'inventory ledger'!$A:$A,"&lt;="&amp;B2421+TIME(23,59,59))-SUMIFS('inventory ledger'!$I:$I,'inventory ledger'!$C:$C,C2421,'inventory ledger'!$D:$D,D2421,'inventory ledger'!$E:$E,E2421,'inventory ledger'!$A:$A,"&lt;="&amp;B2421+TIME(23,59,59)))</f>
        <v/>
      </c>
      <c r="G2421" s="3">
        <f>IFERROR(__xludf.DUMMYFUNCTION("IF(F2421&lt;=0,0,IFERROR(ROUNDUP(F2421/INDEX(FILTER('warehouse config'!$D:$D,('warehouse config'!$B:$B=C2421)*('warehouse config'!$C:$C=D2421)*('warehouse config'!$G:$G&lt;=B2421)*(('warehouse config'!$H:$H&gt;=B2421)+ISBLANK('warehouse config'!$H:$H))),1)),0))"),0.0)</f>
        <v>0</v>
      </c>
      <c r="H2421" s="3">
        <f>IFERROR(__xludf.DUMMYFUNCTION("IFERROR(INDEX(FILTER('cost master'!$E:$E,('cost master'!$B:$B=C2421)*('cost master'!$D:$D=""Storage cost per pallet / week"")*('cost master'!$G:$G&lt;=B2421)*(('cost master'!$H:$H&gt;=B2421)+ISBLANK('cost master'!$H:$H))),1),0)"),0.0)</f>
        <v>0</v>
      </c>
      <c r="I2421" s="3">
        <f t="shared" si="4"/>
        <v>0</v>
      </c>
      <c r="J2421" s="27">
        <f t="shared" si="5"/>
        <v>693947</v>
      </c>
      <c r="K2421" s="27">
        <f t="shared" si="6"/>
        <v>693977</v>
      </c>
    </row>
    <row r="2422" hidden="1">
      <c r="A2422" s="3" t="str">
        <f t="shared" si="3"/>
        <v/>
      </c>
      <c r="B2422" s="2" t="str">
        <f t="array" ref="B2422">INDEX(helper!$A$3:$A3996,ROUNDUP((ROW()-1)/COUNTA(helper!$D$3:$D3996),0))</f>
        <v/>
      </c>
      <c r="C2422" s="5" t="str">
        <f t="array" ref="C2422">IF(B2422="","",INDEX(helper!$D$3:$D3996,MOD(ROW()-2,COUNTA(helper!$D$3:$D3996))+1))</f>
        <v/>
      </c>
      <c r="D2422" s="3" t="str">
        <f t="array" ref="D2422">IF(B2422="","",INDEX(helper!$E$3:$E3996,MOD(ROW()-2,COUNTA(helper!$D$3:$D3996))+1))</f>
        <v/>
      </c>
      <c r="E2422" s="3" t="str">
        <f t="array" ref="E2422">IF(B2422="","",INDEX(helper!$F$3:$F3996,MOD(ROW()-2,COUNTA(helper!$D$3:$D3996))+1))</f>
        <v/>
      </c>
      <c r="F2422" s="3" t="str">
        <f>IF(B2422="","",SUMIFS('inventory ledger'!$H:$H,'inventory ledger'!$C:$C,C2422,'inventory ledger'!$D:$D,D2422,'inventory ledger'!$E:$E,E2422,'inventory ledger'!$A:$A,"&lt;="&amp;B2422+TIME(23,59,59))-SUMIFS('inventory ledger'!$I:$I,'inventory ledger'!$C:$C,C2422,'inventory ledger'!$D:$D,D2422,'inventory ledger'!$E:$E,E2422,'inventory ledger'!$A:$A,"&lt;="&amp;B2422+TIME(23,59,59)))</f>
        <v/>
      </c>
      <c r="G2422" s="3">
        <f>IFERROR(__xludf.DUMMYFUNCTION("IF(F2422&lt;=0,0,IFERROR(ROUNDUP(F2422/INDEX(FILTER('warehouse config'!$D:$D,('warehouse config'!$B:$B=C2422)*('warehouse config'!$C:$C=D2422)*('warehouse config'!$G:$G&lt;=B2422)*(('warehouse config'!$H:$H&gt;=B2422)+ISBLANK('warehouse config'!$H:$H))),1)),0))"),0.0)</f>
        <v>0</v>
      </c>
      <c r="H2422" s="3">
        <f>IFERROR(__xludf.DUMMYFUNCTION("IFERROR(INDEX(FILTER('cost master'!$E:$E,('cost master'!$B:$B=C2422)*('cost master'!$D:$D=""Storage cost per pallet / week"")*('cost master'!$G:$G&lt;=B2422)*(('cost master'!$H:$H&gt;=B2422)+ISBLANK('cost master'!$H:$H))),1),0)"),0.0)</f>
        <v>0</v>
      </c>
      <c r="I2422" s="3">
        <f t="shared" si="4"/>
        <v>0</v>
      </c>
      <c r="J2422" s="27">
        <f t="shared" si="5"/>
        <v>693947</v>
      </c>
      <c r="K2422" s="27">
        <f t="shared" si="6"/>
        <v>693977</v>
      </c>
    </row>
    <row r="2423" hidden="1">
      <c r="A2423" s="3" t="str">
        <f t="shared" si="3"/>
        <v/>
      </c>
      <c r="B2423" s="2" t="str">
        <f t="array" ref="B2423">INDEX(helper!$A$3:$A3996,ROUNDUP((ROW()-1)/COUNTA(helper!$D$3:$D3996),0))</f>
        <v/>
      </c>
      <c r="C2423" s="5" t="str">
        <f t="array" ref="C2423">IF(B2423="","",INDEX(helper!$D$3:$D3996,MOD(ROW()-2,COUNTA(helper!$D$3:$D3996))+1))</f>
        <v/>
      </c>
      <c r="D2423" s="3" t="str">
        <f t="array" ref="D2423">IF(B2423="","",INDEX(helper!$E$3:$E3996,MOD(ROW()-2,COUNTA(helper!$D$3:$D3996))+1))</f>
        <v/>
      </c>
      <c r="E2423" s="3" t="str">
        <f t="array" ref="E2423">IF(B2423="","",INDEX(helper!$F$3:$F3996,MOD(ROW()-2,COUNTA(helper!$D$3:$D3996))+1))</f>
        <v/>
      </c>
      <c r="F2423" s="3" t="str">
        <f>IF(B2423="","",SUMIFS('inventory ledger'!$H:$H,'inventory ledger'!$C:$C,C2423,'inventory ledger'!$D:$D,D2423,'inventory ledger'!$E:$E,E2423,'inventory ledger'!$A:$A,"&lt;="&amp;B2423+TIME(23,59,59))-SUMIFS('inventory ledger'!$I:$I,'inventory ledger'!$C:$C,C2423,'inventory ledger'!$D:$D,D2423,'inventory ledger'!$E:$E,E2423,'inventory ledger'!$A:$A,"&lt;="&amp;B2423+TIME(23,59,59)))</f>
        <v/>
      </c>
      <c r="G2423" s="3">
        <f>IFERROR(__xludf.DUMMYFUNCTION("IF(F2423&lt;=0,0,IFERROR(ROUNDUP(F2423/INDEX(FILTER('warehouse config'!$D:$D,('warehouse config'!$B:$B=C2423)*('warehouse config'!$C:$C=D2423)*('warehouse config'!$G:$G&lt;=B2423)*(('warehouse config'!$H:$H&gt;=B2423)+ISBLANK('warehouse config'!$H:$H))),1)),0))"),0.0)</f>
        <v>0</v>
      </c>
      <c r="H2423" s="3">
        <f>IFERROR(__xludf.DUMMYFUNCTION("IFERROR(INDEX(FILTER('cost master'!$E:$E,('cost master'!$B:$B=C2423)*('cost master'!$D:$D=""Storage cost per pallet / week"")*('cost master'!$G:$G&lt;=B2423)*(('cost master'!$H:$H&gt;=B2423)+ISBLANK('cost master'!$H:$H))),1),0)"),0.0)</f>
        <v>0</v>
      </c>
      <c r="I2423" s="3">
        <f t="shared" si="4"/>
        <v>0</v>
      </c>
      <c r="J2423" s="27">
        <f t="shared" si="5"/>
        <v>693947</v>
      </c>
      <c r="K2423" s="27">
        <f t="shared" si="6"/>
        <v>693977</v>
      </c>
    </row>
    <row r="2424" hidden="1">
      <c r="A2424" s="3" t="str">
        <f t="shared" si="3"/>
        <v/>
      </c>
      <c r="B2424" s="2" t="str">
        <f t="array" ref="B2424">INDEX(helper!$A$3:$A3996,ROUNDUP((ROW()-1)/COUNTA(helper!$D$3:$D3996),0))</f>
        <v/>
      </c>
      <c r="C2424" s="5" t="str">
        <f t="array" ref="C2424">IF(B2424="","",INDEX(helper!$D$3:$D3996,MOD(ROW()-2,COUNTA(helper!$D$3:$D3996))+1))</f>
        <v/>
      </c>
      <c r="D2424" s="3" t="str">
        <f t="array" ref="D2424">IF(B2424="","",INDEX(helper!$E$3:$E3996,MOD(ROW()-2,COUNTA(helper!$D$3:$D3996))+1))</f>
        <v/>
      </c>
      <c r="E2424" s="3" t="str">
        <f t="array" ref="E2424">IF(B2424="","",INDEX(helper!$F$3:$F3996,MOD(ROW()-2,COUNTA(helper!$D$3:$D3996))+1))</f>
        <v/>
      </c>
      <c r="F2424" s="3" t="str">
        <f>IF(B2424="","",SUMIFS('inventory ledger'!$H:$H,'inventory ledger'!$C:$C,C2424,'inventory ledger'!$D:$D,D2424,'inventory ledger'!$E:$E,E2424,'inventory ledger'!$A:$A,"&lt;="&amp;B2424+TIME(23,59,59))-SUMIFS('inventory ledger'!$I:$I,'inventory ledger'!$C:$C,C2424,'inventory ledger'!$D:$D,D2424,'inventory ledger'!$E:$E,E2424,'inventory ledger'!$A:$A,"&lt;="&amp;B2424+TIME(23,59,59)))</f>
        <v/>
      </c>
      <c r="G2424" s="3">
        <f>IFERROR(__xludf.DUMMYFUNCTION("IF(F2424&lt;=0,0,IFERROR(ROUNDUP(F2424/INDEX(FILTER('warehouse config'!$D:$D,('warehouse config'!$B:$B=C2424)*('warehouse config'!$C:$C=D2424)*('warehouse config'!$G:$G&lt;=B2424)*(('warehouse config'!$H:$H&gt;=B2424)+ISBLANK('warehouse config'!$H:$H))),1)),0))"),0.0)</f>
        <v>0</v>
      </c>
      <c r="H2424" s="3">
        <f>IFERROR(__xludf.DUMMYFUNCTION("IFERROR(INDEX(FILTER('cost master'!$E:$E,('cost master'!$B:$B=C2424)*('cost master'!$D:$D=""Storage cost per pallet / week"")*('cost master'!$G:$G&lt;=B2424)*(('cost master'!$H:$H&gt;=B2424)+ISBLANK('cost master'!$H:$H))),1),0)"),0.0)</f>
        <v>0</v>
      </c>
      <c r="I2424" s="3">
        <f t="shared" si="4"/>
        <v>0</v>
      </c>
      <c r="J2424" s="27">
        <f t="shared" si="5"/>
        <v>693947</v>
      </c>
      <c r="K2424" s="27">
        <f t="shared" si="6"/>
        <v>693977</v>
      </c>
    </row>
    <row r="2425" hidden="1">
      <c r="A2425" s="3" t="str">
        <f t="shared" si="3"/>
        <v/>
      </c>
      <c r="B2425" s="2" t="str">
        <f t="array" ref="B2425">INDEX(helper!$A$3:$A3996,ROUNDUP((ROW()-1)/COUNTA(helper!$D$3:$D3996),0))</f>
        <v/>
      </c>
      <c r="C2425" s="5" t="str">
        <f t="array" ref="C2425">IF(B2425="","",INDEX(helper!$D$3:$D3996,MOD(ROW()-2,COUNTA(helper!$D$3:$D3996))+1))</f>
        <v/>
      </c>
      <c r="D2425" s="3" t="str">
        <f t="array" ref="D2425">IF(B2425="","",INDEX(helper!$E$3:$E3996,MOD(ROW()-2,COUNTA(helper!$D$3:$D3996))+1))</f>
        <v/>
      </c>
      <c r="E2425" s="3" t="str">
        <f t="array" ref="E2425">IF(B2425="","",INDEX(helper!$F$3:$F3996,MOD(ROW()-2,COUNTA(helper!$D$3:$D3996))+1))</f>
        <v/>
      </c>
      <c r="F2425" s="3" t="str">
        <f>IF(B2425="","",SUMIFS('inventory ledger'!$H:$H,'inventory ledger'!$C:$C,C2425,'inventory ledger'!$D:$D,D2425,'inventory ledger'!$E:$E,E2425,'inventory ledger'!$A:$A,"&lt;="&amp;B2425+TIME(23,59,59))-SUMIFS('inventory ledger'!$I:$I,'inventory ledger'!$C:$C,C2425,'inventory ledger'!$D:$D,D2425,'inventory ledger'!$E:$E,E2425,'inventory ledger'!$A:$A,"&lt;="&amp;B2425+TIME(23,59,59)))</f>
        <v/>
      </c>
      <c r="G2425" s="3">
        <f>IFERROR(__xludf.DUMMYFUNCTION("IF(F2425&lt;=0,0,IFERROR(ROUNDUP(F2425/INDEX(FILTER('warehouse config'!$D:$D,('warehouse config'!$B:$B=C2425)*('warehouse config'!$C:$C=D2425)*('warehouse config'!$G:$G&lt;=B2425)*(('warehouse config'!$H:$H&gt;=B2425)+ISBLANK('warehouse config'!$H:$H))),1)),0))"),0.0)</f>
        <v>0</v>
      </c>
      <c r="H2425" s="3">
        <f>IFERROR(__xludf.DUMMYFUNCTION("IFERROR(INDEX(FILTER('cost master'!$E:$E,('cost master'!$B:$B=C2425)*('cost master'!$D:$D=""Storage cost per pallet / week"")*('cost master'!$G:$G&lt;=B2425)*(('cost master'!$H:$H&gt;=B2425)+ISBLANK('cost master'!$H:$H))),1),0)"),0.0)</f>
        <v>0</v>
      </c>
      <c r="I2425" s="3">
        <f t="shared" si="4"/>
        <v>0</v>
      </c>
      <c r="J2425" s="27">
        <f t="shared" si="5"/>
        <v>693947</v>
      </c>
      <c r="K2425" s="27">
        <f t="shared" si="6"/>
        <v>693977</v>
      </c>
    </row>
    <row r="2426" hidden="1">
      <c r="A2426" s="3" t="str">
        <f t="shared" si="3"/>
        <v/>
      </c>
      <c r="B2426" s="2" t="str">
        <f t="array" ref="B2426">INDEX(helper!$A$3:$A3996,ROUNDUP((ROW()-1)/COUNTA(helper!$D$3:$D3996),0))</f>
        <v/>
      </c>
      <c r="C2426" s="5" t="str">
        <f t="array" ref="C2426">IF(B2426="","",INDEX(helper!$D$3:$D3996,MOD(ROW()-2,COUNTA(helper!$D$3:$D3996))+1))</f>
        <v/>
      </c>
      <c r="D2426" s="3" t="str">
        <f t="array" ref="D2426">IF(B2426="","",INDEX(helper!$E$3:$E3996,MOD(ROW()-2,COUNTA(helper!$D$3:$D3996))+1))</f>
        <v/>
      </c>
      <c r="E2426" s="3" t="str">
        <f t="array" ref="E2426">IF(B2426="","",INDEX(helper!$F$3:$F3996,MOD(ROW()-2,COUNTA(helper!$D$3:$D3996))+1))</f>
        <v/>
      </c>
      <c r="F2426" s="3" t="str">
        <f>IF(B2426="","",SUMIFS('inventory ledger'!$H:$H,'inventory ledger'!$C:$C,C2426,'inventory ledger'!$D:$D,D2426,'inventory ledger'!$E:$E,E2426,'inventory ledger'!$A:$A,"&lt;="&amp;B2426+TIME(23,59,59))-SUMIFS('inventory ledger'!$I:$I,'inventory ledger'!$C:$C,C2426,'inventory ledger'!$D:$D,D2426,'inventory ledger'!$E:$E,E2426,'inventory ledger'!$A:$A,"&lt;="&amp;B2426+TIME(23,59,59)))</f>
        <v/>
      </c>
      <c r="G2426" s="3">
        <f>IFERROR(__xludf.DUMMYFUNCTION("IF(F2426&lt;=0,0,IFERROR(ROUNDUP(F2426/INDEX(FILTER('warehouse config'!$D:$D,('warehouse config'!$B:$B=C2426)*('warehouse config'!$C:$C=D2426)*('warehouse config'!$G:$G&lt;=B2426)*(('warehouse config'!$H:$H&gt;=B2426)+ISBLANK('warehouse config'!$H:$H))),1)),0))"),0.0)</f>
        <v>0</v>
      </c>
      <c r="H2426" s="3">
        <f>IFERROR(__xludf.DUMMYFUNCTION("IFERROR(INDEX(FILTER('cost master'!$E:$E,('cost master'!$B:$B=C2426)*('cost master'!$D:$D=""Storage cost per pallet / week"")*('cost master'!$G:$G&lt;=B2426)*(('cost master'!$H:$H&gt;=B2426)+ISBLANK('cost master'!$H:$H))),1),0)"),0.0)</f>
        <v>0</v>
      </c>
      <c r="I2426" s="3">
        <f t="shared" si="4"/>
        <v>0</v>
      </c>
      <c r="J2426" s="27">
        <f t="shared" si="5"/>
        <v>693947</v>
      </c>
      <c r="K2426" s="27">
        <f t="shared" si="6"/>
        <v>693977</v>
      </c>
    </row>
    <row r="2427" hidden="1">
      <c r="A2427" s="3" t="str">
        <f t="shared" si="3"/>
        <v/>
      </c>
      <c r="B2427" s="2" t="str">
        <f t="array" ref="B2427">INDEX(helper!$A$3:$A3996,ROUNDUP((ROW()-1)/COUNTA(helper!$D$3:$D3996),0))</f>
        <v/>
      </c>
      <c r="C2427" s="5" t="str">
        <f t="array" ref="C2427">IF(B2427="","",INDEX(helper!$D$3:$D3996,MOD(ROW()-2,COUNTA(helper!$D$3:$D3996))+1))</f>
        <v/>
      </c>
      <c r="D2427" s="3" t="str">
        <f t="array" ref="D2427">IF(B2427="","",INDEX(helper!$E$3:$E3996,MOD(ROW()-2,COUNTA(helper!$D$3:$D3996))+1))</f>
        <v/>
      </c>
      <c r="E2427" s="3" t="str">
        <f t="array" ref="E2427">IF(B2427="","",INDEX(helper!$F$3:$F3996,MOD(ROW()-2,COUNTA(helper!$D$3:$D3996))+1))</f>
        <v/>
      </c>
      <c r="F2427" s="3" t="str">
        <f>IF(B2427="","",SUMIFS('inventory ledger'!$H:$H,'inventory ledger'!$C:$C,C2427,'inventory ledger'!$D:$D,D2427,'inventory ledger'!$E:$E,E2427,'inventory ledger'!$A:$A,"&lt;="&amp;B2427+TIME(23,59,59))-SUMIFS('inventory ledger'!$I:$I,'inventory ledger'!$C:$C,C2427,'inventory ledger'!$D:$D,D2427,'inventory ledger'!$E:$E,E2427,'inventory ledger'!$A:$A,"&lt;="&amp;B2427+TIME(23,59,59)))</f>
        <v/>
      </c>
      <c r="G2427" s="3">
        <f>IFERROR(__xludf.DUMMYFUNCTION("IF(F2427&lt;=0,0,IFERROR(ROUNDUP(F2427/INDEX(FILTER('warehouse config'!$D:$D,('warehouse config'!$B:$B=C2427)*('warehouse config'!$C:$C=D2427)*('warehouse config'!$G:$G&lt;=B2427)*(('warehouse config'!$H:$H&gt;=B2427)+ISBLANK('warehouse config'!$H:$H))),1)),0))"),0.0)</f>
        <v>0</v>
      </c>
      <c r="H2427" s="3">
        <f>IFERROR(__xludf.DUMMYFUNCTION("IFERROR(INDEX(FILTER('cost master'!$E:$E,('cost master'!$B:$B=C2427)*('cost master'!$D:$D=""Storage cost per pallet / week"")*('cost master'!$G:$G&lt;=B2427)*(('cost master'!$H:$H&gt;=B2427)+ISBLANK('cost master'!$H:$H))),1),0)"),0.0)</f>
        <v>0</v>
      </c>
      <c r="I2427" s="3">
        <f t="shared" si="4"/>
        <v>0</v>
      </c>
      <c r="J2427" s="27">
        <f t="shared" si="5"/>
        <v>693947</v>
      </c>
      <c r="K2427" s="27">
        <f t="shared" si="6"/>
        <v>693977</v>
      </c>
    </row>
    <row r="2428" hidden="1">
      <c r="A2428" s="3" t="str">
        <f t="shared" si="3"/>
        <v/>
      </c>
      <c r="B2428" s="2" t="str">
        <f t="array" ref="B2428">INDEX(helper!$A$3:$A3996,ROUNDUP((ROW()-1)/COUNTA(helper!$D$3:$D3996),0))</f>
        <v/>
      </c>
      <c r="C2428" s="5" t="str">
        <f t="array" ref="C2428">IF(B2428="","",INDEX(helper!$D$3:$D3996,MOD(ROW()-2,COUNTA(helper!$D$3:$D3996))+1))</f>
        <v/>
      </c>
      <c r="D2428" s="3" t="str">
        <f t="array" ref="D2428">IF(B2428="","",INDEX(helper!$E$3:$E3996,MOD(ROW()-2,COUNTA(helper!$D$3:$D3996))+1))</f>
        <v/>
      </c>
      <c r="E2428" s="3" t="str">
        <f t="array" ref="E2428">IF(B2428="","",INDEX(helper!$F$3:$F3996,MOD(ROW()-2,COUNTA(helper!$D$3:$D3996))+1))</f>
        <v/>
      </c>
      <c r="F2428" s="3" t="str">
        <f>IF(B2428="","",SUMIFS('inventory ledger'!$H:$H,'inventory ledger'!$C:$C,C2428,'inventory ledger'!$D:$D,D2428,'inventory ledger'!$E:$E,E2428,'inventory ledger'!$A:$A,"&lt;="&amp;B2428+TIME(23,59,59))-SUMIFS('inventory ledger'!$I:$I,'inventory ledger'!$C:$C,C2428,'inventory ledger'!$D:$D,D2428,'inventory ledger'!$E:$E,E2428,'inventory ledger'!$A:$A,"&lt;="&amp;B2428+TIME(23,59,59)))</f>
        <v/>
      </c>
      <c r="G2428" s="3">
        <f>IFERROR(__xludf.DUMMYFUNCTION("IF(F2428&lt;=0,0,IFERROR(ROUNDUP(F2428/INDEX(FILTER('warehouse config'!$D:$D,('warehouse config'!$B:$B=C2428)*('warehouse config'!$C:$C=D2428)*('warehouse config'!$G:$G&lt;=B2428)*(('warehouse config'!$H:$H&gt;=B2428)+ISBLANK('warehouse config'!$H:$H))),1)),0))"),0.0)</f>
        <v>0</v>
      </c>
      <c r="H2428" s="3">
        <f>IFERROR(__xludf.DUMMYFUNCTION("IFERROR(INDEX(FILTER('cost master'!$E:$E,('cost master'!$B:$B=C2428)*('cost master'!$D:$D=""Storage cost per pallet / week"")*('cost master'!$G:$G&lt;=B2428)*(('cost master'!$H:$H&gt;=B2428)+ISBLANK('cost master'!$H:$H))),1),0)"),0.0)</f>
        <v>0</v>
      </c>
      <c r="I2428" s="3">
        <f t="shared" si="4"/>
        <v>0</v>
      </c>
      <c r="J2428" s="27">
        <f t="shared" si="5"/>
        <v>693947</v>
      </c>
      <c r="K2428" s="27">
        <f t="shared" si="6"/>
        <v>693977</v>
      </c>
    </row>
    <row r="2429" hidden="1">
      <c r="A2429" s="3" t="str">
        <f t="shared" si="3"/>
        <v/>
      </c>
      <c r="B2429" s="2" t="str">
        <f t="array" ref="B2429">INDEX(helper!$A$3:$A3996,ROUNDUP((ROW()-1)/COUNTA(helper!$D$3:$D3996),0))</f>
        <v/>
      </c>
      <c r="C2429" s="5" t="str">
        <f t="array" ref="C2429">IF(B2429="","",INDEX(helper!$D$3:$D3996,MOD(ROW()-2,COUNTA(helper!$D$3:$D3996))+1))</f>
        <v/>
      </c>
      <c r="D2429" s="3" t="str">
        <f t="array" ref="D2429">IF(B2429="","",INDEX(helper!$E$3:$E3996,MOD(ROW()-2,COUNTA(helper!$D$3:$D3996))+1))</f>
        <v/>
      </c>
      <c r="E2429" s="3" t="str">
        <f t="array" ref="E2429">IF(B2429="","",INDEX(helper!$F$3:$F3996,MOD(ROW()-2,COUNTA(helper!$D$3:$D3996))+1))</f>
        <v/>
      </c>
      <c r="F2429" s="3" t="str">
        <f>IF(B2429="","",SUMIFS('inventory ledger'!$H:$H,'inventory ledger'!$C:$C,C2429,'inventory ledger'!$D:$D,D2429,'inventory ledger'!$E:$E,E2429,'inventory ledger'!$A:$A,"&lt;="&amp;B2429+TIME(23,59,59))-SUMIFS('inventory ledger'!$I:$I,'inventory ledger'!$C:$C,C2429,'inventory ledger'!$D:$D,D2429,'inventory ledger'!$E:$E,E2429,'inventory ledger'!$A:$A,"&lt;="&amp;B2429+TIME(23,59,59)))</f>
        <v/>
      </c>
      <c r="G2429" s="3">
        <f>IFERROR(__xludf.DUMMYFUNCTION("IF(F2429&lt;=0,0,IFERROR(ROUNDUP(F2429/INDEX(FILTER('warehouse config'!$D:$D,('warehouse config'!$B:$B=C2429)*('warehouse config'!$C:$C=D2429)*('warehouse config'!$G:$G&lt;=B2429)*(('warehouse config'!$H:$H&gt;=B2429)+ISBLANK('warehouse config'!$H:$H))),1)),0))"),0.0)</f>
        <v>0</v>
      </c>
      <c r="H2429" s="3">
        <f>IFERROR(__xludf.DUMMYFUNCTION("IFERROR(INDEX(FILTER('cost master'!$E:$E,('cost master'!$B:$B=C2429)*('cost master'!$D:$D=""Storage cost per pallet / week"")*('cost master'!$G:$G&lt;=B2429)*(('cost master'!$H:$H&gt;=B2429)+ISBLANK('cost master'!$H:$H))),1),0)"),0.0)</f>
        <v>0</v>
      </c>
      <c r="I2429" s="3">
        <f t="shared" si="4"/>
        <v>0</v>
      </c>
      <c r="J2429" s="27">
        <f t="shared" si="5"/>
        <v>693947</v>
      </c>
      <c r="K2429" s="27">
        <f t="shared" si="6"/>
        <v>693977</v>
      </c>
    </row>
    <row r="2430" hidden="1">
      <c r="A2430" s="3" t="str">
        <f t="shared" si="3"/>
        <v/>
      </c>
      <c r="B2430" s="2" t="str">
        <f t="array" ref="B2430">INDEX(helper!$A$3:$A3996,ROUNDUP((ROW()-1)/COUNTA(helper!$D$3:$D3996),0))</f>
        <v/>
      </c>
      <c r="C2430" s="5" t="str">
        <f t="array" ref="C2430">IF(B2430="","",INDEX(helper!$D$3:$D3996,MOD(ROW()-2,COUNTA(helper!$D$3:$D3996))+1))</f>
        <v/>
      </c>
      <c r="D2430" s="3" t="str">
        <f t="array" ref="D2430">IF(B2430="","",INDEX(helper!$E$3:$E3996,MOD(ROW()-2,COUNTA(helper!$D$3:$D3996))+1))</f>
        <v/>
      </c>
      <c r="E2430" s="3" t="str">
        <f t="array" ref="E2430">IF(B2430="","",INDEX(helper!$F$3:$F3996,MOD(ROW()-2,COUNTA(helper!$D$3:$D3996))+1))</f>
        <v/>
      </c>
      <c r="F2430" s="3" t="str">
        <f>IF(B2430="","",SUMIFS('inventory ledger'!$H:$H,'inventory ledger'!$C:$C,C2430,'inventory ledger'!$D:$D,D2430,'inventory ledger'!$E:$E,E2430,'inventory ledger'!$A:$A,"&lt;="&amp;B2430+TIME(23,59,59))-SUMIFS('inventory ledger'!$I:$I,'inventory ledger'!$C:$C,C2430,'inventory ledger'!$D:$D,D2430,'inventory ledger'!$E:$E,E2430,'inventory ledger'!$A:$A,"&lt;="&amp;B2430+TIME(23,59,59)))</f>
        <v/>
      </c>
      <c r="G2430" s="3">
        <f>IFERROR(__xludf.DUMMYFUNCTION("IF(F2430&lt;=0,0,IFERROR(ROUNDUP(F2430/INDEX(FILTER('warehouse config'!$D:$D,('warehouse config'!$B:$B=C2430)*('warehouse config'!$C:$C=D2430)*('warehouse config'!$G:$G&lt;=B2430)*(('warehouse config'!$H:$H&gt;=B2430)+ISBLANK('warehouse config'!$H:$H))),1)),0))"),0.0)</f>
        <v>0</v>
      </c>
      <c r="H2430" s="3">
        <f>IFERROR(__xludf.DUMMYFUNCTION("IFERROR(INDEX(FILTER('cost master'!$E:$E,('cost master'!$B:$B=C2430)*('cost master'!$D:$D=""Storage cost per pallet / week"")*('cost master'!$G:$G&lt;=B2430)*(('cost master'!$H:$H&gt;=B2430)+ISBLANK('cost master'!$H:$H))),1),0)"),0.0)</f>
        <v>0</v>
      </c>
      <c r="I2430" s="3">
        <f t="shared" si="4"/>
        <v>0</v>
      </c>
      <c r="J2430" s="27">
        <f t="shared" si="5"/>
        <v>693947</v>
      </c>
      <c r="K2430" s="27">
        <f t="shared" si="6"/>
        <v>693977</v>
      </c>
    </row>
    <row r="2431" hidden="1">
      <c r="A2431" s="3" t="str">
        <f t="shared" si="3"/>
        <v/>
      </c>
      <c r="B2431" s="2" t="str">
        <f t="array" ref="B2431">INDEX(helper!$A$3:$A3996,ROUNDUP((ROW()-1)/COUNTA(helper!$D$3:$D3996),0))</f>
        <v/>
      </c>
      <c r="C2431" s="5" t="str">
        <f t="array" ref="C2431">IF(B2431="","",INDEX(helper!$D$3:$D3996,MOD(ROW()-2,COUNTA(helper!$D$3:$D3996))+1))</f>
        <v/>
      </c>
      <c r="D2431" s="3" t="str">
        <f t="array" ref="D2431">IF(B2431="","",INDEX(helper!$E$3:$E3996,MOD(ROW()-2,COUNTA(helper!$D$3:$D3996))+1))</f>
        <v/>
      </c>
      <c r="E2431" s="3" t="str">
        <f t="array" ref="E2431">IF(B2431="","",INDEX(helper!$F$3:$F3996,MOD(ROW()-2,COUNTA(helper!$D$3:$D3996))+1))</f>
        <v/>
      </c>
      <c r="F2431" s="3" t="str">
        <f>IF(B2431="","",SUMIFS('inventory ledger'!$H:$H,'inventory ledger'!$C:$C,C2431,'inventory ledger'!$D:$D,D2431,'inventory ledger'!$E:$E,E2431,'inventory ledger'!$A:$A,"&lt;="&amp;B2431+TIME(23,59,59))-SUMIFS('inventory ledger'!$I:$I,'inventory ledger'!$C:$C,C2431,'inventory ledger'!$D:$D,D2431,'inventory ledger'!$E:$E,E2431,'inventory ledger'!$A:$A,"&lt;="&amp;B2431+TIME(23,59,59)))</f>
        <v/>
      </c>
      <c r="G2431" s="3">
        <f>IFERROR(__xludf.DUMMYFUNCTION("IF(F2431&lt;=0,0,IFERROR(ROUNDUP(F2431/INDEX(FILTER('warehouse config'!$D:$D,('warehouse config'!$B:$B=C2431)*('warehouse config'!$C:$C=D2431)*('warehouse config'!$G:$G&lt;=B2431)*(('warehouse config'!$H:$H&gt;=B2431)+ISBLANK('warehouse config'!$H:$H))),1)),0))"),0.0)</f>
        <v>0</v>
      </c>
      <c r="H2431" s="3">
        <f>IFERROR(__xludf.DUMMYFUNCTION("IFERROR(INDEX(FILTER('cost master'!$E:$E,('cost master'!$B:$B=C2431)*('cost master'!$D:$D=""Storage cost per pallet / week"")*('cost master'!$G:$G&lt;=B2431)*(('cost master'!$H:$H&gt;=B2431)+ISBLANK('cost master'!$H:$H))),1),0)"),0.0)</f>
        <v>0</v>
      </c>
      <c r="I2431" s="3">
        <f t="shared" si="4"/>
        <v>0</v>
      </c>
      <c r="J2431" s="27">
        <f t="shared" si="5"/>
        <v>693947</v>
      </c>
      <c r="K2431" s="27">
        <f t="shared" si="6"/>
        <v>693977</v>
      </c>
    </row>
    <row r="2432" hidden="1">
      <c r="A2432" s="3" t="str">
        <f t="shared" si="3"/>
        <v/>
      </c>
      <c r="B2432" s="2" t="str">
        <f t="array" ref="B2432">INDEX(helper!$A$3:$A3996,ROUNDUP((ROW()-1)/COUNTA(helper!$D$3:$D3996),0))</f>
        <v/>
      </c>
      <c r="C2432" s="5" t="str">
        <f t="array" ref="C2432">IF(B2432="","",INDEX(helper!$D$3:$D3996,MOD(ROW()-2,COUNTA(helper!$D$3:$D3996))+1))</f>
        <v/>
      </c>
      <c r="D2432" s="3" t="str">
        <f t="array" ref="D2432">IF(B2432="","",INDEX(helper!$E$3:$E3996,MOD(ROW()-2,COUNTA(helper!$D$3:$D3996))+1))</f>
        <v/>
      </c>
      <c r="E2432" s="3" t="str">
        <f t="array" ref="E2432">IF(B2432="","",INDEX(helper!$F$3:$F3996,MOD(ROW()-2,COUNTA(helper!$D$3:$D3996))+1))</f>
        <v/>
      </c>
      <c r="F2432" s="3" t="str">
        <f>IF(B2432="","",SUMIFS('inventory ledger'!$H:$H,'inventory ledger'!$C:$C,C2432,'inventory ledger'!$D:$D,D2432,'inventory ledger'!$E:$E,E2432,'inventory ledger'!$A:$A,"&lt;="&amp;B2432+TIME(23,59,59))-SUMIFS('inventory ledger'!$I:$I,'inventory ledger'!$C:$C,C2432,'inventory ledger'!$D:$D,D2432,'inventory ledger'!$E:$E,E2432,'inventory ledger'!$A:$A,"&lt;="&amp;B2432+TIME(23,59,59)))</f>
        <v/>
      </c>
      <c r="G2432" s="3">
        <f>IFERROR(__xludf.DUMMYFUNCTION("IF(F2432&lt;=0,0,IFERROR(ROUNDUP(F2432/INDEX(FILTER('warehouse config'!$D:$D,('warehouse config'!$B:$B=C2432)*('warehouse config'!$C:$C=D2432)*('warehouse config'!$G:$G&lt;=B2432)*(('warehouse config'!$H:$H&gt;=B2432)+ISBLANK('warehouse config'!$H:$H))),1)),0))"),0.0)</f>
        <v>0</v>
      </c>
      <c r="H2432" s="3">
        <f>IFERROR(__xludf.DUMMYFUNCTION("IFERROR(INDEX(FILTER('cost master'!$E:$E,('cost master'!$B:$B=C2432)*('cost master'!$D:$D=""Storage cost per pallet / week"")*('cost master'!$G:$G&lt;=B2432)*(('cost master'!$H:$H&gt;=B2432)+ISBLANK('cost master'!$H:$H))),1),0)"),0.0)</f>
        <v>0</v>
      </c>
      <c r="I2432" s="3">
        <f t="shared" si="4"/>
        <v>0</v>
      </c>
      <c r="J2432" s="27">
        <f t="shared" si="5"/>
        <v>693947</v>
      </c>
      <c r="K2432" s="27">
        <f t="shared" si="6"/>
        <v>693977</v>
      </c>
    </row>
    <row r="2433" hidden="1">
      <c r="A2433" s="3" t="str">
        <f t="shared" si="3"/>
        <v/>
      </c>
      <c r="B2433" s="2" t="str">
        <f t="array" ref="B2433">INDEX(helper!$A$3:$A3996,ROUNDUP((ROW()-1)/COUNTA(helper!$D$3:$D3996),0))</f>
        <v/>
      </c>
      <c r="C2433" s="5" t="str">
        <f t="array" ref="C2433">IF(B2433="","",INDEX(helper!$D$3:$D3996,MOD(ROW()-2,COUNTA(helper!$D$3:$D3996))+1))</f>
        <v/>
      </c>
      <c r="D2433" s="3" t="str">
        <f t="array" ref="D2433">IF(B2433="","",INDEX(helper!$E$3:$E3996,MOD(ROW()-2,COUNTA(helper!$D$3:$D3996))+1))</f>
        <v/>
      </c>
      <c r="E2433" s="3" t="str">
        <f t="array" ref="E2433">IF(B2433="","",INDEX(helper!$F$3:$F3996,MOD(ROW()-2,COUNTA(helper!$D$3:$D3996))+1))</f>
        <v/>
      </c>
      <c r="F2433" s="3" t="str">
        <f>IF(B2433="","",SUMIFS('inventory ledger'!$H:$H,'inventory ledger'!$C:$C,C2433,'inventory ledger'!$D:$D,D2433,'inventory ledger'!$E:$E,E2433,'inventory ledger'!$A:$A,"&lt;="&amp;B2433+TIME(23,59,59))-SUMIFS('inventory ledger'!$I:$I,'inventory ledger'!$C:$C,C2433,'inventory ledger'!$D:$D,D2433,'inventory ledger'!$E:$E,E2433,'inventory ledger'!$A:$A,"&lt;="&amp;B2433+TIME(23,59,59)))</f>
        <v/>
      </c>
      <c r="G2433" s="3">
        <f>IFERROR(__xludf.DUMMYFUNCTION("IF(F2433&lt;=0,0,IFERROR(ROUNDUP(F2433/INDEX(FILTER('warehouse config'!$D:$D,('warehouse config'!$B:$B=C2433)*('warehouse config'!$C:$C=D2433)*('warehouse config'!$G:$G&lt;=B2433)*(('warehouse config'!$H:$H&gt;=B2433)+ISBLANK('warehouse config'!$H:$H))),1)),0))"),0.0)</f>
        <v>0</v>
      </c>
      <c r="H2433" s="3">
        <f>IFERROR(__xludf.DUMMYFUNCTION("IFERROR(INDEX(FILTER('cost master'!$E:$E,('cost master'!$B:$B=C2433)*('cost master'!$D:$D=""Storage cost per pallet / week"")*('cost master'!$G:$G&lt;=B2433)*(('cost master'!$H:$H&gt;=B2433)+ISBLANK('cost master'!$H:$H))),1),0)"),0.0)</f>
        <v>0</v>
      </c>
      <c r="I2433" s="3">
        <f t="shared" si="4"/>
        <v>0</v>
      </c>
      <c r="J2433" s="27">
        <f t="shared" si="5"/>
        <v>693947</v>
      </c>
      <c r="K2433" s="27">
        <f t="shared" si="6"/>
        <v>693977</v>
      </c>
    </row>
    <row r="2434" hidden="1">
      <c r="A2434" s="3" t="str">
        <f t="shared" si="3"/>
        <v/>
      </c>
      <c r="B2434" s="2" t="str">
        <f t="array" ref="B2434">INDEX(helper!$A$3:$A3996,ROUNDUP((ROW()-1)/COUNTA(helper!$D$3:$D3996),0))</f>
        <v/>
      </c>
      <c r="C2434" s="5" t="str">
        <f t="array" ref="C2434">IF(B2434="","",INDEX(helper!$D$3:$D3996,MOD(ROW()-2,COUNTA(helper!$D$3:$D3996))+1))</f>
        <v/>
      </c>
      <c r="D2434" s="3" t="str">
        <f t="array" ref="D2434">IF(B2434="","",INDEX(helper!$E$3:$E3996,MOD(ROW()-2,COUNTA(helper!$D$3:$D3996))+1))</f>
        <v/>
      </c>
      <c r="E2434" s="3" t="str">
        <f t="array" ref="E2434">IF(B2434="","",INDEX(helper!$F$3:$F3996,MOD(ROW()-2,COUNTA(helper!$D$3:$D3996))+1))</f>
        <v/>
      </c>
      <c r="F2434" s="3" t="str">
        <f>IF(B2434="","",SUMIFS('inventory ledger'!$H:$H,'inventory ledger'!$C:$C,C2434,'inventory ledger'!$D:$D,D2434,'inventory ledger'!$E:$E,E2434,'inventory ledger'!$A:$A,"&lt;="&amp;B2434+TIME(23,59,59))-SUMIFS('inventory ledger'!$I:$I,'inventory ledger'!$C:$C,C2434,'inventory ledger'!$D:$D,D2434,'inventory ledger'!$E:$E,E2434,'inventory ledger'!$A:$A,"&lt;="&amp;B2434+TIME(23,59,59)))</f>
        <v/>
      </c>
      <c r="G2434" s="3">
        <f>IFERROR(__xludf.DUMMYFUNCTION("IF(F2434&lt;=0,0,IFERROR(ROUNDUP(F2434/INDEX(FILTER('warehouse config'!$D:$D,('warehouse config'!$B:$B=C2434)*('warehouse config'!$C:$C=D2434)*('warehouse config'!$G:$G&lt;=B2434)*(('warehouse config'!$H:$H&gt;=B2434)+ISBLANK('warehouse config'!$H:$H))),1)),0))"),0.0)</f>
        <v>0</v>
      </c>
      <c r="H2434" s="3">
        <f>IFERROR(__xludf.DUMMYFUNCTION("IFERROR(INDEX(FILTER('cost master'!$E:$E,('cost master'!$B:$B=C2434)*('cost master'!$D:$D=""Storage cost per pallet / week"")*('cost master'!$G:$G&lt;=B2434)*(('cost master'!$H:$H&gt;=B2434)+ISBLANK('cost master'!$H:$H))),1),0)"),0.0)</f>
        <v>0</v>
      </c>
      <c r="I2434" s="3">
        <f t="shared" si="4"/>
        <v>0</v>
      </c>
      <c r="J2434" s="27">
        <f t="shared" si="5"/>
        <v>693947</v>
      </c>
      <c r="K2434" s="27">
        <f t="shared" si="6"/>
        <v>693977</v>
      </c>
    </row>
    <row r="2435" hidden="1">
      <c r="A2435" s="3" t="str">
        <f t="shared" si="3"/>
        <v/>
      </c>
      <c r="B2435" s="2" t="str">
        <f t="array" ref="B2435">INDEX(helper!$A$3:$A3996,ROUNDUP((ROW()-1)/COUNTA(helper!$D$3:$D3996),0))</f>
        <v/>
      </c>
      <c r="C2435" s="5" t="str">
        <f t="array" ref="C2435">IF(B2435="","",INDEX(helper!$D$3:$D3996,MOD(ROW()-2,COUNTA(helper!$D$3:$D3996))+1))</f>
        <v/>
      </c>
      <c r="D2435" s="3" t="str">
        <f t="array" ref="D2435">IF(B2435="","",INDEX(helper!$E$3:$E3996,MOD(ROW()-2,COUNTA(helper!$D$3:$D3996))+1))</f>
        <v/>
      </c>
      <c r="E2435" s="3" t="str">
        <f t="array" ref="E2435">IF(B2435="","",INDEX(helper!$F$3:$F3996,MOD(ROW()-2,COUNTA(helper!$D$3:$D3996))+1))</f>
        <v/>
      </c>
      <c r="F2435" s="3" t="str">
        <f>IF(B2435="","",SUMIFS('inventory ledger'!$H:$H,'inventory ledger'!$C:$C,C2435,'inventory ledger'!$D:$D,D2435,'inventory ledger'!$E:$E,E2435,'inventory ledger'!$A:$A,"&lt;="&amp;B2435+TIME(23,59,59))-SUMIFS('inventory ledger'!$I:$I,'inventory ledger'!$C:$C,C2435,'inventory ledger'!$D:$D,D2435,'inventory ledger'!$E:$E,E2435,'inventory ledger'!$A:$A,"&lt;="&amp;B2435+TIME(23,59,59)))</f>
        <v/>
      </c>
      <c r="G2435" s="3">
        <f>IFERROR(__xludf.DUMMYFUNCTION("IF(F2435&lt;=0,0,IFERROR(ROUNDUP(F2435/INDEX(FILTER('warehouse config'!$D:$D,('warehouse config'!$B:$B=C2435)*('warehouse config'!$C:$C=D2435)*('warehouse config'!$G:$G&lt;=B2435)*(('warehouse config'!$H:$H&gt;=B2435)+ISBLANK('warehouse config'!$H:$H))),1)),0))"),0.0)</f>
        <v>0</v>
      </c>
      <c r="H2435" s="3">
        <f>IFERROR(__xludf.DUMMYFUNCTION("IFERROR(INDEX(FILTER('cost master'!$E:$E,('cost master'!$B:$B=C2435)*('cost master'!$D:$D=""Storage cost per pallet / week"")*('cost master'!$G:$G&lt;=B2435)*(('cost master'!$H:$H&gt;=B2435)+ISBLANK('cost master'!$H:$H))),1),0)"),0.0)</f>
        <v>0</v>
      </c>
      <c r="I2435" s="3">
        <f t="shared" si="4"/>
        <v>0</v>
      </c>
      <c r="J2435" s="27">
        <f t="shared" si="5"/>
        <v>693947</v>
      </c>
      <c r="K2435" s="27">
        <f t="shared" si="6"/>
        <v>693977</v>
      </c>
    </row>
    <row r="2436" hidden="1">
      <c r="A2436" s="3" t="str">
        <f t="shared" si="3"/>
        <v/>
      </c>
      <c r="B2436" s="2" t="str">
        <f t="array" ref="B2436">INDEX(helper!$A$3:$A3996,ROUNDUP((ROW()-1)/COUNTA(helper!$D$3:$D3996),0))</f>
        <v/>
      </c>
      <c r="C2436" s="5" t="str">
        <f t="array" ref="C2436">IF(B2436="","",INDEX(helper!$D$3:$D3996,MOD(ROW()-2,COUNTA(helper!$D$3:$D3996))+1))</f>
        <v/>
      </c>
      <c r="D2436" s="3" t="str">
        <f t="array" ref="D2436">IF(B2436="","",INDEX(helper!$E$3:$E3996,MOD(ROW()-2,COUNTA(helper!$D$3:$D3996))+1))</f>
        <v/>
      </c>
      <c r="E2436" s="3" t="str">
        <f t="array" ref="E2436">IF(B2436="","",INDEX(helper!$F$3:$F3996,MOD(ROW()-2,COUNTA(helper!$D$3:$D3996))+1))</f>
        <v/>
      </c>
      <c r="F2436" s="3" t="str">
        <f>IF(B2436="","",SUMIFS('inventory ledger'!$H:$H,'inventory ledger'!$C:$C,C2436,'inventory ledger'!$D:$D,D2436,'inventory ledger'!$E:$E,E2436,'inventory ledger'!$A:$A,"&lt;="&amp;B2436+TIME(23,59,59))-SUMIFS('inventory ledger'!$I:$I,'inventory ledger'!$C:$C,C2436,'inventory ledger'!$D:$D,D2436,'inventory ledger'!$E:$E,E2436,'inventory ledger'!$A:$A,"&lt;="&amp;B2436+TIME(23,59,59)))</f>
        <v/>
      </c>
      <c r="G2436" s="3">
        <f>IFERROR(__xludf.DUMMYFUNCTION("IF(F2436&lt;=0,0,IFERROR(ROUNDUP(F2436/INDEX(FILTER('warehouse config'!$D:$D,('warehouse config'!$B:$B=C2436)*('warehouse config'!$C:$C=D2436)*('warehouse config'!$G:$G&lt;=B2436)*(('warehouse config'!$H:$H&gt;=B2436)+ISBLANK('warehouse config'!$H:$H))),1)),0))"),0.0)</f>
        <v>0</v>
      </c>
      <c r="H2436" s="3">
        <f>IFERROR(__xludf.DUMMYFUNCTION("IFERROR(INDEX(FILTER('cost master'!$E:$E,('cost master'!$B:$B=C2436)*('cost master'!$D:$D=""Storage cost per pallet / week"")*('cost master'!$G:$G&lt;=B2436)*(('cost master'!$H:$H&gt;=B2436)+ISBLANK('cost master'!$H:$H))),1),0)"),0.0)</f>
        <v>0</v>
      </c>
      <c r="I2436" s="3">
        <f t="shared" si="4"/>
        <v>0</v>
      </c>
      <c r="J2436" s="27">
        <f t="shared" si="5"/>
        <v>693947</v>
      </c>
      <c r="K2436" s="27">
        <f t="shared" si="6"/>
        <v>693977</v>
      </c>
    </row>
    <row r="2437" hidden="1">
      <c r="A2437" s="3" t="str">
        <f t="shared" si="3"/>
        <v/>
      </c>
      <c r="B2437" s="2" t="str">
        <f t="array" ref="B2437">INDEX(helper!$A$3:$A3996,ROUNDUP((ROW()-1)/COUNTA(helper!$D$3:$D3996),0))</f>
        <v/>
      </c>
      <c r="C2437" s="5" t="str">
        <f t="array" ref="C2437">IF(B2437="","",INDEX(helper!$D$3:$D3996,MOD(ROW()-2,COUNTA(helper!$D$3:$D3996))+1))</f>
        <v/>
      </c>
      <c r="D2437" s="3" t="str">
        <f t="array" ref="D2437">IF(B2437="","",INDEX(helper!$E$3:$E3996,MOD(ROW()-2,COUNTA(helper!$D$3:$D3996))+1))</f>
        <v/>
      </c>
      <c r="E2437" s="3" t="str">
        <f t="array" ref="E2437">IF(B2437="","",INDEX(helper!$F$3:$F3996,MOD(ROW()-2,COUNTA(helper!$D$3:$D3996))+1))</f>
        <v/>
      </c>
      <c r="F2437" s="3" t="str">
        <f>IF(B2437="","",SUMIFS('inventory ledger'!$H:$H,'inventory ledger'!$C:$C,C2437,'inventory ledger'!$D:$D,D2437,'inventory ledger'!$E:$E,E2437,'inventory ledger'!$A:$A,"&lt;="&amp;B2437+TIME(23,59,59))-SUMIFS('inventory ledger'!$I:$I,'inventory ledger'!$C:$C,C2437,'inventory ledger'!$D:$D,D2437,'inventory ledger'!$E:$E,E2437,'inventory ledger'!$A:$A,"&lt;="&amp;B2437+TIME(23,59,59)))</f>
        <v/>
      </c>
      <c r="G2437" s="3">
        <f>IFERROR(__xludf.DUMMYFUNCTION("IF(F2437&lt;=0,0,IFERROR(ROUNDUP(F2437/INDEX(FILTER('warehouse config'!$D:$D,('warehouse config'!$B:$B=C2437)*('warehouse config'!$C:$C=D2437)*('warehouse config'!$G:$G&lt;=B2437)*(('warehouse config'!$H:$H&gt;=B2437)+ISBLANK('warehouse config'!$H:$H))),1)),0))"),0.0)</f>
        <v>0</v>
      </c>
      <c r="H2437" s="3">
        <f>IFERROR(__xludf.DUMMYFUNCTION("IFERROR(INDEX(FILTER('cost master'!$E:$E,('cost master'!$B:$B=C2437)*('cost master'!$D:$D=""Storage cost per pallet / week"")*('cost master'!$G:$G&lt;=B2437)*(('cost master'!$H:$H&gt;=B2437)+ISBLANK('cost master'!$H:$H))),1),0)"),0.0)</f>
        <v>0</v>
      </c>
      <c r="I2437" s="3">
        <f t="shared" si="4"/>
        <v>0</v>
      </c>
      <c r="J2437" s="27">
        <f t="shared" si="5"/>
        <v>693947</v>
      </c>
      <c r="K2437" s="27">
        <f t="shared" si="6"/>
        <v>693977</v>
      </c>
    </row>
    <row r="2438" hidden="1">
      <c r="A2438" s="3" t="str">
        <f t="shared" si="3"/>
        <v/>
      </c>
      <c r="B2438" s="2" t="str">
        <f t="array" ref="B2438">INDEX(helper!$A$3:$A3996,ROUNDUP((ROW()-1)/COUNTA(helper!$D$3:$D3996),0))</f>
        <v/>
      </c>
      <c r="C2438" s="5" t="str">
        <f t="array" ref="C2438">IF(B2438="","",INDEX(helper!$D$3:$D3996,MOD(ROW()-2,COUNTA(helper!$D$3:$D3996))+1))</f>
        <v/>
      </c>
      <c r="D2438" s="3" t="str">
        <f t="array" ref="D2438">IF(B2438="","",INDEX(helper!$E$3:$E3996,MOD(ROW()-2,COUNTA(helper!$D$3:$D3996))+1))</f>
        <v/>
      </c>
      <c r="E2438" s="3" t="str">
        <f t="array" ref="E2438">IF(B2438="","",INDEX(helper!$F$3:$F3996,MOD(ROW()-2,COUNTA(helper!$D$3:$D3996))+1))</f>
        <v/>
      </c>
      <c r="F2438" s="3" t="str">
        <f>IF(B2438="","",SUMIFS('inventory ledger'!$H:$H,'inventory ledger'!$C:$C,C2438,'inventory ledger'!$D:$D,D2438,'inventory ledger'!$E:$E,E2438,'inventory ledger'!$A:$A,"&lt;="&amp;B2438+TIME(23,59,59))-SUMIFS('inventory ledger'!$I:$I,'inventory ledger'!$C:$C,C2438,'inventory ledger'!$D:$D,D2438,'inventory ledger'!$E:$E,E2438,'inventory ledger'!$A:$A,"&lt;="&amp;B2438+TIME(23,59,59)))</f>
        <v/>
      </c>
      <c r="G2438" s="3">
        <f>IFERROR(__xludf.DUMMYFUNCTION("IF(F2438&lt;=0,0,IFERROR(ROUNDUP(F2438/INDEX(FILTER('warehouse config'!$D:$D,('warehouse config'!$B:$B=C2438)*('warehouse config'!$C:$C=D2438)*('warehouse config'!$G:$G&lt;=B2438)*(('warehouse config'!$H:$H&gt;=B2438)+ISBLANK('warehouse config'!$H:$H))),1)),0))"),0.0)</f>
        <v>0</v>
      </c>
      <c r="H2438" s="3">
        <f>IFERROR(__xludf.DUMMYFUNCTION("IFERROR(INDEX(FILTER('cost master'!$E:$E,('cost master'!$B:$B=C2438)*('cost master'!$D:$D=""Storage cost per pallet / week"")*('cost master'!$G:$G&lt;=B2438)*(('cost master'!$H:$H&gt;=B2438)+ISBLANK('cost master'!$H:$H))),1),0)"),0.0)</f>
        <v>0</v>
      </c>
      <c r="I2438" s="3">
        <f t="shared" si="4"/>
        <v>0</v>
      </c>
      <c r="J2438" s="27">
        <f t="shared" si="5"/>
        <v>693947</v>
      </c>
      <c r="K2438" s="27">
        <f t="shared" si="6"/>
        <v>693977</v>
      </c>
    </row>
    <row r="2439" hidden="1">
      <c r="A2439" s="3" t="str">
        <f t="shared" si="3"/>
        <v/>
      </c>
      <c r="B2439" s="2" t="str">
        <f t="array" ref="B2439">INDEX(helper!$A$3:$A3996,ROUNDUP((ROW()-1)/COUNTA(helper!$D$3:$D3996),0))</f>
        <v/>
      </c>
      <c r="C2439" s="5" t="str">
        <f t="array" ref="C2439">IF(B2439="","",INDEX(helper!$D$3:$D3996,MOD(ROW()-2,COUNTA(helper!$D$3:$D3996))+1))</f>
        <v/>
      </c>
      <c r="D2439" s="3" t="str">
        <f t="array" ref="D2439">IF(B2439="","",INDEX(helper!$E$3:$E3996,MOD(ROW()-2,COUNTA(helper!$D$3:$D3996))+1))</f>
        <v/>
      </c>
      <c r="E2439" s="3" t="str">
        <f t="array" ref="E2439">IF(B2439="","",INDEX(helper!$F$3:$F3996,MOD(ROW()-2,COUNTA(helper!$D$3:$D3996))+1))</f>
        <v/>
      </c>
      <c r="F2439" s="3" t="str">
        <f>IF(B2439="","",SUMIFS('inventory ledger'!$H:$H,'inventory ledger'!$C:$C,C2439,'inventory ledger'!$D:$D,D2439,'inventory ledger'!$E:$E,E2439,'inventory ledger'!$A:$A,"&lt;="&amp;B2439+TIME(23,59,59))-SUMIFS('inventory ledger'!$I:$I,'inventory ledger'!$C:$C,C2439,'inventory ledger'!$D:$D,D2439,'inventory ledger'!$E:$E,E2439,'inventory ledger'!$A:$A,"&lt;="&amp;B2439+TIME(23,59,59)))</f>
        <v/>
      </c>
      <c r="G2439" s="3">
        <f>IFERROR(__xludf.DUMMYFUNCTION("IF(F2439&lt;=0,0,IFERROR(ROUNDUP(F2439/INDEX(FILTER('warehouse config'!$D:$D,('warehouse config'!$B:$B=C2439)*('warehouse config'!$C:$C=D2439)*('warehouse config'!$G:$G&lt;=B2439)*(('warehouse config'!$H:$H&gt;=B2439)+ISBLANK('warehouse config'!$H:$H))),1)),0))"),0.0)</f>
        <v>0</v>
      </c>
      <c r="H2439" s="3">
        <f>IFERROR(__xludf.DUMMYFUNCTION("IFERROR(INDEX(FILTER('cost master'!$E:$E,('cost master'!$B:$B=C2439)*('cost master'!$D:$D=""Storage cost per pallet / week"")*('cost master'!$G:$G&lt;=B2439)*(('cost master'!$H:$H&gt;=B2439)+ISBLANK('cost master'!$H:$H))),1),0)"),0.0)</f>
        <v>0</v>
      </c>
      <c r="I2439" s="3">
        <f t="shared" si="4"/>
        <v>0</v>
      </c>
      <c r="J2439" s="27">
        <f t="shared" si="5"/>
        <v>693947</v>
      </c>
      <c r="K2439" s="27">
        <f t="shared" si="6"/>
        <v>693977</v>
      </c>
    </row>
    <row r="2440" hidden="1">
      <c r="A2440" s="3" t="str">
        <f t="shared" si="3"/>
        <v/>
      </c>
      <c r="B2440" s="2" t="str">
        <f t="array" ref="B2440">INDEX(helper!$A$3:$A3996,ROUNDUP((ROW()-1)/COUNTA(helper!$D$3:$D3996),0))</f>
        <v/>
      </c>
      <c r="C2440" s="5" t="str">
        <f t="array" ref="C2440">IF(B2440="","",INDEX(helper!$D$3:$D3996,MOD(ROW()-2,COUNTA(helper!$D$3:$D3996))+1))</f>
        <v/>
      </c>
      <c r="D2440" s="3" t="str">
        <f t="array" ref="D2440">IF(B2440="","",INDEX(helper!$E$3:$E3996,MOD(ROW()-2,COUNTA(helper!$D$3:$D3996))+1))</f>
        <v/>
      </c>
      <c r="E2440" s="3" t="str">
        <f t="array" ref="E2440">IF(B2440="","",INDEX(helper!$F$3:$F3996,MOD(ROW()-2,COUNTA(helper!$D$3:$D3996))+1))</f>
        <v/>
      </c>
      <c r="F2440" s="3" t="str">
        <f>IF(B2440="","",SUMIFS('inventory ledger'!$H:$H,'inventory ledger'!$C:$C,C2440,'inventory ledger'!$D:$D,D2440,'inventory ledger'!$E:$E,E2440,'inventory ledger'!$A:$A,"&lt;="&amp;B2440+TIME(23,59,59))-SUMIFS('inventory ledger'!$I:$I,'inventory ledger'!$C:$C,C2440,'inventory ledger'!$D:$D,D2440,'inventory ledger'!$E:$E,E2440,'inventory ledger'!$A:$A,"&lt;="&amp;B2440+TIME(23,59,59)))</f>
        <v/>
      </c>
      <c r="G2440" s="3">
        <f>IFERROR(__xludf.DUMMYFUNCTION("IF(F2440&lt;=0,0,IFERROR(ROUNDUP(F2440/INDEX(FILTER('warehouse config'!$D:$D,('warehouse config'!$B:$B=C2440)*('warehouse config'!$C:$C=D2440)*('warehouse config'!$G:$G&lt;=B2440)*(('warehouse config'!$H:$H&gt;=B2440)+ISBLANK('warehouse config'!$H:$H))),1)),0))"),0.0)</f>
        <v>0</v>
      </c>
      <c r="H2440" s="3">
        <f>IFERROR(__xludf.DUMMYFUNCTION("IFERROR(INDEX(FILTER('cost master'!$E:$E,('cost master'!$B:$B=C2440)*('cost master'!$D:$D=""Storage cost per pallet / week"")*('cost master'!$G:$G&lt;=B2440)*(('cost master'!$H:$H&gt;=B2440)+ISBLANK('cost master'!$H:$H))),1),0)"),0.0)</f>
        <v>0</v>
      </c>
      <c r="I2440" s="3">
        <f t="shared" si="4"/>
        <v>0</v>
      </c>
      <c r="J2440" s="27">
        <f t="shared" si="5"/>
        <v>693947</v>
      </c>
      <c r="K2440" s="27">
        <f t="shared" si="6"/>
        <v>693977</v>
      </c>
    </row>
    <row r="2441" hidden="1">
      <c r="A2441" s="3" t="str">
        <f t="shared" si="3"/>
        <v/>
      </c>
      <c r="B2441" s="2" t="str">
        <f t="array" ref="B2441">INDEX(helper!$A$3:$A3996,ROUNDUP((ROW()-1)/COUNTA(helper!$D$3:$D3996),0))</f>
        <v/>
      </c>
      <c r="C2441" s="5" t="str">
        <f t="array" ref="C2441">IF(B2441="","",INDEX(helper!$D$3:$D3996,MOD(ROW()-2,COUNTA(helper!$D$3:$D3996))+1))</f>
        <v/>
      </c>
      <c r="D2441" s="3" t="str">
        <f t="array" ref="D2441">IF(B2441="","",INDEX(helper!$E$3:$E3996,MOD(ROW()-2,COUNTA(helper!$D$3:$D3996))+1))</f>
        <v/>
      </c>
      <c r="E2441" s="3" t="str">
        <f t="array" ref="E2441">IF(B2441="","",INDEX(helper!$F$3:$F3996,MOD(ROW()-2,COUNTA(helper!$D$3:$D3996))+1))</f>
        <v/>
      </c>
      <c r="F2441" s="3" t="str">
        <f>IF(B2441="","",SUMIFS('inventory ledger'!$H:$H,'inventory ledger'!$C:$C,C2441,'inventory ledger'!$D:$D,D2441,'inventory ledger'!$E:$E,E2441,'inventory ledger'!$A:$A,"&lt;="&amp;B2441+TIME(23,59,59))-SUMIFS('inventory ledger'!$I:$I,'inventory ledger'!$C:$C,C2441,'inventory ledger'!$D:$D,D2441,'inventory ledger'!$E:$E,E2441,'inventory ledger'!$A:$A,"&lt;="&amp;B2441+TIME(23,59,59)))</f>
        <v/>
      </c>
      <c r="G2441" s="3">
        <f>IFERROR(__xludf.DUMMYFUNCTION("IF(F2441&lt;=0,0,IFERROR(ROUNDUP(F2441/INDEX(FILTER('warehouse config'!$D:$D,('warehouse config'!$B:$B=C2441)*('warehouse config'!$C:$C=D2441)*('warehouse config'!$G:$G&lt;=B2441)*(('warehouse config'!$H:$H&gt;=B2441)+ISBLANK('warehouse config'!$H:$H))),1)),0))"),0.0)</f>
        <v>0</v>
      </c>
      <c r="H2441" s="3">
        <f>IFERROR(__xludf.DUMMYFUNCTION("IFERROR(INDEX(FILTER('cost master'!$E:$E,('cost master'!$B:$B=C2441)*('cost master'!$D:$D=""Storage cost per pallet / week"")*('cost master'!$G:$G&lt;=B2441)*(('cost master'!$H:$H&gt;=B2441)+ISBLANK('cost master'!$H:$H))),1),0)"),0.0)</f>
        <v>0</v>
      </c>
      <c r="I2441" s="3">
        <f t="shared" si="4"/>
        <v>0</v>
      </c>
      <c r="J2441" s="27">
        <f t="shared" si="5"/>
        <v>693947</v>
      </c>
      <c r="K2441" s="27">
        <f t="shared" si="6"/>
        <v>693977</v>
      </c>
    </row>
    <row r="2442" hidden="1">
      <c r="A2442" s="3" t="str">
        <f t="shared" si="3"/>
        <v/>
      </c>
      <c r="B2442" s="2" t="str">
        <f t="array" ref="B2442">INDEX(helper!$A$3:$A3996,ROUNDUP((ROW()-1)/COUNTA(helper!$D$3:$D3996),0))</f>
        <v/>
      </c>
      <c r="C2442" s="5" t="str">
        <f t="array" ref="C2442">IF(B2442="","",INDEX(helper!$D$3:$D3996,MOD(ROW()-2,COUNTA(helper!$D$3:$D3996))+1))</f>
        <v/>
      </c>
      <c r="D2442" s="3" t="str">
        <f t="array" ref="D2442">IF(B2442="","",INDEX(helper!$E$3:$E3996,MOD(ROW()-2,COUNTA(helper!$D$3:$D3996))+1))</f>
        <v/>
      </c>
      <c r="E2442" s="3" t="str">
        <f t="array" ref="E2442">IF(B2442="","",INDEX(helper!$F$3:$F3996,MOD(ROW()-2,COUNTA(helper!$D$3:$D3996))+1))</f>
        <v/>
      </c>
      <c r="F2442" s="3" t="str">
        <f>IF(B2442="","",SUMIFS('inventory ledger'!$H:$H,'inventory ledger'!$C:$C,C2442,'inventory ledger'!$D:$D,D2442,'inventory ledger'!$E:$E,E2442,'inventory ledger'!$A:$A,"&lt;="&amp;B2442+TIME(23,59,59))-SUMIFS('inventory ledger'!$I:$I,'inventory ledger'!$C:$C,C2442,'inventory ledger'!$D:$D,D2442,'inventory ledger'!$E:$E,E2442,'inventory ledger'!$A:$A,"&lt;="&amp;B2442+TIME(23,59,59)))</f>
        <v/>
      </c>
      <c r="G2442" s="3">
        <f>IFERROR(__xludf.DUMMYFUNCTION("IF(F2442&lt;=0,0,IFERROR(ROUNDUP(F2442/INDEX(FILTER('warehouse config'!$D:$D,('warehouse config'!$B:$B=C2442)*('warehouse config'!$C:$C=D2442)*('warehouse config'!$G:$G&lt;=B2442)*(('warehouse config'!$H:$H&gt;=B2442)+ISBLANK('warehouse config'!$H:$H))),1)),0))"),0.0)</f>
        <v>0</v>
      </c>
      <c r="H2442" s="3">
        <f>IFERROR(__xludf.DUMMYFUNCTION("IFERROR(INDEX(FILTER('cost master'!$E:$E,('cost master'!$B:$B=C2442)*('cost master'!$D:$D=""Storage cost per pallet / week"")*('cost master'!$G:$G&lt;=B2442)*(('cost master'!$H:$H&gt;=B2442)+ISBLANK('cost master'!$H:$H))),1),0)"),0.0)</f>
        <v>0</v>
      </c>
      <c r="I2442" s="3">
        <f t="shared" si="4"/>
        <v>0</v>
      </c>
      <c r="J2442" s="27">
        <f t="shared" si="5"/>
        <v>693947</v>
      </c>
      <c r="K2442" s="27">
        <f t="shared" si="6"/>
        <v>693977</v>
      </c>
    </row>
    <row r="2443" hidden="1">
      <c r="A2443" s="3" t="str">
        <f t="shared" si="3"/>
        <v/>
      </c>
      <c r="B2443" s="2" t="str">
        <f t="array" ref="B2443">INDEX(helper!$A$3:$A3996,ROUNDUP((ROW()-1)/COUNTA(helper!$D$3:$D3996),0))</f>
        <v/>
      </c>
      <c r="C2443" s="5" t="str">
        <f t="array" ref="C2443">IF(B2443="","",INDEX(helper!$D$3:$D3996,MOD(ROW()-2,COUNTA(helper!$D$3:$D3996))+1))</f>
        <v/>
      </c>
      <c r="D2443" s="3" t="str">
        <f t="array" ref="D2443">IF(B2443="","",INDEX(helper!$E$3:$E3996,MOD(ROW()-2,COUNTA(helper!$D$3:$D3996))+1))</f>
        <v/>
      </c>
      <c r="E2443" s="3" t="str">
        <f t="array" ref="E2443">IF(B2443="","",INDEX(helper!$F$3:$F3996,MOD(ROW()-2,COUNTA(helper!$D$3:$D3996))+1))</f>
        <v/>
      </c>
      <c r="F2443" s="3" t="str">
        <f>IF(B2443="","",SUMIFS('inventory ledger'!$H:$H,'inventory ledger'!$C:$C,C2443,'inventory ledger'!$D:$D,D2443,'inventory ledger'!$E:$E,E2443,'inventory ledger'!$A:$A,"&lt;="&amp;B2443+TIME(23,59,59))-SUMIFS('inventory ledger'!$I:$I,'inventory ledger'!$C:$C,C2443,'inventory ledger'!$D:$D,D2443,'inventory ledger'!$E:$E,E2443,'inventory ledger'!$A:$A,"&lt;="&amp;B2443+TIME(23,59,59)))</f>
        <v/>
      </c>
      <c r="G2443" s="3">
        <f>IFERROR(__xludf.DUMMYFUNCTION("IF(F2443&lt;=0,0,IFERROR(ROUNDUP(F2443/INDEX(FILTER('warehouse config'!$D:$D,('warehouse config'!$B:$B=C2443)*('warehouse config'!$C:$C=D2443)*('warehouse config'!$G:$G&lt;=B2443)*(('warehouse config'!$H:$H&gt;=B2443)+ISBLANK('warehouse config'!$H:$H))),1)),0))"),0.0)</f>
        <v>0</v>
      </c>
      <c r="H2443" s="3">
        <f>IFERROR(__xludf.DUMMYFUNCTION("IFERROR(INDEX(FILTER('cost master'!$E:$E,('cost master'!$B:$B=C2443)*('cost master'!$D:$D=""Storage cost per pallet / week"")*('cost master'!$G:$G&lt;=B2443)*(('cost master'!$H:$H&gt;=B2443)+ISBLANK('cost master'!$H:$H))),1),0)"),0.0)</f>
        <v>0</v>
      </c>
      <c r="I2443" s="3">
        <f t="shared" si="4"/>
        <v>0</v>
      </c>
      <c r="J2443" s="27">
        <f t="shared" si="5"/>
        <v>693947</v>
      </c>
      <c r="K2443" s="27">
        <f t="shared" si="6"/>
        <v>693977</v>
      </c>
    </row>
    <row r="2444" hidden="1">
      <c r="A2444" s="3" t="str">
        <f t="shared" si="3"/>
        <v/>
      </c>
      <c r="B2444" s="2" t="str">
        <f t="array" ref="B2444">INDEX(helper!$A$3:$A3996,ROUNDUP((ROW()-1)/COUNTA(helper!$D$3:$D3996),0))</f>
        <v/>
      </c>
      <c r="C2444" s="5" t="str">
        <f t="array" ref="C2444">IF(B2444="","",INDEX(helper!$D$3:$D3996,MOD(ROW()-2,COUNTA(helper!$D$3:$D3996))+1))</f>
        <v/>
      </c>
      <c r="D2444" s="3" t="str">
        <f t="array" ref="D2444">IF(B2444="","",INDEX(helper!$E$3:$E3996,MOD(ROW()-2,COUNTA(helper!$D$3:$D3996))+1))</f>
        <v/>
      </c>
      <c r="E2444" s="3" t="str">
        <f t="array" ref="E2444">IF(B2444="","",INDEX(helper!$F$3:$F3996,MOD(ROW()-2,COUNTA(helper!$D$3:$D3996))+1))</f>
        <v/>
      </c>
      <c r="F2444" s="3" t="str">
        <f>IF(B2444="","",SUMIFS('inventory ledger'!$H:$H,'inventory ledger'!$C:$C,C2444,'inventory ledger'!$D:$D,D2444,'inventory ledger'!$E:$E,E2444,'inventory ledger'!$A:$A,"&lt;="&amp;B2444+TIME(23,59,59))-SUMIFS('inventory ledger'!$I:$I,'inventory ledger'!$C:$C,C2444,'inventory ledger'!$D:$D,D2444,'inventory ledger'!$E:$E,E2444,'inventory ledger'!$A:$A,"&lt;="&amp;B2444+TIME(23,59,59)))</f>
        <v/>
      </c>
      <c r="G2444" s="3">
        <f>IFERROR(__xludf.DUMMYFUNCTION("IF(F2444&lt;=0,0,IFERROR(ROUNDUP(F2444/INDEX(FILTER('warehouse config'!$D:$D,('warehouse config'!$B:$B=C2444)*('warehouse config'!$C:$C=D2444)*('warehouse config'!$G:$G&lt;=B2444)*(('warehouse config'!$H:$H&gt;=B2444)+ISBLANK('warehouse config'!$H:$H))),1)),0))"),0.0)</f>
        <v>0</v>
      </c>
      <c r="H2444" s="3">
        <f>IFERROR(__xludf.DUMMYFUNCTION("IFERROR(INDEX(FILTER('cost master'!$E:$E,('cost master'!$B:$B=C2444)*('cost master'!$D:$D=""Storage cost per pallet / week"")*('cost master'!$G:$G&lt;=B2444)*(('cost master'!$H:$H&gt;=B2444)+ISBLANK('cost master'!$H:$H))),1),0)"),0.0)</f>
        <v>0</v>
      </c>
      <c r="I2444" s="3">
        <f t="shared" si="4"/>
        <v>0</v>
      </c>
      <c r="J2444" s="27">
        <f t="shared" si="5"/>
        <v>693947</v>
      </c>
      <c r="K2444" s="27">
        <f t="shared" si="6"/>
        <v>693977</v>
      </c>
    </row>
    <row r="2445" hidden="1">
      <c r="A2445" s="3" t="str">
        <f t="shared" si="3"/>
        <v/>
      </c>
      <c r="B2445" s="2" t="str">
        <f t="array" ref="B2445">INDEX(helper!$A$3:$A3996,ROUNDUP((ROW()-1)/COUNTA(helper!$D$3:$D3996),0))</f>
        <v/>
      </c>
      <c r="C2445" s="5" t="str">
        <f t="array" ref="C2445">IF(B2445="","",INDEX(helper!$D$3:$D3996,MOD(ROW()-2,COUNTA(helper!$D$3:$D3996))+1))</f>
        <v/>
      </c>
      <c r="D2445" s="3" t="str">
        <f t="array" ref="D2445">IF(B2445="","",INDEX(helper!$E$3:$E3996,MOD(ROW()-2,COUNTA(helper!$D$3:$D3996))+1))</f>
        <v/>
      </c>
      <c r="E2445" s="3" t="str">
        <f t="array" ref="E2445">IF(B2445="","",INDEX(helper!$F$3:$F3996,MOD(ROW()-2,COUNTA(helper!$D$3:$D3996))+1))</f>
        <v/>
      </c>
      <c r="F2445" s="3" t="str">
        <f>IF(B2445="","",SUMIFS('inventory ledger'!$H:$H,'inventory ledger'!$C:$C,C2445,'inventory ledger'!$D:$D,D2445,'inventory ledger'!$E:$E,E2445,'inventory ledger'!$A:$A,"&lt;="&amp;B2445+TIME(23,59,59))-SUMIFS('inventory ledger'!$I:$I,'inventory ledger'!$C:$C,C2445,'inventory ledger'!$D:$D,D2445,'inventory ledger'!$E:$E,E2445,'inventory ledger'!$A:$A,"&lt;="&amp;B2445+TIME(23,59,59)))</f>
        <v/>
      </c>
      <c r="G2445" s="3">
        <f>IFERROR(__xludf.DUMMYFUNCTION("IF(F2445&lt;=0,0,IFERROR(ROUNDUP(F2445/INDEX(FILTER('warehouse config'!$D:$D,('warehouse config'!$B:$B=C2445)*('warehouse config'!$C:$C=D2445)*('warehouse config'!$G:$G&lt;=B2445)*(('warehouse config'!$H:$H&gt;=B2445)+ISBLANK('warehouse config'!$H:$H))),1)),0))"),0.0)</f>
        <v>0</v>
      </c>
      <c r="H2445" s="3">
        <f>IFERROR(__xludf.DUMMYFUNCTION("IFERROR(INDEX(FILTER('cost master'!$E:$E,('cost master'!$B:$B=C2445)*('cost master'!$D:$D=""Storage cost per pallet / week"")*('cost master'!$G:$G&lt;=B2445)*(('cost master'!$H:$H&gt;=B2445)+ISBLANK('cost master'!$H:$H))),1),0)"),0.0)</f>
        <v>0</v>
      </c>
      <c r="I2445" s="3">
        <f t="shared" si="4"/>
        <v>0</v>
      </c>
      <c r="J2445" s="27">
        <f t="shared" si="5"/>
        <v>693947</v>
      </c>
      <c r="K2445" s="27">
        <f t="shared" si="6"/>
        <v>693977</v>
      </c>
    </row>
    <row r="2446" hidden="1">
      <c r="A2446" s="3" t="str">
        <f t="shared" si="3"/>
        <v/>
      </c>
      <c r="B2446" s="2" t="str">
        <f t="array" ref="B2446">INDEX(helper!$A$3:$A3996,ROUNDUP((ROW()-1)/COUNTA(helper!$D$3:$D3996),0))</f>
        <v/>
      </c>
      <c r="C2446" s="5" t="str">
        <f t="array" ref="C2446">IF(B2446="","",INDEX(helper!$D$3:$D3996,MOD(ROW()-2,COUNTA(helper!$D$3:$D3996))+1))</f>
        <v/>
      </c>
      <c r="D2446" s="3" t="str">
        <f t="array" ref="D2446">IF(B2446="","",INDEX(helper!$E$3:$E3996,MOD(ROW()-2,COUNTA(helper!$D$3:$D3996))+1))</f>
        <v/>
      </c>
      <c r="E2446" s="3" t="str">
        <f t="array" ref="E2446">IF(B2446="","",INDEX(helper!$F$3:$F3996,MOD(ROW()-2,COUNTA(helper!$D$3:$D3996))+1))</f>
        <v/>
      </c>
      <c r="F2446" s="3" t="str">
        <f>IF(B2446="","",SUMIFS('inventory ledger'!$H:$H,'inventory ledger'!$C:$C,C2446,'inventory ledger'!$D:$D,D2446,'inventory ledger'!$E:$E,E2446,'inventory ledger'!$A:$A,"&lt;="&amp;B2446+TIME(23,59,59))-SUMIFS('inventory ledger'!$I:$I,'inventory ledger'!$C:$C,C2446,'inventory ledger'!$D:$D,D2446,'inventory ledger'!$E:$E,E2446,'inventory ledger'!$A:$A,"&lt;="&amp;B2446+TIME(23,59,59)))</f>
        <v/>
      </c>
      <c r="G2446" s="3">
        <f>IFERROR(__xludf.DUMMYFUNCTION("IF(F2446&lt;=0,0,IFERROR(ROUNDUP(F2446/INDEX(FILTER('warehouse config'!$D:$D,('warehouse config'!$B:$B=C2446)*('warehouse config'!$C:$C=D2446)*('warehouse config'!$G:$G&lt;=B2446)*(('warehouse config'!$H:$H&gt;=B2446)+ISBLANK('warehouse config'!$H:$H))),1)),0))"),0.0)</f>
        <v>0</v>
      </c>
      <c r="H2446" s="3">
        <f>IFERROR(__xludf.DUMMYFUNCTION("IFERROR(INDEX(FILTER('cost master'!$E:$E,('cost master'!$B:$B=C2446)*('cost master'!$D:$D=""Storage cost per pallet / week"")*('cost master'!$G:$G&lt;=B2446)*(('cost master'!$H:$H&gt;=B2446)+ISBLANK('cost master'!$H:$H))),1),0)"),0.0)</f>
        <v>0</v>
      </c>
      <c r="I2446" s="3">
        <f t="shared" si="4"/>
        <v>0</v>
      </c>
      <c r="J2446" s="27">
        <f t="shared" si="5"/>
        <v>693947</v>
      </c>
      <c r="K2446" s="27">
        <f t="shared" si="6"/>
        <v>693977</v>
      </c>
    </row>
    <row r="2447" hidden="1">
      <c r="A2447" s="3" t="str">
        <f t="shared" si="3"/>
        <v/>
      </c>
      <c r="B2447" s="2" t="str">
        <f t="array" ref="B2447">INDEX(helper!$A$3:$A3996,ROUNDUP((ROW()-1)/COUNTA(helper!$D$3:$D3996),0))</f>
        <v/>
      </c>
      <c r="C2447" s="5" t="str">
        <f t="array" ref="C2447">IF(B2447="","",INDEX(helper!$D$3:$D3996,MOD(ROW()-2,COUNTA(helper!$D$3:$D3996))+1))</f>
        <v/>
      </c>
      <c r="D2447" s="3" t="str">
        <f t="array" ref="D2447">IF(B2447="","",INDEX(helper!$E$3:$E3996,MOD(ROW()-2,COUNTA(helper!$D$3:$D3996))+1))</f>
        <v/>
      </c>
      <c r="E2447" s="3" t="str">
        <f t="array" ref="E2447">IF(B2447="","",INDEX(helper!$F$3:$F3996,MOD(ROW()-2,COUNTA(helper!$D$3:$D3996))+1))</f>
        <v/>
      </c>
      <c r="F2447" s="3" t="str">
        <f>IF(B2447="","",SUMIFS('inventory ledger'!$H:$H,'inventory ledger'!$C:$C,C2447,'inventory ledger'!$D:$D,D2447,'inventory ledger'!$E:$E,E2447,'inventory ledger'!$A:$A,"&lt;="&amp;B2447+TIME(23,59,59))-SUMIFS('inventory ledger'!$I:$I,'inventory ledger'!$C:$C,C2447,'inventory ledger'!$D:$D,D2447,'inventory ledger'!$E:$E,E2447,'inventory ledger'!$A:$A,"&lt;="&amp;B2447+TIME(23,59,59)))</f>
        <v/>
      </c>
      <c r="G2447" s="3">
        <f>IFERROR(__xludf.DUMMYFUNCTION("IF(F2447&lt;=0,0,IFERROR(ROUNDUP(F2447/INDEX(FILTER('warehouse config'!$D:$D,('warehouse config'!$B:$B=C2447)*('warehouse config'!$C:$C=D2447)*('warehouse config'!$G:$G&lt;=B2447)*(('warehouse config'!$H:$H&gt;=B2447)+ISBLANK('warehouse config'!$H:$H))),1)),0))"),0.0)</f>
        <v>0</v>
      </c>
      <c r="H2447" s="3">
        <f>IFERROR(__xludf.DUMMYFUNCTION("IFERROR(INDEX(FILTER('cost master'!$E:$E,('cost master'!$B:$B=C2447)*('cost master'!$D:$D=""Storage cost per pallet / week"")*('cost master'!$G:$G&lt;=B2447)*(('cost master'!$H:$H&gt;=B2447)+ISBLANK('cost master'!$H:$H))),1),0)"),0.0)</f>
        <v>0</v>
      </c>
      <c r="I2447" s="3">
        <f t="shared" si="4"/>
        <v>0</v>
      </c>
      <c r="J2447" s="27">
        <f t="shared" si="5"/>
        <v>693947</v>
      </c>
      <c r="K2447" s="27">
        <f t="shared" si="6"/>
        <v>693977</v>
      </c>
    </row>
    <row r="2448" hidden="1">
      <c r="A2448" s="3" t="str">
        <f t="shared" si="3"/>
        <v/>
      </c>
      <c r="B2448" s="2" t="str">
        <f t="array" ref="B2448">INDEX(helper!$A$3:$A3996,ROUNDUP((ROW()-1)/COUNTA(helper!$D$3:$D3996),0))</f>
        <v/>
      </c>
      <c r="C2448" s="5" t="str">
        <f t="array" ref="C2448">IF(B2448="","",INDEX(helper!$D$3:$D3996,MOD(ROW()-2,COUNTA(helper!$D$3:$D3996))+1))</f>
        <v/>
      </c>
      <c r="D2448" s="3" t="str">
        <f t="array" ref="D2448">IF(B2448="","",INDEX(helper!$E$3:$E3996,MOD(ROW()-2,COUNTA(helper!$D$3:$D3996))+1))</f>
        <v/>
      </c>
      <c r="E2448" s="3" t="str">
        <f t="array" ref="E2448">IF(B2448="","",INDEX(helper!$F$3:$F3996,MOD(ROW()-2,COUNTA(helper!$D$3:$D3996))+1))</f>
        <v/>
      </c>
      <c r="F2448" s="3" t="str">
        <f>IF(B2448="","",SUMIFS('inventory ledger'!$H:$H,'inventory ledger'!$C:$C,C2448,'inventory ledger'!$D:$D,D2448,'inventory ledger'!$E:$E,E2448,'inventory ledger'!$A:$A,"&lt;="&amp;B2448+TIME(23,59,59))-SUMIFS('inventory ledger'!$I:$I,'inventory ledger'!$C:$C,C2448,'inventory ledger'!$D:$D,D2448,'inventory ledger'!$E:$E,E2448,'inventory ledger'!$A:$A,"&lt;="&amp;B2448+TIME(23,59,59)))</f>
        <v/>
      </c>
      <c r="G2448" s="3">
        <f>IFERROR(__xludf.DUMMYFUNCTION("IF(F2448&lt;=0,0,IFERROR(ROUNDUP(F2448/INDEX(FILTER('warehouse config'!$D:$D,('warehouse config'!$B:$B=C2448)*('warehouse config'!$C:$C=D2448)*('warehouse config'!$G:$G&lt;=B2448)*(('warehouse config'!$H:$H&gt;=B2448)+ISBLANK('warehouse config'!$H:$H))),1)),0))"),0.0)</f>
        <v>0</v>
      </c>
      <c r="H2448" s="3">
        <f>IFERROR(__xludf.DUMMYFUNCTION("IFERROR(INDEX(FILTER('cost master'!$E:$E,('cost master'!$B:$B=C2448)*('cost master'!$D:$D=""Storage cost per pallet / week"")*('cost master'!$G:$G&lt;=B2448)*(('cost master'!$H:$H&gt;=B2448)+ISBLANK('cost master'!$H:$H))),1),0)"),0.0)</f>
        <v>0</v>
      </c>
      <c r="I2448" s="3">
        <f t="shared" si="4"/>
        <v>0</v>
      </c>
      <c r="J2448" s="27">
        <f t="shared" si="5"/>
        <v>693947</v>
      </c>
      <c r="K2448" s="27">
        <f t="shared" si="6"/>
        <v>693977</v>
      </c>
    </row>
    <row r="2449" hidden="1">
      <c r="A2449" s="3" t="str">
        <f t="shared" si="3"/>
        <v/>
      </c>
      <c r="B2449" s="2" t="str">
        <f t="array" ref="B2449">INDEX(helper!$A$3:$A3996,ROUNDUP((ROW()-1)/COUNTA(helper!$D$3:$D3996),0))</f>
        <v/>
      </c>
      <c r="C2449" s="5" t="str">
        <f t="array" ref="C2449">IF(B2449="","",INDEX(helper!$D$3:$D3996,MOD(ROW()-2,COUNTA(helper!$D$3:$D3996))+1))</f>
        <v/>
      </c>
      <c r="D2449" s="3" t="str">
        <f t="array" ref="D2449">IF(B2449="","",INDEX(helper!$E$3:$E3996,MOD(ROW()-2,COUNTA(helper!$D$3:$D3996))+1))</f>
        <v/>
      </c>
      <c r="E2449" s="3" t="str">
        <f t="array" ref="E2449">IF(B2449="","",INDEX(helper!$F$3:$F3996,MOD(ROW()-2,COUNTA(helper!$D$3:$D3996))+1))</f>
        <v/>
      </c>
      <c r="F2449" s="3" t="str">
        <f>IF(B2449="","",SUMIFS('inventory ledger'!$H:$H,'inventory ledger'!$C:$C,C2449,'inventory ledger'!$D:$D,D2449,'inventory ledger'!$E:$E,E2449,'inventory ledger'!$A:$A,"&lt;="&amp;B2449+TIME(23,59,59))-SUMIFS('inventory ledger'!$I:$I,'inventory ledger'!$C:$C,C2449,'inventory ledger'!$D:$D,D2449,'inventory ledger'!$E:$E,E2449,'inventory ledger'!$A:$A,"&lt;="&amp;B2449+TIME(23,59,59)))</f>
        <v/>
      </c>
      <c r="G2449" s="3">
        <f>IFERROR(__xludf.DUMMYFUNCTION("IF(F2449&lt;=0,0,IFERROR(ROUNDUP(F2449/INDEX(FILTER('warehouse config'!$D:$D,('warehouse config'!$B:$B=C2449)*('warehouse config'!$C:$C=D2449)*('warehouse config'!$G:$G&lt;=B2449)*(('warehouse config'!$H:$H&gt;=B2449)+ISBLANK('warehouse config'!$H:$H))),1)),0))"),0.0)</f>
        <v>0</v>
      </c>
      <c r="H2449" s="3">
        <f>IFERROR(__xludf.DUMMYFUNCTION("IFERROR(INDEX(FILTER('cost master'!$E:$E,('cost master'!$B:$B=C2449)*('cost master'!$D:$D=""Storage cost per pallet / week"")*('cost master'!$G:$G&lt;=B2449)*(('cost master'!$H:$H&gt;=B2449)+ISBLANK('cost master'!$H:$H))),1),0)"),0.0)</f>
        <v>0</v>
      </c>
      <c r="I2449" s="3">
        <f t="shared" si="4"/>
        <v>0</v>
      </c>
      <c r="J2449" s="27">
        <f t="shared" si="5"/>
        <v>693947</v>
      </c>
      <c r="K2449" s="27">
        <f t="shared" si="6"/>
        <v>693977</v>
      </c>
    </row>
    <row r="2450" hidden="1">
      <c r="A2450" s="3" t="str">
        <f t="shared" si="3"/>
        <v/>
      </c>
      <c r="B2450" s="2" t="str">
        <f t="array" ref="B2450">INDEX(helper!$A$3:$A3996,ROUNDUP((ROW()-1)/COUNTA(helper!$D$3:$D3996),0))</f>
        <v/>
      </c>
      <c r="C2450" s="5" t="str">
        <f t="array" ref="C2450">IF(B2450="","",INDEX(helper!$D$3:$D3996,MOD(ROW()-2,COUNTA(helper!$D$3:$D3996))+1))</f>
        <v/>
      </c>
      <c r="D2450" s="3" t="str">
        <f t="array" ref="D2450">IF(B2450="","",INDEX(helper!$E$3:$E3996,MOD(ROW()-2,COUNTA(helper!$D$3:$D3996))+1))</f>
        <v/>
      </c>
      <c r="E2450" s="3" t="str">
        <f t="array" ref="E2450">IF(B2450="","",INDEX(helper!$F$3:$F3996,MOD(ROW()-2,COUNTA(helper!$D$3:$D3996))+1))</f>
        <v/>
      </c>
      <c r="F2450" s="3" t="str">
        <f>IF(B2450="","",SUMIFS('inventory ledger'!$H:$H,'inventory ledger'!$C:$C,C2450,'inventory ledger'!$D:$D,D2450,'inventory ledger'!$E:$E,E2450,'inventory ledger'!$A:$A,"&lt;="&amp;B2450+TIME(23,59,59))-SUMIFS('inventory ledger'!$I:$I,'inventory ledger'!$C:$C,C2450,'inventory ledger'!$D:$D,D2450,'inventory ledger'!$E:$E,E2450,'inventory ledger'!$A:$A,"&lt;="&amp;B2450+TIME(23,59,59)))</f>
        <v/>
      </c>
      <c r="G2450" s="3">
        <f>IFERROR(__xludf.DUMMYFUNCTION("IF(F2450&lt;=0,0,IFERROR(ROUNDUP(F2450/INDEX(FILTER('warehouse config'!$D:$D,('warehouse config'!$B:$B=C2450)*('warehouse config'!$C:$C=D2450)*('warehouse config'!$G:$G&lt;=B2450)*(('warehouse config'!$H:$H&gt;=B2450)+ISBLANK('warehouse config'!$H:$H))),1)),0))"),0.0)</f>
        <v>0</v>
      </c>
      <c r="H2450" s="3">
        <f>IFERROR(__xludf.DUMMYFUNCTION("IFERROR(INDEX(FILTER('cost master'!$E:$E,('cost master'!$B:$B=C2450)*('cost master'!$D:$D=""Storage cost per pallet / week"")*('cost master'!$G:$G&lt;=B2450)*(('cost master'!$H:$H&gt;=B2450)+ISBLANK('cost master'!$H:$H))),1),0)"),0.0)</f>
        <v>0</v>
      </c>
      <c r="I2450" s="3">
        <f t="shared" si="4"/>
        <v>0</v>
      </c>
      <c r="J2450" s="27">
        <f t="shared" si="5"/>
        <v>693947</v>
      </c>
      <c r="K2450" s="27">
        <f t="shared" si="6"/>
        <v>693977</v>
      </c>
    </row>
    <row r="2451" hidden="1">
      <c r="A2451" s="3" t="str">
        <f t="shared" si="3"/>
        <v/>
      </c>
      <c r="B2451" s="2" t="str">
        <f t="array" ref="B2451">INDEX(helper!$A$3:$A3996,ROUNDUP((ROW()-1)/COUNTA(helper!$D$3:$D3996),0))</f>
        <v/>
      </c>
      <c r="C2451" s="5" t="str">
        <f t="array" ref="C2451">IF(B2451="","",INDEX(helper!$D$3:$D3996,MOD(ROW()-2,COUNTA(helper!$D$3:$D3996))+1))</f>
        <v/>
      </c>
      <c r="D2451" s="3" t="str">
        <f t="array" ref="D2451">IF(B2451="","",INDEX(helper!$E$3:$E3996,MOD(ROW()-2,COUNTA(helper!$D$3:$D3996))+1))</f>
        <v/>
      </c>
      <c r="E2451" s="3" t="str">
        <f t="array" ref="E2451">IF(B2451="","",INDEX(helper!$F$3:$F3996,MOD(ROW()-2,COUNTA(helper!$D$3:$D3996))+1))</f>
        <v/>
      </c>
      <c r="F2451" s="3" t="str">
        <f>IF(B2451="","",SUMIFS('inventory ledger'!$H:$H,'inventory ledger'!$C:$C,C2451,'inventory ledger'!$D:$D,D2451,'inventory ledger'!$E:$E,E2451,'inventory ledger'!$A:$A,"&lt;="&amp;B2451+TIME(23,59,59))-SUMIFS('inventory ledger'!$I:$I,'inventory ledger'!$C:$C,C2451,'inventory ledger'!$D:$D,D2451,'inventory ledger'!$E:$E,E2451,'inventory ledger'!$A:$A,"&lt;="&amp;B2451+TIME(23,59,59)))</f>
        <v/>
      </c>
      <c r="G2451" s="3">
        <f>IFERROR(__xludf.DUMMYFUNCTION("IF(F2451&lt;=0,0,IFERROR(ROUNDUP(F2451/INDEX(FILTER('warehouse config'!$D:$D,('warehouse config'!$B:$B=C2451)*('warehouse config'!$C:$C=D2451)*('warehouse config'!$G:$G&lt;=B2451)*(('warehouse config'!$H:$H&gt;=B2451)+ISBLANK('warehouse config'!$H:$H))),1)),0))"),0.0)</f>
        <v>0</v>
      </c>
      <c r="H2451" s="3">
        <f>IFERROR(__xludf.DUMMYFUNCTION("IFERROR(INDEX(FILTER('cost master'!$E:$E,('cost master'!$B:$B=C2451)*('cost master'!$D:$D=""Storage cost per pallet / week"")*('cost master'!$G:$G&lt;=B2451)*(('cost master'!$H:$H&gt;=B2451)+ISBLANK('cost master'!$H:$H))),1),0)"),0.0)</f>
        <v>0</v>
      </c>
      <c r="I2451" s="3">
        <f t="shared" si="4"/>
        <v>0</v>
      </c>
      <c r="J2451" s="27">
        <f t="shared" si="5"/>
        <v>693947</v>
      </c>
      <c r="K2451" s="27">
        <f t="shared" si="6"/>
        <v>693977</v>
      </c>
    </row>
    <row r="2452" hidden="1">
      <c r="A2452" s="3" t="str">
        <f t="shared" si="3"/>
        <v/>
      </c>
      <c r="B2452" s="2" t="str">
        <f t="array" ref="B2452">INDEX(helper!$A$3:$A3996,ROUNDUP((ROW()-1)/COUNTA(helper!$D$3:$D3996),0))</f>
        <v/>
      </c>
      <c r="C2452" s="5" t="str">
        <f t="array" ref="C2452">IF(B2452="","",INDEX(helper!$D$3:$D3996,MOD(ROW()-2,COUNTA(helper!$D$3:$D3996))+1))</f>
        <v/>
      </c>
      <c r="D2452" s="3" t="str">
        <f t="array" ref="D2452">IF(B2452="","",INDEX(helper!$E$3:$E3996,MOD(ROW()-2,COUNTA(helper!$D$3:$D3996))+1))</f>
        <v/>
      </c>
      <c r="E2452" s="3" t="str">
        <f t="array" ref="E2452">IF(B2452="","",INDEX(helper!$F$3:$F3996,MOD(ROW()-2,COUNTA(helper!$D$3:$D3996))+1))</f>
        <v/>
      </c>
      <c r="F2452" s="3" t="str">
        <f>IF(B2452="","",SUMIFS('inventory ledger'!$H:$H,'inventory ledger'!$C:$C,C2452,'inventory ledger'!$D:$D,D2452,'inventory ledger'!$E:$E,E2452,'inventory ledger'!$A:$A,"&lt;="&amp;B2452+TIME(23,59,59))-SUMIFS('inventory ledger'!$I:$I,'inventory ledger'!$C:$C,C2452,'inventory ledger'!$D:$D,D2452,'inventory ledger'!$E:$E,E2452,'inventory ledger'!$A:$A,"&lt;="&amp;B2452+TIME(23,59,59)))</f>
        <v/>
      </c>
      <c r="G2452" s="3">
        <f>IFERROR(__xludf.DUMMYFUNCTION("IF(F2452&lt;=0,0,IFERROR(ROUNDUP(F2452/INDEX(FILTER('warehouse config'!$D:$D,('warehouse config'!$B:$B=C2452)*('warehouse config'!$C:$C=D2452)*('warehouse config'!$G:$G&lt;=B2452)*(('warehouse config'!$H:$H&gt;=B2452)+ISBLANK('warehouse config'!$H:$H))),1)),0))"),0.0)</f>
        <v>0</v>
      </c>
      <c r="H2452" s="3">
        <f>IFERROR(__xludf.DUMMYFUNCTION("IFERROR(INDEX(FILTER('cost master'!$E:$E,('cost master'!$B:$B=C2452)*('cost master'!$D:$D=""Storage cost per pallet / week"")*('cost master'!$G:$G&lt;=B2452)*(('cost master'!$H:$H&gt;=B2452)+ISBLANK('cost master'!$H:$H))),1),0)"),0.0)</f>
        <v>0</v>
      </c>
      <c r="I2452" s="3">
        <f t="shared" si="4"/>
        <v>0</v>
      </c>
      <c r="J2452" s="27">
        <f t="shared" si="5"/>
        <v>693947</v>
      </c>
      <c r="K2452" s="27">
        <f t="shared" si="6"/>
        <v>693977</v>
      </c>
    </row>
    <row r="2453" hidden="1">
      <c r="A2453" s="3" t="str">
        <f t="shared" si="3"/>
        <v/>
      </c>
      <c r="B2453" s="2" t="str">
        <f t="array" ref="B2453">INDEX(helper!$A$3:$A3996,ROUNDUP((ROW()-1)/COUNTA(helper!$D$3:$D3996),0))</f>
        <v/>
      </c>
      <c r="C2453" s="5" t="str">
        <f t="array" ref="C2453">IF(B2453="","",INDEX(helper!$D$3:$D3996,MOD(ROW()-2,COUNTA(helper!$D$3:$D3996))+1))</f>
        <v/>
      </c>
      <c r="D2453" s="3" t="str">
        <f t="array" ref="D2453">IF(B2453="","",INDEX(helper!$E$3:$E3996,MOD(ROW()-2,COUNTA(helper!$D$3:$D3996))+1))</f>
        <v/>
      </c>
      <c r="E2453" s="3" t="str">
        <f t="array" ref="E2453">IF(B2453="","",INDEX(helper!$F$3:$F3996,MOD(ROW()-2,COUNTA(helper!$D$3:$D3996))+1))</f>
        <v/>
      </c>
      <c r="F2453" s="3" t="str">
        <f>IF(B2453="","",SUMIFS('inventory ledger'!$H:$H,'inventory ledger'!$C:$C,C2453,'inventory ledger'!$D:$D,D2453,'inventory ledger'!$E:$E,E2453,'inventory ledger'!$A:$A,"&lt;="&amp;B2453+TIME(23,59,59))-SUMIFS('inventory ledger'!$I:$I,'inventory ledger'!$C:$C,C2453,'inventory ledger'!$D:$D,D2453,'inventory ledger'!$E:$E,E2453,'inventory ledger'!$A:$A,"&lt;="&amp;B2453+TIME(23,59,59)))</f>
        <v/>
      </c>
      <c r="G2453" s="3">
        <f>IFERROR(__xludf.DUMMYFUNCTION("IF(F2453&lt;=0,0,IFERROR(ROUNDUP(F2453/INDEX(FILTER('warehouse config'!$D:$D,('warehouse config'!$B:$B=C2453)*('warehouse config'!$C:$C=D2453)*('warehouse config'!$G:$G&lt;=B2453)*(('warehouse config'!$H:$H&gt;=B2453)+ISBLANK('warehouse config'!$H:$H))),1)),0))"),0.0)</f>
        <v>0</v>
      </c>
      <c r="H2453" s="3">
        <f>IFERROR(__xludf.DUMMYFUNCTION("IFERROR(INDEX(FILTER('cost master'!$E:$E,('cost master'!$B:$B=C2453)*('cost master'!$D:$D=""Storage cost per pallet / week"")*('cost master'!$G:$G&lt;=B2453)*(('cost master'!$H:$H&gt;=B2453)+ISBLANK('cost master'!$H:$H))),1),0)"),0.0)</f>
        <v>0</v>
      </c>
      <c r="I2453" s="3">
        <f t="shared" si="4"/>
        <v>0</v>
      </c>
      <c r="J2453" s="27">
        <f t="shared" si="5"/>
        <v>693947</v>
      </c>
      <c r="K2453" s="27">
        <f t="shared" si="6"/>
        <v>693977</v>
      </c>
    </row>
    <row r="2454" hidden="1">
      <c r="A2454" s="3" t="str">
        <f t="shared" si="3"/>
        <v/>
      </c>
      <c r="B2454" s="2" t="str">
        <f t="array" ref="B2454">INDEX(helper!$A$3:$A3996,ROUNDUP((ROW()-1)/COUNTA(helper!$D$3:$D3996),0))</f>
        <v/>
      </c>
      <c r="C2454" s="5" t="str">
        <f t="array" ref="C2454">IF(B2454="","",INDEX(helper!$D$3:$D3996,MOD(ROW()-2,COUNTA(helper!$D$3:$D3996))+1))</f>
        <v/>
      </c>
      <c r="D2454" s="3" t="str">
        <f t="array" ref="D2454">IF(B2454="","",INDEX(helper!$E$3:$E3996,MOD(ROW()-2,COUNTA(helper!$D$3:$D3996))+1))</f>
        <v/>
      </c>
      <c r="E2454" s="3" t="str">
        <f t="array" ref="E2454">IF(B2454="","",INDEX(helper!$F$3:$F3996,MOD(ROW()-2,COUNTA(helper!$D$3:$D3996))+1))</f>
        <v/>
      </c>
      <c r="F2454" s="3" t="str">
        <f>IF(B2454="","",SUMIFS('inventory ledger'!$H:$H,'inventory ledger'!$C:$C,C2454,'inventory ledger'!$D:$D,D2454,'inventory ledger'!$E:$E,E2454,'inventory ledger'!$A:$A,"&lt;="&amp;B2454+TIME(23,59,59))-SUMIFS('inventory ledger'!$I:$I,'inventory ledger'!$C:$C,C2454,'inventory ledger'!$D:$D,D2454,'inventory ledger'!$E:$E,E2454,'inventory ledger'!$A:$A,"&lt;="&amp;B2454+TIME(23,59,59)))</f>
        <v/>
      </c>
      <c r="G2454" s="3">
        <f>IFERROR(__xludf.DUMMYFUNCTION("IF(F2454&lt;=0,0,IFERROR(ROUNDUP(F2454/INDEX(FILTER('warehouse config'!$D:$D,('warehouse config'!$B:$B=C2454)*('warehouse config'!$C:$C=D2454)*('warehouse config'!$G:$G&lt;=B2454)*(('warehouse config'!$H:$H&gt;=B2454)+ISBLANK('warehouse config'!$H:$H))),1)),0))"),0.0)</f>
        <v>0</v>
      </c>
      <c r="H2454" s="3">
        <f>IFERROR(__xludf.DUMMYFUNCTION("IFERROR(INDEX(FILTER('cost master'!$E:$E,('cost master'!$B:$B=C2454)*('cost master'!$D:$D=""Storage cost per pallet / week"")*('cost master'!$G:$G&lt;=B2454)*(('cost master'!$H:$H&gt;=B2454)+ISBLANK('cost master'!$H:$H))),1),0)"),0.0)</f>
        <v>0</v>
      </c>
      <c r="I2454" s="3">
        <f t="shared" si="4"/>
        <v>0</v>
      </c>
      <c r="J2454" s="27">
        <f t="shared" si="5"/>
        <v>693947</v>
      </c>
      <c r="K2454" s="27">
        <f t="shared" si="6"/>
        <v>693977</v>
      </c>
    </row>
    <row r="2455" hidden="1">
      <c r="A2455" s="3" t="str">
        <f t="shared" si="3"/>
        <v/>
      </c>
      <c r="B2455" s="2" t="str">
        <f t="array" ref="B2455">INDEX(helper!$A$3:$A3996,ROUNDUP((ROW()-1)/COUNTA(helper!$D$3:$D3996),0))</f>
        <v/>
      </c>
      <c r="C2455" s="5" t="str">
        <f t="array" ref="C2455">IF(B2455="","",INDEX(helper!$D$3:$D3996,MOD(ROW()-2,COUNTA(helper!$D$3:$D3996))+1))</f>
        <v/>
      </c>
      <c r="D2455" s="3" t="str">
        <f t="array" ref="D2455">IF(B2455="","",INDEX(helper!$E$3:$E3996,MOD(ROW()-2,COUNTA(helper!$D$3:$D3996))+1))</f>
        <v/>
      </c>
      <c r="E2455" s="3" t="str">
        <f t="array" ref="E2455">IF(B2455="","",INDEX(helper!$F$3:$F3996,MOD(ROW()-2,COUNTA(helper!$D$3:$D3996))+1))</f>
        <v/>
      </c>
      <c r="F2455" s="3" t="str">
        <f>IF(B2455="","",SUMIFS('inventory ledger'!$H:$H,'inventory ledger'!$C:$C,C2455,'inventory ledger'!$D:$D,D2455,'inventory ledger'!$E:$E,E2455,'inventory ledger'!$A:$A,"&lt;="&amp;B2455+TIME(23,59,59))-SUMIFS('inventory ledger'!$I:$I,'inventory ledger'!$C:$C,C2455,'inventory ledger'!$D:$D,D2455,'inventory ledger'!$E:$E,E2455,'inventory ledger'!$A:$A,"&lt;="&amp;B2455+TIME(23,59,59)))</f>
        <v/>
      </c>
      <c r="G2455" s="3">
        <f>IFERROR(__xludf.DUMMYFUNCTION("IF(F2455&lt;=0,0,IFERROR(ROUNDUP(F2455/INDEX(FILTER('warehouse config'!$D:$D,('warehouse config'!$B:$B=C2455)*('warehouse config'!$C:$C=D2455)*('warehouse config'!$G:$G&lt;=B2455)*(('warehouse config'!$H:$H&gt;=B2455)+ISBLANK('warehouse config'!$H:$H))),1)),0))"),0.0)</f>
        <v>0</v>
      </c>
      <c r="H2455" s="3">
        <f>IFERROR(__xludf.DUMMYFUNCTION("IFERROR(INDEX(FILTER('cost master'!$E:$E,('cost master'!$B:$B=C2455)*('cost master'!$D:$D=""Storage cost per pallet / week"")*('cost master'!$G:$G&lt;=B2455)*(('cost master'!$H:$H&gt;=B2455)+ISBLANK('cost master'!$H:$H))),1),0)"),0.0)</f>
        <v>0</v>
      </c>
      <c r="I2455" s="3">
        <f t="shared" si="4"/>
        <v>0</v>
      </c>
      <c r="J2455" s="27">
        <f t="shared" si="5"/>
        <v>693947</v>
      </c>
      <c r="K2455" s="27">
        <f t="shared" si="6"/>
        <v>693977</v>
      </c>
    </row>
    <row r="2456" hidden="1">
      <c r="A2456" s="3" t="str">
        <f t="shared" si="3"/>
        <v/>
      </c>
      <c r="B2456" s="2" t="str">
        <f t="array" ref="B2456">INDEX(helper!$A$3:$A3996,ROUNDUP((ROW()-1)/COUNTA(helper!$D$3:$D3996),0))</f>
        <v/>
      </c>
      <c r="C2456" s="5" t="str">
        <f t="array" ref="C2456">IF(B2456="","",INDEX(helper!$D$3:$D3996,MOD(ROW()-2,COUNTA(helper!$D$3:$D3996))+1))</f>
        <v/>
      </c>
      <c r="D2456" s="3" t="str">
        <f t="array" ref="D2456">IF(B2456="","",INDEX(helper!$E$3:$E3996,MOD(ROW()-2,COUNTA(helper!$D$3:$D3996))+1))</f>
        <v/>
      </c>
      <c r="E2456" s="3" t="str">
        <f t="array" ref="E2456">IF(B2456="","",INDEX(helper!$F$3:$F3996,MOD(ROW()-2,COUNTA(helper!$D$3:$D3996))+1))</f>
        <v/>
      </c>
      <c r="F2456" s="3" t="str">
        <f>IF(B2456="","",SUMIFS('inventory ledger'!$H:$H,'inventory ledger'!$C:$C,C2456,'inventory ledger'!$D:$D,D2456,'inventory ledger'!$E:$E,E2456,'inventory ledger'!$A:$A,"&lt;="&amp;B2456+TIME(23,59,59))-SUMIFS('inventory ledger'!$I:$I,'inventory ledger'!$C:$C,C2456,'inventory ledger'!$D:$D,D2456,'inventory ledger'!$E:$E,E2456,'inventory ledger'!$A:$A,"&lt;="&amp;B2456+TIME(23,59,59)))</f>
        <v/>
      </c>
      <c r="G2456" s="3">
        <f>IFERROR(__xludf.DUMMYFUNCTION("IF(F2456&lt;=0,0,IFERROR(ROUNDUP(F2456/INDEX(FILTER('warehouse config'!$D:$D,('warehouse config'!$B:$B=C2456)*('warehouse config'!$C:$C=D2456)*('warehouse config'!$G:$G&lt;=B2456)*(('warehouse config'!$H:$H&gt;=B2456)+ISBLANK('warehouse config'!$H:$H))),1)),0))"),0.0)</f>
        <v>0</v>
      </c>
      <c r="H2456" s="3">
        <f>IFERROR(__xludf.DUMMYFUNCTION("IFERROR(INDEX(FILTER('cost master'!$E:$E,('cost master'!$B:$B=C2456)*('cost master'!$D:$D=""Storage cost per pallet / week"")*('cost master'!$G:$G&lt;=B2456)*(('cost master'!$H:$H&gt;=B2456)+ISBLANK('cost master'!$H:$H))),1),0)"),0.0)</f>
        <v>0</v>
      </c>
      <c r="I2456" s="3">
        <f t="shared" si="4"/>
        <v>0</v>
      </c>
      <c r="J2456" s="27">
        <f t="shared" si="5"/>
        <v>693947</v>
      </c>
      <c r="K2456" s="27">
        <f t="shared" si="6"/>
        <v>693977</v>
      </c>
    </row>
    <row r="2457" hidden="1">
      <c r="A2457" s="3" t="str">
        <f t="shared" si="3"/>
        <v/>
      </c>
      <c r="B2457" s="2" t="str">
        <f t="array" ref="B2457">INDEX(helper!$A$3:$A3996,ROUNDUP((ROW()-1)/COUNTA(helper!$D$3:$D3996),0))</f>
        <v/>
      </c>
      <c r="C2457" s="5" t="str">
        <f t="array" ref="C2457">IF(B2457="","",INDEX(helper!$D$3:$D3996,MOD(ROW()-2,COUNTA(helper!$D$3:$D3996))+1))</f>
        <v/>
      </c>
      <c r="D2457" s="3" t="str">
        <f t="array" ref="D2457">IF(B2457="","",INDEX(helper!$E$3:$E3996,MOD(ROW()-2,COUNTA(helper!$D$3:$D3996))+1))</f>
        <v/>
      </c>
      <c r="E2457" s="3" t="str">
        <f t="array" ref="E2457">IF(B2457="","",INDEX(helper!$F$3:$F3996,MOD(ROW()-2,COUNTA(helper!$D$3:$D3996))+1))</f>
        <v/>
      </c>
      <c r="F2457" s="3" t="str">
        <f>IF(B2457="","",SUMIFS('inventory ledger'!$H:$H,'inventory ledger'!$C:$C,C2457,'inventory ledger'!$D:$D,D2457,'inventory ledger'!$E:$E,E2457,'inventory ledger'!$A:$A,"&lt;="&amp;B2457+TIME(23,59,59))-SUMIFS('inventory ledger'!$I:$I,'inventory ledger'!$C:$C,C2457,'inventory ledger'!$D:$D,D2457,'inventory ledger'!$E:$E,E2457,'inventory ledger'!$A:$A,"&lt;="&amp;B2457+TIME(23,59,59)))</f>
        <v/>
      </c>
      <c r="G2457" s="3">
        <f>IFERROR(__xludf.DUMMYFUNCTION("IF(F2457&lt;=0,0,IFERROR(ROUNDUP(F2457/INDEX(FILTER('warehouse config'!$D:$D,('warehouse config'!$B:$B=C2457)*('warehouse config'!$C:$C=D2457)*('warehouse config'!$G:$G&lt;=B2457)*(('warehouse config'!$H:$H&gt;=B2457)+ISBLANK('warehouse config'!$H:$H))),1)),0))"),0.0)</f>
        <v>0</v>
      </c>
      <c r="H2457" s="3">
        <f>IFERROR(__xludf.DUMMYFUNCTION("IFERROR(INDEX(FILTER('cost master'!$E:$E,('cost master'!$B:$B=C2457)*('cost master'!$D:$D=""Storage cost per pallet / week"")*('cost master'!$G:$G&lt;=B2457)*(('cost master'!$H:$H&gt;=B2457)+ISBLANK('cost master'!$H:$H))),1),0)"),0.0)</f>
        <v>0</v>
      </c>
      <c r="I2457" s="3">
        <f t="shared" si="4"/>
        <v>0</v>
      </c>
      <c r="J2457" s="27">
        <f t="shared" si="5"/>
        <v>693947</v>
      </c>
      <c r="K2457" s="27">
        <f t="shared" si="6"/>
        <v>693977</v>
      </c>
    </row>
    <row r="2458" hidden="1">
      <c r="A2458" s="3" t="str">
        <f t="shared" si="3"/>
        <v/>
      </c>
      <c r="B2458" s="2" t="str">
        <f t="array" ref="B2458">INDEX(helper!$A$3:$A3996,ROUNDUP((ROW()-1)/COUNTA(helper!$D$3:$D3996),0))</f>
        <v/>
      </c>
      <c r="C2458" s="5" t="str">
        <f t="array" ref="C2458">IF(B2458="","",INDEX(helper!$D$3:$D3996,MOD(ROW()-2,COUNTA(helper!$D$3:$D3996))+1))</f>
        <v/>
      </c>
      <c r="D2458" s="3" t="str">
        <f t="array" ref="D2458">IF(B2458="","",INDEX(helper!$E$3:$E3996,MOD(ROW()-2,COUNTA(helper!$D$3:$D3996))+1))</f>
        <v/>
      </c>
      <c r="E2458" s="3" t="str">
        <f t="array" ref="E2458">IF(B2458="","",INDEX(helper!$F$3:$F3996,MOD(ROW()-2,COUNTA(helper!$D$3:$D3996))+1))</f>
        <v/>
      </c>
      <c r="F2458" s="3" t="str">
        <f>IF(B2458="","",SUMIFS('inventory ledger'!$H:$H,'inventory ledger'!$C:$C,C2458,'inventory ledger'!$D:$D,D2458,'inventory ledger'!$E:$E,E2458,'inventory ledger'!$A:$A,"&lt;="&amp;B2458+TIME(23,59,59))-SUMIFS('inventory ledger'!$I:$I,'inventory ledger'!$C:$C,C2458,'inventory ledger'!$D:$D,D2458,'inventory ledger'!$E:$E,E2458,'inventory ledger'!$A:$A,"&lt;="&amp;B2458+TIME(23,59,59)))</f>
        <v/>
      </c>
      <c r="G2458" s="3">
        <f>IFERROR(__xludf.DUMMYFUNCTION("IF(F2458&lt;=0,0,IFERROR(ROUNDUP(F2458/INDEX(FILTER('warehouse config'!$D:$D,('warehouse config'!$B:$B=C2458)*('warehouse config'!$C:$C=D2458)*('warehouse config'!$G:$G&lt;=B2458)*(('warehouse config'!$H:$H&gt;=B2458)+ISBLANK('warehouse config'!$H:$H))),1)),0))"),0.0)</f>
        <v>0</v>
      </c>
      <c r="H2458" s="3">
        <f>IFERROR(__xludf.DUMMYFUNCTION("IFERROR(INDEX(FILTER('cost master'!$E:$E,('cost master'!$B:$B=C2458)*('cost master'!$D:$D=""Storage cost per pallet / week"")*('cost master'!$G:$G&lt;=B2458)*(('cost master'!$H:$H&gt;=B2458)+ISBLANK('cost master'!$H:$H))),1),0)"),0.0)</f>
        <v>0</v>
      </c>
      <c r="I2458" s="3">
        <f t="shared" si="4"/>
        <v>0</v>
      </c>
      <c r="J2458" s="27">
        <f t="shared" si="5"/>
        <v>693947</v>
      </c>
      <c r="K2458" s="27">
        <f t="shared" si="6"/>
        <v>693977</v>
      </c>
    </row>
    <row r="2459" hidden="1">
      <c r="A2459" s="3" t="str">
        <f t="shared" si="3"/>
        <v/>
      </c>
      <c r="B2459" s="2" t="str">
        <f t="array" ref="B2459">INDEX(helper!$A$3:$A3996,ROUNDUP((ROW()-1)/COUNTA(helper!$D$3:$D3996),0))</f>
        <v/>
      </c>
      <c r="C2459" s="5" t="str">
        <f t="array" ref="C2459">IF(B2459="","",INDEX(helper!$D$3:$D3996,MOD(ROW()-2,COUNTA(helper!$D$3:$D3996))+1))</f>
        <v/>
      </c>
      <c r="D2459" s="3" t="str">
        <f t="array" ref="D2459">IF(B2459="","",INDEX(helper!$E$3:$E3996,MOD(ROW()-2,COUNTA(helper!$D$3:$D3996))+1))</f>
        <v/>
      </c>
      <c r="E2459" s="3" t="str">
        <f t="array" ref="E2459">IF(B2459="","",INDEX(helper!$F$3:$F3996,MOD(ROW()-2,COUNTA(helper!$D$3:$D3996))+1))</f>
        <v/>
      </c>
      <c r="F2459" s="3" t="str">
        <f>IF(B2459="","",SUMIFS('inventory ledger'!$H:$H,'inventory ledger'!$C:$C,C2459,'inventory ledger'!$D:$D,D2459,'inventory ledger'!$E:$E,E2459,'inventory ledger'!$A:$A,"&lt;="&amp;B2459+TIME(23,59,59))-SUMIFS('inventory ledger'!$I:$I,'inventory ledger'!$C:$C,C2459,'inventory ledger'!$D:$D,D2459,'inventory ledger'!$E:$E,E2459,'inventory ledger'!$A:$A,"&lt;="&amp;B2459+TIME(23,59,59)))</f>
        <v/>
      </c>
      <c r="G2459" s="3">
        <f>IFERROR(__xludf.DUMMYFUNCTION("IF(F2459&lt;=0,0,IFERROR(ROUNDUP(F2459/INDEX(FILTER('warehouse config'!$D:$D,('warehouse config'!$B:$B=C2459)*('warehouse config'!$C:$C=D2459)*('warehouse config'!$G:$G&lt;=B2459)*(('warehouse config'!$H:$H&gt;=B2459)+ISBLANK('warehouse config'!$H:$H))),1)),0))"),0.0)</f>
        <v>0</v>
      </c>
      <c r="H2459" s="3">
        <f>IFERROR(__xludf.DUMMYFUNCTION("IFERROR(INDEX(FILTER('cost master'!$E:$E,('cost master'!$B:$B=C2459)*('cost master'!$D:$D=""Storage cost per pallet / week"")*('cost master'!$G:$G&lt;=B2459)*(('cost master'!$H:$H&gt;=B2459)+ISBLANK('cost master'!$H:$H))),1),0)"),0.0)</f>
        <v>0</v>
      </c>
      <c r="I2459" s="3">
        <f t="shared" si="4"/>
        <v>0</v>
      </c>
      <c r="J2459" s="27">
        <f t="shared" si="5"/>
        <v>693947</v>
      </c>
      <c r="K2459" s="27">
        <f t="shared" si="6"/>
        <v>693977</v>
      </c>
    </row>
    <row r="2460" hidden="1">
      <c r="A2460" s="3" t="str">
        <f t="shared" si="3"/>
        <v/>
      </c>
      <c r="B2460" s="2" t="str">
        <f t="array" ref="B2460">INDEX(helper!$A$3:$A3996,ROUNDUP((ROW()-1)/COUNTA(helper!$D$3:$D3996),0))</f>
        <v/>
      </c>
      <c r="C2460" s="5" t="str">
        <f t="array" ref="C2460">IF(B2460="","",INDEX(helper!$D$3:$D3996,MOD(ROW()-2,COUNTA(helper!$D$3:$D3996))+1))</f>
        <v/>
      </c>
      <c r="D2460" s="3" t="str">
        <f t="array" ref="D2460">IF(B2460="","",INDEX(helper!$E$3:$E3996,MOD(ROW()-2,COUNTA(helper!$D$3:$D3996))+1))</f>
        <v/>
      </c>
      <c r="E2460" s="3" t="str">
        <f t="array" ref="E2460">IF(B2460="","",INDEX(helper!$F$3:$F3996,MOD(ROW()-2,COUNTA(helper!$D$3:$D3996))+1))</f>
        <v/>
      </c>
      <c r="F2460" s="3" t="str">
        <f>IF(B2460="","",SUMIFS('inventory ledger'!$H:$H,'inventory ledger'!$C:$C,C2460,'inventory ledger'!$D:$D,D2460,'inventory ledger'!$E:$E,E2460,'inventory ledger'!$A:$A,"&lt;="&amp;B2460+TIME(23,59,59))-SUMIFS('inventory ledger'!$I:$I,'inventory ledger'!$C:$C,C2460,'inventory ledger'!$D:$D,D2460,'inventory ledger'!$E:$E,E2460,'inventory ledger'!$A:$A,"&lt;="&amp;B2460+TIME(23,59,59)))</f>
        <v/>
      </c>
      <c r="G2460" s="3">
        <f>IFERROR(__xludf.DUMMYFUNCTION("IF(F2460&lt;=0,0,IFERROR(ROUNDUP(F2460/INDEX(FILTER('warehouse config'!$D:$D,('warehouse config'!$B:$B=C2460)*('warehouse config'!$C:$C=D2460)*('warehouse config'!$G:$G&lt;=B2460)*(('warehouse config'!$H:$H&gt;=B2460)+ISBLANK('warehouse config'!$H:$H))),1)),0))"),0.0)</f>
        <v>0</v>
      </c>
      <c r="H2460" s="3">
        <f>IFERROR(__xludf.DUMMYFUNCTION("IFERROR(INDEX(FILTER('cost master'!$E:$E,('cost master'!$B:$B=C2460)*('cost master'!$D:$D=""Storage cost per pallet / week"")*('cost master'!$G:$G&lt;=B2460)*(('cost master'!$H:$H&gt;=B2460)+ISBLANK('cost master'!$H:$H))),1),0)"),0.0)</f>
        <v>0</v>
      </c>
      <c r="I2460" s="3">
        <f t="shared" si="4"/>
        <v>0</v>
      </c>
      <c r="J2460" s="27">
        <f t="shared" si="5"/>
        <v>693947</v>
      </c>
      <c r="K2460" s="27">
        <f t="shared" si="6"/>
        <v>693977</v>
      </c>
    </row>
    <row r="2461" hidden="1">
      <c r="A2461" s="3" t="str">
        <f t="shared" si="3"/>
        <v/>
      </c>
      <c r="B2461" s="2" t="str">
        <f t="array" ref="B2461">INDEX(helper!$A$3:$A3996,ROUNDUP((ROW()-1)/COUNTA(helper!$D$3:$D3996),0))</f>
        <v/>
      </c>
      <c r="C2461" s="5" t="str">
        <f t="array" ref="C2461">IF(B2461="","",INDEX(helper!$D$3:$D3996,MOD(ROW()-2,COUNTA(helper!$D$3:$D3996))+1))</f>
        <v/>
      </c>
      <c r="D2461" s="3" t="str">
        <f t="array" ref="D2461">IF(B2461="","",INDEX(helper!$E$3:$E3996,MOD(ROW()-2,COUNTA(helper!$D$3:$D3996))+1))</f>
        <v/>
      </c>
      <c r="E2461" s="3" t="str">
        <f t="array" ref="E2461">IF(B2461="","",INDEX(helper!$F$3:$F3996,MOD(ROW()-2,COUNTA(helper!$D$3:$D3996))+1))</f>
        <v/>
      </c>
      <c r="F2461" s="3" t="str">
        <f>IF(B2461="","",SUMIFS('inventory ledger'!$H:$H,'inventory ledger'!$C:$C,C2461,'inventory ledger'!$D:$D,D2461,'inventory ledger'!$E:$E,E2461,'inventory ledger'!$A:$A,"&lt;="&amp;B2461+TIME(23,59,59))-SUMIFS('inventory ledger'!$I:$I,'inventory ledger'!$C:$C,C2461,'inventory ledger'!$D:$D,D2461,'inventory ledger'!$E:$E,E2461,'inventory ledger'!$A:$A,"&lt;="&amp;B2461+TIME(23,59,59)))</f>
        <v/>
      </c>
      <c r="G2461" s="3">
        <f>IFERROR(__xludf.DUMMYFUNCTION("IF(F2461&lt;=0,0,IFERROR(ROUNDUP(F2461/INDEX(FILTER('warehouse config'!$D:$D,('warehouse config'!$B:$B=C2461)*('warehouse config'!$C:$C=D2461)*('warehouse config'!$G:$G&lt;=B2461)*(('warehouse config'!$H:$H&gt;=B2461)+ISBLANK('warehouse config'!$H:$H))),1)),0))"),0.0)</f>
        <v>0</v>
      </c>
      <c r="H2461" s="3">
        <f>IFERROR(__xludf.DUMMYFUNCTION("IFERROR(INDEX(FILTER('cost master'!$E:$E,('cost master'!$B:$B=C2461)*('cost master'!$D:$D=""Storage cost per pallet / week"")*('cost master'!$G:$G&lt;=B2461)*(('cost master'!$H:$H&gt;=B2461)+ISBLANK('cost master'!$H:$H))),1),0)"),0.0)</f>
        <v>0</v>
      </c>
      <c r="I2461" s="3">
        <f t="shared" si="4"/>
        <v>0</v>
      </c>
      <c r="J2461" s="27">
        <f t="shared" si="5"/>
        <v>693947</v>
      </c>
      <c r="K2461" s="27">
        <f t="shared" si="6"/>
        <v>693977</v>
      </c>
    </row>
    <row r="2462" hidden="1">
      <c r="A2462" s="3" t="str">
        <f t="shared" si="3"/>
        <v/>
      </c>
      <c r="B2462" s="2" t="str">
        <f t="array" ref="B2462">INDEX(helper!$A$3:$A3996,ROUNDUP((ROW()-1)/COUNTA(helper!$D$3:$D3996),0))</f>
        <v/>
      </c>
      <c r="C2462" s="5" t="str">
        <f t="array" ref="C2462">IF(B2462="","",INDEX(helper!$D$3:$D3996,MOD(ROW()-2,COUNTA(helper!$D$3:$D3996))+1))</f>
        <v/>
      </c>
      <c r="D2462" s="3" t="str">
        <f t="array" ref="D2462">IF(B2462="","",INDEX(helper!$E$3:$E3996,MOD(ROW()-2,COUNTA(helper!$D$3:$D3996))+1))</f>
        <v/>
      </c>
      <c r="E2462" s="3" t="str">
        <f t="array" ref="E2462">IF(B2462="","",INDEX(helper!$F$3:$F3996,MOD(ROW()-2,COUNTA(helper!$D$3:$D3996))+1))</f>
        <v/>
      </c>
      <c r="F2462" s="3" t="str">
        <f>IF(B2462="","",SUMIFS('inventory ledger'!$H:$H,'inventory ledger'!$C:$C,C2462,'inventory ledger'!$D:$D,D2462,'inventory ledger'!$E:$E,E2462,'inventory ledger'!$A:$A,"&lt;="&amp;B2462+TIME(23,59,59))-SUMIFS('inventory ledger'!$I:$I,'inventory ledger'!$C:$C,C2462,'inventory ledger'!$D:$D,D2462,'inventory ledger'!$E:$E,E2462,'inventory ledger'!$A:$A,"&lt;="&amp;B2462+TIME(23,59,59)))</f>
        <v/>
      </c>
      <c r="G2462" s="3">
        <f>IFERROR(__xludf.DUMMYFUNCTION("IF(F2462&lt;=0,0,IFERROR(ROUNDUP(F2462/INDEX(FILTER('warehouse config'!$D:$D,('warehouse config'!$B:$B=C2462)*('warehouse config'!$C:$C=D2462)*('warehouse config'!$G:$G&lt;=B2462)*(('warehouse config'!$H:$H&gt;=B2462)+ISBLANK('warehouse config'!$H:$H))),1)),0))"),0.0)</f>
        <v>0</v>
      </c>
      <c r="H2462" s="3">
        <f>IFERROR(__xludf.DUMMYFUNCTION("IFERROR(INDEX(FILTER('cost master'!$E:$E,('cost master'!$B:$B=C2462)*('cost master'!$D:$D=""Storage cost per pallet / week"")*('cost master'!$G:$G&lt;=B2462)*(('cost master'!$H:$H&gt;=B2462)+ISBLANK('cost master'!$H:$H))),1),0)"),0.0)</f>
        <v>0</v>
      </c>
      <c r="I2462" s="3">
        <f t="shared" si="4"/>
        <v>0</v>
      </c>
      <c r="J2462" s="27">
        <f t="shared" si="5"/>
        <v>693947</v>
      </c>
      <c r="K2462" s="27">
        <f t="shared" si="6"/>
        <v>693977</v>
      </c>
    </row>
    <row r="2463" hidden="1">
      <c r="A2463" s="3" t="str">
        <f t="shared" si="3"/>
        <v/>
      </c>
      <c r="B2463" s="2" t="str">
        <f t="array" ref="B2463">INDEX(helper!$A$3:$A3996,ROUNDUP((ROW()-1)/COUNTA(helper!$D$3:$D3996),0))</f>
        <v/>
      </c>
      <c r="C2463" s="5" t="str">
        <f t="array" ref="C2463">IF(B2463="","",INDEX(helper!$D$3:$D3996,MOD(ROW()-2,COUNTA(helper!$D$3:$D3996))+1))</f>
        <v/>
      </c>
      <c r="D2463" s="3" t="str">
        <f t="array" ref="D2463">IF(B2463="","",INDEX(helper!$E$3:$E3996,MOD(ROW()-2,COUNTA(helper!$D$3:$D3996))+1))</f>
        <v/>
      </c>
      <c r="E2463" s="3" t="str">
        <f t="array" ref="E2463">IF(B2463="","",INDEX(helper!$F$3:$F3996,MOD(ROW()-2,COUNTA(helper!$D$3:$D3996))+1))</f>
        <v/>
      </c>
      <c r="F2463" s="3" t="str">
        <f>IF(B2463="","",SUMIFS('inventory ledger'!$H:$H,'inventory ledger'!$C:$C,C2463,'inventory ledger'!$D:$D,D2463,'inventory ledger'!$E:$E,E2463,'inventory ledger'!$A:$A,"&lt;="&amp;B2463+TIME(23,59,59))-SUMIFS('inventory ledger'!$I:$I,'inventory ledger'!$C:$C,C2463,'inventory ledger'!$D:$D,D2463,'inventory ledger'!$E:$E,E2463,'inventory ledger'!$A:$A,"&lt;="&amp;B2463+TIME(23,59,59)))</f>
        <v/>
      </c>
      <c r="G2463" s="3">
        <f>IFERROR(__xludf.DUMMYFUNCTION("IF(F2463&lt;=0,0,IFERROR(ROUNDUP(F2463/INDEX(FILTER('warehouse config'!$D:$D,('warehouse config'!$B:$B=C2463)*('warehouse config'!$C:$C=D2463)*('warehouse config'!$G:$G&lt;=B2463)*(('warehouse config'!$H:$H&gt;=B2463)+ISBLANK('warehouse config'!$H:$H))),1)),0))"),0.0)</f>
        <v>0</v>
      </c>
      <c r="H2463" s="3">
        <f>IFERROR(__xludf.DUMMYFUNCTION("IFERROR(INDEX(FILTER('cost master'!$E:$E,('cost master'!$B:$B=C2463)*('cost master'!$D:$D=""Storage cost per pallet / week"")*('cost master'!$G:$G&lt;=B2463)*(('cost master'!$H:$H&gt;=B2463)+ISBLANK('cost master'!$H:$H))),1),0)"),0.0)</f>
        <v>0</v>
      </c>
      <c r="I2463" s="3">
        <f t="shared" si="4"/>
        <v>0</v>
      </c>
      <c r="J2463" s="27">
        <f t="shared" si="5"/>
        <v>693947</v>
      </c>
      <c r="K2463" s="27">
        <f t="shared" si="6"/>
        <v>693977</v>
      </c>
    </row>
    <row r="2464" hidden="1">
      <c r="A2464" s="3" t="str">
        <f t="shared" si="3"/>
        <v/>
      </c>
      <c r="B2464" s="2" t="str">
        <f t="array" ref="B2464">INDEX(helper!$A$3:$A3996,ROUNDUP((ROW()-1)/COUNTA(helper!$D$3:$D3996),0))</f>
        <v/>
      </c>
      <c r="C2464" s="5" t="str">
        <f t="array" ref="C2464">IF(B2464="","",INDEX(helper!$D$3:$D3996,MOD(ROW()-2,COUNTA(helper!$D$3:$D3996))+1))</f>
        <v/>
      </c>
      <c r="D2464" s="3" t="str">
        <f t="array" ref="D2464">IF(B2464="","",INDEX(helper!$E$3:$E3996,MOD(ROW()-2,COUNTA(helper!$D$3:$D3996))+1))</f>
        <v/>
      </c>
      <c r="E2464" s="3" t="str">
        <f t="array" ref="E2464">IF(B2464="","",INDEX(helper!$F$3:$F3996,MOD(ROW()-2,COUNTA(helper!$D$3:$D3996))+1))</f>
        <v/>
      </c>
      <c r="F2464" s="3" t="str">
        <f>IF(B2464="","",SUMIFS('inventory ledger'!$H:$H,'inventory ledger'!$C:$C,C2464,'inventory ledger'!$D:$D,D2464,'inventory ledger'!$E:$E,E2464,'inventory ledger'!$A:$A,"&lt;="&amp;B2464+TIME(23,59,59))-SUMIFS('inventory ledger'!$I:$I,'inventory ledger'!$C:$C,C2464,'inventory ledger'!$D:$D,D2464,'inventory ledger'!$E:$E,E2464,'inventory ledger'!$A:$A,"&lt;="&amp;B2464+TIME(23,59,59)))</f>
        <v/>
      </c>
      <c r="G2464" s="3">
        <f>IFERROR(__xludf.DUMMYFUNCTION("IF(F2464&lt;=0,0,IFERROR(ROUNDUP(F2464/INDEX(FILTER('warehouse config'!$D:$D,('warehouse config'!$B:$B=C2464)*('warehouse config'!$C:$C=D2464)*('warehouse config'!$G:$G&lt;=B2464)*(('warehouse config'!$H:$H&gt;=B2464)+ISBLANK('warehouse config'!$H:$H))),1)),0))"),0.0)</f>
        <v>0</v>
      </c>
      <c r="H2464" s="3">
        <f>IFERROR(__xludf.DUMMYFUNCTION("IFERROR(INDEX(FILTER('cost master'!$E:$E,('cost master'!$B:$B=C2464)*('cost master'!$D:$D=""Storage cost per pallet / week"")*('cost master'!$G:$G&lt;=B2464)*(('cost master'!$H:$H&gt;=B2464)+ISBLANK('cost master'!$H:$H))),1),0)"),0.0)</f>
        <v>0</v>
      </c>
      <c r="I2464" s="3">
        <f t="shared" si="4"/>
        <v>0</v>
      </c>
      <c r="J2464" s="27">
        <f t="shared" si="5"/>
        <v>693947</v>
      </c>
      <c r="K2464" s="27">
        <f t="shared" si="6"/>
        <v>693977</v>
      </c>
    </row>
    <row r="2465" hidden="1">
      <c r="A2465" s="3" t="str">
        <f t="shared" si="3"/>
        <v/>
      </c>
      <c r="B2465" s="2" t="str">
        <f t="array" ref="B2465">INDEX(helper!$A$3:$A3996,ROUNDUP((ROW()-1)/COUNTA(helper!$D$3:$D3996),0))</f>
        <v/>
      </c>
      <c r="C2465" s="5" t="str">
        <f t="array" ref="C2465">IF(B2465="","",INDEX(helper!$D$3:$D3996,MOD(ROW()-2,COUNTA(helper!$D$3:$D3996))+1))</f>
        <v/>
      </c>
      <c r="D2465" s="3" t="str">
        <f t="array" ref="D2465">IF(B2465="","",INDEX(helper!$E$3:$E3996,MOD(ROW()-2,COUNTA(helper!$D$3:$D3996))+1))</f>
        <v/>
      </c>
      <c r="E2465" s="3" t="str">
        <f t="array" ref="E2465">IF(B2465="","",INDEX(helper!$F$3:$F3996,MOD(ROW()-2,COUNTA(helper!$D$3:$D3996))+1))</f>
        <v/>
      </c>
      <c r="F2465" s="3" t="str">
        <f>IF(B2465="","",SUMIFS('inventory ledger'!$H:$H,'inventory ledger'!$C:$C,C2465,'inventory ledger'!$D:$D,D2465,'inventory ledger'!$E:$E,E2465,'inventory ledger'!$A:$A,"&lt;="&amp;B2465+TIME(23,59,59))-SUMIFS('inventory ledger'!$I:$I,'inventory ledger'!$C:$C,C2465,'inventory ledger'!$D:$D,D2465,'inventory ledger'!$E:$E,E2465,'inventory ledger'!$A:$A,"&lt;="&amp;B2465+TIME(23,59,59)))</f>
        <v/>
      </c>
      <c r="G2465" s="3">
        <f>IFERROR(__xludf.DUMMYFUNCTION("IF(F2465&lt;=0,0,IFERROR(ROUNDUP(F2465/INDEX(FILTER('warehouse config'!$D:$D,('warehouse config'!$B:$B=C2465)*('warehouse config'!$C:$C=D2465)*('warehouse config'!$G:$G&lt;=B2465)*(('warehouse config'!$H:$H&gt;=B2465)+ISBLANK('warehouse config'!$H:$H))),1)),0))"),0.0)</f>
        <v>0</v>
      </c>
      <c r="H2465" s="3">
        <f>IFERROR(__xludf.DUMMYFUNCTION("IFERROR(INDEX(FILTER('cost master'!$E:$E,('cost master'!$B:$B=C2465)*('cost master'!$D:$D=""Storage cost per pallet / week"")*('cost master'!$G:$G&lt;=B2465)*(('cost master'!$H:$H&gt;=B2465)+ISBLANK('cost master'!$H:$H))),1),0)"),0.0)</f>
        <v>0</v>
      </c>
      <c r="I2465" s="3">
        <f t="shared" si="4"/>
        <v>0</v>
      </c>
      <c r="J2465" s="27">
        <f t="shared" si="5"/>
        <v>693947</v>
      </c>
      <c r="K2465" s="27">
        <f t="shared" si="6"/>
        <v>693977</v>
      </c>
    </row>
    <row r="2466" hidden="1">
      <c r="A2466" s="3" t="str">
        <f t="shared" si="3"/>
        <v/>
      </c>
      <c r="B2466" s="2" t="str">
        <f t="array" ref="B2466">INDEX(helper!$A$3:$A3996,ROUNDUP((ROW()-1)/COUNTA(helper!$D$3:$D3996),0))</f>
        <v/>
      </c>
      <c r="C2466" s="5" t="str">
        <f t="array" ref="C2466">IF(B2466="","",INDEX(helper!$D$3:$D3996,MOD(ROW()-2,COUNTA(helper!$D$3:$D3996))+1))</f>
        <v/>
      </c>
      <c r="D2466" s="3" t="str">
        <f t="array" ref="D2466">IF(B2466="","",INDEX(helper!$E$3:$E3996,MOD(ROW()-2,COUNTA(helper!$D$3:$D3996))+1))</f>
        <v/>
      </c>
      <c r="E2466" s="3" t="str">
        <f t="array" ref="E2466">IF(B2466="","",INDEX(helper!$F$3:$F3996,MOD(ROW()-2,COUNTA(helper!$D$3:$D3996))+1))</f>
        <v/>
      </c>
      <c r="F2466" s="3" t="str">
        <f>IF(B2466="","",SUMIFS('inventory ledger'!$H:$H,'inventory ledger'!$C:$C,C2466,'inventory ledger'!$D:$D,D2466,'inventory ledger'!$E:$E,E2466,'inventory ledger'!$A:$A,"&lt;="&amp;B2466+TIME(23,59,59))-SUMIFS('inventory ledger'!$I:$I,'inventory ledger'!$C:$C,C2466,'inventory ledger'!$D:$D,D2466,'inventory ledger'!$E:$E,E2466,'inventory ledger'!$A:$A,"&lt;="&amp;B2466+TIME(23,59,59)))</f>
        <v/>
      </c>
      <c r="G2466" s="3">
        <f>IFERROR(__xludf.DUMMYFUNCTION("IF(F2466&lt;=0,0,IFERROR(ROUNDUP(F2466/INDEX(FILTER('warehouse config'!$D:$D,('warehouse config'!$B:$B=C2466)*('warehouse config'!$C:$C=D2466)*('warehouse config'!$G:$G&lt;=B2466)*(('warehouse config'!$H:$H&gt;=B2466)+ISBLANK('warehouse config'!$H:$H))),1)),0))"),0.0)</f>
        <v>0</v>
      </c>
      <c r="H2466" s="3">
        <f>IFERROR(__xludf.DUMMYFUNCTION("IFERROR(INDEX(FILTER('cost master'!$E:$E,('cost master'!$B:$B=C2466)*('cost master'!$D:$D=""Storage cost per pallet / week"")*('cost master'!$G:$G&lt;=B2466)*(('cost master'!$H:$H&gt;=B2466)+ISBLANK('cost master'!$H:$H))),1),0)"),0.0)</f>
        <v>0</v>
      </c>
      <c r="I2466" s="3">
        <f t="shared" si="4"/>
        <v>0</v>
      </c>
      <c r="J2466" s="27">
        <f t="shared" si="5"/>
        <v>693947</v>
      </c>
      <c r="K2466" s="27">
        <f t="shared" si="6"/>
        <v>693977</v>
      </c>
    </row>
    <row r="2467" hidden="1">
      <c r="A2467" s="3" t="str">
        <f t="shared" si="3"/>
        <v/>
      </c>
      <c r="B2467" s="2" t="str">
        <f t="array" ref="B2467">INDEX(helper!$A$3:$A3996,ROUNDUP((ROW()-1)/COUNTA(helper!$D$3:$D3996),0))</f>
        <v/>
      </c>
      <c r="C2467" s="5" t="str">
        <f t="array" ref="C2467">IF(B2467="","",INDEX(helper!$D$3:$D3996,MOD(ROW()-2,COUNTA(helper!$D$3:$D3996))+1))</f>
        <v/>
      </c>
      <c r="D2467" s="3" t="str">
        <f t="array" ref="D2467">IF(B2467="","",INDEX(helper!$E$3:$E3996,MOD(ROW()-2,COUNTA(helper!$D$3:$D3996))+1))</f>
        <v/>
      </c>
      <c r="E2467" s="3" t="str">
        <f t="array" ref="E2467">IF(B2467="","",INDEX(helper!$F$3:$F3996,MOD(ROW()-2,COUNTA(helper!$D$3:$D3996))+1))</f>
        <v/>
      </c>
      <c r="F2467" s="3" t="str">
        <f>IF(B2467="","",SUMIFS('inventory ledger'!$H:$H,'inventory ledger'!$C:$C,C2467,'inventory ledger'!$D:$D,D2467,'inventory ledger'!$E:$E,E2467,'inventory ledger'!$A:$A,"&lt;="&amp;B2467+TIME(23,59,59))-SUMIFS('inventory ledger'!$I:$I,'inventory ledger'!$C:$C,C2467,'inventory ledger'!$D:$D,D2467,'inventory ledger'!$E:$E,E2467,'inventory ledger'!$A:$A,"&lt;="&amp;B2467+TIME(23,59,59)))</f>
        <v/>
      </c>
      <c r="G2467" s="3">
        <f>IFERROR(__xludf.DUMMYFUNCTION("IF(F2467&lt;=0,0,IFERROR(ROUNDUP(F2467/INDEX(FILTER('warehouse config'!$D:$D,('warehouse config'!$B:$B=C2467)*('warehouse config'!$C:$C=D2467)*('warehouse config'!$G:$G&lt;=B2467)*(('warehouse config'!$H:$H&gt;=B2467)+ISBLANK('warehouse config'!$H:$H))),1)),0))"),0.0)</f>
        <v>0</v>
      </c>
      <c r="H2467" s="3">
        <f>IFERROR(__xludf.DUMMYFUNCTION("IFERROR(INDEX(FILTER('cost master'!$E:$E,('cost master'!$B:$B=C2467)*('cost master'!$D:$D=""Storage cost per pallet / week"")*('cost master'!$G:$G&lt;=B2467)*(('cost master'!$H:$H&gt;=B2467)+ISBLANK('cost master'!$H:$H))),1),0)"),0.0)</f>
        <v>0</v>
      </c>
      <c r="I2467" s="3">
        <f t="shared" si="4"/>
        <v>0</v>
      </c>
      <c r="J2467" s="27">
        <f t="shared" si="5"/>
        <v>693947</v>
      </c>
      <c r="K2467" s="27">
        <f t="shared" si="6"/>
        <v>693977</v>
      </c>
    </row>
    <row r="2468" hidden="1">
      <c r="A2468" s="3" t="str">
        <f t="shared" si="3"/>
        <v/>
      </c>
      <c r="B2468" s="2" t="str">
        <f t="array" ref="B2468">INDEX(helper!$A$3:$A3996,ROUNDUP((ROW()-1)/COUNTA(helper!$D$3:$D3996),0))</f>
        <v/>
      </c>
      <c r="C2468" s="5" t="str">
        <f t="array" ref="C2468">IF(B2468="","",INDEX(helper!$D$3:$D3996,MOD(ROW()-2,COUNTA(helper!$D$3:$D3996))+1))</f>
        <v/>
      </c>
      <c r="D2468" s="3" t="str">
        <f t="array" ref="D2468">IF(B2468="","",INDEX(helper!$E$3:$E3996,MOD(ROW()-2,COUNTA(helper!$D$3:$D3996))+1))</f>
        <v/>
      </c>
      <c r="E2468" s="3" t="str">
        <f t="array" ref="E2468">IF(B2468="","",INDEX(helper!$F$3:$F3996,MOD(ROW()-2,COUNTA(helper!$D$3:$D3996))+1))</f>
        <v/>
      </c>
      <c r="F2468" s="3" t="str">
        <f>IF(B2468="","",SUMIFS('inventory ledger'!$H:$H,'inventory ledger'!$C:$C,C2468,'inventory ledger'!$D:$D,D2468,'inventory ledger'!$E:$E,E2468,'inventory ledger'!$A:$A,"&lt;="&amp;B2468+TIME(23,59,59))-SUMIFS('inventory ledger'!$I:$I,'inventory ledger'!$C:$C,C2468,'inventory ledger'!$D:$D,D2468,'inventory ledger'!$E:$E,E2468,'inventory ledger'!$A:$A,"&lt;="&amp;B2468+TIME(23,59,59)))</f>
        <v/>
      </c>
      <c r="G2468" s="3">
        <f>IFERROR(__xludf.DUMMYFUNCTION("IF(F2468&lt;=0,0,IFERROR(ROUNDUP(F2468/INDEX(FILTER('warehouse config'!$D:$D,('warehouse config'!$B:$B=C2468)*('warehouse config'!$C:$C=D2468)*('warehouse config'!$G:$G&lt;=B2468)*(('warehouse config'!$H:$H&gt;=B2468)+ISBLANK('warehouse config'!$H:$H))),1)),0))"),0.0)</f>
        <v>0</v>
      </c>
      <c r="H2468" s="3">
        <f>IFERROR(__xludf.DUMMYFUNCTION("IFERROR(INDEX(FILTER('cost master'!$E:$E,('cost master'!$B:$B=C2468)*('cost master'!$D:$D=""Storage cost per pallet / week"")*('cost master'!$G:$G&lt;=B2468)*(('cost master'!$H:$H&gt;=B2468)+ISBLANK('cost master'!$H:$H))),1),0)"),0.0)</f>
        <v>0</v>
      </c>
      <c r="I2468" s="3">
        <f t="shared" si="4"/>
        <v>0</v>
      </c>
      <c r="J2468" s="27">
        <f t="shared" si="5"/>
        <v>693947</v>
      </c>
      <c r="K2468" s="27">
        <f t="shared" si="6"/>
        <v>693977</v>
      </c>
    </row>
    <row r="2469" hidden="1">
      <c r="A2469" s="3" t="str">
        <f t="shared" si="3"/>
        <v/>
      </c>
      <c r="B2469" s="2" t="str">
        <f t="array" ref="B2469">INDEX(helper!$A$3:$A3996,ROUNDUP((ROW()-1)/COUNTA(helper!$D$3:$D3996),0))</f>
        <v/>
      </c>
      <c r="C2469" s="5" t="str">
        <f t="array" ref="C2469">IF(B2469="","",INDEX(helper!$D$3:$D3996,MOD(ROW()-2,COUNTA(helper!$D$3:$D3996))+1))</f>
        <v/>
      </c>
      <c r="D2469" s="3" t="str">
        <f t="array" ref="D2469">IF(B2469="","",INDEX(helper!$E$3:$E3996,MOD(ROW()-2,COUNTA(helper!$D$3:$D3996))+1))</f>
        <v/>
      </c>
      <c r="E2469" s="3" t="str">
        <f t="array" ref="E2469">IF(B2469="","",INDEX(helper!$F$3:$F3996,MOD(ROW()-2,COUNTA(helper!$D$3:$D3996))+1))</f>
        <v/>
      </c>
      <c r="F2469" s="3" t="str">
        <f>IF(B2469="","",SUMIFS('inventory ledger'!$H:$H,'inventory ledger'!$C:$C,C2469,'inventory ledger'!$D:$D,D2469,'inventory ledger'!$E:$E,E2469,'inventory ledger'!$A:$A,"&lt;="&amp;B2469+TIME(23,59,59))-SUMIFS('inventory ledger'!$I:$I,'inventory ledger'!$C:$C,C2469,'inventory ledger'!$D:$D,D2469,'inventory ledger'!$E:$E,E2469,'inventory ledger'!$A:$A,"&lt;="&amp;B2469+TIME(23,59,59)))</f>
        <v/>
      </c>
      <c r="G2469" s="3">
        <f>IFERROR(__xludf.DUMMYFUNCTION("IF(F2469&lt;=0,0,IFERROR(ROUNDUP(F2469/INDEX(FILTER('warehouse config'!$D:$D,('warehouse config'!$B:$B=C2469)*('warehouse config'!$C:$C=D2469)*('warehouse config'!$G:$G&lt;=B2469)*(('warehouse config'!$H:$H&gt;=B2469)+ISBLANK('warehouse config'!$H:$H))),1)),0))"),0.0)</f>
        <v>0</v>
      </c>
      <c r="H2469" s="3">
        <f>IFERROR(__xludf.DUMMYFUNCTION("IFERROR(INDEX(FILTER('cost master'!$E:$E,('cost master'!$B:$B=C2469)*('cost master'!$D:$D=""Storage cost per pallet / week"")*('cost master'!$G:$G&lt;=B2469)*(('cost master'!$H:$H&gt;=B2469)+ISBLANK('cost master'!$H:$H))),1),0)"),0.0)</f>
        <v>0</v>
      </c>
      <c r="I2469" s="3">
        <f t="shared" si="4"/>
        <v>0</v>
      </c>
      <c r="J2469" s="27">
        <f t="shared" si="5"/>
        <v>693947</v>
      </c>
      <c r="K2469" s="27">
        <f t="shared" si="6"/>
        <v>693977</v>
      </c>
    </row>
    <row r="2470" hidden="1">
      <c r="A2470" s="3" t="str">
        <f t="shared" si="3"/>
        <v/>
      </c>
      <c r="B2470" s="2" t="str">
        <f t="array" ref="B2470">INDEX(helper!$A$3:$A3996,ROUNDUP((ROW()-1)/COUNTA(helper!$D$3:$D3996),0))</f>
        <v/>
      </c>
      <c r="C2470" s="5" t="str">
        <f t="array" ref="C2470">IF(B2470="","",INDEX(helper!$D$3:$D3996,MOD(ROW()-2,COUNTA(helper!$D$3:$D3996))+1))</f>
        <v/>
      </c>
      <c r="D2470" s="3" t="str">
        <f t="array" ref="D2470">IF(B2470="","",INDEX(helper!$E$3:$E3996,MOD(ROW()-2,COUNTA(helper!$D$3:$D3996))+1))</f>
        <v/>
      </c>
      <c r="E2470" s="3" t="str">
        <f t="array" ref="E2470">IF(B2470="","",INDEX(helper!$F$3:$F3996,MOD(ROW()-2,COUNTA(helper!$D$3:$D3996))+1))</f>
        <v/>
      </c>
      <c r="F2470" s="3" t="str">
        <f>IF(B2470="","",SUMIFS('inventory ledger'!$H:$H,'inventory ledger'!$C:$C,C2470,'inventory ledger'!$D:$D,D2470,'inventory ledger'!$E:$E,E2470,'inventory ledger'!$A:$A,"&lt;="&amp;B2470+TIME(23,59,59))-SUMIFS('inventory ledger'!$I:$I,'inventory ledger'!$C:$C,C2470,'inventory ledger'!$D:$D,D2470,'inventory ledger'!$E:$E,E2470,'inventory ledger'!$A:$A,"&lt;="&amp;B2470+TIME(23,59,59)))</f>
        <v/>
      </c>
      <c r="G2470" s="3">
        <f>IFERROR(__xludf.DUMMYFUNCTION("IF(F2470&lt;=0,0,IFERROR(ROUNDUP(F2470/INDEX(FILTER('warehouse config'!$D:$D,('warehouse config'!$B:$B=C2470)*('warehouse config'!$C:$C=D2470)*('warehouse config'!$G:$G&lt;=B2470)*(('warehouse config'!$H:$H&gt;=B2470)+ISBLANK('warehouse config'!$H:$H))),1)),0))"),0.0)</f>
        <v>0</v>
      </c>
      <c r="H2470" s="3">
        <f>IFERROR(__xludf.DUMMYFUNCTION("IFERROR(INDEX(FILTER('cost master'!$E:$E,('cost master'!$B:$B=C2470)*('cost master'!$D:$D=""Storage cost per pallet / week"")*('cost master'!$G:$G&lt;=B2470)*(('cost master'!$H:$H&gt;=B2470)+ISBLANK('cost master'!$H:$H))),1),0)"),0.0)</f>
        <v>0</v>
      </c>
      <c r="I2470" s="3">
        <f t="shared" si="4"/>
        <v>0</v>
      </c>
      <c r="J2470" s="27">
        <f t="shared" si="5"/>
        <v>693947</v>
      </c>
      <c r="K2470" s="27">
        <f t="shared" si="6"/>
        <v>693977</v>
      </c>
    </row>
    <row r="2471" hidden="1">
      <c r="A2471" s="3" t="str">
        <f t="shared" si="3"/>
        <v/>
      </c>
      <c r="B2471" s="2" t="str">
        <f t="array" ref="B2471">INDEX(helper!$A$3:$A3996,ROUNDUP((ROW()-1)/COUNTA(helper!$D$3:$D3996),0))</f>
        <v/>
      </c>
      <c r="C2471" s="5" t="str">
        <f t="array" ref="C2471">IF(B2471="","",INDEX(helper!$D$3:$D3996,MOD(ROW()-2,COUNTA(helper!$D$3:$D3996))+1))</f>
        <v/>
      </c>
      <c r="D2471" s="3" t="str">
        <f t="array" ref="D2471">IF(B2471="","",INDEX(helper!$E$3:$E3996,MOD(ROW()-2,COUNTA(helper!$D$3:$D3996))+1))</f>
        <v/>
      </c>
      <c r="E2471" s="3" t="str">
        <f t="array" ref="E2471">IF(B2471="","",INDEX(helper!$F$3:$F3996,MOD(ROW()-2,COUNTA(helper!$D$3:$D3996))+1))</f>
        <v/>
      </c>
      <c r="F2471" s="3" t="str">
        <f>IF(B2471="","",SUMIFS('inventory ledger'!$H:$H,'inventory ledger'!$C:$C,C2471,'inventory ledger'!$D:$D,D2471,'inventory ledger'!$E:$E,E2471,'inventory ledger'!$A:$A,"&lt;="&amp;B2471+TIME(23,59,59))-SUMIFS('inventory ledger'!$I:$I,'inventory ledger'!$C:$C,C2471,'inventory ledger'!$D:$D,D2471,'inventory ledger'!$E:$E,E2471,'inventory ledger'!$A:$A,"&lt;="&amp;B2471+TIME(23,59,59)))</f>
        <v/>
      </c>
      <c r="G2471" s="3">
        <f>IFERROR(__xludf.DUMMYFUNCTION("IF(F2471&lt;=0,0,IFERROR(ROUNDUP(F2471/INDEX(FILTER('warehouse config'!$D:$D,('warehouse config'!$B:$B=C2471)*('warehouse config'!$C:$C=D2471)*('warehouse config'!$G:$G&lt;=B2471)*(('warehouse config'!$H:$H&gt;=B2471)+ISBLANK('warehouse config'!$H:$H))),1)),0))"),0.0)</f>
        <v>0</v>
      </c>
      <c r="H2471" s="3">
        <f>IFERROR(__xludf.DUMMYFUNCTION("IFERROR(INDEX(FILTER('cost master'!$E:$E,('cost master'!$B:$B=C2471)*('cost master'!$D:$D=""Storage cost per pallet / week"")*('cost master'!$G:$G&lt;=B2471)*(('cost master'!$H:$H&gt;=B2471)+ISBLANK('cost master'!$H:$H))),1),0)"),0.0)</f>
        <v>0</v>
      </c>
      <c r="I2471" s="3">
        <f t="shared" si="4"/>
        <v>0</v>
      </c>
      <c r="J2471" s="27">
        <f t="shared" si="5"/>
        <v>693947</v>
      </c>
      <c r="K2471" s="27">
        <f t="shared" si="6"/>
        <v>693977</v>
      </c>
    </row>
    <row r="2472" hidden="1">
      <c r="A2472" s="3" t="str">
        <f t="shared" si="3"/>
        <v/>
      </c>
      <c r="B2472" s="2" t="str">
        <f t="array" ref="B2472">INDEX(helper!$A$3:$A3996,ROUNDUP((ROW()-1)/COUNTA(helper!$D$3:$D3996),0))</f>
        <v/>
      </c>
      <c r="C2472" s="5" t="str">
        <f t="array" ref="C2472">IF(B2472="","",INDEX(helper!$D$3:$D3996,MOD(ROW()-2,COUNTA(helper!$D$3:$D3996))+1))</f>
        <v/>
      </c>
      <c r="D2472" s="3" t="str">
        <f t="array" ref="D2472">IF(B2472="","",INDEX(helper!$E$3:$E3996,MOD(ROW()-2,COUNTA(helper!$D$3:$D3996))+1))</f>
        <v/>
      </c>
      <c r="E2472" s="3" t="str">
        <f t="array" ref="E2472">IF(B2472="","",INDEX(helper!$F$3:$F3996,MOD(ROW()-2,COUNTA(helper!$D$3:$D3996))+1))</f>
        <v/>
      </c>
      <c r="F2472" s="3" t="str">
        <f>IF(B2472="","",SUMIFS('inventory ledger'!$H:$H,'inventory ledger'!$C:$C,C2472,'inventory ledger'!$D:$D,D2472,'inventory ledger'!$E:$E,E2472,'inventory ledger'!$A:$A,"&lt;="&amp;B2472+TIME(23,59,59))-SUMIFS('inventory ledger'!$I:$I,'inventory ledger'!$C:$C,C2472,'inventory ledger'!$D:$D,D2472,'inventory ledger'!$E:$E,E2472,'inventory ledger'!$A:$A,"&lt;="&amp;B2472+TIME(23,59,59)))</f>
        <v/>
      </c>
      <c r="G2472" s="3">
        <f>IFERROR(__xludf.DUMMYFUNCTION("IF(F2472&lt;=0,0,IFERROR(ROUNDUP(F2472/INDEX(FILTER('warehouse config'!$D:$D,('warehouse config'!$B:$B=C2472)*('warehouse config'!$C:$C=D2472)*('warehouse config'!$G:$G&lt;=B2472)*(('warehouse config'!$H:$H&gt;=B2472)+ISBLANK('warehouse config'!$H:$H))),1)),0))"),0.0)</f>
        <v>0</v>
      </c>
      <c r="H2472" s="3">
        <f>IFERROR(__xludf.DUMMYFUNCTION("IFERROR(INDEX(FILTER('cost master'!$E:$E,('cost master'!$B:$B=C2472)*('cost master'!$D:$D=""Storage cost per pallet / week"")*('cost master'!$G:$G&lt;=B2472)*(('cost master'!$H:$H&gt;=B2472)+ISBLANK('cost master'!$H:$H))),1),0)"),0.0)</f>
        <v>0</v>
      </c>
      <c r="I2472" s="3">
        <f t="shared" si="4"/>
        <v>0</v>
      </c>
      <c r="J2472" s="27">
        <f t="shared" si="5"/>
        <v>693947</v>
      </c>
      <c r="K2472" s="27">
        <f t="shared" si="6"/>
        <v>693977</v>
      </c>
    </row>
    <row r="2473" hidden="1">
      <c r="A2473" s="3" t="str">
        <f t="shared" si="3"/>
        <v/>
      </c>
      <c r="B2473" s="2" t="str">
        <f t="array" ref="B2473">INDEX(helper!$A$3:$A3996,ROUNDUP((ROW()-1)/COUNTA(helper!$D$3:$D3996),0))</f>
        <v/>
      </c>
      <c r="C2473" s="5" t="str">
        <f t="array" ref="C2473">IF(B2473="","",INDEX(helper!$D$3:$D3996,MOD(ROW()-2,COUNTA(helper!$D$3:$D3996))+1))</f>
        <v/>
      </c>
      <c r="D2473" s="3" t="str">
        <f t="array" ref="D2473">IF(B2473="","",INDEX(helper!$E$3:$E3996,MOD(ROW()-2,COUNTA(helper!$D$3:$D3996))+1))</f>
        <v/>
      </c>
      <c r="E2473" s="3" t="str">
        <f t="array" ref="E2473">IF(B2473="","",INDEX(helper!$F$3:$F3996,MOD(ROW()-2,COUNTA(helper!$D$3:$D3996))+1))</f>
        <v/>
      </c>
      <c r="F2473" s="3" t="str">
        <f>IF(B2473="","",SUMIFS('inventory ledger'!$H:$H,'inventory ledger'!$C:$C,C2473,'inventory ledger'!$D:$D,D2473,'inventory ledger'!$E:$E,E2473,'inventory ledger'!$A:$A,"&lt;="&amp;B2473+TIME(23,59,59))-SUMIFS('inventory ledger'!$I:$I,'inventory ledger'!$C:$C,C2473,'inventory ledger'!$D:$D,D2473,'inventory ledger'!$E:$E,E2473,'inventory ledger'!$A:$A,"&lt;="&amp;B2473+TIME(23,59,59)))</f>
        <v/>
      </c>
      <c r="G2473" s="3">
        <f>IFERROR(__xludf.DUMMYFUNCTION("IF(F2473&lt;=0,0,IFERROR(ROUNDUP(F2473/INDEX(FILTER('warehouse config'!$D:$D,('warehouse config'!$B:$B=C2473)*('warehouse config'!$C:$C=D2473)*('warehouse config'!$G:$G&lt;=B2473)*(('warehouse config'!$H:$H&gt;=B2473)+ISBLANK('warehouse config'!$H:$H))),1)),0))"),0.0)</f>
        <v>0</v>
      </c>
      <c r="H2473" s="3">
        <f>IFERROR(__xludf.DUMMYFUNCTION("IFERROR(INDEX(FILTER('cost master'!$E:$E,('cost master'!$B:$B=C2473)*('cost master'!$D:$D=""Storage cost per pallet / week"")*('cost master'!$G:$G&lt;=B2473)*(('cost master'!$H:$H&gt;=B2473)+ISBLANK('cost master'!$H:$H))),1),0)"),0.0)</f>
        <v>0</v>
      </c>
      <c r="I2473" s="3">
        <f t="shared" si="4"/>
        <v>0</v>
      </c>
      <c r="J2473" s="27">
        <f t="shared" si="5"/>
        <v>693947</v>
      </c>
      <c r="K2473" s="27">
        <f t="shared" si="6"/>
        <v>693977</v>
      </c>
    </row>
    <row r="2474" hidden="1">
      <c r="A2474" s="3" t="str">
        <f t="shared" si="3"/>
        <v/>
      </c>
      <c r="B2474" s="2" t="str">
        <f t="array" ref="B2474">INDEX(helper!$A$3:$A3996,ROUNDUP((ROW()-1)/COUNTA(helper!$D$3:$D3996),0))</f>
        <v/>
      </c>
      <c r="C2474" s="5" t="str">
        <f t="array" ref="C2474">IF(B2474="","",INDEX(helper!$D$3:$D3996,MOD(ROW()-2,COUNTA(helper!$D$3:$D3996))+1))</f>
        <v/>
      </c>
      <c r="D2474" s="3" t="str">
        <f t="array" ref="D2474">IF(B2474="","",INDEX(helper!$E$3:$E3996,MOD(ROW()-2,COUNTA(helper!$D$3:$D3996))+1))</f>
        <v/>
      </c>
      <c r="E2474" s="3" t="str">
        <f t="array" ref="E2474">IF(B2474="","",INDEX(helper!$F$3:$F3996,MOD(ROW()-2,COUNTA(helper!$D$3:$D3996))+1))</f>
        <v/>
      </c>
      <c r="F2474" s="3" t="str">
        <f>IF(B2474="","",SUMIFS('inventory ledger'!$H:$H,'inventory ledger'!$C:$C,C2474,'inventory ledger'!$D:$D,D2474,'inventory ledger'!$E:$E,E2474,'inventory ledger'!$A:$A,"&lt;="&amp;B2474+TIME(23,59,59))-SUMIFS('inventory ledger'!$I:$I,'inventory ledger'!$C:$C,C2474,'inventory ledger'!$D:$D,D2474,'inventory ledger'!$E:$E,E2474,'inventory ledger'!$A:$A,"&lt;="&amp;B2474+TIME(23,59,59)))</f>
        <v/>
      </c>
      <c r="G2474" s="3">
        <f>IFERROR(__xludf.DUMMYFUNCTION("IF(F2474&lt;=0,0,IFERROR(ROUNDUP(F2474/INDEX(FILTER('warehouse config'!$D:$D,('warehouse config'!$B:$B=C2474)*('warehouse config'!$C:$C=D2474)*('warehouse config'!$G:$G&lt;=B2474)*(('warehouse config'!$H:$H&gt;=B2474)+ISBLANK('warehouse config'!$H:$H))),1)),0))"),0.0)</f>
        <v>0</v>
      </c>
      <c r="H2474" s="3">
        <f>IFERROR(__xludf.DUMMYFUNCTION("IFERROR(INDEX(FILTER('cost master'!$E:$E,('cost master'!$B:$B=C2474)*('cost master'!$D:$D=""Storage cost per pallet / week"")*('cost master'!$G:$G&lt;=B2474)*(('cost master'!$H:$H&gt;=B2474)+ISBLANK('cost master'!$H:$H))),1),0)"),0.0)</f>
        <v>0</v>
      </c>
      <c r="I2474" s="3">
        <f t="shared" si="4"/>
        <v>0</v>
      </c>
      <c r="J2474" s="27">
        <f t="shared" si="5"/>
        <v>693947</v>
      </c>
      <c r="K2474" s="27">
        <f t="shared" si="6"/>
        <v>693977</v>
      </c>
    </row>
    <row r="2475" hidden="1">
      <c r="A2475" s="3" t="str">
        <f t="shared" si="3"/>
        <v/>
      </c>
      <c r="B2475" s="2" t="str">
        <f t="array" ref="B2475">INDEX(helper!$A$3:$A3996,ROUNDUP((ROW()-1)/COUNTA(helper!$D$3:$D3996),0))</f>
        <v/>
      </c>
      <c r="C2475" s="5" t="str">
        <f t="array" ref="C2475">IF(B2475="","",INDEX(helper!$D$3:$D3996,MOD(ROW()-2,COUNTA(helper!$D$3:$D3996))+1))</f>
        <v/>
      </c>
      <c r="D2475" s="3" t="str">
        <f t="array" ref="D2475">IF(B2475="","",INDEX(helper!$E$3:$E3996,MOD(ROW()-2,COUNTA(helper!$D$3:$D3996))+1))</f>
        <v/>
      </c>
      <c r="E2475" s="3" t="str">
        <f t="array" ref="E2475">IF(B2475="","",INDEX(helper!$F$3:$F3996,MOD(ROW()-2,COUNTA(helper!$D$3:$D3996))+1))</f>
        <v/>
      </c>
      <c r="F2475" s="3" t="str">
        <f>IF(B2475="","",SUMIFS('inventory ledger'!$H:$H,'inventory ledger'!$C:$C,C2475,'inventory ledger'!$D:$D,D2475,'inventory ledger'!$E:$E,E2475,'inventory ledger'!$A:$A,"&lt;="&amp;B2475+TIME(23,59,59))-SUMIFS('inventory ledger'!$I:$I,'inventory ledger'!$C:$C,C2475,'inventory ledger'!$D:$D,D2475,'inventory ledger'!$E:$E,E2475,'inventory ledger'!$A:$A,"&lt;="&amp;B2475+TIME(23,59,59)))</f>
        <v/>
      </c>
      <c r="G2475" s="3">
        <f>IFERROR(__xludf.DUMMYFUNCTION("IF(F2475&lt;=0,0,IFERROR(ROUNDUP(F2475/INDEX(FILTER('warehouse config'!$D:$D,('warehouse config'!$B:$B=C2475)*('warehouse config'!$C:$C=D2475)*('warehouse config'!$G:$G&lt;=B2475)*(('warehouse config'!$H:$H&gt;=B2475)+ISBLANK('warehouse config'!$H:$H))),1)),0))"),0.0)</f>
        <v>0</v>
      </c>
      <c r="H2475" s="3">
        <f>IFERROR(__xludf.DUMMYFUNCTION("IFERROR(INDEX(FILTER('cost master'!$E:$E,('cost master'!$B:$B=C2475)*('cost master'!$D:$D=""Storage cost per pallet / week"")*('cost master'!$G:$G&lt;=B2475)*(('cost master'!$H:$H&gt;=B2475)+ISBLANK('cost master'!$H:$H))),1),0)"),0.0)</f>
        <v>0</v>
      </c>
      <c r="I2475" s="3">
        <f t="shared" si="4"/>
        <v>0</v>
      </c>
      <c r="J2475" s="27">
        <f t="shared" si="5"/>
        <v>693947</v>
      </c>
      <c r="K2475" s="27">
        <f t="shared" si="6"/>
        <v>693977</v>
      </c>
    </row>
    <row r="2476" hidden="1">
      <c r="A2476" s="3" t="str">
        <f t="shared" si="3"/>
        <v/>
      </c>
      <c r="B2476" s="2" t="str">
        <f t="array" ref="B2476">INDEX(helper!$A$3:$A3996,ROUNDUP((ROW()-1)/COUNTA(helper!$D$3:$D3996),0))</f>
        <v/>
      </c>
      <c r="C2476" s="5" t="str">
        <f t="array" ref="C2476">IF(B2476="","",INDEX(helper!$D$3:$D3996,MOD(ROW()-2,COUNTA(helper!$D$3:$D3996))+1))</f>
        <v/>
      </c>
      <c r="D2476" s="3" t="str">
        <f t="array" ref="D2476">IF(B2476="","",INDEX(helper!$E$3:$E3996,MOD(ROW()-2,COUNTA(helper!$D$3:$D3996))+1))</f>
        <v/>
      </c>
      <c r="E2476" s="3" t="str">
        <f t="array" ref="E2476">IF(B2476="","",INDEX(helper!$F$3:$F3996,MOD(ROW()-2,COUNTA(helper!$D$3:$D3996))+1))</f>
        <v/>
      </c>
      <c r="F2476" s="3" t="str">
        <f>IF(B2476="","",SUMIFS('inventory ledger'!$H:$H,'inventory ledger'!$C:$C,C2476,'inventory ledger'!$D:$D,D2476,'inventory ledger'!$E:$E,E2476,'inventory ledger'!$A:$A,"&lt;="&amp;B2476+TIME(23,59,59))-SUMIFS('inventory ledger'!$I:$I,'inventory ledger'!$C:$C,C2476,'inventory ledger'!$D:$D,D2476,'inventory ledger'!$E:$E,E2476,'inventory ledger'!$A:$A,"&lt;="&amp;B2476+TIME(23,59,59)))</f>
        <v/>
      </c>
      <c r="G2476" s="3">
        <f>IFERROR(__xludf.DUMMYFUNCTION("IF(F2476&lt;=0,0,IFERROR(ROUNDUP(F2476/INDEX(FILTER('warehouse config'!$D:$D,('warehouse config'!$B:$B=C2476)*('warehouse config'!$C:$C=D2476)*('warehouse config'!$G:$G&lt;=B2476)*(('warehouse config'!$H:$H&gt;=B2476)+ISBLANK('warehouse config'!$H:$H))),1)),0))"),0.0)</f>
        <v>0</v>
      </c>
      <c r="H2476" s="3">
        <f>IFERROR(__xludf.DUMMYFUNCTION("IFERROR(INDEX(FILTER('cost master'!$E:$E,('cost master'!$B:$B=C2476)*('cost master'!$D:$D=""Storage cost per pallet / week"")*('cost master'!$G:$G&lt;=B2476)*(('cost master'!$H:$H&gt;=B2476)+ISBLANK('cost master'!$H:$H))),1),0)"),0.0)</f>
        <v>0</v>
      </c>
      <c r="I2476" s="3">
        <f t="shared" si="4"/>
        <v>0</v>
      </c>
      <c r="J2476" s="27">
        <f t="shared" si="5"/>
        <v>693947</v>
      </c>
      <c r="K2476" s="27">
        <f t="shared" si="6"/>
        <v>693977</v>
      </c>
    </row>
    <row r="2477" hidden="1">
      <c r="A2477" s="3" t="str">
        <f t="shared" si="3"/>
        <v/>
      </c>
      <c r="B2477" s="2" t="str">
        <f t="array" ref="B2477">INDEX(helper!$A$3:$A3996,ROUNDUP((ROW()-1)/COUNTA(helper!$D$3:$D3996),0))</f>
        <v/>
      </c>
      <c r="C2477" s="5" t="str">
        <f t="array" ref="C2477">IF(B2477="","",INDEX(helper!$D$3:$D3996,MOD(ROW()-2,COUNTA(helper!$D$3:$D3996))+1))</f>
        <v/>
      </c>
      <c r="D2477" s="3" t="str">
        <f t="array" ref="D2477">IF(B2477="","",INDEX(helper!$E$3:$E3996,MOD(ROW()-2,COUNTA(helper!$D$3:$D3996))+1))</f>
        <v/>
      </c>
      <c r="E2477" s="3" t="str">
        <f t="array" ref="E2477">IF(B2477="","",INDEX(helper!$F$3:$F3996,MOD(ROW()-2,COUNTA(helper!$D$3:$D3996))+1))</f>
        <v/>
      </c>
      <c r="F2477" s="3" t="str">
        <f>IF(B2477="","",SUMIFS('inventory ledger'!$H:$H,'inventory ledger'!$C:$C,C2477,'inventory ledger'!$D:$D,D2477,'inventory ledger'!$E:$E,E2477,'inventory ledger'!$A:$A,"&lt;="&amp;B2477+TIME(23,59,59))-SUMIFS('inventory ledger'!$I:$I,'inventory ledger'!$C:$C,C2477,'inventory ledger'!$D:$D,D2477,'inventory ledger'!$E:$E,E2477,'inventory ledger'!$A:$A,"&lt;="&amp;B2477+TIME(23,59,59)))</f>
        <v/>
      </c>
      <c r="G2477" s="3">
        <f>IFERROR(__xludf.DUMMYFUNCTION("IF(F2477&lt;=0,0,IFERROR(ROUNDUP(F2477/INDEX(FILTER('warehouse config'!$D:$D,('warehouse config'!$B:$B=C2477)*('warehouse config'!$C:$C=D2477)*('warehouse config'!$G:$G&lt;=B2477)*(('warehouse config'!$H:$H&gt;=B2477)+ISBLANK('warehouse config'!$H:$H))),1)),0))"),0.0)</f>
        <v>0</v>
      </c>
      <c r="H2477" s="3">
        <f>IFERROR(__xludf.DUMMYFUNCTION("IFERROR(INDEX(FILTER('cost master'!$E:$E,('cost master'!$B:$B=C2477)*('cost master'!$D:$D=""Storage cost per pallet / week"")*('cost master'!$G:$G&lt;=B2477)*(('cost master'!$H:$H&gt;=B2477)+ISBLANK('cost master'!$H:$H))),1),0)"),0.0)</f>
        <v>0</v>
      </c>
      <c r="I2477" s="3">
        <f t="shared" si="4"/>
        <v>0</v>
      </c>
      <c r="J2477" s="27">
        <f t="shared" si="5"/>
        <v>693947</v>
      </c>
      <c r="K2477" s="27">
        <f t="shared" si="6"/>
        <v>693977</v>
      </c>
    </row>
    <row r="2478" hidden="1">
      <c r="A2478" s="3" t="str">
        <f t="shared" si="3"/>
        <v/>
      </c>
      <c r="B2478" s="2" t="str">
        <f t="array" ref="B2478">INDEX(helper!$A$3:$A3996,ROUNDUP((ROW()-1)/COUNTA(helper!$D$3:$D3996),0))</f>
        <v/>
      </c>
      <c r="C2478" s="5" t="str">
        <f t="array" ref="C2478">IF(B2478="","",INDEX(helper!$D$3:$D3996,MOD(ROW()-2,COUNTA(helper!$D$3:$D3996))+1))</f>
        <v/>
      </c>
      <c r="D2478" s="3" t="str">
        <f t="array" ref="D2478">IF(B2478="","",INDEX(helper!$E$3:$E3996,MOD(ROW()-2,COUNTA(helper!$D$3:$D3996))+1))</f>
        <v/>
      </c>
      <c r="E2478" s="3" t="str">
        <f t="array" ref="E2478">IF(B2478="","",INDEX(helper!$F$3:$F3996,MOD(ROW()-2,COUNTA(helper!$D$3:$D3996))+1))</f>
        <v/>
      </c>
      <c r="F2478" s="3" t="str">
        <f>IF(B2478="","",SUMIFS('inventory ledger'!$H:$H,'inventory ledger'!$C:$C,C2478,'inventory ledger'!$D:$D,D2478,'inventory ledger'!$E:$E,E2478,'inventory ledger'!$A:$A,"&lt;="&amp;B2478+TIME(23,59,59))-SUMIFS('inventory ledger'!$I:$I,'inventory ledger'!$C:$C,C2478,'inventory ledger'!$D:$D,D2478,'inventory ledger'!$E:$E,E2478,'inventory ledger'!$A:$A,"&lt;="&amp;B2478+TIME(23,59,59)))</f>
        <v/>
      </c>
      <c r="G2478" s="3">
        <f>IFERROR(__xludf.DUMMYFUNCTION("IF(F2478&lt;=0,0,IFERROR(ROUNDUP(F2478/INDEX(FILTER('warehouse config'!$D:$D,('warehouse config'!$B:$B=C2478)*('warehouse config'!$C:$C=D2478)*('warehouse config'!$G:$G&lt;=B2478)*(('warehouse config'!$H:$H&gt;=B2478)+ISBLANK('warehouse config'!$H:$H))),1)),0))"),0.0)</f>
        <v>0</v>
      </c>
      <c r="H2478" s="3">
        <f>IFERROR(__xludf.DUMMYFUNCTION("IFERROR(INDEX(FILTER('cost master'!$E:$E,('cost master'!$B:$B=C2478)*('cost master'!$D:$D=""Storage cost per pallet / week"")*('cost master'!$G:$G&lt;=B2478)*(('cost master'!$H:$H&gt;=B2478)+ISBLANK('cost master'!$H:$H))),1),0)"),0.0)</f>
        <v>0</v>
      </c>
      <c r="I2478" s="3">
        <f t="shared" si="4"/>
        <v>0</v>
      </c>
      <c r="J2478" s="27">
        <f t="shared" si="5"/>
        <v>693947</v>
      </c>
      <c r="K2478" s="27">
        <f t="shared" si="6"/>
        <v>693977</v>
      </c>
    </row>
    <row r="2479" hidden="1">
      <c r="A2479" s="3" t="str">
        <f t="shared" si="3"/>
        <v/>
      </c>
      <c r="B2479" s="2" t="str">
        <f t="array" ref="B2479">INDEX(helper!$A$3:$A3996,ROUNDUP((ROW()-1)/COUNTA(helper!$D$3:$D3996),0))</f>
        <v/>
      </c>
      <c r="C2479" s="5" t="str">
        <f t="array" ref="C2479">IF(B2479="","",INDEX(helper!$D$3:$D3996,MOD(ROW()-2,COUNTA(helper!$D$3:$D3996))+1))</f>
        <v/>
      </c>
      <c r="D2479" s="3" t="str">
        <f t="array" ref="D2479">IF(B2479="","",INDEX(helper!$E$3:$E3996,MOD(ROW()-2,COUNTA(helper!$D$3:$D3996))+1))</f>
        <v/>
      </c>
      <c r="E2479" s="3" t="str">
        <f t="array" ref="E2479">IF(B2479="","",INDEX(helper!$F$3:$F3996,MOD(ROW()-2,COUNTA(helper!$D$3:$D3996))+1))</f>
        <v/>
      </c>
      <c r="F2479" s="3" t="str">
        <f>IF(B2479="","",SUMIFS('inventory ledger'!$H:$H,'inventory ledger'!$C:$C,C2479,'inventory ledger'!$D:$D,D2479,'inventory ledger'!$E:$E,E2479,'inventory ledger'!$A:$A,"&lt;="&amp;B2479+TIME(23,59,59))-SUMIFS('inventory ledger'!$I:$I,'inventory ledger'!$C:$C,C2479,'inventory ledger'!$D:$D,D2479,'inventory ledger'!$E:$E,E2479,'inventory ledger'!$A:$A,"&lt;="&amp;B2479+TIME(23,59,59)))</f>
        <v/>
      </c>
      <c r="G2479" s="3">
        <f>IFERROR(__xludf.DUMMYFUNCTION("IF(F2479&lt;=0,0,IFERROR(ROUNDUP(F2479/INDEX(FILTER('warehouse config'!$D:$D,('warehouse config'!$B:$B=C2479)*('warehouse config'!$C:$C=D2479)*('warehouse config'!$G:$G&lt;=B2479)*(('warehouse config'!$H:$H&gt;=B2479)+ISBLANK('warehouse config'!$H:$H))),1)),0))"),0.0)</f>
        <v>0</v>
      </c>
      <c r="H2479" s="3">
        <f>IFERROR(__xludf.DUMMYFUNCTION("IFERROR(INDEX(FILTER('cost master'!$E:$E,('cost master'!$B:$B=C2479)*('cost master'!$D:$D=""Storage cost per pallet / week"")*('cost master'!$G:$G&lt;=B2479)*(('cost master'!$H:$H&gt;=B2479)+ISBLANK('cost master'!$H:$H))),1),0)"),0.0)</f>
        <v>0</v>
      </c>
      <c r="I2479" s="3">
        <f t="shared" si="4"/>
        <v>0</v>
      </c>
      <c r="J2479" s="27">
        <f t="shared" si="5"/>
        <v>693947</v>
      </c>
      <c r="K2479" s="27">
        <f t="shared" si="6"/>
        <v>693977</v>
      </c>
    </row>
    <row r="2480" hidden="1">
      <c r="A2480" s="3" t="str">
        <f t="shared" si="3"/>
        <v/>
      </c>
      <c r="B2480" s="2" t="str">
        <f t="array" ref="B2480">INDEX(helper!$A$3:$A3996,ROUNDUP((ROW()-1)/COUNTA(helper!$D$3:$D3996),0))</f>
        <v/>
      </c>
      <c r="C2480" s="5" t="str">
        <f t="array" ref="C2480">IF(B2480="","",INDEX(helper!$D$3:$D3996,MOD(ROW()-2,COUNTA(helper!$D$3:$D3996))+1))</f>
        <v/>
      </c>
      <c r="D2480" s="3" t="str">
        <f t="array" ref="D2480">IF(B2480="","",INDEX(helper!$E$3:$E3996,MOD(ROW()-2,COUNTA(helper!$D$3:$D3996))+1))</f>
        <v/>
      </c>
      <c r="E2480" s="3" t="str">
        <f t="array" ref="E2480">IF(B2480="","",INDEX(helper!$F$3:$F3996,MOD(ROW()-2,COUNTA(helper!$D$3:$D3996))+1))</f>
        <v/>
      </c>
      <c r="F2480" s="3" t="str">
        <f>IF(B2480="","",SUMIFS('inventory ledger'!$H:$H,'inventory ledger'!$C:$C,C2480,'inventory ledger'!$D:$D,D2480,'inventory ledger'!$E:$E,E2480,'inventory ledger'!$A:$A,"&lt;="&amp;B2480+TIME(23,59,59))-SUMIFS('inventory ledger'!$I:$I,'inventory ledger'!$C:$C,C2480,'inventory ledger'!$D:$D,D2480,'inventory ledger'!$E:$E,E2480,'inventory ledger'!$A:$A,"&lt;="&amp;B2480+TIME(23,59,59)))</f>
        <v/>
      </c>
      <c r="G2480" s="3">
        <f>IFERROR(__xludf.DUMMYFUNCTION("IF(F2480&lt;=0,0,IFERROR(ROUNDUP(F2480/INDEX(FILTER('warehouse config'!$D:$D,('warehouse config'!$B:$B=C2480)*('warehouse config'!$C:$C=D2480)*('warehouse config'!$G:$G&lt;=B2480)*(('warehouse config'!$H:$H&gt;=B2480)+ISBLANK('warehouse config'!$H:$H))),1)),0))"),0.0)</f>
        <v>0</v>
      </c>
      <c r="H2480" s="3">
        <f>IFERROR(__xludf.DUMMYFUNCTION("IFERROR(INDEX(FILTER('cost master'!$E:$E,('cost master'!$B:$B=C2480)*('cost master'!$D:$D=""Storage cost per pallet / week"")*('cost master'!$G:$G&lt;=B2480)*(('cost master'!$H:$H&gt;=B2480)+ISBLANK('cost master'!$H:$H))),1),0)"),0.0)</f>
        <v>0</v>
      </c>
      <c r="I2480" s="3">
        <f t="shared" si="4"/>
        <v>0</v>
      </c>
      <c r="J2480" s="27">
        <f t="shared" si="5"/>
        <v>693947</v>
      </c>
      <c r="K2480" s="27">
        <f t="shared" si="6"/>
        <v>693977</v>
      </c>
    </row>
    <row r="2481" hidden="1">
      <c r="A2481" s="3" t="str">
        <f t="shared" si="3"/>
        <v/>
      </c>
      <c r="B2481" s="2" t="str">
        <f t="array" ref="B2481">INDEX(helper!$A$3:$A3996,ROUNDUP((ROW()-1)/COUNTA(helper!$D$3:$D3996),0))</f>
        <v/>
      </c>
      <c r="C2481" s="5" t="str">
        <f t="array" ref="C2481">IF(B2481="","",INDEX(helper!$D$3:$D3996,MOD(ROW()-2,COUNTA(helper!$D$3:$D3996))+1))</f>
        <v/>
      </c>
      <c r="D2481" s="3" t="str">
        <f t="array" ref="D2481">IF(B2481="","",INDEX(helper!$E$3:$E3996,MOD(ROW()-2,COUNTA(helper!$D$3:$D3996))+1))</f>
        <v/>
      </c>
      <c r="E2481" s="3" t="str">
        <f t="array" ref="E2481">IF(B2481="","",INDEX(helper!$F$3:$F3996,MOD(ROW()-2,COUNTA(helper!$D$3:$D3996))+1))</f>
        <v/>
      </c>
      <c r="F2481" s="3" t="str">
        <f>IF(B2481="","",SUMIFS('inventory ledger'!$H:$H,'inventory ledger'!$C:$C,C2481,'inventory ledger'!$D:$D,D2481,'inventory ledger'!$E:$E,E2481,'inventory ledger'!$A:$A,"&lt;="&amp;B2481+TIME(23,59,59))-SUMIFS('inventory ledger'!$I:$I,'inventory ledger'!$C:$C,C2481,'inventory ledger'!$D:$D,D2481,'inventory ledger'!$E:$E,E2481,'inventory ledger'!$A:$A,"&lt;="&amp;B2481+TIME(23,59,59)))</f>
        <v/>
      </c>
      <c r="G2481" s="3">
        <f>IFERROR(__xludf.DUMMYFUNCTION("IF(F2481&lt;=0,0,IFERROR(ROUNDUP(F2481/INDEX(FILTER('warehouse config'!$D:$D,('warehouse config'!$B:$B=C2481)*('warehouse config'!$C:$C=D2481)*('warehouse config'!$G:$G&lt;=B2481)*(('warehouse config'!$H:$H&gt;=B2481)+ISBLANK('warehouse config'!$H:$H))),1)),0))"),0.0)</f>
        <v>0</v>
      </c>
      <c r="H2481" s="3">
        <f>IFERROR(__xludf.DUMMYFUNCTION("IFERROR(INDEX(FILTER('cost master'!$E:$E,('cost master'!$B:$B=C2481)*('cost master'!$D:$D=""Storage cost per pallet / week"")*('cost master'!$G:$G&lt;=B2481)*(('cost master'!$H:$H&gt;=B2481)+ISBLANK('cost master'!$H:$H))),1),0)"),0.0)</f>
        <v>0</v>
      </c>
      <c r="I2481" s="3">
        <f t="shared" si="4"/>
        <v>0</v>
      </c>
      <c r="J2481" s="27">
        <f t="shared" si="5"/>
        <v>693947</v>
      </c>
      <c r="K2481" s="27">
        <f t="shared" si="6"/>
        <v>693977</v>
      </c>
    </row>
    <row r="2482" hidden="1">
      <c r="A2482" s="3" t="str">
        <f t="shared" si="3"/>
        <v/>
      </c>
      <c r="B2482" s="2" t="str">
        <f t="array" ref="B2482">INDEX(helper!$A$3:$A3996,ROUNDUP((ROW()-1)/COUNTA(helper!$D$3:$D3996),0))</f>
        <v/>
      </c>
      <c r="C2482" s="5" t="str">
        <f t="array" ref="C2482">IF(B2482="","",INDEX(helper!$D$3:$D3996,MOD(ROW()-2,COUNTA(helper!$D$3:$D3996))+1))</f>
        <v/>
      </c>
      <c r="D2482" s="3" t="str">
        <f t="array" ref="D2482">IF(B2482="","",INDEX(helper!$E$3:$E3996,MOD(ROW()-2,COUNTA(helper!$D$3:$D3996))+1))</f>
        <v/>
      </c>
      <c r="E2482" s="3" t="str">
        <f t="array" ref="E2482">IF(B2482="","",INDEX(helper!$F$3:$F3996,MOD(ROW()-2,COUNTA(helper!$D$3:$D3996))+1))</f>
        <v/>
      </c>
      <c r="F2482" s="3" t="str">
        <f>IF(B2482="","",SUMIFS('inventory ledger'!$H:$H,'inventory ledger'!$C:$C,C2482,'inventory ledger'!$D:$D,D2482,'inventory ledger'!$E:$E,E2482,'inventory ledger'!$A:$A,"&lt;="&amp;B2482+TIME(23,59,59))-SUMIFS('inventory ledger'!$I:$I,'inventory ledger'!$C:$C,C2482,'inventory ledger'!$D:$D,D2482,'inventory ledger'!$E:$E,E2482,'inventory ledger'!$A:$A,"&lt;="&amp;B2482+TIME(23,59,59)))</f>
        <v/>
      </c>
      <c r="G2482" s="3">
        <f>IFERROR(__xludf.DUMMYFUNCTION("IF(F2482&lt;=0,0,IFERROR(ROUNDUP(F2482/INDEX(FILTER('warehouse config'!$D:$D,('warehouse config'!$B:$B=C2482)*('warehouse config'!$C:$C=D2482)*('warehouse config'!$G:$G&lt;=B2482)*(('warehouse config'!$H:$H&gt;=B2482)+ISBLANK('warehouse config'!$H:$H))),1)),0))"),0.0)</f>
        <v>0</v>
      </c>
      <c r="H2482" s="3">
        <f>IFERROR(__xludf.DUMMYFUNCTION("IFERROR(INDEX(FILTER('cost master'!$E:$E,('cost master'!$B:$B=C2482)*('cost master'!$D:$D=""Storage cost per pallet / week"")*('cost master'!$G:$G&lt;=B2482)*(('cost master'!$H:$H&gt;=B2482)+ISBLANK('cost master'!$H:$H))),1),0)"),0.0)</f>
        <v>0</v>
      </c>
      <c r="I2482" s="3">
        <f t="shared" si="4"/>
        <v>0</v>
      </c>
      <c r="J2482" s="27">
        <f t="shared" si="5"/>
        <v>693947</v>
      </c>
      <c r="K2482" s="27">
        <f t="shared" si="6"/>
        <v>693977</v>
      </c>
    </row>
    <row r="2483" hidden="1">
      <c r="A2483" s="3" t="str">
        <f t="shared" si="3"/>
        <v/>
      </c>
      <c r="B2483" s="2" t="str">
        <f t="array" ref="B2483">INDEX(helper!$A$3:$A3996,ROUNDUP((ROW()-1)/COUNTA(helper!$D$3:$D3996),0))</f>
        <v/>
      </c>
      <c r="C2483" s="5" t="str">
        <f t="array" ref="C2483">IF(B2483="","",INDEX(helper!$D$3:$D3996,MOD(ROW()-2,COUNTA(helper!$D$3:$D3996))+1))</f>
        <v/>
      </c>
      <c r="D2483" s="3" t="str">
        <f t="array" ref="D2483">IF(B2483="","",INDEX(helper!$E$3:$E3996,MOD(ROW()-2,COUNTA(helper!$D$3:$D3996))+1))</f>
        <v/>
      </c>
      <c r="E2483" s="3" t="str">
        <f t="array" ref="E2483">IF(B2483="","",INDEX(helper!$F$3:$F3996,MOD(ROW()-2,COUNTA(helper!$D$3:$D3996))+1))</f>
        <v/>
      </c>
      <c r="F2483" s="3" t="str">
        <f>IF(B2483="","",SUMIFS('inventory ledger'!$H:$H,'inventory ledger'!$C:$C,C2483,'inventory ledger'!$D:$D,D2483,'inventory ledger'!$E:$E,E2483,'inventory ledger'!$A:$A,"&lt;="&amp;B2483+TIME(23,59,59))-SUMIFS('inventory ledger'!$I:$I,'inventory ledger'!$C:$C,C2483,'inventory ledger'!$D:$D,D2483,'inventory ledger'!$E:$E,E2483,'inventory ledger'!$A:$A,"&lt;="&amp;B2483+TIME(23,59,59)))</f>
        <v/>
      </c>
      <c r="G2483" s="3">
        <f>IFERROR(__xludf.DUMMYFUNCTION("IF(F2483&lt;=0,0,IFERROR(ROUNDUP(F2483/INDEX(FILTER('warehouse config'!$D:$D,('warehouse config'!$B:$B=C2483)*('warehouse config'!$C:$C=D2483)*('warehouse config'!$G:$G&lt;=B2483)*(('warehouse config'!$H:$H&gt;=B2483)+ISBLANK('warehouse config'!$H:$H))),1)),0))"),0.0)</f>
        <v>0</v>
      </c>
      <c r="H2483" s="3">
        <f>IFERROR(__xludf.DUMMYFUNCTION("IFERROR(INDEX(FILTER('cost master'!$E:$E,('cost master'!$B:$B=C2483)*('cost master'!$D:$D=""Storage cost per pallet / week"")*('cost master'!$G:$G&lt;=B2483)*(('cost master'!$H:$H&gt;=B2483)+ISBLANK('cost master'!$H:$H))),1),0)"),0.0)</f>
        <v>0</v>
      </c>
      <c r="I2483" s="3">
        <f t="shared" si="4"/>
        <v>0</v>
      </c>
      <c r="J2483" s="27">
        <f t="shared" si="5"/>
        <v>693947</v>
      </c>
      <c r="K2483" s="27">
        <f t="shared" si="6"/>
        <v>693977</v>
      </c>
    </row>
    <row r="2484" hidden="1">
      <c r="A2484" s="3" t="str">
        <f t="shared" si="3"/>
        <v/>
      </c>
      <c r="B2484" s="2" t="str">
        <f t="array" ref="B2484">INDEX(helper!$A$3:$A3996,ROUNDUP((ROW()-1)/COUNTA(helper!$D$3:$D3996),0))</f>
        <v/>
      </c>
      <c r="C2484" s="5" t="str">
        <f t="array" ref="C2484">IF(B2484="","",INDEX(helper!$D$3:$D3996,MOD(ROW()-2,COUNTA(helper!$D$3:$D3996))+1))</f>
        <v/>
      </c>
      <c r="D2484" s="3" t="str">
        <f t="array" ref="D2484">IF(B2484="","",INDEX(helper!$E$3:$E3996,MOD(ROW()-2,COUNTA(helper!$D$3:$D3996))+1))</f>
        <v/>
      </c>
      <c r="E2484" s="3" t="str">
        <f t="array" ref="E2484">IF(B2484="","",INDEX(helper!$F$3:$F3996,MOD(ROW()-2,COUNTA(helper!$D$3:$D3996))+1))</f>
        <v/>
      </c>
      <c r="F2484" s="3" t="str">
        <f>IF(B2484="","",SUMIFS('inventory ledger'!$H:$H,'inventory ledger'!$C:$C,C2484,'inventory ledger'!$D:$D,D2484,'inventory ledger'!$E:$E,E2484,'inventory ledger'!$A:$A,"&lt;="&amp;B2484+TIME(23,59,59))-SUMIFS('inventory ledger'!$I:$I,'inventory ledger'!$C:$C,C2484,'inventory ledger'!$D:$D,D2484,'inventory ledger'!$E:$E,E2484,'inventory ledger'!$A:$A,"&lt;="&amp;B2484+TIME(23,59,59)))</f>
        <v/>
      </c>
      <c r="G2484" s="3">
        <f>IFERROR(__xludf.DUMMYFUNCTION("IF(F2484&lt;=0,0,IFERROR(ROUNDUP(F2484/INDEX(FILTER('warehouse config'!$D:$D,('warehouse config'!$B:$B=C2484)*('warehouse config'!$C:$C=D2484)*('warehouse config'!$G:$G&lt;=B2484)*(('warehouse config'!$H:$H&gt;=B2484)+ISBLANK('warehouse config'!$H:$H))),1)),0))"),0.0)</f>
        <v>0</v>
      </c>
      <c r="H2484" s="3">
        <f>IFERROR(__xludf.DUMMYFUNCTION("IFERROR(INDEX(FILTER('cost master'!$E:$E,('cost master'!$B:$B=C2484)*('cost master'!$D:$D=""Storage cost per pallet / week"")*('cost master'!$G:$G&lt;=B2484)*(('cost master'!$H:$H&gt;=B2484)+ISBLANK('cost master'!$H:$H))),1),0)"),0.0)</f>
        <v>0</v>
      </c>
      <c r="I2484" s="3">
        <f t="shared" si="4"/>
        <v>0</v>
      </c>
      <c r="J2484" s="27">
        <f t="shared" si="5"/>
        <v>693947</v>
      </c>
      <c r="K2484" s="27">
        <f t="shared" si="6"/>
        <v>693977</v>
      </c>
    </row>
    <row r="2485" hidden="1">
      <c r="A2485" s="3" t="str">
        <f t="shared" si="3"/>
        <v/>
      </c>
      <c r="B2485" s="2" t="str">
        <f t="array" ref="B2485">INDEX(helper!$A$3:$A3996,ROUNDUP((ROW()-1)/COUNTA(helper!$D$3:$D3996),0))</f>
        <v/>
      </c>
      <c r="C2485" s="5" t="str">
        <f t="array" ref="C2485">IF(B2485="","",INDEX(helper!$D$3:$D3996,MOD(ROW()-2,COUNTA(helper!$D$3:$D3996))+1))</f>
        <v/>
      </c>
      <c r="D2485" s="3" t="str">
        <f t="array" ref="D2485">IF(B2485="","",INDEX(helper!$E$3:$E3996,MOD(ROW()-2,COUNTA(helper!$D$3:$D3996))+1))</f>
        <v/>
      </c>
      <c r="E2485" s="3" t="str">
        <f t="array" ref="E2485">IF(B2485="","",INDEX(helper!$F$3:$F3996,MOD(ROW()-2,COUNTA(helper!$D$3:$D3996))+1))</f>
        <v/>
      </c>
      <c r="F2485" s="3" t="str">
        <f>IF(B2485="","",SUMIFS('inventory ledger'!$H:$H,'inventory ledger'!$C:$C,C2485,'inventory ledger'!$D:$D,D2485,'inventory ledger'!$E:$E,E2485,'inventory ledger'!$A:$A,"&lt;="&amp;B2485+TIME(23,59,59))-SUMIFS('inventory ledger'!$I:$I,'inventory ledger'!$C:$C,C2485,'inventory ledger'!$D:$D,D2485,'inventory ledger'!$E:$E,E2485,'inventory ledger'!$A:$A,"&lt;="&amp;B2485+TIME(23,59,59)))</f>
        <v/>
      </c>
      <c r="G2485" s="3">
        <f>IFERROR(__xludf.DUMMYFUNCTION("IF(F2485&lt;=0,0,IFERROR(ROUNDUP(F2485/INDEX(FILTER('warehouse config'!$D:$D,('warehouse config'!$B:$B=C2485)*('warehouse config'!$C:$C=D2485)*('warehouse config'!$G:$G&lt;=B2485)*(('warehouse config'!$H:$H&gt;=B2485)+ISBLANK('warehouse config'!$H:$H))),1)),0))"),0.0)</f>
        <v>0</v>
      </c>
      <c r="H2485" s="3">
        <f>IFERROR(__xludf.DUMMYFUNCTION("IFERROR(INDEX(FILTER('cost master'!$E:$E,('cost master'!$B:$B=C2485)*('cost master'!$D:$D=""Storage cost per pallet / week"")*('cost master'!$G:$G&lt;=B2485)*(('cost master'!$H:$H&gt;=B2485)+ISBLANK('cost master'!$H:$H))),1),0)"),0.0)</f>
        <v>0</v>
      </c>
      <c r="I2485" s="3">
        <f t="shared" si="4"/>
        <v>0</v>
      </c>
      <c r="J2485" s="27">
        <f t="shared" si="5"/>
        <v>693947</v>
      </c>
      <c r="K2485" s="27">
        <f t="shared" si="6"/>
        <v>693977</v>
      </c>
    </row>
    <row r="2486" hidden="1">
      <c r="A2486" s="3" t="str">
        <f t="shared" si="3"/>
        <v/>
      </c>
      <c r="B2486" s="2" t="str">
        <f t="array" ref="B2486">INDEX(helper!$A$3:$A3996,ROUNDUP((ROW()-1)/COUNTA(helper!$D$3:$D3996),0))</f>
        <v/>
      </c>
      <c r="C2486" s="5" t="str">
        <f t="array" ref="C2486">IF(B2486="","",INDEX(helper!$D$3:$D3996,MOD(ROW()-2,COUNTA(helper!$D$3:$D3996))+1))</f>
        <v/>
      </c>
      <c r="D2486" s="3" t="str">
        <f t="array" ref="D2486">IF(B2486="","",INDEX(helper!$E$3:$E3996,MOD(ROW()-2,COUNTA(helper!$D$3:$D3996))+1))</f>
        <v/>
      </c>
      <c r="E2486" s="3" t="str">
        <f t="array" ref="E2486">IF(B2486="","",INDEX(helper!$F$3:$F3996,MOD(ROW()-2,COUNTA(helper!$D$3:$D3996))+1))</f>
        <v/>
      </c>
      <c r="F2486" s="3" t="str">
        <f>IF(B2486="","",SUMIFS('inventory ledger'!$H:$H,'inventory ledger'!$C:$C,C2486,'inventory ledger'!$D:$D,D2486,'inventory ledger'!$E:$E,E2486,'inventory ledger'!$A:$A,"&lt;="&amp;B2486+TIME(23,59,59))-SUMIFS('inventory ledger'!$I:$I,'inventory ledger'!$C:$C,C2486,'inventory ledger'!$D:$D,D2486,'inventory ledger'!$E:$E,E2486,'inventory ledger'!$A:$A,"&lt;="&amp;B2486+TIME(23,59,59)))</f>
        <v/>
      </c>
      <c r="G2486" s="3">
        <f>IFERROR(__xludf.DUMMYFUNCTION("IF(F2486&lt;=0,0,IFERROR(ROUNDUP(F2486/INDEX(FILTER('warehouse config'!$D:$D,('warehouse config'!$B:$B=C2486)*('warehouse config'!$C:$C=D2486)*('warehouse config'!$G:$G&lt;=B2486)*(('warehouse config'!$H:$H&gt;=B2486)+ISBLANK('warehouse config'!$H:$H))),1)),0))"),0.0)</f>
        <v>0</v>
      </c>
      <c r="H2486" s="3">
        <f>IFERROR(__xludf.DUMMYFUNCTION("IFERROR(INDEX(FILTER('cost master'!$E:$E,('cost master'!$B:$B=C2486)*('cost master'!$D:$D=""Storage cost per pallet / week"")*('cost master'!$G:$G&lt;=B2486)*(('cost master'!$H:$H&gt;=B2486)+ISBLANK('cost master'!$H:$H))),1),0)"),0.0)</f>
        <v>0</v>
      </c>
      <c r="I2486" s="3">
        <f t="shared" si="4"/>
        <v>0</v>
      </c>
      <c r="J2486" s="27">
        <f t="shared" si="5"/>
        <v>693947</v>
      </c>
      <c r="K2486" s="27">
        <f t="shared" si="6"/>
        <v>693977</v>
      </c>
    </row>
    <row r="2487" hidden="1">
      <c r="A2487" s="3" t="str">
        <f t="shared" si="3"/>
        <v/>
      </c>
      <c r="B2487" s="2" t="str">
        <f t="array" ref="B2487">INDEX(helper!$A$3:$A3996,ROUNDUP((ROW()-1)/COUNTA(helper!$D$3:$D3996),0))</f>
        <v/>
      </c>
      <c r="C2487" s="5" t="str">
        <f t="array" ref="C2487">IF(B2487="","",INDEX(helper!$D$3:$D3996,MOD(ROW()-2,COUNTA(helper!$D$3:$D3996))+1))</f>
        <v/>
      </c>
      <c r="D2487" s="3" t="str">
        <f t="array" ref="D2487">IF(B2487="","",INDEX(helper!$E$3:$E3996,MOD(ROW()-2,COUNTA(helper!$D$3:$D3996))+1))</f>
        <v/>
      </c>
      <c r="E2487" s="3" t="str">
        <f t="array" ref="E2487">IF(B2487="","",INDEX(helper!$F$3:$F3996,MOD(ROW()-2,COUNTA(helper!$D$3:$D3996))+1))</f>
        <v/>
      </c>
      <c r="F2487" s="3" t="str">
        <f>IF(B2487="","",SUMIFS('inventory ledger'!$H:$H,'inventory ledger'!$C:$C,C2487,'inventory ledger'!$D:$D,D2487,'inventory ledger'!$E:$E,E2487,'inventory ledger'!$A:$A,"&lt;="&amp;B2487+TIME(23,59,59))-SUMIFS('inventory ledger'!$I:$I,'inventory ledger'!$C:$C,C2487,'inventory ledger'!$D:$D,D2487,'inventory ledger'!$E:$E,E2487,'inventory ledger'!$A:$A,"&lt;="&amp;B2487+TIME(23,59,59)))</f>
        <v/>
      </c>
      <c r="G2487" s="3">
        <f>IFERROR(__xludf.DUMMYFUNCTION("IF(F2487&lt;=0,0,IFERROR(ROUNDUP(F2487/INDEX(FILTER('warehouse config'!$D:$D,('warehouse config'!$B:$B=C2487)*('warehouse config'!$C:$C=D2487)*('warehouse config'!$G:$G&lt;=B2487)*(('warehouse config'!$H:$H&gt;=B2487)+ISBLANK('warehouse config'!$H:$H))),1)),0))"),0.0)</f>
        <v>0</v>
      </c>
      <c r="H2487" s="3">
        <f>IFERROR(__xludf.DUMMYFUNCTION("IFERROR(INDEX(FILTER('cost master'!$E:$E,('cost master'!$B:$B=C2487)*('cost master'!$D:$D=""Storage cost per pallet / week"")*('cost master'!$G:$G&lt;=B2487)*(('cost master'!$H:$H&gt;=B2487)+ISBLANK('cost master'!$H:$H))),1),0)"),0.0)</f>
        <v>0</v>
      </c>
      <c r="I2487" s="3">
        <f t="shared" si="4"/>
        <v>0</v>
      </c>
      <c r="J2487" s="27">
        <f t="shared" si="5"/>
        <v>693947</v>
      </c>
      <c r="K2487" s="27">
        <f t="shared" si="6"/>
        <v>693977</v>
      </c>
    </row>
    <row r="2488" hidden="1">
      <c r="A2488" s="3" t="str">
        <f t="shared" si="3"/>
        <v/>
      </c>
      <c r="B2488" s="2" t="str">
        <f t="array" ref="B2488">INDEX(helper!$A$3:$A3996,ROUNDUP((ROW()-1)/COUNTA(helper!$D$3:$D3996),0))</f>
        <v/>
      </c>
      <c r="C2488" s="5" t="str">
        <f t="array" ref="C2488">IF(B2488="","",INDEX(helper!$D$3:$D3996,MOD(ROW()-2,COUNTA(helper!$D$3:$D3996))+1))</f>
        <v/>
      </c>
      <c r="D2488" s="3" t="str">
        <f t="array" ref="D2488">IF(B2488="","",INDEX(helper!$E$3:$E3996,MOD(ROW()-2,COUNTA(helper!$D$3:$D3996))+1))</f>
        <v/>
      </c>
      <c r="E2488" s="3" t="str">
        <f t="array" ref="E2488">IF(B2488="","",INDEX(helper!$F$3:$F3996,MOD(ROW()-2,COUNTA(helper!$D$3:$D3996))+1))</f>
        <v/>
      </c>
      <c r="F2488" s="3" t="str">
        <f>IF(B2488="","",SUMIFS('inventory ledger'!$H:$H,'inventory ledger'!$C:$C,C2488,'inventory ledger'!$D:$D,D2488,'inventory ledger'!$E:$E,E2488,'inventory ledger'!$A:$A,"&lt;="&amp;B2488+TIME(23,59,59))-SUMIFS('inventory ledger'!$I:$I,'inventory ledger'!$C:$C,C2488,'inventory ledger'!$D:$D,D2488,'inventory ledger'!$E:$E,E2488,'inventory ledger'!$A:$A,"&lt;="&amp;B2488+TIME(23,59,59)))</f>
        <v/>
      </c>
      <c r="G2488" s="3">
        <f>IFERROR(__xludf.DUMMYFUNCTION("IF(F2488&lt;=0,0,IFERROR(ROUNDUP(F2488/INDEX(FILTER('warehouse config'!$D:$D,('warehouse config'!$B:$B=C2488)*('warehouse config'!$C:$C=D2488)*('warehouse config'!$G:$G&lt;=B2488)*(('warehouse config'!$H:$H&gt;=B2488)+ISBLANK('warehouse config'!$H:$H))),1)),0))"),0.0)</f>
        <v>0</v>
      </c>
      <c r="H2488" s="3">
        <f>IFERROR(__xludf.DUMMYFUNCTION("IFERROR(INDEX(FILTER('cost master'!$E:$E,('cost master'!$B:$B=C2488)*('cost master'!$D:$D=""Storage cost per pallet / week"")*('cost master'!$G:$G&lt;=B2488)*(('cost master'!$H:$H&gt;=B2488)+ISBLANK('cost master'!$H:$H))),1),0)"),0.0)</f>
        <v>0</v>
      </c>
      <c r="I2488" s="3">
        <f t="shared" si="4"/>
        <v>0</v>
      </c>
      <c r="J2488" s="27">
        <f t="shared" si="5"/>
        <v>693947</v>
      </c>
      <c r="K2488" s="27">
        <f t="shared" si="6"/>
        <v>693977</v>
      </c>
    </row>
    <row r="2489" hidden="1">
      <c r="A2489" s="3" t="str">
        <f t="shared" si="3"/>
        <v/>
      </c>
      <c r="B2489" s="2" t="str">
        <f t="array" ref="B2489">INDEX(helper!$A$3:$A3996,ROUNDUP((ROW()-1)/COUNTA(helper!$D$3:$D3996),0))</f>
        <v/>
      </c>
      <c r="C2489" s="5" t="str">
        <f t="array" ref="C2489">IF(B2489="","",INDEX(helper!$D$3:$D3996,MOD(ROW()-2,COUNTA(helper!$D$3:$D3996))+1))</f>
        <v/>
      </c>
      <c r="D2489" s="3" t="str">
        <f t="array" ref="D2489">IF(B2489="","",INDEX(helper!$E$3:$E3996,MOD(ROW()-2,COUNTA(helper!$D$3:$D3996))+1))</f>
        <v/>
      </c>
      <c r="E2489" s="3" t="str">
        <f t="array" ref="E2489">IF(B2489="","",INDEX(helper!$F$3:$F3996,MOD(ROW()-2,COUNTA(helper!$D$3:$D3996))+1))</f>
        <v/>
      </c>
      <c r="F2489" s="3" t="str">
        <f>IF(B2489="","",SUMIFS('inventory ledger'!$H:$H,'inventory ledger'!$C:$C,C2489,'inventory ledger'!$D:$D,D2489,'inventory ledger'!$E:$E,E2489,'inventory ledger'!$A:$A,"&lt;="&amp;B2489+TIME(23,59,59))-SUMIFS('inventory ledger'!$I:$I,'inventory ledger'!$C:$C,C2489,'inventory ledger'!$D:$D,D2489,'inventory ledger'!$E:$E,E2489,'inventory ledger'!$A:$A,"&lt;="&amp;B2489+TIME(23,59,59)))</f>
        <v/>
      </c>
      <c r="G2489" s="3">
        <f>IFERROR(__xludf.DUMMYFUNCTION("IF(F2489&lt;=0,0,IFERROR(ROUNDUP(F2489/INDEX(FILTER('warehouse config'!$D:$D,('warehouse config'!$B:$B=C2489)*('warehouse config'!$C:$C=D2489)*('warehouse config'!$G:$G&lt;=B2489)*(('warehouse config'!$H:$H&gt;=B2489)+ISBLANK('warehouse config'!$H:$H))),1)),0))"),0.0)</f>
        <v>0</v>
      </c>
      <c r="H2489" s="3">
        <f>IFERROR(__xludf.DUMMYFUNCTION("IFERROR(INDEX(FILTER('cost master'!$E:$E,('cost master'!$B:$B=C2489)*('cost master'!$D:$D=""Storage cost per pallet / week"")*('cost master'!$G:$G&lt;=B2489)*(('cost master'!$H:$H&gt;=B2489)+ISBLANK('cost master'!$H:$H))),1),0)"),0.0)</f>
        <v>0</v>
      </c>
      <c r="I2489" s="3">
        <f t="shared" si="4"/>
        <v>0</v>
      </c>
      <c r="J2489" s="27">
        <f t="shared" si="5"/>
        <v>693947</v>
      </c>
      <c r="K2489" s="27">
        <f t="shared" si="6"/>
        <v>693977</v>
      </c>
    </row>
    <row r="2490" hidden="1">
      <c r="A2490" s="3" t="str">
        <f t="shared" si="3"/>
        <v/>
      </c>
      <c r="B2490" s="2" t="str">
        <f t="array" ref="B2490">INDEX(helper!$A$3:$A3996,ROUNDUP((ROW()-1)/COUNTA(helper!$D$3:$D3996),0))</f>
        <v/>
      </c>
      <c r="C2490" s="5" t="str">
        <f t="array" ref="C2490">IF(B2490="","",INDEX(helper!$D$3:$D3996,MOD(ROW()-2,COUNTA(helper!$D$3:$D3996))+1))</f>
        <v/>
      </c>
      <c r="D2490" s="3" t="str">
        <f t="array" ref="D2490">IF(B2490="","",INDEX(helper!$E$3:$E3996,MOD(ROW()-2,COUNTA(helper!$D$3:$D3996))+1))</f>
        <v/>
      </c>
      <c r="E2490" s="3" t="str">
        <f t="array" ref="E2490">IF(B2490="","",INDEX(helper!$F$3:$F3996,MOD(ROW()-2,COUNTA(helper!$D$3:$D3996))+1))</f>
        <v/>
      </c>
      <c r="F2490" s="3" t="str">
        <f>IF(B2490="","",SUMIFS('inventory ledger'!$H:$H,'inventory ledger'!$C:$C,C2490,'inventory ledger'!$D:$D,D2490,'inventory ledger'!$E:$E,E2490,'inventory ledger'!$A:$A,"&lt;="&amp;B2490+TIME(23,59,59))-SUMIFS('inventory ledger'!$I:$I,'inventory ledger'!$C:$C,C2490,'inventory ledger'!$D:$D,D2490,'inventory ledger'!$E:$E,E2490,'inventory ledger'!$A:$A,"&lt;="&amp;B2490+TIME(23,59,59)))</f>
        <v/>
      </c>
      <c r="G2490" s="3">
        <f>IFERROR(__xludf.DUMMYFUNCTION("IF(F2490&lt;=0,0,IFERROR(ROUNDUP(F2490/INDEX(FILTER('warehouse config'!$D:$D,('warehouse config'!$B:$B=C2490)*('warehouse config'!$C:$C=D2490)*('warehouse config'!$G:$G&lt;=B2490)*(('warehouse config'!$H:$H&gt;=B2490)+ISBLANK('warehouse config'!$H:$H))),1)),0))"),0.0)</f>
        <v>0</v>
      </c>
      <c r="H2490" s="3">
        <f>IFERROR(__xludf.DUMMYFUNCTION("IFERROR(INDEX(FILTER('cost master'!$E:$E,('cost master'!$B:$B=C2490)*('cost master'!$D:$D=""Storage cost per pallet / week"")*('cost master'!$G:$G&lt;=B2490)*(('cost master'!$H:$H&gt;=B2490)+ISBLANK('cost master'!$H:$H))),1),0)"),0.0)</f>
        <v>0</v>
      </c>
      <c r="I2490" s="3">
        <f t="shared" si="4"/>
        <v>0</v>
      </c>
      <c r="J2490" s="27">
        <f t="shared" si="5"/>
        <v>693947</v>
      </c>
      <c r="K2490" s="27">
        <f t="shared" si="6"/>
        <v>693977</v>
      </c>
    </row>
    <row r="2491" hidden="1">
      <c r="A2491" s="3" t="str">
        <f t="shared" si="3"/>
        <v/>
      </c>
      <c r="B2491" s="2" t="str">
        <f t="array" ref="B2491">INDEX(helper!$A$3:$A3996,ROUNDUP((ROW()-1)/COUNTA(helper!$D$3:$D3996),0))</f>
        <v/>
      </c>
      <c r="C2491" s="5" t="str">
        <f t="array" ref="C2491">IF(B2491="","",INDEX(helper!$D$3:$D3996,MOD(ROW()-2,COUNTA(helper!$D$3:$D3996))+1))</f>
        <v/>
      </c>
      <c r="D2491" s="3" t="str">
        <f t="array" ref="D2491">IF(B2491="","",INDEX(helper!$E$3:$E3996,MOD(ROW()-2,COUNTA(helper!$D$3:$D3996))+1))</f>
        <v/>
      </c>
      <c r="E2491" s="3" t="str">
        <f t="array" ref="E2491">IF(B2491="","",INDEX(helper!$F$3:$F3996,MOD(ROW()-2,COUNTA(helper!$D$3:$D3996))+1))</f>
        <v/>
      </c>
      <c r="F2491" s="3" t="str">
        <f>IF(B2491="","",SUMIFS('inventory ledger'!$H:$H,'inventory ledger'!$C:$C,C2491,'inventory ledger'!$D:$D,D2491,'inventory ledger'!$E:$E,E2491,'inventory ledger'!$A:$A,"&lt;="&amp;B2491+TIME(23,59,59))-SUMIFS('inventory ledger'!$I:$I,'inventory ledger'!$C:$C,C2491,'inventory ledger'!$D:$D,D2491,'inventory ledger'!$E:$E,E2491,'inventory ledger'!$A:$A,"&lt;="&amp;B2491+TIME(23,59,59)))</f>
        <v/>
      </c>
      <c r="G2491" s="3">
        <f>IFERROR(__xludf.DUMMYFUNCTION("IF(F2491&lt;=0,0,IFERROR(ROUNDUP(F2491/INDEX(FILTER('warehouse config'!$D:$D,('warehouse config'!$B:$B=C2491)*('warehouse config'!$C:$C=D2491)*('warehouse config'!$G:$G&lt;=B2491)*(('warehouse config'!$H:$H&gt;=B2491)+ISBLANK('warehouse config'!$H:$H))),1)),0))"),0.0)</f>
        <v>0</v>
      </c>
      <c r="H2491" s="3">
        <f>IFERROR(__xludf.DUMMYFUNCTION("IFERROR(INDEX(FILTER('cost master'!$E:$E,('cost master'!$B:$B=C2491)*('cost master'!$D:$D=""Storage cost per pallet / week"")*('cost master'!$G:$G&lt;=B2491)*(('cost master'!$H:$H&gt;=B2491)+ISBLANK('cost master'!$H:$H))),1),0)"),0.0)</f>
        <v>0</v>
      </c>
      <c r="I2491" s="3">
        <f t="shared" si="4"/>
        <v>0</v>
      </c>
      <c r="J2491" s="27">
        <f t="shared" si="5"/>
        <v>693947</v>
      </c>
      <c r="K2491" s="27">
        <f t="shared" si="6"/>
        <v>693977</v>
      </c>
    </row>
    <row r="2492" hidden="1">
      <c r="A2492" s="3" t="str">
        <f t="shared" si="3"/>
        <v/>
      </c>
      <c r="B2492" s="2" t="str">
        <f t="array" ref="B2492">INDEX(helper!$A$3:$A3996,ROUNDUP((ROW()-1)/COUNTA(helper!$D$3:$D3996),0))</f>
        <v/>
      </c>
      <c r="C2492" s="5" t="str">
        <f t="array" ref="C2492">IF(B2492="","",INDEX(helper!$D$3:$D3996,MOD(ROW()-2,COUNTA(helper!$D$3:$D3996))+1))</f>
        <v/>
      </c>
      <c r="D2492" s="3" t="str">
        <f t="array" ref="D2492">IF(B2492="","",INDEX(helper!$E$3:$E3996,MOD(ROW()-2,COUNTA(helper!$D$3:$D3996))+1))</f>
        <v/>
      </c>
      <c r="E2492" s="3" t="str">
        <f t="array" ref="E2492">IF(B2492="","",INDEX(helper!$F$3:$F3996,MOD(ROW()-2,COUNTA(helper!$D$3:$D3996))+1))</f>
        <v/>
      </c>
      <c r="F2492" s="3" t="str">
        <f>IF(B2492="","",SUMIFS('inventory ledger'!$H:$H,'inventory ledger'!$C:$C,C2492,'inventory ledger'!$D:$D,D2492,'inventory ledger'!$E:$E,E2492,'inventory ledger'!$A:$A,"&lt;="&amp;B2492+TIME(23,59,59))-SUMIFS('inventory ledger'!$I:$I,'inventory ledger'!$C:$C,C2492,'inventory ledger'!$D:$D,D2492,'inventory ledger'!$E:$E,E2492,'inventory ledger'!$A:$A,"&lt;="&amp;B2492+TIME(23,59,59)))</f>
        <v/>
      </c>
      <c r="G2492" s="3">
        <f>IFERROR(__xludf.DUMMYFUNCTION("IF(F2492&lt;=0,0,IFERROR(ROUNDUP(F2492/INDEX(FILTER('warehouse config'!$D:$D,('warehouse config'!$B:$B=C2492)*('warehouse config'!$C:$C=D2492)*('warehouse config'!$G:$G&lt;=B2492)*(('warehouse config'!$H:$H&gt;=B2492)+ISBLANK('warehouse config'!$H:$H))),1)),0))"),0.0)</f>
        <v>0</v>
      </c>
      <c r="H2492" s="3">
        <f>IFERROR(__xludf.DUMMYFUNCTION("IFERROR(INDEX(FILTER('cost master'!$E:$E,('cost master'!$B:$B=C2492)*('cost master'!$D:$D=""Storage cost per pallet / week"")*('cost master'!$G:$G&lt;=B2492)*(('cost master'!$H:$H&gt;=B2492)+ISBLANK('cost master'!$H:$H))),1),0)"),0.0)</f>
        <v>0</v>
      </c>
      <c r="I2492" s="3">
        <f t="shared" si="4"/>
        <v>0</v>
      </c>
      <c r="J2492" s="27">
        <f t="shared" si="5"/>
        <v>693947</v>
      </c>
      <c r="K2492" s="27">
        <f t="shared" si="6"/>
        <v>693977</v>
      </c>
    </row>
    <row r="2493" hidden="1">
      <c r="A2493" s="3" t="str">
        <f t="shared" si="3"/>
        <v/>
      </c>
      <c r="B2493" s="2" t="str">
        <f t="array" ref="B2493">INDEX(helper!$A$3:$A3996,ROUNDUP((ROW()-1)/COUNTA(helper!$D$3:$D3996),0))</f>
        <v/>
      </c>
      <c r="C2493" s="5" t="str">
        <f t="array" ref="C2493">IF(B2493="","",INDEX(helper!$D$3:$D3996,MOD(ROW()-2,COUNTA(helper!$D$3:$D3996))+1))</f>
        <v/>
      </c>
      <c r="D2493" s="3" t="str">
        <f t="array" ref="D2493">IF(B2493="","",INDEX(helper!$E$3:$E3996,MOD(ROW()-2,COUNTA(helper!$D$3:$D3996))+1))</f>
        <v/>
      </c>
      <c r="E2493" s="3" t="str">
        <f t="array" ref="E2493">IF(B2493="","",INDEX(helper!$F$3:$F3996,MOD(ROW()-2,COUNTA(helper!$D$3:$D3996))+1))</f>
        <v/>
      </c>
      <c r="F2493" s="3" t="str">
        <f>IF(B2493="","",SUMIFS('inventory ledger'!$H:$H,'inventory ledger'!$C:$C,C2493,'inventory ledger'!$D:$D,D2493,'inventory ledger'!$E:$E,E2493,'inventory ledger'!$A:$A,"&lt;="&amp;B2493+TIME(23,59,59))-SUMIFS('inventory ledger'!$I:$I,'inventory ledger'!$C:$C,C2493,'inventory ledger'!$D:$D,D2493,'inventory ledger'!$E:$E,E2493,'inventory ledger'!$A:$A,"&lt;="&amp;B2493+TIME(23,59,59)))</f>
        <v/>
      </c>
      <c r="G2493" s="3">
        <f>IFERROR(__xludf.DUMMYFUNCTION("IF(F2493&lt;=0,0,IFERROR(ROUNDUP(F2493/INDEX(FILTER('warehouse config'!$D:$D,('warehouse config'!$B:$B=C2493)*('warehouse config'!$C:$C=D2493)*('warehouse config'!$G:$G&lt;=B2493)*(('warehouse config'!$H:$H&gt;=B2493)+ISBLANK('warehouse config'!$H:$H))),1)),0))"),0.0)</f>
        <v>0</v>
      </c>
      <c r="H2493" s="3">
        <f>IFERROR(__xludf.DUMMYFUNCTION("IFERROR(INDEX(FILTER('cost master'!$E:$E,('cost master'!$B:$B=C2493)*('cost master'!$D:$D=""Storage cost per pallet / week"")*('cost master'!$G:$G&lt;=B2493)*(('cost master'!$H:$H&gt;=B2493)+ISBLANK('cost master'!$H:$H))),1),0)"),0.0)</f>
        <v>0</v>
      </c>
      <c r="I2493" s="3">
        <f t="shared" si="4"/>
        <v>0</v>
      </c>
      <c r="J2493" s="27">
        <f t="shared" si="5"/>
        <v>693947</v>
      </c>
      <c r="K2493" s="27">
        <f t="shared" si="6"/>
        <v>693977</v>
      </c>
    </row>
    <row r="2494" hidden="1">
      <c r="A2494" s="3" t="str">
        <f t="shared" si="3"/>
        <v/>
      </c>
      <c r="B2494" s="2" t="str">
        <f t="array" ref="B2494">INDEX(helper!$A$3:$A3996,ROUNDUP((ROW()-1)/COUNTA(helper!$D$3:$D3996),0))</f>
        <v/>
      </c>
      <c r="C2494" s="5" t="str">
        <f t="array" ref="C2494">IF(B2494="","",INDEX(helper!$D$3:$D3996,MOD(ROW()-2,COUNTA(helper!$D$3:$D3996))+1))</f>
        <v/>
      </c>
      <c r="D2494" s="3" t="str">
        <f t="array" ref="D2494">IF(B2494="","",INDEX(helper!$E$3:$E3996,MOD(ROW()-2,COUNTA(helper!$D$3:$D3996))+1))</f>
        <v/>
      </c>
      <c r="E2494" s="3" t="str">
        <f t="array" ref="E2494">IF(B2494="","",INDEX(helper!$F$3:$F3996,MOD(ROW()-2,COUNTA(helper!$D$3:$D3996))+1))</f>
        <v/>
      </c>
      <c r="F2494" s="3" t="str">
        <f>IF(B2494="","",SUMIFS('inventory ledger'!$H:$H,'inventory ledger'!$C:$C,C2494,'inventory ledger'!$D:$D,D2494,'inventory ledger'!$E:$E,E2494,'inventory ledger'!$A:$A,"&lt;="&amp;B2494+TIME(23,59,59))-SUMIFS('inventory ledger'!$I:$I,'inventory ledger'!$C:$C,C2494,'inventory ledger'!$D:$D,D2494,'inventory ledger'!$E:$E,E2494,'inventory ledger'!$A:$A,"&lt;="&amp;B2494+TIME(23,59,59)))</f>
        <v/>
      </c>
      <c r="G2494" s="3">
        <f>IFERROR(__xludf.DUMMYFUNCTION("IF(F2494&lt;=0,0,IFERROR(ROUNDUP(F2494/INDEX(FILTER('warehouse config'!$D:$D,('warehouse config'!$B:$B=C2494)*('warehouse config'!$C:$C=D2494)*('warehouse config'!$G:$G&lt;=B2494)*(('warehouse config'!$H:$H&gt;=B2494)+ISBLANK('warehouse config'!$H:$H))),1)),0))"),0.0)</f>
        <v>0</v>
      </c>
      <c r="H2494" s="3">
        <f>IFERROR(__xludf.DUMMYFUNCTION("IFERROR(INDEX(FILTER('cost master'!$E:$E,('cost master'!$B:$B=C2494)*('cost master'!$D:$D=""Storage cost per pallet / week"")*('cost master'!$G:$G&lt;=B2494)*(('cost master'!$H:$H&gt;=B2494)+ISBLANK('cost master'!$H:$H))),1),0)"),0.0)</f>
        <v>0</v>
      </c>
      <c r="I2494" s="3">
        <f t="shared" si="4"/>
        <v>0</v>
      </c>
      <c r="J2494" s="27">
        <f t="shared" si="5"/>
        <v>693947</v>
      </c>
      <c r="K2494" s="27">
        <f t="shared" si="6"/>
        <v>693977</v>
      </c>
    </row>
    <row r="2495" hidden="1">
      <c r="A2495" s="3" t="str">
        <f t="shared" si="3"/>
        <v/>
      </c>
      <c r="B2495" s="2" t="str">
        <f t="array" ref="B2495">INDEX(helper!$A$3:$A3996,ROUNDUP((ROW()-1)/COUNTA(helper!$D$3:$D3996),0))</f>
        <v/>
      </c>
      <c r="C2495" s="5" t="str">
        <f t="array" ref="C2495">IF(B2495="","",INDEX(helper!$D$3:$D3996,MOD(ROW()-2,COUNTA(helper!$D$3:$D3996))+1))</f>
        <v/>
      </c>
      <c r="D2495" s="3" t="str">
        <f t="array" ref="D2495">IF(B2495="","",INDEX(helper!$E$3:$E3996,MOD(ROW()-2,COUNTA(helper!$D$3:$D3996))+1))</f>
        <v/>
      </c>
      <c r="E2495" s="3" t="str">
        <f t="array" ref="E2495">IF(B2495="","",INDEX(helper!$F$3:$F3996,MOD(ROW()-2,COUNTA(helper!$D$3:$D3996))+1))</f>
        <v/>
      </c>
      <c r="F2495" s="3" t="str">
        <f>IF(B2495="","",SUMIFS('inventory ledger'!$H:$H,'inventory ledger'!$C:$C,C2495,'inventory ledger'!$D:$D,D2495,'inventory ledger'!$E:$E,E2495,'inventory ledger'!$A:$A,"&lt;="&amp;B2495+TIME(23,59,59))-SUMIFS('inventory ledger'!$I:$I,'inventory ledger'!$C:$C,C2495,'inventory ledger'!$D:$D,D2495,'inventory ledger'!$E:$E,E2495,'inventory ledger'!$A:$A,"&lt;="&amp;B2495+TIME(23,59,59)))</f>
        <v/>
      </c>
      <c r="G2495" s="3">
        <f>IFERROR(__xludf.DUMMYFUNCTION("IF(F2495&lt;=0,0,IFERROR(ROUNDUP(F2495/INDEX(FILTER('warehouse config'!$D:$D,('warehouse config'!$B:$B=C2495)*('warehouse config'!$C:$C=D2495)*('warehouse config'!$G:$G&lt;=B2495)*(('warehouse config'!$H:$H&gt;=B2495)+ISBLANK('warehouse config'!$H:$H))),1)),0))"),0.0)</f>
        <v>0</v>
      </c>
      <c r="H2495" s="3">
        <f>IFERROR(__xludf.DUMMYFUNCTION("IFERROR(INDEX(FILTER('cost master'!$E:$E,('cost master'!$B:$B=C2495)*('cost master'!$D:$D=""Storage cost per pallet / week"")*('cost master'!$G:$G&lt;=B2495)*(('cost master'!$H:$H&gt;=B2495)+ISBLANK('cost master'!$H:$H))),1),0)"),0.0)</f>
        <v>0</v>
      </c>
      <c r="I2495" s="3">
        <f t="shared" si="4"/>
        <v>0</v>
      </c>
      <c r="J2495" s="27">
        <f t="shared" si="5"/>
        <v>693947</v>
      </c>
      <c r="K2495" s="27">
        <f t="shared" si="6"/>
        <v>693977</v>
      </c>
    </row>
    <row r="2496" hidden="1">
      <c r="A2496" s="3" t="str">
        <f t="shared" si="3"/>
        <v/>
      </c>
      <c r="B2496" s="2" t="str">
        <f t="array" ref="B2496">INDEX(helper!$A$3:$A3996,ROUNDUP((ROW()-1)/COUNTA(helper!$D$3:$D3996),0))</f>
        <v/>
      </c>
      <c r="C2496" s="5" t="str">
        <f t="array" ref="C2496">IF(B2496="","",INDEX(helper!$D$3:$D3996,MOD(ROW()-2,COUNTA(helper!$D$3:$D3996))+1))</f>
        <v/>
      </c>
      <c r="D2496" s="3" t="str">
        <f t="array" ref="D2496">IF(B2496="","",INDEX(helper!$E$3:$E3996,MOD(ROW()-2,COUNTA(helper!$D$3:$D3996))+1))</f>
        <v/>
      </c>
      <c r="E2496" s="3" t="str">
        <f t="array" ref="E2496">IF(B2496="","",INDEX(helper!$F$3:$F3996,MOD(ROW()-2,COUNTA(helper!$D$3:$D3996))+1))</f>
        <v/>
      </c>
      <c r="F2496" s="3" t="str">
        <f>IF(B2496="","",SUMIFS('inventory ledger'!$H:$H,'inventory ledger'!$C:$C,C2496,'inventory ledger'!$D:$D,D2496,'inventory ledger'!$E:$E,E2496,'inventory ledger'!$A:$A,"&lt;="&amp;B2496+TIME(23,59,59))-SUMIFS('inventory ledger'!$I:$I,'inventory ledger'!$C:$C,C2496,'inventory ledger'!$D:$D,D2496,'inventory ledger'!$E:$E,E2496,'inventory ledger'!$A:$A,"&lt;="&amp;B2496+TIME(23,59,59)))</f>
        <v/>
      </c>
      <c r="G2496" s="3">
        <f>IFERROR(__xludf.DUMMYFUNCTION("IF(F2496&lt;=0,0,IFERROR(ROUNDUP(F2496/INDEX(FILTER('warehouse config'!$D:$D,('warehouse config'!$B:$B=C2496)*('warehouse config'!$C:$C=D2496)*('warehouse config'!$G:$G&lt;=B2496)*(('warehouse config'!$H:$H&gt;=B2496)+ISBLANK('warehouse config'!$H:$H))),1)),0))"),0.0)</f>
        <v>0</v>
      </c>
      <c r="H2496" s="3">
        <f>IFERROR(__xludf.DUMMYFUNCTION("IFERROR(INDEX(FILTER('cost master'!$E:$E,('cost master'!$B:$B=C2496)*('cost master'!$D:$D=""Storage cost per pallet / week"")*('cost master'!$G:$G&lt;=B2496)*(('cost master'!$H:$H&gt;=B2496)+ISBLANK('cost master'!$H:$H))),1),0)"),0.0)</f>
        <v>0</v>
      </c>
      <c r="I2496" s="3">
        <f t="shared" si="4"/>
        <v>0</v>
      </c>
      <c r="J2496" s="27">
        <f t="shared" si="5"/>
        <v>693947</v>
      </c>
      <c r="K2496" s="27">
        <f t="shared" si="6"/>
        <v>693977</v>
      </c>
    </row>
    <row r="2497" hidden="1">
      <c r="A2497" s="3" t="str">
        <f t="shared" si="3"/>
        <v/>
      </c>
      <c r="B2497" s="2" t="str">
        <f t="array" ref="B2497">INDEX(helper!$A$3:$A3996,ROUNDUP((ROW()-1)/COUNTA(helper!$D$3:$D3996),0))</f>
        <v/>
      </c>
      <c r="C2497" s="5" t="str">
        <f t="array" ref="C2497">IF(B2497="","",INDEX(helper!$D$3:$D3996,MOD(ROW()-2,COUNTA(helper!$D$3:$D3996))+1))</f>
        <v/>
      </c>
      <c r="D2497" s="3" t="str">
        <f t="array" ref="D2497">IF(B2497="","",INDEX(helper!$E$3:$E3996,MOD(ROW()-2,COUNTA(helper!$D$3:$D3996))+1))</f>
        <v/>
      </c>
      <c r="E2497" s="3" t="str">
        <f t="array" ref="E2497">IF(B2497="","",INDEX(helper!$F$3:$F3996,MOD(ROW()-2,COUNTA(helper!$D$3:$D3996))+1))</f>
        <v/>
      </c>
      <c r="F2497" s="3" t="str">
        <f>IF(B2497="","",SUMIFS('inventory ledger'!$H:$H,'inventory ledger'!$C:$C,C2497,'inventory ledger'!$D:$D,D2497,'inventory ledger'!$E:$E,E2497,'inventory ledger'!$A:$A,"&lt;="&amp;B2497+TIME(23,59,59))-SUMIFS('inventory ledger'!$I:$I,'inventory ledger'!$C:$C,C2497,'inventory ledger'!$D:$D,D2497,'inventory ledger'!$E:$E,E2497,'inventory ledger'!$A:$A,"&lt;="&amp;B2497+TIME(23,59,59)))</f>
        <v/>
      </c>
      <c r="G2497" s="3">
        <f>IFERROR(__xludf.DUMMYFUNCTION("IF(F2497&lt;=0,0,IFERROR(ROUNDUP(F2497/INDEX(FILTER('warehouse config'!$D:$D,('warehouse config'!$B:$B=C2497)*('warehouse config'!$C:$C=D2497)*('warehouse config'!$G:$G&lt;=B2497)*(('warehouse config'!$H:$H&gt;=B2497)+ISBLANK('warehouse config'!$H:$H))),1)),0))"),0.0)</f>
        <v>0</v>
      </c>
      <c r="H2497" s="3">
        <f>IFERROR(__xludf.DUMMYFUNCTION("IFERROR(INDEX(FILTER('cost master'!$E:$E,('cost master'!$B:$B=C2497)*('cost master'!$D:$D=""Storage cost per pallet / week"")*('cost master'!$G:$G&lt;=B2497)*(('cost master'!$H:$H&gt;=B2497)+ISBLANK('cost master'!$H:$H))),1),0)"),0.0)</f>
        <v>0</v>
      </c>
      <c r="I2497" s="3">
        <f t="shared" si="4"/>
        <v>0</v>
      </c>
      <c r="J2497" s="27">
        <f t="shared" si="5"/>
        <v>693947</v>
      </c>
      <c r="K2497" s="27">
        <f t="shared" si="6"/>
        <v>693977</v>
      </c>
    </row>
    <row r="2498" hidden="1">
      <c r="A2498" s="3" t="str">
        <f t="shared" si="3"/>
        <v/>
      </c>
      <c r="B2498" s="2" t="str">
        <f t="array" ref="B2498">INDEX(helper!$A$3:$A3996,ROUNDUP((ROW()-1)/COUNTA(helper!$D$3:$D3996),0))</f>
        <v/>
      </c>
      <c r="C2498" s="5" t="str">
        <f t="array" ref="C2498">IF(B2498="","",INDEX(helper!$D$3:$D3996,MOD(ROW()-2,COUNTA(helper!$D$3:$D3996))+1))</f>
        <v/>
      </c>
      <c r="D2498" s="3" t="str">
        <f t="array" ref="D2498">IF(B2498="","",INDEX(helper!$E$3:$E3996,MOD(ROW()-2,COUNTA(helper!$D$3:$D3996))+1))</f>
        <v/>
      </c>
      <c r="E2498" s="3" t="str">
        <f t="array" ref="E2498">IF(B2498="","",INDEX(helper!$F$3:$F3996,MOD(ROW()-2,COUNTA(helper!$D$3:$D3996))+1))</f>
        <v/>
      </c>
      <c r="F2498" s="3" t="str">
        <f>IF(B2498="","",SUMIFS('inventory ledger'!$H:$H,'inventory ledger'!$C:$C,C2498,'inventory ledger'!$D:$D,D2498,'inventory ledger'!$E:$E,E2498,'inventory ledger'!$A:$A,"&lt;="&amp;B2498+TIME(23,59,59))-SUMIFS('inventory ledger'!$I:$I,'inventory ledger'!$C:$C,C2498,'inventory ledger'!$D:$D,D2498,'inventory ledger'!$E:$E,E2498,'inventory ledger'!$A:$A,"&lt;="&amp;B2498+TIME(23,59,59)))</f>
        <v/>
      </c>
      <c r="G2498" s="3">
        <f>IFERROR(__xludf.DUMMYFUNCTION("IF(F2498&lt;=0,0,IFERROR(ROUNDUP(F2498/INDEX(FILTER('warehouse config'!$D:$D,('warehouse config'!$B:$B=C2498)*('warehouse config'!$C:$C=D2498)*('warehouse config'!$G:$G&lt;=B2498)*(('warehouse config'!$H:$H&gt;=B2498)+ISBLANK('warehouse config'!$H:$H))),1)),0))"),0.0)</f>
        <v>0</v>
      </c>
      <c r="H2498" s="3">
        <f>IFERROR(__xludf.DUMMYFUNCTION("IFERROR(INDEX(FILTER('cost master'!$E:$E,('cost master'!$B:$B=C2498)*('cost master'!$D:$D=""Storage cost per pallet / week"")*('cost master'!$G:$G&lt;=B2498)*(('cost master'!$H:$H&gt;=B2498)+ISBLANK('cost master'!$H:$H))),1),0)"),0.0)</f>
        <v>0</v>
      </c>
      <c r="I2498" s="3">
        <f t="shared" si="4"/>
        <v>0</v>
      </c>
      <c r="J2498" s="27">
        <f t="shared" si="5"/>
        <v>693947</v>
      </c>
      <c r="K2498" s="27">
        <f t="shared" si="6"/>
        <v>693977</v>
      </c>
    </row>
    <row r="2499" hidden="1">
      <c r="A2499" s="3" t="str">
        <f t="shared" si="3"/>
        <v/>
      </c>
      <c r="B2499" s="2" t="str">
        <f t="array" ref="B2499">INDEX(helper!$A$3:$A3996,ROUNDUP((ROW()-1)/COUNTA(helper!$D$3:$D3996),0))</f>
        <v/>
      </c>
      <c r="C2499" s="5" t="str">
        <f t="array" ref="C2499">IF(B2499="","",INDEX(helper!$D$3:$D3996,MOD(ROW()-2,COUNTA(helper!$D$3:$D3996))+1))</f>
        <v/>
      </c>
      <c r="D2499" s="3" t="str">
        <f t="array" ref="D2499">IF(B2499="","",INDEX(helper!$E$3:$E3996,MOD(ROW()-2,COUNTA(helper!$D$3:$D3996))+1))</f>
        <v/>
      </c>
      <c r="E2499" s="3" t="str">
        <f t="array" ref="E2499">IF(B2499="","",INDEX(helper!$F$3:$F3996,MOD(ROW()-2,COUNTA(helper!$D$3:$D3996))+1))</f>
        <v/>
      </c>
      <c r="F2499" s="3" t="str">
        <f>IF(B2499="","",SUMIFS('inventory ledger'!$H:$H,'inventory ledger'!$C:$C,C2499,'inventory ledger'!$D:$D,D2499,'inventory ledger'!$E:$E,E2499,'inventory ledger'!$A:$A,"&lt;="&amp;B2499+TIME(23,59,59))-SUMIFS('inventory ledger'!$I:$I,'inventory ledger'!$C:$C,C2499,'inventory ledger'!$D:$D,D2499,'inventory ledger'!$E:$E,E2499,'inventory ledger'!$A:$A,"&lt;="&amp;B2499+TIME(23,59,59)))</f>
        <v/>
      </c>
      <c r="G2499" s="3">
        <f>IFERROR(__xludf.DUMMYFUNCTION("IF(F2499&lt;=0,0,IFERROR(ROUNDUP(F2499/INDEX(FILTER('warehouse config'!$D:$D,('warehouse config'!$B:$B=C2499)*('warehouse config'!$C:$C=D2499)*('warehouse config'!$G:$G&lt;=B2499)*(('warehouse config'!$H:$H&gt;=B2499)+ISBLANK('warehouse config'!$H:$H))),1)),0))"),0.0)</f>
        <v>0</v>
      </c>
      <c r="H2499" s="3">
        <f>IFERROR(__xludf.DUMMYFUNCTION("IFERROR(INDEX(FILTER('cost master'!$E:$E,('cost master'!$B:$B=C2499)*('cost master'!$D:$D=""Storage cost per pallet / week"")*('cost master'!$G:$G&lt;=B2499)*(('cost master'!$H:$H&gt;=B2499)+ISBLANK('cost master'!$H:$H))),1),0)"),0.0)</f>
        <v>0</v>
      </c>
      <c r="I2499" s="3">
        <f t="shared" si="4"/>
        <v>0</v>
      </c>
      <c r="J2499" s="27">
        <f t="shared" si="5"/>
        <v>693947</v>
      </c>
      <c r="K2499" s="27">
        <f t="shared" si="6"/>
        <v>693977</v>
      </c>
    </row>
    <row r="2500" hidden="1">
      <c r="A2500" s="3" t="str">
        <f t="shared" si="3"/>
        <v/>
      </c>
      <c r="B2500" s="2" t="str">
        <f t="array" ref="B2500">INDEX(helper!$A$3:$A3996,ROUNDUP((ROW()-1)/COUNTA(helper!$D$3:$D3996),0))</f>
        <v/>
      </c>
      <c r="C2500" s="5" t="str">
        <f t="array" ref="C2500">IF(B2500="","",INDEX(helper!$D$3:$D3996,MOD(ROW()-2,COUNTA(helper!$D$3:$D3996))+1))</f>
        <v/>
      </c>
      <c r="D2500" s="3" t="str">
        <f t="array" ref="D2500">IF(B2500="","",INDEX(helper!$E$3:$E3996,MOD(ROW()-2,COUNTA(helper!$D$3:$D3996))+1))</f>
        <v/>
      </c>
      <c r="E2500" s="3" t="str">
        <f t="array" ref="E2500">IF(B2500="","",INDEX(helper!$F$3:$F3996,MOD(ROW()-2,COUNTA(helper!$D$3:$D3996))+1))</f>
        <v/>
      </c>
      <c r="F2500" s="3" t="str">
        <f>IF(B2500="","",SUMIFS('inventory ledger'!$H:$H,'inventory ledger'!$C:$C,C2500,'inventory ledger'!$D:$D,D2500,'inventory ledger'!$E:$E,E2500,'inventory ledger'!$A:$A,"&lt;="&amp;B2500+TIME(23,59,59))-SUMIFS('inventory ledger'!$I:$I,'inventory ledger'!$C:$C,C2500,'inventory ledger'!$D:$D,D2500,'inventory ledger'!$E:$E,E2500,'inventory ledger'!$A:$A,"&lt;="&amp;B2500+TIME(23,59,59)))</f>
        <v/>
      </c>
      <c r="G2500" s="3">
        <f>IFERROR(__xludf.DUMMYFUNCTION("IF(F2500&lt;=0,0,IFERROR(ROUNDUP(F2500/INDEX(FILTER('warehouse config'!$D:$D,('warehouse config'!$B:$B=C2500)*('warehouse config'!$C:$C=D2500)*('warehouse config'!$G:$G&lt;=B2500)*(('warehouse config'!$H:$H&gt;=B2500)+ISBLANK('warehouse config'!$H:$H))),1)),0))"),0.0)</f>
        <v>0</v>
      </c>
      <c r="H2500" s="3">
        <f>IFERROR(__xludf.DUMMYFUNCTION("IFERROR(INDEX(FILTER('cost master'!$E:$E,('cost master'!$B:$B=C2500)*('cost master'!$D:$D=""Storage cost per pallet / week"")*('cost master'!$G:$G&lt;=B2500)*(('cost master'!$H:$H&gt;=B2500)+ISBLANK('cost master'!$H:$H))),1),0)"),0.0)</f>
        <v>0</v>
      </c>
      <c r="I2500" s="3">
        <f t="shared" si="4"/>
        <v>0</v>
      </c>
      <c r="J2500" s="27">
        <f t="shared" si="5"/>
        <v>693947</v>
      </c>
      <c r="K2500" s="27">
        <f t="shared" si="6"/>
        <v>693977</v>
      </c>
    </row>
    <row r="2501" hidden="1">
      <c r="A2501" s="3" t="str">
        <f t="shared" si="3"/>
        <v/>
      </c>
      <c r="B2501" s="2" t="str">
        <f t="array" ref="B2501">INDEX(helper!$A$3:$A3996,ROUNDUP((ROW()-1)/COUNTA(helper!$D$3:$D3996),0))</f>
        <v/>
      </c>
      <c r="C2501" s="5" t="str">
        <f t="array" ref="C2501">IF(B2501="","",INDEX(helper!$D$3:$D3996,MOD(ROW()-2,COUNTA(helper!$D$3:$D3996))+1))</f>
        <v/>
      </c>
      <c r="D2501" s="3" t="str">
        <f t="array" ref="D2501">IF(B2501="","",INDEX(helper!$E$3:$E3996,MOD(ROW()-2,COUNTA(helper!$D$3:$D3996))+1))</f>
        <v/>
      </c>
      <c r="E2501" s="3" t="str">
        <f t="array" ref="E2501">IF(B2501="","",INDEX(helper!$F$3:$F3996,MOD(ROW()-2,COUNTA(helper!$D$3:$D3996))+1))</f>
        <v/>
      </c>
      <c r="F2501" s="3" t="str">
        <f>IF(B2501="","",SUMIFS('inventory ledger'!$H:$H,'inventory ledger'!$C:$C,C2501,'inventory ledger'!$D:$D,D2501,'inventory ledger'!$E:$E,E2501,'inventory ledger'!$A:$A,"&lt;="&amp;B2501+TIME(23,59,59))-SUMIFS('inventory ledger'!$I:$I,'inventory ledger'!$C:$C,C2501,'inventory ledger'!$D:$D,D2501,'inventory ledger'!$E:$E,E2501,'inventory ledger'!$A:$A,"&lt;="&amp;B2501+TIME(23,59,59)))</f>
        <v/>
      </c>
      <c r="G2501" s="3">
        <f>IFERROR(__xludf.DUMMYFUNCTION("IF(F2501&lt;=0,0,IFERROR(ROUNDUP(F2501/INDEX(FILTER('warehouse config'!$D:$D,('warehouse config'!$B:$B=C2501)*('warehouse config'!$C:$C=D2501)*('warehouse config'!$G:$G&lt;=B2501)*(('warehouse config'!$H:$H&gt;=B2501)+ISBLANK('warehouse config'!$H:$H))),1)),0))"),0.0)</f>
        <v>0</v>
      </c>
      <c r="H2501" s="3">
        <f>IFERROR(__xludf.DUMMYFUNCTION("IFERROR(INDEX(FILTER('cost master'!$E:$E,('cost master'!$B:$B=C2501)*('cost master'!$D:$D=""Storage cost per pallet / week"")*('cost master'!$G:$G&lt;=B2501)*(('cost master'!$H:$H&gt;=B2501)+ISBLANK('cost master'!$H:$H))),1),0)"),0.0)</f>
        <v>0</v>
      </c>
      <c r="I2501" s="3">
        <f t="shared" si="4"/>
        <v>0</v>
      </c>
      <c r="J2501" s="27">
        <f t="shared" si="5"/>
        <v>693947</v>
      </c>
      <c r="K2501" s="27">
        <f t="shared" si="6"/>
        <v>693977</v>
      </c>
    </row>
    <row r="2502" hidden="1">
      <c r="A2502" s="3" t="str">
        <f t="shared" si="3"/>
        <v/>
      </c>
      <c r="B2502" s="2" t="str">
        <f t="array" ref="B2502">INDEX(helper!$A$3:$A3996,ROUNDUP((ROW()-1)/COUNTA(helper!$D$3:$D3996),0))</f>
        <v/>
      </c>
      <c r="C2502" s="5" t="str">
        <f t="array" ref="C2502">IF(B2502="","",INDEX(helper!$D$3:$D3996,MOD(ROW()-2,COUNTA(helper!$D$3:$D3996))+1))</f>
        <v/>
      </c>
      <c r="D2502" s="3" t="str">
        <f t="array" ref="D2502">IF(B2502="","",INDEX(helper!$E$3:$E3996,MOD(ROW()-2,COUNTA(helper!$D$3:$D3996))+1))</f>
        <v/>
      </c>
      <c r="E2502" s="3" t="str">
        <f t="array" ref="E2502">IF(B2502="","",INDEX(helper!$F$3:$F3996,MOD(ROW()-2,COUNTA(helper!$D$3:$D3996))+1))</f>
        <v/>
      </c>
      <c r="F2502" s="3" t="str">
        <f>IF(B2502="","",SUMIFS('inventory ledger'!$H:$H,'inventory ledger'!$C:$C,C2502,'inventory ledger'!$D:$D,D2502,'inventory ledger'!$E:$E,E2502,'inventory ledger'!$A:$A,"&lt;="&amp;B2502+TIME(23,59,59))-SUMIFS('inventory ledger'!$I:$I,'inventory ledger'!$C:$C,C2502,'inventory ledger'!$D:$D,D2502,'inventory ledger'!$E:$E,E2502,'inventory ledger'!$A:$A,"&lt;="&amp;B2502+TIME(23,59,59)))</f>
        <v/>
      </c>
      <c r="G2502" s="3">
        <f>IFERROR(__xludf.DUMMYFUNCTION("IF(F2502&lt;=0,0,IFERROR(ROUNDUP(F2502/INDEX(FILTER('warehouse config'!$D:$D,('warehouse config'!$B:$B=C2502)*('warehouse config'!$C:$C=D2502)*('warehouse config'!$G:$G&lt;=B2502)*(('warehouse config'!$H:$H&gt;=B2502)+ISBLANK('warehouse config'!$H:$H))),1)),0))"),0.0)</f>
        <v>0</v>
      </c>
      <c r="H2502" s="3">
        <f>IFERROR(__xludf.DUMMYFUNCTION("IFERROR(INDEX(FILTER('cost master'!$E:$E,('cost master'!$B:$B=C2502)*('cost master'!$D:$D=""Storage cost per pallet / week"")*('cost master'!$G:$G&lt;=B2502)*(('cost master'!$H:$H&gt;=B2502)+ISBLANK('cost master'!$H:$H))),1),0)"),0.0)</f>
        <v>0</v>
      </c>
      <c r="I2502" s="3">
        <f t="shared" si="4"/>
        <v>0</v>
      </c>
      <c r="J2502" s="27">
        <f t="shared" si="5"/>
        <v>693947</v>
      </c>
      <c r="K2502" s="27">
        <f t="shared" si="6"/>
        <v>693977</v>
      </c>
    </row>
    <row r="2503" hidden="1">
      <c r="A2503" s="3" t="str">
        <f t="shared" si="3"/>
        <v/>
      </c>
      <c r="B2503" s="2" t="str">
        <f t="array" ref="B2503">INDEX(helper!$A$3:$A3996,ROUNDUP((ROW()-1)/COUNTA(helper!$D$3:$D3996),0))</f>
        <v/>
      </c>
      <c r="C2503" s="5" t="str">
        <f t="array" ref="C2503">IF(B2503="","",INDEX(helper!$D$3:$D3996,MOD(ROW()-2,COUNTA(helper!$D$3:$D3996))+1))</f>
        <v/>
      </c>
      <c r="D2503" s="3" t="str">
        <f t="array" ref="D2503">IF(B2503="","",INDEX(helper!$E$3:$E3996,MOD(ROW()-2,COUNTA(helper!$D$3:$D3996))+1))</f>
        <v/>
      </c>
      <c r="E2503" s="3" t="str">
        <f t="array" ref="E2503">IF(B2503="","",INDEX(helper!$F$3:$F3996,MOD(ROW()-2,COUNTA(helper!$D$3:$D3996))+1))</f>
        <v/>
      </c>
      <c r="F2503" s="3" t="str">
        <f>IF(B2503="","",SUMIFS('inventory ledger'!$H:$H,'inventory ledger'!$C:$C,C2503,'inventory ledger'!$D:$D,D2503,'inventory ledger'!$E:$E,E2503,'inventory ledger'!$A:$A,"&lt;="&amp;B2503+TIME(23,59,59))-SUMIFS('inventory ledger'!$I:$I,'inventory ledger'!$C:$C,C2503,'inventory ledger'!$D:$D,D2503,'inventory ledger'!$E:$E,E2503,'inventory ledger'!$A:$A,"&lt;="&amp;B2503+TIME(23,59,59)))</f>
        <v/>
      </c>
      <c r="G2503" s="3">
        <f>IFERROR(__xludf.DUMMYFUNCTION("IF(F2503&lt;=0,0,IFERROR(ROUNDUP(F2503/INDEX(FILTER('warehouse config'!$D:$D,('warehouse config'!$B:$B=C2503)*('warehouse config'!$C:$C=D2503)*('warehouse config'!$G:$G&lt;=B2503)*(('warehouse config'!$H:$H&gt;=B2503)+ISBLANK('warehouse config'!$H:$H))),1)),0))"),0.0)</f>
        <v>0</v>
      </c>
      <c r="H2503" s="3">
        <f>IFERROR(__xludf.DUMMYFUNCTION("IFERROR(INDEX(FILTER('cost master'!$E:$E,('cost master'!$B:$B=C2503)*('cost master'!$D:$D=""Storage cost per pallet / week"")*('cost master'!$G:$G&lt;=B2503)*(('cost master'!$H:$H&gt;=B2503)+ISBLANK('cost master'!$H:$H))),1),0)"),0.0)</f>
        <v>0</v>
      </c>
      <c r="I2503" s="3">
        <f t="shared" si="4"/>
        <v>0</v>
      </c>
      <c r="J2503" s="27">
        <f t="shared" si="5"/>
        <v>693947</v>
      </c>
      <c r="K2503" s="27">
        <f t="shared" si="6"/>
        <v>693977</v>
      </c>
    </row>
    <row r="2504" hidden="1">
      <c r="A2504" s="3" t="str">
        <f t="shared" si="3"/>
        <v/>
      </c>
      <c r="B2504" s="2" t="str">
        <f t="array" ref="B2504">INDEX(helper!$A$3:$A3996,ROUNDUP((ROW()-1)/COUNTA(helper!$D$3:$D3996),0))</f>
        <v/>
      </c>
      <c r="C2504" s="5" t="str">
        <f t="array" ref="C2504">IF(B2504="","",INDEX(helper!$D$3:$D3996,MOD(ROW()-2,COUNTA(helper!$D$3:$D3996))+1))</f>
        <v/>
      </c>
      <c r="D2504" s="3" t="str">
        <f t="array" ref="D2504">IF(B2504="","",INDEX(helper!$E$3:$E3996,MOD(ROW()-2,COUNTA(helper!$D$3:$D3996))+1))</f>
        <v/>
      </c>
      <c r="E2504" s="3" t="str">
        <f t="array" ref="E2504">IF(B2504="","",INDEX(helper!$F$3:$F3996,MOD(ROW()-2,COUNTA(helper!$D$3:$D3996))+1))</f>
        <v/>
      </c>
      <c r="F2504" s="3" t="str">
        <f>IF(B2504="","",SUMIFS('inventory ledger'!$H:$H,'inventory ledger'!$C:$C,C2504,'inventory ledger'!$D:$D,D2504,'inventory ledger'!$E:$E,E2504,'inventory ledger'!$A:$A,"&lt;="&amp;B2504+TIME(23,59,59))-SUMIFS('inventory ledger'!$I:$I,'inventory ledger'!$C:$C,C2504,'inventory ledger'!$D:$D,D2504,'inventory ledger'!$E:$E,E2504,'inventory ledger'!$A:$A,"&lt;="&amp;B2504+TIME(23,59,59)))</f>
        <v/>
      </c>
      <c r="G2504" s="3">
        <f>IFERROR(__xludf.DUMMYFUNCTION("IF(F2504&lt;=0,0,IFERROR(ROUNDUP(F2504/INDEX(FILTER('warehouse config'!$D:$D,('warehouse config'!$B:$B=C2504)*('warehouse config'!$C:$C=D2504)*('warehouse config'!$G:$G&lt;=B2504)*(('warehouse config'!$H:$H&gt;=B2504)+ISBLANK('warehouse config'!$H:$H))),1)),0))"),0.0)</f>
        <v>0</v>
      </c>
      <c r="H2504" s="3">
        <f>IFERROR(__xludf.DUMMYFUNCTION("IFERROR(INDEX(FILTER('cost master'!$E:$E,('cost master'!$B:$B=C2504)*('cost master'!$D:$D=""Storage cost per pallet / week"")*('cost master'!$G:$G&lt;=B2504)*(('cost master'!$H:$H&gt;=B2504)+ISBLANK('cost master'!$H:$H))),1),0)"),0.0)</f>
        <v>0</v>
      </c>
      <c r="I2504" s="3">
        <f t="shared" si="4"/>
        <v>0</v>
      </c>
      <c r="J2504" s="27">
        <f t="shared" si="5"/>
        <v>693947</v>
      </c>
      <c r="K2504" s="27">
        <f t="shared" si="6"/>
        <v>693977</v>
      </c>
    </row>
    <row r="2505" hidden="1">
      <c r="A2505" s="3" t="str">
        <f t="shared" si="3"/>
        <v/>
      </c>
      <c r="B2505" s="2" t="str">
        <f t="array" ref="B2505">INDEX(helper!$A$3:$A3996,ROUNDUP((ROW()-1)/COUNTA(helper!$D$3:$D3996),0))</f>
        <v/>
      </c>
      <c r="C2505" s="5" t="str">
        <f t="array" ref="C2505">IF(B2505="","",INDEX(helper!$D$3:$D3996,MOD(ROW()-2,COUNTA(helper!$D$3:$D3996))+1))</f>
        <v/>
      </c>
      <c r="D2505" s="3" t="str">
        <f t="array" ref="D2505">IF(B2505="","",INDEX(helper!$E$3:$E3996,MOD(ROW()-2,COUNTA(helper!$D$3:$D3996))+1))</f>
        <v/>
      </c>
      <c r="E2505" s="3" t="str">
        <f t="array" ref="E2505">IF(B2505="","",INDEX(helper!$F$3:$F3996,MOD(ROW()-2,COUNTA(helper!$D$3:$D3996))+1))</f>
        <v/>
      </c>
      <c r="F2505" s="3" t="str">
        <f>IF(B2505="","",SUMIFS('inventory ledger'!$H:$H,'inventory ledger'!$C:$C,C2505,'inventory ledger'!$D:$D,D2505,'inventory ledger'!$E:$E,E2505,'inventory ledger'!$A:$A,"&lt;="&amp;B2505+TIME(23,59,59))-SUMIFS('inventory ledger'!$I:$I,'inventory ledger'!$C:$C,C2505,'inventory ledger'!$D:$D,D2505,'inventory ledger'!$E:$E,E2505,'inventory ledger'!$A:$A,"&lt;="&amp;B2505+TIME(23,59,59)))</f>
        <v/>
      </c>
      <c r="G2505" s="3">
        <f>IFERROR(__xludf.DUMMYFUNCTION("IF(F2505&lt;=0,0,IFERROR(ROUNDUP(F2505/INDEX(FILTER('warehouse config'!$D:$D,('warehouse config'!$B:$B=C2505)*('warehouse config'!$C:$C=D2505)*('warehouse config'!$G:$G&lt;=B2505)*(('warehouse config'!$H:$H&gt;=B2505)+ISBLANK('warehouse config'!$H:$H))),1)),0))"),0.0)</f>
        <v>0</v>
      </c>
      <c r="H2505" s="3">
        <f>IFERROR(__xludf.DUMMYFUNCTION("IFERROR(INDEX(FILTER('cost master'!$E:$E,('cost master'!$B:$B=C2505)*('cost master'!$D:$D=""Storage cost per pallet / week"")*('cost master'!$G:$G&lt;=B2505)*(('cost master'!$H:$H&gt;=B2505)+ISBLANK('cost master'!$H:$H))),1),0)"),0.0)</f>
        <v>0</v>
      </c>
      <c r="I2505" s="3">
        <f t="shared" si="4"/>
        <v>0</v>
      </c>
      <c r="J2505" s="27">
        <f t="shared" si="5"/>
        <v>693947</v>
      </c>
      <c r="K2505" s="27">
        <f t="shared" si="6"/>
        <v>693977</v>
      </c>
    </row>
    <row r="2506" hidden="1">
      <c r="A2506" s="3" t="str">
        <f t="shared" si="3"/>
        <v/>
      </c>
      <c r="B2506" s="2" t="str">
        <f t="array" ref="B2506">INDEX(helper!$A$3:$A3996,ROUNDUP((ROW()-1)/COUNTA(helper!$D$3:$D3996),0))</f>
        <v/>
      </c>
      <c r="C2506" s="5" t="str">
        <f t="array" ref="C2506">IF(B2506="","",INDEX(helper!$D$3:$D3996,MOD(ROW()-2,COUNTA(helper!$D$3:$D3996))+1))</f>
        <v/>
      </c>
      <c r="D2506" s="3" t="str">
        <f t="array" ref="D2506">IF(B2506="","",INDEX(helper!$E$3:$E3996,MOD(ROW()-2,COUNTA(helper!$D$3:$D3996))+1))</f>
        <v/>
      </c>
      <c r="E2506" s="3" t="str">
        <f t="array" ref="E2506">IF(B2506="","",INDEX(helper!$F$3:$F3996,MOD(ROW()-2,COUNTA(helper!$D$3:$D3996))+1))</f>
        <v/>
      </c>
      <c r="F2506" s="3" t="str">
        <f>IF(B2506="","",SUMIFS('inventory ledger'!$H:$H,'inventory ledger'!$C:$C,C2506,'inventory ledger'!$D:$D,D2506,'inventory ledger'!$E:$E,E2506,'inventory ledger'!$A:$A,"&lt;="&amp;B2506+TIME(23,59,59))-SUMIFS('inventory ledger'!$I:$I,'inventory ledger'!$C:$C,C2506,'inventory ledger'!$D:$D,D2506,'inventory ledger'!$E:$E,E2506,'inventory ledger'!$A:$A,"&lt;="&amp;B2506+TIME(23,59,59)))</f>
        <v/>
      </c>
      <c r="G2506" s="3">
        <f>IFERROR(__xludf.DUMMYFUNCTION("IF(F2506&lt;=0,0,IFERROR(ROUNDUP(F2506/INDEX(FILTER('warehouse config'!$D:$D,('warehouse config'!$B:$B=C2506)*('warehouse config'!$C:$C=D2506)*('warehouse config'!$G:$G&lt;=B2506)*(('warehouse config'!$H:$H&gt;=B2506)+ISBLANK('warehouse config'!$H:$H))),1)),0))"),0.0)</f>
        <v>0</v>
      </c>
      <c r="H2506" s="3">
        <f>IFERROR(__xludf.DUMMYFUNCTION("IFERROR(INDEX(FILTER('cost master'!$E:$E,('cost master'!$B:$B=C2506)*('cost master'!$D:$D=""Storage cost per pallet / week"")*('cost master'!$G:$G&lt;=B2506)*(('cost master'!$H:$H&gt;=B2506)+ISBLANK('cost master'!$H:$H))),1),0)"),0.0)</f>
        <v>0</v>
      </c>
      <c r="I2506" s="3">
        <f t="shared" si="4"/>
        <v>0</v>
      </c>
      <c r="J2506" s="27">
        <f t="shared" si="5"/>
        <v>693947</v>
      </c>
      <c r="K2506" s="27">
        <f t="shared" si="6"/>
        <v>693977</v>
      </c>
    </row>
    <row r="2507" hidden="1">
      <c r="A2507" s="3" t="str">
        <f t="shared" si="3"/>
        <v/>
      </c>
      <c r="B2507" s="2" t="str">
        <f t="array" ref="B2507">INDEX(helper!$A$3:$A3996,ROUNDUP((ROW()-1)/COUNTA(helper!$D$3:$D3996),0))</f>
        <v/>
      </c>
      <c r="C2507" s="5" t="str">
        <f t="array" ref="C2507">IF(B2507="","",INDEX(helper!$D$3:$D3996,MOD(ROW()-2,COUNTA(helper!$D$3:$D3996))+1))</f>
        <v/>
      </c>
      <c r="D2507" s="3" t="str">
        <f t="array" ref="D2507">IF(B2507="","",INDEX(helper!$E$3:$E3996,MOD(ROW()-2,COUNTA(helper!$D$3:$D3996))+1))</f>
        <v/>
      </c>
      <c r="E2507" s="3" t="str">
        <f t="array" ref="E2507">IF(B2507="","",INDEX(helper!$F$3:$F3996,MOD(ROW()-2,COUNTA(helper!$D$3:$D3996))+1))</f>
        <v/>
      </c>
      <c r="F2507" s="3" t="str">
        <f>IF(B2507="","",SUMIFS('inventory ledger'!$H:$H,'inventory ledger'!$C:$C,C2507,'inventory ledger'!$D:$D,D2507,'inventory ledger'!$E:$E,E2507,'inventory ledger'!$A:$A,"&lt;="&amp;B2507+TIME(23,59,59))-SUMIFS('inventory ledger'!$I:$I,'inventory ledger'!$C:$C,C2507,'inventory ledger'!$D:$D,D2507,'inventory ledger'!$E:$E,E2507,'inventory ledger'!$A:$A,"&lt;="&amp;B2507+TIME(23,59,59)))</f>
        <v/>
      </c>
      <c r="G2507" s="3">
        <f>IFERROR(__xludf.DUMMYFUNCTION("IF(F2507&lt;=0,0,IFERROR(ROUNDUP(F2507/INDEX(FILTER('warehouse config'!$D:$D,('warehouse config'!$B:$B=C2507)*('warehouse config'!$C:$C=D2507)*('warehouse config'!$G:$G&lt;=B2507)*(('warehouse config'!$H:$H&gt;=B2507)+ISBLANK('warehouse config'!$H:$H))),1)),0))"),0.0)</f>
        <v>0</v>
      </c>
      <c r="H2507" s="3">
        <f>IFERROR(__xludf.DUMMYFUNCTION("IFERROR(INDEX(FILTER('cost master'!$E:$E,('cost master'!$B:$B=C2507)*('cost master'!$D:$D=""Storage cost per pallet / week"")*('cost master'!$G:$G&lt;=B2507)*(('cost master'!$H:$H&gt;=B2507)+ISBLANK('cost master'!$H:$H))),1),0)"),0.0)</f>
        <v>0</v>
      </c>
      <c r="I2507" s="3">
        <f t="shared" si="4"/>
        <v>0</v>
      </c>
      <c r="J2507" s="27">
        <f t="shared" si="5"/>
        <v>693947</v>
      </c>
      <c r="K2507" s="27">
        <f t="shared" si="6"/>
        <v>693977</v>
      </c>
    </row>
    <row r="2508" hidden="1">
      <c r="A2508" s="3" t="str">
        <f t="shared" si="3"/>
        <v/>
      </c>
      <c r="B2508" s="2" t="str">
        <f t="array" ref="B2508">INDEX(helper!$A$3:$A3996,ROUNDUP((ROW()-1)/COUNTA(helper!$D$3:$D3996),0))</f>
        <v/>
      </c>
      <c r="C2508" s="5" t="str">
        <f t="array" ref="C2508">IF(B2508="","",INDEX(helper!$D$3:$D3996,MOD(ROW()-2,COUNTA(helper!$D$3:$D3996))+1))</f>
        <v/>
      </c>
      <c r="D2508" s="3" t="str">
        <f t="array" ref="D2508">IF(B2508="","",INDEX(helper!$E$3:$E3996,MOD(ROW()-2,COUNTA(helper!$D$3:$D3996))+1))</f>
        <v/>
      </c>
      <c r="E2508" s="3" t="str">
        <f t="array" ref="E2508">IF(B2508="","",INDEX(helper!$F$3:$F3996,MOD(ROW()-2,COUNTA(helper!$D$3:$D3996))+1))</f>
        <v/>
      </c>
      <c r="F2508" s="3" t="str">
        <f>IF(B2508="","",SUMIFS('inventory ledger'!$H:$H,'inventory ledger'!$C:$C,C2508,'inventory ledger'!$D:$D,D2508,'inventory ledger'!$E:$E,E2508,'inventory ledger'!$A:$A,"&lt;="&amp;B2508+TIME(23,59,59))-SUMIFS('inventory ledger'!$I:$I,'inventory ledger'!$C:$C,C2508,'inventory ledger'!$D:$D,D2508,'inventory ledger'!$E:$E,E2508,'inventory ledger'!$A:$A,"&lt;="&amp;B2508+TIME(23,59,59)))</f>
        <v/>
      </c>
      <c r="G2508" s="3">
        <f>IFERROR(__xludf.DUMMYFUNCTION("IF(F2508&lt;=0,0,IFERROR(ROUNDUP(F2508/INDEX(FILTER('warehouse config'!$D:$D,('warehouse config'!$B:$B=C2508)*('warehouse config'!$C:$C=D2508)*('warehouse config'!$G:$G&lt;=B2508)*(('warehouse config'!$H:$H&gt;=B2508)+ISBLANK('warehouse config'!$H:$H))),1)),0))"),0.0)</f>
        <v>0</v>
      </c>
      <c r="H2508" s="3">
        <f>IFERROR(__xludf.DUMMYFUNCTION("IFERROR(INDEX(FILTER('cost master'!$E:$E,('cost master'!$B:$B=C2508)*('cost master'!$D:$D=""Storage cost per pallet / week"")*('cost master'!$G:$G&lt;=B2508)*(('cost master'!$H:$H&gt;=B2508)+ISBLANK('cost master'!$H:$H))),1),0)"),0.0)</f>
        <v>0</v>
      </c>
      <c r="I2508" s="3">
        <f t="shared" si="4"/>
        <v>0</v>
      </c>
      <c r="J2508" s="27">
        <f t="shared" si="5"/>
        <v>693947</v>
      </c>
      <c r="K2508" s="27">
        <f t="shared" si="6"/>
        <v>693977</v>
      </c>
    </row>
    <row r="2509" hidden="1">
      <c r="A2509" s="3" t="str">
        <f t="shared" si="3"/>
        <v/>
      </c>
      <c r="B2509" s="2" t="str">
        <f t="array" ref="B2509">INDEX(helper!$A$3:$A3996,ROUNDUP((ROW()-1)/COUNTA(helper!$D$3:$D3996),0))</f>
        <v/>
      </c>
      <c r="C2509" s="5" t="str">
        <f t="array" ref="C2509">IF(B2509="","",INDEX(helper!$D$3:$D3996,MOD(ROW()-2,COUNTA(helper!$D$3:$D3996))+1))</f>
        <v/>
      </c>
      <c r="D2509" s="3" t="str">
        <f t="array" ref="D2509">IF(B2509="","",INDEX(helper!$E$3:$E3996,MOD(ROW()-2,COUNTA(helper!$D$3:$D3996))+1))</f>
        <v/>
      </c>
      <c r="E2509" s="3" t="str">
        <f t="array" ref="E2509">IF(B2509="","",INDEX(helper!$F$3:$F3996,MOD(ROW()-2,COUNTA(helper!$D$3:$D3996))+1))</f>
        <v/>
      </c>
      <c r="F2509" s="3" t="str">
        <f>IF(B2509="","",SUMIFS('inventory ledger'!$H:$H,'inventory ledger'!$C:$C,C2509,'inventory ledger'!$D:$D,D2509,'inventory ledger'!$E:$E,E2509,'inventory ledger'!$A:$A,"&lt;="&amp;B2509+TIME(23,59,59))-SUMIFS('inventory ledger'!$I:$I,'inventory ledger'!$C:$C,C2509,'inventory ledger'!$D:$D,D2509,'inventory ledger'!$E:$E,E2509,'inventory ledger'!$A:$A,"&lt;="&amp;B2509+TIME(23,59,59)))</f>
        <v/>
      </c>
      <c r="G2509" s="3">
        <f>IFERROR(__xludf.DUMMYFUNCTION("IF(F2509&lt;=0,0,IFERROR(ROUNDUP(F2509/INDEX(FILTER('warehouse config'!$D:$D,('warehouse config'!$B:$B=C2509)*('warehouse config'!$C:$C=D2509)*('warehouse config'!$G:$G&lt;=B2509)*(('warehouse config'!$H:$H&gt;=B2509)+ISBLANK('warehouse config'!$H:$H))),1)),0))"),0.0)</f>
        <v>0</v>
      </c>
      <c r="H2509" s="3">
        <f>IFERROR(__xludf.DUMMYFUNCTION("IFERROR(INDEX(FILTER('cost master'!$E:$E,('cost master'!$B:$B=C2509)*('cost master'!$D:$D=""Storage cost per pallet / week"")*('cost master'!$G:$G&lt;=B2509)*(('cost master'!$H:$H&gt;=B2509)+ISBLANK('cost master'!$H:$H))),1),0)"),0.0)</f>
        <v>0</v>
      </c>
      <c r="I2509" s="3">
        <f t="shared" si="4"/>
        <v>0</v>
      </c>
      <c r="J2509" s="27">
        <f t="shared" si="5"/>
        <v>693947</v>
      </c>
      <c r="K2509" s="27">
        <f t="shared" si="6"/>
        <v>693977</v>
      </c>
    </row>
    <row r="2510" hidden="1">
      <c r="A2510" s="3" t="str">
        <f t="shared" si="3"/>
        <v/>
      </c>
      <c r="B2510" s="2" t="str">
        <f t="array" ref="B2510">INDEX(helper!$A$3:$A3996,ROUNDUP((ROW()-1)/COUNTA(helper!$D$3:$D3996),0))</f>
        <v/>
      </c>
      <c r="C2510" s="5" t="str">
        <f t="array" ref="C2510">IF(B2510="","",INDEX(helper!$D$3:$D3996,MOD(ROW()-2,COUNTA(helper!$D$3:$D3996))+1))</f>
        <v/>
      </c>
      <c r="D2510" s="3" t="str">
        <f t="array" ref="D2510">IF(B2510="","",INDEX(helper!$E$3:$E3996,MOD(ROW()-2,COUNTA(helper!$D$3:$D3996))+1))</f>
        <v/>
      </c>
      <c r="E2510" s="3" t="str">
        <f t="array" ref="E2510">IF(B2510="","",INDEX(helper!$F$3:$F3996,MOD(ROW()-2,COUNTA(helper!$D$3:$D3996))+1))</f>
        <v/>
      </c>
      <c r="F2510" s="3" t="str">
        <f>IF(B2510="","",SUMIFS('inventory ledger'!$H:$H,'inventory ledger'!$C:$C,C2510,'inventory ledger'!$D:$D,D2510,'inventory ledger'!$E:$E,E2510,'inventory ledger'!$A:$A,"&lt;="&amp;B2510+TIME(23,59,59))-SUMIFS('inventory ledger'!$I:$I,'inventory ledger'!$C:$C,C2510,'inventory ledger'!$D:$D,D2510,'inventory ledger'!$E:$E,E2510,'inventory ledger'!$A:$A,"&lt;="&amp;B2510+TIME(23,59,59)))</f>
        <v/>
      </c>
      <c r="G2510" s="3">
        <f>IFERROR(__xludf.DUMMYFUNCTION("IF(F2510&lt;=0,0,IFERROR(ROUNDUP(F2510/INDEX(FILTER('warehouse config'!$D:$D,('warehouse config'!$B:$B=C2510)*('warehouse config'!$C:$C=D2510)*('warehouse config'!$G:$G&lt;=B2510)*(('warehouse config'!$H:$H&gt;=B2510)+ISBLANK('warehouse config'!$H:$H))),1)),0))"),0.0)</f>
        <v>0</v>
      </c>
      <c r="H2510" s="3">
        <f>IFERROR(__xludf.DUMMYFUNCTION("IFERROR(INDEX(FILTER('cost master'!$E:$E,('cost master'!$B:$B=C2510)*('cost master'!$D:$D=""Storage cost per pallet / week"")*('cost master'!$G:$G&lt;=B2510)*(('cost master'!$H:$H&gt;=B2510)+ISBLANK('cost master'!$H:$H))),1),0)"),0.0)</f>
        <v>0</v>
      </c>
      <c r="I2510" s="3">
        <f t="shared" si="4"/>
        <v>0</v>
      </c>
      <c r="J2510" s="27">
        <f t="shared" si="5"/>
        <v>693947</v>
      </c>
      <c r="K2510" s="27">
        <f t="shared" si="6"/>
        <v>693977</v>
      </c>
    </row>
    <row r="2511" hidden="1">
      <c r="A2511" s="3" t="str">
        <f t="shared" si="3"/>
        <v/>
      </c>
      <c r="B2511" s="2" t="str">
        <f t="array" ref="B2511">INDEX(helper!$A$3:$A3996,ROUNDUP((ROW()-1)/COUNTA(helper!$D$3:$D3996),0))</f>
        <v/>
      </c>
      <c r="C2511" s="5" t="str">
        <f t="array" ref="C2511">IF(B2511="","",INDEX(helper!$D$3:$D3996,MOD(ROW()-2,COUNTA(helper!$D$3:$D3996))+1))</f>
        <v/>
      </c>
      <c r="D2511" s="3" t="str">
        <f t="array" ref="D2511">IF(B2511="","",INDEX(helper!$E$3:$E3996,MOD(ROW()-2,COUNTA(helper!$D$3:$D3996))+1))</f>
        <v/>
      </c>
      <c r="E2511" s="3" t="str">
        <f t="array" ref="E2511">IF(B2511="","",INDEX(helper!$F$3:$F3996,MOD(ROW()-2,COUNTA(helper!$D$3:$D3996))+1))</f>
        <v/>
      </c>
      <c r="F2511" s="3" t="str">
        <f>IF(B2511="","",SUMIFS('inventory ledger'!$H:$H,'inventory ledger'!$C:$C,C2511,'inventory ledger'!$D:$D,D2511,'inventory ledger'!$E:$E,E2511,'inventory ledger'!$A:$A,"&lt;="&amp;B2511+TIME(23,59,59))-SUMIFS('inventory ledger'!$I:$I,'inventory ledger'!$C:$C,C2511,'inventory ledger'!$D:$D,D2511,'inventory ledger'!$E:$E,E2511,'inventory ledger'!$A:$A,"&lt;="&amp;B2511+TIME(23,59,59)))</f>
        <v/>
      </c>
      <c r="G2511" s="3">
        <f>IFERROR(__xludf.DUMMYFUNCTION("IF(F2511&lt;=0,0,IFERROR(ROUNDUP(F2511/INDEX(FILTER('warehouse config'!$D:$D,('warehouse config'!$B:$B=C2511)*('warehouse config'!$C:$C=D2511)*('warehouse config'!$G:$G&lt;=B2511)*(('warehouse config'!$H:$H&gt;=B2511)+ISBLANK('warehouse config'!$H:$H))),1)),0))"),0.0)</f>
        <v>0</v>
      </c>
      <c r="H2511" s="3">
        <f>IFERROR(__xludf.DUMMYFUNCTION("IFERROR(INDEX(FILTER('cost master'!$E:$E,('cost master'!$B:$B=C2511)*('cost master'!$D:$D=""Storage cost per pallet / week"")*('cost master'!$G:$G&lt;=B2511)*(('cost master'!$H:$H&gt;=B2511)+ISBLANK('cost master'!$H:$H))),1),0)"),0.0)</f>
        <v>0</v>
      </c>
      <c r="I2511" s="3">
        <f t="shared" si="4"/>
        <v>0</v>
      </c>
      <c r="J2511" s="27">
        <f t="shared" si="5"/>
        <v>693947</v>
      </c>
      <c r="K2511" s="27">
        <f t="shared" si="6"/>
        <v>693977</v>
      </c>
    </row>
    <row r="2512" hidden="1">
      <c r="A2512" s="3" t="str">
        <f t="shared" si="3"/>
        <v/>
      </c>
      <c r="B2512" s="2" t="str">
        <f t="array" ref="B2512">INDEX(helper!$A$3:$A3996,ROUNDUP((ROW()-1)/COUNTA(helper!$D$3:$D3996),0))</f>
        <v/>
      </c>
      <c r="C2512" s="5" t="str">
        <f t="array" ref="C2512">IF(B2512="","",INDEX(helper!$D$3:$D3996,MOD(ROW()-2,COUNTA(helper!$D$3:$D3996))+1))</f>
        <v/>
      </c>
      <c r="D2512" s="3" t="str">
        <f t="array" ref="D2512">IF(B2512="","",INDEX(helper!$E$3:$E3996,MOD(ROW()-2,COUNTA(helper!$D$3:$D3996))+1))</f>
        <v/>
      </c>
      <c r="E2512" s="3" t="str">
        <f t="array" ref="E2512">IF(B2512="","",INDEX(helper!$F$3:$F3996,MOD(ROW()-2,COUNTA(helper!$D$3:$D3996))+1))</f>
        <v/>
      </c>
      <c r="F2512" s="3" t="str">
        <f>IF(B2512="","",SUMIFS('inventory ledger'!$H:$H,'inventory ledger'!$C:$C,C2512,'inventory ledger'!$D:$D,D2512,'inventory ledger'!$E:$E,E2512,'inventory ledger'!$A:$A,"&lt;="&amp;B2512+TIME(23,59,59))-SUMIFS('inventory ledger'!$I:$I,'inventory ledger'!$C:$C,C2512,'inventory ledger'!$D:$D,D2512,'inventory ledger'!$E:$E,E2512,'inventory ledger'!$A:$A,"&lt;="&amp;B2512+TIME(23,59,59)))</f>
        <v/>
      </c>
      <c r="G2512" s="3">
        <f>IFERROR(__xludf.DUMMYFUNCTION("IF(F2512&lt;=0,0,IFERROR(ROUNDUP(F2512/INDEX(FILTER('warehouse config'!$D:$D,('warehouse config'!$B:$B=C2512)*('warehouse config'!$C:$C=D2512)*('warehouse config'!$G:$G&lt;=B2512)*(('warehouse config'!$H:$H&gt;=B2512)+ISBLANK('warehouse config'!$H:$H))),1)),0))"),0.0)</f>
        <v>0</v>
      </c>
      <c r="H2512" s="3">
        <f>IFERROR(__xludf.DUMMYFUNCTION("IFERROR(INDEX(FILTER('cost master'!$E:$E,('cost master'!$B:$B=C2512)*('cost master'!$D:$D=""Storage cost per pallet / week"")*('cost master'!$G:$G&lt;=B2512)*(('cost master'!$H:$H&gt;=B2512)+ISBLANK('cost master'!$H:$H))),1),0)"),0.0)</f>
        <v>0</v>
      </c>
      <c r="I2512" s="3">
        <f t="shared" si="4"/>
        <v>0</v>
      </c>
      <c r="J2512" s="27">
        <f t="shared" si="5"/>
        <v>693947</v>
      </c>
      <c r="K2512" s="27">
        <f t="shared" si="6"/>
        <v>693977</v>
      </c>
    </row>
    <row r="2513" hidden="1">
      <c r="A2513" s="3" t="str">
        <f t="shared" si="3"/>
        <v/>
      </c>
      <c r="B2513" s="2" t="str">
        <f t="array" ref="B2513">INDEX(helper!$A$3:$A3996,ROUNDUP((ROW()-1)/COUNTA(helper!$D$3:$D3996),0))</f>
        <v/>
      </c>
      <c r="C2513" s="5" t="str">
        <f t="array" ref="C2513">IF(B2513="","",INDEX(helper!$D$3:$D3996,MOD(ROW()-2,COUNTA(helper!$D$3:$D3996))+1))</f>
        <v/>
      </c>
      <c r="D2513" s="3" t="str">
        <f t="array" ref="D2513">IF(B2513="","",INDEX(helper!$E$3:$E3996,MOD(ROW()-2,COUNTA(helper!$D$3:$D3996))+1))</f>
        <v/>
      </c>
      <c r="E2513" s="3" t="str">
        <f t="array" ref="E2513">IF(B2513="","",INDEX(helper!$F$3:$F3996,MOD(ROW()-2,COUNTA(helper!$D$3:$D3996))+1))</f>
        <v/>
      </c>
      <c r="F2513" s="3" t="str">
        <f>IF(B2513="","",SUMIFS('inventory ledger'!$H:$H,'inventory ledger'!$C:$C,C2513,'inventory ledger'!$D:$D,D2513,'inventory ledger'!$E:$E,E2513,'inventory ledger'!$A:$A,"&lt;="&amp;B2513+TIME(23,59,59))-SUMIFS('inventory ledger'!$I:$I,'inventory ledger'!$C:$C,C2513,'inventory ledger'!$D:$D,D2513,'inventory ledger'!$E:$E,E2513,'inventory ledger'!$A:$A,"&lt;="&amp;B2513+TIME(23,59,59)))</f>
        <v/>
      </c>
      <c r="G2513" s="3">
        <f>IFERROR(__xludf.DUMMYFUNCTION("IF(F2513&lt;=0,0,IFERROR(ROUNDUP(F2513/INDEX(FILTER('warehouse config'!$D:$D,('warehouse config'!$B:$B=C2513)*('warehouse config'!$C:$C=D2513)*('warehouse config'!$G:$G&lt;=B2513)*(('warehouse config'!$H:$H&gt;=B2513)+ISBLANK('warehouse config'!$H:$H))),1)),0))"),0.0)</f>
        <v>0</v>
      </c>
      <c r="H2513" s="3">
        <f>IFERROR(__xludf.DUMMYFUNCTION("IFERROR(INDEX(FILTER('cost master'!$E:$E,('cost master'!$B:$B=C2513)*('cost master'!$D:$D=""Storage cost per pallet / week"")*('cost master'!$G:$G&lt;=B2513)*(('cost master'!$H:$H&gt;=B2513)+ISBLANK('cost master'!$H:$H))),1),0)"),0.0)</f>
        <v>0</v>
      </c>
      <c r="I2513" s="3">
        <f t="shared" si="4"/>
        <v>0</v>
      </c>
      <c r="J2513" s="27">
        <f t="shared" si="5"/>
        <v>693947</v>
      </c>
      <c r="K2513" s="27">
        <f t="shared" si="6"/>
        <v>693977</v>
      </c>
    </row>
    <row r="2514" hidden="1">
      <c r="A2514" s="3" t="str">
        <f t="shared" si="3"/>
        <v/>
      </c>
      <c r="B2514" s="2" t="str">
        <f t="array" ref="B2514">INDEX(helper!$A$3:$A3996,ROUNDUP((ROW()-1)/COUNTA(helper!$D$3:$D3996),0))</f>
        <v/>
      </c>
      <c r="C2514" s="5" t="str">
        <f t="array" ref="C2514">IF(B2514="","",INDEX(helper!$D$3:$D3996,MOD(ROW()-2,COUNTA(helper!$D$3:$D3996))+1))</f>
        <v/>
      </c>
      <c r="D2514" s="3" t="str">
        <f t="array" ref="D2514">IF(B2514="","",INDEX(helper!$E$3:$E3996,MOD(ROW()-2,COUNTA(helper!$D$3:$D3996))+1))</f>
        <v/>
      </c>
      <c r="E2514" s="3" t="str">
        <f t="array" ref="E2514">IF(B2514="","",INDEX(helper!$F$3:$F3996,MOD(ROW()-2,COUNTA(helper!$D$3:$D3996))+1))</f>
        <v/>
      </c>
      <c r="F2514" s="3" t="str">
        <f>IF(B2514="","",SUMIFS('inventory ledger'!$H:$H,'inventory ledger'!$C:$C,C2514,'inventory ledger'!$D:$D,D2514,'inventory ledger'!$E:$E,E2514,'inventory ledger'!$A:$A,"&lt;="&amp;B2514+TIME(23,59,59))-SUMIFS('inventory ledger'!$I:$I,'inventory ledger'!$C:$C,C2514,'inventory ledger'!$D:$D,D2514,'inventory ledger'!$E:$E,E2514,'inventory ledger'!$A:$A,"&lt;="&amp;B2514+TIME(23,59,59)))</f>
        <v/>
      </c>
      <c r="G2514" s="3">
        <f>IFERROR(__xludf.DUMMYFUNCTION("IF(F2514&lt;=0,0,IFERROR(ROUNDUP(F2514/INDEX(FILTER('warehouse config'!$D:$D,('warehouse config'!$B:$B=C2514)*('warehouse config'!$C:$C=D2514)*('warehouse config'!$G:$G&lt;=B2514)*(('warehouse config'!$H:$H&gt;=B2514)+ISBLANK('warehouse config'!$H:$H))),1)),0))"),0.0)</f>
        <v>0</v>
      </c>
      <c r="H2514" s="3">
        <f>IFERROR(__xludf.DUMMYFUNCTION("IFERROR(INDEX(FILTER('cost master'!$E:$E,('cost master'!$B:$B=C2514)*('cost master'!$D:$D=""Storage cost per pallet / week"")*('cost master'!$G:$G&lt;=B2514)*(('cost master'!$H:$H&gt;=B2514)+ISBLANK('cost master'!$H:$H))),1),0)"),0.0)</f>
        <v>0</v>
      </c>
      <c r="I2514" s="3">
        <f t="shared" si="4"/>
        <v>0</v>
      </c>
      <c r="J2514" s="27">
        <f t="shared" si="5"/>
        <v>693947</v>
      </c>
      <c r="K2514" s="27">
        <f t="shared" si="6"/>
        <v>693977</v>
      </c>
    </row>
    <row r="2515" hidden="1">
      <c r="A2515" s="3" t="str">
        <f t="shared" si="3"/>
        <v/>
      </c>
      <c r="B2515" s="2" t="str">
        <f t="array" ref="B2515">INDEX(helper!$A$3:$A3996,ROUNDUP((ROW()-1)/COUNTA(helper!$D$3:$D3996),0))</f>
        <v/>
      </c>
      <c r="C2515" s="5" t="str">
        <f t="array" ref="C2515">IF(B2515="","",INDEX(helper!$D$3:$D3996,MOD(ROW()-2,COUNTA(helper!$D$3:$D3996))+1))</f>
        <v/>
      </c>
      <c r="D2515" s="3" t="str">
        <f t="array" ref="D2515">IF(B2515="","",INDEX(helper!$E$3:$E3996,MOD(ROW()-2,COUNTA(helper!$D$3:$D3996))+1))</f>
        <v/>
      </c>
      <c r="E2515" s="3" t="str">
        <f t="array" ref="E2515">IF(B2515="","",INDEX(helper!$F$3:$F3996,MOD(ROW()-2,COUNTA(helper!$D$3:$D3996))+1))</f>
        <v/>
      </c>
      <c r="F2515" s="3" t="str">
        <f>IF(B2515="","",SUMIFS('inventory ledger'!$H:$H,'inventory ledger'!$C:$C,C2515,'inventory ledger'!$D:$D,D2515,'inventory ledger'!$E:$E,E2515,'inventory ledger'!$A:$A,"&lt;="&amp;B2515+TIME(23,59,59))-SUMIFS('inventory ledger'!$I:$I,'inventory ledger'!$C:$C,C2515,'inventory ledger'!$D:$D,D2515,'inventory ledger'!$E:$E,E2515,'inventory ledger'!$A:$A,"&lt;="&amp;B2515+TIME(23,59,59)))</f>
        <v/>
      </c>
      <c r="G2515" s="3">
        <f>IFERROR(__xludf.DUMMYFUNCTION("IF(F2515&lt;=0,0,IFERROR(ROUNDUP(F2515/INDEX(FILTER('warehouse config'!$D:$D,('warehouse config'!$B:$B=C2515)*('warehouse config'!$C:$C=D2515)*('warehouse config'!$G:$G&lt;=B2515)*(('warehouse config'!$H:$H&gt;=B2515)+ISBLANK('warehouse config'!$H:$H))),1)),0))"),0.0)</f>
        <v>0</v>
      </c>
      <c r="H2515" s="3">
        <f>IFERROR(__xludf.DUMMYFUNCTION("IFERROR(INDEX(FILTER('cost master'!$E:$E,('cost master'!$B:$B=C2515)*('cost master'!$D:$D=""Storage cost per pallet / week"")*('cost master'!$G:$G&lt;=B2515)*(('cost master'!$H:$H&gt;=B2515)+ISBLANK('cost master'!$H:$H))),1),0)"),0.0)</f>
        <v>0</v>
      </c>
      <c r="I2515" s="3">
        <f t="shared" si="4"/>
        <v>0</v>
      </c>
      <c r="J2515" s="27">
        <f t="shared" si="5"/>
        <v>693947</v>
      </c>
      <c r="K2515" s="27">
        <f t="shared" si="6"/>
        <v>693977</v>
      </c>
    </row>
    <row r="2516" hidden="1">
      <c r="A2516" s="3" t="str">
        <f t="shared" si="3"/>
        <v/>
      </c>
      <c r="B2516" s="2" t="str">
        <f t="array" ref="B2516">INDEX(helper!$A$3:$A3996,ROUNDUP((ROW()-1)/COUNTA(helper!$D$3:$D3996),0))</f>
        <v/>
      </c>
      <c r="C2516" s="5" t="str">
        <f t="array" ref="C2516">IF(B2516="","",INDEX(helper!$D$3:$D3996,MOD(ROW()-2,COUNTA(helper!$D$3:$D3996))+1))</f>
        <v/>
      </c>
      <c r="D2516" s="3" t="str">
        <f t="array" ref="D2516">IF(B2516="","",INDEX(helper!$E$3:$E3996,MOD(ROW()-2,COUNTA(helper!$D$3:$D3996))+1))</f>
        <v/>
      </c>
      <c r="E2516" s="3" t="str">
        <f t="array" ref="E2516">IF(B2516="","",INDEX(helper!$F$3:$F3996,MOD(ROW()-2,COUNTA(helper!$D$3:$D3996))+1))</f>
        <v/>
      </c>
      <c r="F2516" s="3" t="str">
        <f>IF(B2516="","",SUMIFS('inventory ledger'!$H:$H,'inventory ledger'!$C:$C,C2516,'inventory ledger'!$D:$D,D2516,'inventory ledger'!$E:$E,E2516,'inventory ledger'!$A:$A,"&lt;="&amp;B2516+TIME(23,59,59))-SUMIFS('inventory ledger'!$I:$I,'inventory ledger'!$C:$C,C2516,'inventory ledger'!$D:$D,D2516,'inventory ledger'!$E:$E,E2516,'inventory ledger'!$A:$A,"&lt;="&amp;B2516+TIME(23,59,59)))</f>
        <v/>
      </c>
      <c r="G2516" s="3">
        <f>IFERROR(__xludf.DUMMYFUNCTION("IF(F2516&lt;=0,0,IFERROR(ROUNDUP(F2516/INDEX(FILTER('warehouse config'!$D:$D,('warehouse config'!$B:$B=C2516)*('warehouse config'!$C:$C=D2516)*('warehouse config'!$G:$G&lt;=B2516)*(('warehouse config'!$H:$H&gt;=B2516)+ISBLANK('warehouse config'!$H:$H))),1)),0))"),0.0)</f>
        <v>0</v>
      </c>
      <c r="H2516" s="3">
        <f>IFERROR(__xludf.DUMMYFUNCTION("IFERROR(INDEX(FILTER('cost master'!$E:$E,('cost master'!$B:$B=C2516)*('cost master'!$D:$D=""Storage cost per pallet / week"")*('cost master'!$G:$G&lt;=B2516)*(('cost master'!$H:$H&gt;=B2516)+ISBLANK('cost master'!$H:$H))),1),0)"),0.0)</f>
        <v>0</v>
      </c>
      <c r="I2516" s="3">
        <f t="shared" si="4"/>
        <v>0</v>
      </c>
      <c r="J2516" s="27">
        <f t="shared" si="5"/>
        <v>693947</v>
      </c>
      <c r="K2516" s="27">
        <f t="shared" si="6"/>
        <v>693977</v>
      </c>
    </row>
    <row r="2517" hidden="1">
      <c r="A2517" s="3" t="str">
        <f t="shared" si="3"/>
        <v/>
      </c>
      <c r="B2517" s="2" t="str">
        <f t="array" ref="B2517">INDEX(helper!$A$3:$A3996,ROUNDUP((ROW()-1)/COUNTA(helper!$D$3:$D3996),0))</f>
        <v/>
      </c>
      <c r="C2517" s="5" t="str">
        <f t="array" ref="C2517">IF(B2517="","",INDEX(helper!$D$3:$D3996,MOD(ROW()-2,COUNTA(helper!$D$3:$D3996))+1))</f>
        <v/>
      </c>
      <c r="D2517" s="3" t="str">
        <f t="array" ref="D2517">IF(B2517="","",INDEX(helper!$E$3:$E3996,MOD(ROW()-2,COUNTA(helper!$D$3:$D3996))+1))</f>
        <v/>
      </c>
      <c r="E2517" s="3" t="str">
        <f t="array" ref="E2517">IF(B2517="","",INDEX(helper!$F$3:$F3996,MOD(ROW()-2,COUNTA(helper!$D$3:$D3996))+1))</f>
        <v/>
      </c>
      <c r="F2517" s="3" t="str">
        <f>IF(B2517="","",SUMIFS('inventory ledger'!$H:$H,'inventory ledger'!$C:$C,C2517,'inventory ledger'!$D:$D,D2517,'inventory ledger'!$E:$E,E2517,'inventory ledger'!$A:$A,"&lt;="&amp;B2517+TIME(23,59,59))-SUMIFS('inventory ledger'!$I:$I,'inventory ledger'!$C:$C,C2517,'inventory ledger'!$D:$D,D2517,'inventory ledger'!$E:$E,E2517,'inventory ledger'!$A:$A,"&lt;="&amp;B2517+TIME(23,59,59)))</f>
        <v/>
      </c>
      <c r="G2517" s="3">
        <f>IFERROR(__xludf.DUMMYFUNCTION("IF(F2517&lt;=0,0,IFERROR(ROUNDUP(F2517/INDEX(FILTER('warehouse config'!$D:$D,('warehouse config'!$B:$B=C2517)*('warehouse config'!$C:$C=D2517)*('warehouse config'!$G:$G&lt;=B2517)*(('warehouse config'!$H:$H&gt;=B2517)+ISBLANK('warehouse config'!$H:$H))),1)),0))"),0.0)</f>
        <v>0</v>
      </c>
      <c r="H2517" s="3">
        <f>IFERROR(__xludf.DUMMYFUNCTION("IFERROR(INDEX(FILTER('cost master'!$E:$E,('cost master'!$B:$B=C2517)*('cost master'!$D:$D=""Storage cost per pallet / week"")*('cost master'!$G:$G&lt;=B2517)*(('cost master'!$H:$H&gt;=B2517)+ISBLANK('cost master'!$H:$H))),1),0)"),0.0)</f>
        <v>0</v>
      </c>
      <c r="I2517" s="3">
        <f t="shared" si="4"/>
        <v>0</v>
      </c>
      <c r="J2517" s="27">
        <f t="shared" si="5"/>
        <v>693947</v>
      </c>
      <c r="K2517" s="27">
        <f t="shared" si="6"/>
        <v>693977</v>
      </c>
    </row>
    <row r="2518" hidden="1">
      <c r="A2518" s="3" t="str">
        <f t="shared" si="3"/>
        <v/>
      </c>
      <c r="B2518" s="2" t="str">
        <f t="array" ref="B2518">INDEX(helper!$A$3:$A3996,ROUNDUP((ROW()-1)/COUNTA(helper!$D$3:$D3996),0))</f>
        <v/>
      </c>
      <c r="C2518" s="5" t="str">
        <f t="array" ref="C2518">IF(B2518="","",INDEX(helper!$D$3:$D3996,MOD(ROW()-2,COUNTA(helper!$D$3:$D3996))+1))</f>
        <v/>
      </c>
      <c r="D2518" s="3" t="str">
        <f t="array" ref="D2518">IF(B2518="","",INDEX(helper!$E$3:$E3996,MOD(ROW()-2,COUNTA(helper!$D$3:$D3996))+1))</f>
        <v/>
      </c>
      <c r="E2518" s="3" t="str">
        <f t="array" ref="E2518">IF(B2518="","",INDEX(helper!$F$3:$F3996,MOD(ROW()-2,COUNTA(helper!$D$3:$D3996))+1))</f>
        <v/>
      </c>
      <c r="F2518" s="3" t="str">
        <f>IF(B2518="","",SUMIFS('inventory ledger'!$H:$H,'inventory ledger'!$C:$C,C2518,'inventory ledger'!$D:$D,D2518,'inventory ledger'!$E:$E,E2518,'inventory ledger'!$A:$A,"&lt;="&amp;B2518+TIME(23,59,59))-SUMIFS('inventory ledger'!$I:$I,'inventory ledger'!$C:$C,C2518,'inventory ledger'!$D:$D,D2518,'inventory ledger'!$E:$E,E2518,'inventory ledger'!$A:$A,"&lt;="&amp;B2518+TIME(23,59,59)))</f>
        <v/>
      </c>
      <c r="G2518" s="3">
        <f>IFERROR(__xludf.DUMMYFUNCTION("IF(F2518&lt;=0,0,IFERROR(ROUNDUP(F2518/INDEX(FILTER('warehouse config'!$D:$D,('warehouse config'!$B:$B=C2518)*('warehouse config'!$C:$C=D2518)*('warehouse config'!$G:$G&lt;=B2518)*(('warehouse config'!$H:$H&gt;=B2518)+ISBLANK('warehouse config'!$H:$H))),1)),0))"),0.0)</f>
        <v>0</v>
      </c>
      <c r="H2518" s="3">
        <f>IFERROR(__xludf.DUMMYFUNCTION("IFERROR(INDEX(FILTER('cost master'!$E:$E,('cost master'!$B:$B=C2518)*('cost master'!$D:$D=""Storage cost per pallet / week"")*('cost master'!$G:$G&lt;=B2518)*(('cost master'!$H:$H&gt;=B2518)+ISBLANK('cost master'!$H:$H))),1),0)"),0.0)</f>
        <v>0</v>
      </c>
      <c r="I2518" s="3">
        <f t="shared" si="4"/>
        <v>0</v>
      </c>
      <c r="J2518" s="27">
        <f t="shared" si="5"/>
        <v>693947</v>
      </c>
      <c r="K2518" s="27">
        <f t="shared" si="6"/>
        <v>693977</v>
      </c>
    </row>
    <row r="2519" hidden="1">
      <c r="A2519" s="3" t="str">
        <f t="shared" si="3"/>
        <v/>
      </c>
      <c r="B2519" s="2" t="str">
        <f t="array" ref="B2519">INDEX(helper!$A$3:$A3996,ROUNDUP((ROW()-1)/COUNTA(helper!$D$3:$D3996),0))</f>
        <v/>
      </c>
      <c r="C2519" s="5" t="str">
        <f t="array" ref="C2519">IF(B2519="","",INDEX(helper!$D$3:$D3996,MOD(ROW()-2,COUNTA(helper!$D$3:$D3996))+1))</f>
        <v/>
      </c>
      <c r="D2519" s="3" t="str">
        <f t="array" ref="D2519">IF(B2519="","",INDEX(helper!$E$3:$E3996,MOD(ROW()-2,COUNTA(helper!$D$3:$D3996))+1))</f>
        <v/>
      </c>
      <c r="E2519" s="3" t="str">
        <f t="array" ref="E2519">IF(B2519="","",INDEX(helper!$F$3:$F3996,MOD(ROW()-2,COUNTA(helper!$D$3:$D3996))+1))</f>
        <v/>
      </c>
      <c r="F2519" s="3" t="str">
        <f>IF(B2519="","",SUMIFS('inventory ledger'!$H:$H,'inventory ledger'!$C:$C,C2519,'inventory ledger'!$D:$D,D2519,'inventory ledger'!$E:$E,E2519,'inventory ledger'!$A:$A,"&lt;="&amp;B2519+TIME(23,59,59))-SUMIFS('inventory ledger'!$I:$I,'inventory ledger'!$C:$C,C2519,'inventory ledger'!$D:$D,D2519,'inventory ledger'!$E:$E,E2519,'inventory ledger'!$A:$A,"&lt;="&amp;B2519+TIME(23,59,59)))</f>
        <v/>
      </c>
      <c r="G2519" s="3">
        <f>IFERROR(__xludf.DUMMYFUNCTION("IF(F2519&lt;=0,0,IFERROR(ROUNDUP(F2519/INDEX(FILTER('warehouse config'!$D:$D,('warehouse config'!$B:$B=C2519)*('warehouse config'!$C:$C=D2519)*('warehouse config'!$G:$G&lt;=B2519)*(('warehouse config'!$H:$H&gt;=B2519)+ISBLANK('warehouse config'!$H:$H))),1)),0))"),0.0)</f>
        <v>0</v>
      </c>
      <c r="H2519" s="3">
        <f>IFERROR(__xludf.DUMMYFUNCTION("IFERROR(INDEX(FILTER('cost master'!$E:$E,('cost master'!$B:$B=C2519)*('cost master'!$D:$D=""Storage cost per pallet / week"")*('cost master'!$G:$G&lt;=B2519)*(('cost master'!$H:$H&gt;=B2519)+ISBLANK('cost master'!$H:$H))),1),0)"),0.0)</f>
        <v>0</v>
      </c>
      <c r="I2519" s="3">
        <f t="shared" si="4"/>
        <v>0</v>
      </c>
      <c r="J2519" s="27">
        <f t="shared" si="5"/>
        <v>693947</v>
      </c>
      <c r="K2519" s="27">
        <f t="shared" si="6"/>
        <v>693977</v>
      </c>
    </row>
    <row r="2520" hidden="1">
      <c r="A2520" s="3" t="str">
        <f t="shared" si="3"/>
        <v/>
      </c>
      <c r="B2520" s="2" t="str">
        <f t="array" ref="B2520">INDEX(helper!$A$3:$A3996,ROUNDUP((ROW()-1)/COUNTA(helper!$D$3:$D3996),0))</f>
        <v/>
      </c>
      <c r="C2520" s="5" t="str">
        <f t="array" ref="C2520">IF(B2520="","",INDEX(helper!$D$3:$D3996,MOD(ROW()-2,COUNTA(helper!$D$3:$D3996))+1))</f>
        <v/>
      </c>
      <c r="D2520" s="3" t="str">
        <f t="array" ref="D2520">IF(B2520="","",INDEX(helper!$E$3:$E3996,MOD(ROW()-2,COUNTA(helper!$D$3:$D3996))+1))</f>
        <v/>
      </c>
      <c r="E2520" s="3" t="str">
        <f t="array" ref="E2520">IF(B2520="","",INDEX(helper!$F$3:$F3996,MOD(ROW()-2,COUNTA(helper!$D$3:$D3996))+1))</f>
        <v/>
      </c>
      <c r="F2520" s="3" t="str">
        <f>IF(B2520="","",SUMIFS('inventory ledger'!$H:$H,'inventory ledger'!$C:$C,C2520,'inventory ledger'!$D:$D,D2520,'inventory ledger'!$E:$E,E2520,'inventory ledger'!$A:$A,"&lt;="&amp;B2520+TIME(23,59,59))-SUMIFS('inventory ledger'!$I:$I,'inventory ledger'!$C:$C,C2520,'inventory ledger'!$D:$D,D2520,'inventory ledger'!$E:$E,E2520,'inventory ledger'!$A:$A,"&lt;="&amp;B2520+TIME(23,59,59)))</f>
        <v/>
      </c>
      <c r="G2520" s="3">
        <f>IFERROR(__xludf.DUMMYFUNCTION("IF(F2520&lt;=0,0,IFERROR(ROUNDUP(F2520/INDEX(FILTER('warehouse config'!$D:$D,('warehouse config'!$B:$B=C2520)*('warehouse config'!$C:$C=D2520)*('warehouse config'!$G:$G&lt;=B2520)*(('warehouse config'!$H:$H&gt;=B2520)+ISBLANK('warehouse config'!$H:$H))),1)),0))"),0.0)</f>
        <v>0</v>
      </c>
      <c r="H2520" s="3">
        <f>IFERROR(__xludf.DUMMYFUNCTION("IFERROR(INDEX(FILTER('cost master'!$E:$E,('cost master'!$B:$B=C2520)*('cost master'!$D:$D=""Storage cost per pallet / week"")*('cost master'!$G:$G&lt;=B2520)*(('cost master'!$H:$H&gt;=B2520)+ISBLANK('cost master'!$H:$H))),1),0)"),0.0)</f>
        <v>0</v>
      </c>
      <c r="I2520" s="3">
        <f t="shared" si="4"/>
        <v>0</v>
      </c>
      <c r="J2520" s="27">
        <f t="shared" si="5"/>
        <v>693947</v>
      </c>
      <c r="K2520" s="27">
        <f t="shared" si="6"/>
        <v>693977</v>
      </c>
    </row>
    <row r="2521" hidden="1">
      <c r="A2521" s="3" t="str">
        <f t="shared" si="3"/>
        <v/>
      </c>
      <c r="B2521" s="2" t="str">
        <f t="array" ref="B2521">INDEX(helper!$A$3:$A3996,ROUNDUP((ROW()-1)/COUNTA(helper!$D$3:$D3996),0))</f>
        <v/>
      </c>
      <c r="C2521" s="5" t="str">
        <f t="array" ref="C2521">IF(B2521="","",INDEX(helper!$D$3:$D3996,MOD(ROW()-2,COUNTA(helper!$D$3:$D3996))+1))</f>
        <v/>
      </c>
      <c r="D2521" s="3" t="str">
        <f t="array" ref="D2521">IF(B2521="","",INDEX(helper!$E$3:$E3996,MOD(ROW()-2,COUNTA(helper!$D$3:$D3996))+1))</f>
        <v/>
      </c>
      <c r="E2521" s="3" t="str">
        <f t="array" ref="E2521">IF(B2521="","",INDEX(helper!$F$3:$F3996,MOD(ROW()-2,COUNTA(helper!$D$3:$D3996))+1))</f>
        <v/>
      </c>
      <c r="F2521" s="3" t="str">
        <f>IF(B2521="","",SUMIFS('inventory ledger'!$H:$H,'inventory ledger'!$C:$C,C2521,'inventory ledger'!$D:$D,D2521,'inventory ledger'!$E:$E,E2521,'inventory ledger'!$A:$A,"&lt;="&amp;B2521+TIME(23,59,59))-SUMIFS('inventory ledger'!$I:$I,'inventory ledger'!$C:$C,C2521,'inventory ledger'!$D:$D,D2521,'inventory ledger'!$E:$E,E2521,'inventory ledger'!$A:$A,"&lt;="&amp;B2521+TIME(23,59,59)))</f>
        <v/>
      </c>
      <c r="G2521" s="3">
        <f>IFERROR(__xludf.DUMMYFUNCTION("IF(F2521&lt;=0,0,IFERROR(ROUNDUP(F2521/INDEX(FILTER('warehouse config'!$D:$D,('warehouse config'!$B:$B=C2521)*('warehouse config'!$C:$C=D2521)*('warehouse config'!$G:$G&lt;=B2521)*(('warehouse config'!$H:$H&gt;=B2521)+ISBLANK('warehouse config'!$H:$H))),1)),0))"),0.0)</f>
        <v>0</v>
      </c>
      <c r="H2521" s="3">
        <f>IFERROR(__xludf.DUMMYFUNCTION("IFERROR(INDEX(FILTER('cost master'!$E:$E,('cost master'!$B:$B=C2521)*('cost master'!$D:$D=""Storage cost per pallet / week"")*('cost master'!$G:$G&lt;=B2521)*(('cost master'!$H:$H&gt;=B2521)+ISBLANK('cost master'!$H:$H))),1),0)"),0.0)</f>
        <v>0</v>
      </c>
      <c r="I2521" s="3">
        <f t="shared" si="4"/>
        <v>0</v>
      </c>
      <c r="J2521" s="27">
        <f t="shared" si="5"/>
        <v>693947</v>
      </c>
      <c r="K2521" s="27">
        <f t="shared" si="6"/>
        <v>693977</v>
      </c>
    </row>
    <row r="2522" hidden="1">
      <c r="A2522" s="3" t="str">
        <f t="shared" si="3"/>
        <v/>
      </c>
      <c r="B2522" s="2" t="str">
        <f t="array" ref="B2522">INDEX(helper!$A$3:$A3996,ROUNDUP((ROW()-1)/COUNTA(helper!$D$3:$D3996),0))</f>
        <v/>
      </c>
      <c r="C2522" s="5" t="str">
        <f t="array" ref="C2522">IF(B2522="","",INDEX(helper!$D$3:$D3996,MOD(ROW()-2,COUNTA(helper!$D$3:$D3996))+1))</f>
        <v/>
      </c>
      <c r="D2522" s="3" t="str">
        <f t="array" ref="D2522">IF(B2522="","",INDEX(helper!$E$3:$E3996,MOD(ROW()-2,COUNTA(helper!$D$3:$D3996))+1))</f>
        <v/>
      </c>
      <c r="E2522" s="3" t="str">
        <f t="array" ref="E2522">IF(B2522="","",INDEX(helper!$F$3:$F3996,MOD(ROW()-2,COUNTA(helper!$D$3:$D3996))+1))</f>
        <v/>
      </c>
      <c r="F2522" s="3" t="str">
        <f>IF(B2522="","",SUMIFS('inventory ledger'!$H:$H,'inventory ledger'!$C:$C,C2522,'inventory ledger'!$D:$D,D2522,'inventory ledger'!$E:$E,E2522,'inventory ledger'!$A:$A,"&lt;="&amp;B2522+TIME(23,59,59))-SUMIFS('inventory ledger'!$I:$I,'inventory ledger'!$C:$C,C2522,'inventory ledger'!$D:$D,D2522,'inventory ledger'!$E:$E,E2522,'inventory ledger'!$A:$A,"&lt;="&amp;B2522+TIME(23,59,59)))</f>
        <v/>
      </c>
      <c r="G2522" s="3">
        <f>IFERROR(__xludf.DUMMYFUNCTION("IF(F2522&lt;=0,0,IFERROR(ROUNDUP(F2522/INDEX(FILTER('warehouse config'!$D:$D,('warehouse config'!$B:$B=C2522)*('warehouse config'!$C:$C=D2522)*('warehouse config'!$G:$G&lt;=B2522)*(('warehouse config'!$H:$H&gt;=B2522)+ISBLANK('warehouse config'!$H:$H))),1)),0))"),0.0)</f>
        <v>0</v>
      </c>
      <c r="H2522" s="3">
        <f>IFERROR(__xludf.DUMMYFUNCTION("IFERROR(INDEX(FILTER('cost master'!$E:$E,('cost master'!$B:$B=C2522)*('cost master'!$D:$D=""Storage cost per pallet / week"")*('cost master'!$G:$G&lt;=B2522)*(('cost master'!$H:$H&gt;=B2522)+ISBLANK('cost master'!$H:$H))),1),0)"),0.0)</f>
        <v>0</v>
      </c>
      <c r="I2522" s="3">
        <f t="shared" si="4"/>
        <v>0</v>
      </c>
      <c r="J2522" s="27">
        <f t="shared" si="5"/>
        <v>693947</v>
      </c>
      <c r="K2522" s="27">
        <f t="shared" si="6"/>
        <v>693977</v>
      </c>
    </row>
    <row r="2523" hidden="1">
      <c r="A2523" s="3" t="str">
        <f t="shared" si="3"/>
        <v/>
      </c>
      <c r="B2523" s="2" t="str">
        <f t="array" ref="B2523">INDEX(helper!$A$3:$A3996,ROUNDUP((ROW()-1)/COUNTA(helper!$D$3:$D3996),0))</f>
        <v/>
      </c>
      <c r="C2523" s="5" t="str">
        <f t="array" ref="C2523">IF(B2523="","",INDEX(helper!$D$3:$D3996,MOD(ROW()-2,COUNTA(helper!$D$3:$D3996))+1))</f>
        <v/>
      </c>
      <c r="D2523" s="3" t="str">
        <f t="array" ref="D2523">IF(B2523="","",INDEX(helper!$E$3:$E3996,MOD(ROW()-2,COUNTA(helper!$D$3:$D3996))+1))</f>
        <v/>
      </c>
      <c r="E2523" s="3" t="str">
        <f t="array" ref="E2523">IF(B2523="","",INDEX(helper!$F$3:$F3996,MOD(ROW()-2,COUNTA(helper!$D$3:$D3996))+1))</f>
        <v/>
      </c>
      <c r="F2523" s="3" t="str">
        <f>IF(B2523="","",SUMIFS('inventory ledger'!$H:$H,'inventory ledger'!$C:$C,C2523,'inventory ledger'!$D:$D,D2523,'inventory ledger'!$E:$E,E2523,'inventory ledger'!$A:$A,"&lt;="&amp;B2523+TIME(23,59,59))-SUMIFS('inventory ledger'!$I:$I,'inventory ledger'!$C:$C,C2523,'inventory ledger'!$D:$D,D2523,'inventory ledger'!$E:$E,E2523,'inventory ledger'!$A:$A,"&lt;="&amp;B2523+TIME(23,59,59)))</f>
        <v/>
      </c>
      <c r="G2523" s="3">
        <f>IFERROR(__xludf.DUMMYFUNCTION("IF(F2523&lt;=0,0,IFERROR(ROUNDUP(F2523/INDEX(FILTER('warehouse config'!$D:$D,('warehouse config'!$B:$B=C2523)*('warehouse config'!$C:$C=D2523)*('warehouse config'!$G:$G&lt;=B2523)*(('warehouse config'!$H:$H&gt;=B2523)+ISBLANK('warehouse config'!$H:$H))),1)),0))"),0.0)</f>
        <v>0</v>
      </c>
      <c r="H2523" s="3">
        <f>IFERROR(__xludf.DUMMYFUNCTION("IFERROR(INDEX(FILTER('cost master'!$E:$E,('cost master'!$B:$B=C2523)*('cost master'!$D:$D=""Storage cost per pallet / week"")*('cost master'!$G:$G&lt;=B2523)*(('cost master'!$H:$H&gt;=B2523)+ISBLANK('cost master'!$H:$H))),1),0)"),0.0)</f>
        <v>0</v>
      </c>
      <c r="I2523" s="3">
        <f t="shared" si="4"/>
        <v>0</v>
      </c>
      <c r="J2523" s="27">
        <f t="shared" si="5"/>
        <v>693947</v>
      </c>
      <c r="K2523" s="27">
        <f t="shared" si="6"/>
        <v>693977</v>
      </c>
    </row>
    <row r="2524" hidden="1">
      <c r="A2524" s="3" t="str">
        <f t="shared" si="3"/>
        <v/>
      </c>
      <c r="B2524" s="2" t="str">
        <f t="array" ref="B2524">INDEX(helper!$A$3:$A3996,ROUNDUP((ROW()-1)/COUNTA(helper!$D$3:$D3996),0))</f>
        <v/>
      </c>
      <c r="C2524" s="5" t="str">
        <f t="array" ref="C2524">IF(B2524="","",INDEX(helper!$D$3:$D3996,MOD(ROW()-2,COUNTA(helper!$D$3:$D3996))+1))</f>
        <v/>
      </c>
      <c r="D2524" s="3" t="str">
        <f t="array" ref="D2524">IF(B2524="","",INDEX(helper!$E$3:$E3996,MOD(ROW()-2,COUNTA(helper!$D$3:$D3996))+1))</f>
        <v/>
      </c>
      <c r="E2524" s="3" t="str">
        <f t="array" ref="E2524">IF(B2524="","",INDEX(helper!$F$3:$F3996,MOD(ROW()-2,COUNTA(helper!$D$3:$D3996))+1))</f>
        <v/>
      </c>
      <c r="F2524" s="3" t="str">
        <f>IF(B2524="","",SUMIFS('inventory ledger'!$H:$H,'inventory ledger'!$C:$C,C2524,'inventory ledger'!$D:$D,D2524,'inventory ledger'!$E:$E,E2524,'inventory ledger'!$A:$A,"&lt;="&amp;B2524+TIME(23,59,59))-SUMIFS('inventory ledger'!$I:$I,'inventory ledger'!$C:$C,C2524,'inventory ledger'!$D:$D,D2524,'inventory ledger'!$E:$E,E2524,'inventory ledger'!$A:$A,"&lt;="&amp;B2524+TIME(23,59,59)))</f>
        <v/>
      </c>
      <c r="G2524" s="3">
        <f>IFERROR(__xludf.DUMMYFUNCTION("IF(F2524&lt;=0,0,IFERROR(ROUNDUP(F2524/INDEX(FILTER('warehouse config'!$D:$D,('warehouse config'!$B:$B=C2524)*('warehouse config'!$C:$C=D2524)*('warehouse config'!$G:$G&lt;=B2524)*(('warehouse config'!$H:$H&gt;=B2524)+ISBLANK('warehouse config'!$H:$H))),1)),0))"),0.0)</f>
        <v>0</v>
      </c>
      <c r="H2524" s="3">
        <f>IFERROR(__xludf.DUMMYFUNCTION("IFERROR(INDEX(FILTER('cost master'!$E:$E,('cost master'!$B:$B=C2524)*('cost master'!$D:$D=""Storage cost per pallet / week"")*('cost master'!$G:$G&lt;=B2524)*(('cost master'!$H:$H&gt;=B2524)+ISBLANK('cost master'!$H:$H))),1),0)"),0.0)</f>
        <v>0</v>
      </c>
      <c r="I2524" s="3">
        <f t="shared" si="4"/>
        <v>0</v>
      </c>
      <c r="J2524" s="27">
        <f t="shared" si="5"/>
        <v>693947</v>
      </c>
      <c r="K2524" s="27">
        <f t="shared" si="6"/>
        <v>693977</v>
      </c>
    </row>
    <row r="2525" hidden="1">
      <c r="A2525" s="3" t="str">
        <f t="shared" si="3"/>
        <v/>
      </c>
      <c r="B2525" s="2" t="str">
        <f t="array" ref="B2525">INDEX(helper!$A$3:$A3996,ROUNDUP((ROW()-1)/COUNTA(helper!$D$3:$D3996),0))</f>
        <v/>
      </c>
      <c r="C2525" s="5" t="str">
        <f t="array" ref="C2525">IF(B2525="","",INDEX(helper!$D$3:$D3996,MOD(ROW()-2,COUNTA(helper!$D$3:$D3996))+1))</f>
        <v/>
      </c>
      <c r="D2525" s="3" t="str">
        <f t="array" ref="D2525">IF(B2525="","",INDEX(helper!$E$3:$E3996,MOD(ROW()-2,COUNTA(helper!$D$3:$D3996))+1))</f>
        <v/>
      </c>
      <c r="E2525" s="3" t="str">
        <f t="array" ref="E2525">IF(B2525="","",INDEX(helper!$F$3:$F3996,MOD(ROW()-2,COUNTA(helper!$D$3:$D3996))+1))</f>
        <v/>
      </c>
      <c r="F2525" s="3" t="str">
        <f>IF(B2525="","",SUMIFS('inventory ledger'!$H:$H,'inventory ledger'!$C:$C,C2525,'inventory ledger'!$D:$D,D2525,'inventory ledger'!$E:$E,E2525,'inventory ledger'!$A:$A,"&lt;="&amp;B2525+TIME(23,59,59))-SUMIFS('inventory ledger'!$I:$I,'inventory ledger'!$C:$C,C2525,'inventory ledger'!$D:$D,D2525,'inventory ledger'!$E:$E,E2525,'inventory ledger'!$A:$A,"&lt;="&amp;B2525+TIME(23,59,59)))</f>
        <v/>
      </c>
      <c r="G2525" s="3">
        <f>IFERROR(__xludf.DUMMYFUNCTION("IF(F2525&lt;=0,0,IFERROR(ROUNDUP(F2525/INDEX(FILTER('warehouse config'!$D:$D,('warehouse config'!$B:$B=C2525)*('warehouse config'!$C:$C=D2525)*('warehouse config'!$G:$G&lt;=B2525)*(('warehouse config'!$H:$H&gt;=B2525)+ISBLANK('warehouse config'!$H:$H))),1)),0))"),0.0)</f>
        <v>0</v>
      </c>
      <c r="H2525" s="3">
        <f>IFERROR(__xludf.DUMMYFUNCTION("IFERROR(INDEX(FILTER('cost master'!$E:$E,('cost master'!$B:$B=C2525)*('cost master'!$D:$D=""Storage cost per pallet / week"")*('cost master'!$G:$G&lt;=B2525)*(('cost master'!$H:$H&gt;=B2525)+ISBLANK('cost master'!$H:$H))),1),0)"),0.0)</f>
        <v>0</v>
      </c>
      <c r="I2525" s="3">
        <f t="shared" si="4"/>
        <v>0</v>
      </c>
      <c r="J2525" s="27">
        <f t="shared" si="5"/>
        <v>693947</v>
      </c>
      <c r="K2525" s="27">
        <f t="shared" si="6"/>
        <v>693977</v>
      </c>
    </row>
    <row r="2526" hidden="1">
      <c r="A2526" s="3" t="str">
        <f t="shared" si="3"/>
        <v/>
      </c>
      <c r="B2526" s="2" t="str">
        <f t="array" ref="B2526">INDEX(helper!$A$3:$A3996,ROUNDUP((ROW()-1)/COUNTA(helper!$D$3:$D3996),0))</f>
        <v/>
      </c>
      <c r="C2526" s="5" t="str">
        <f t="array" ref="C2526">IF(B2526="","",INDEX(helper!$D$3:$D3996,MOD(ROW()-2,COUNTA(helper!$D$3:$D3996))+1))</f>
        <v/>
      </c>
      <c r="D2526" s="3" t="str">
        <f t="array" ref="D2526">IF(B2526="","",INDEX(helper!$E$3:$E3996,MOD(ROW()-2,COUNTA(helper!$D$3:$D3996))+1))</f>
        <v/>
      </c>
      <c r="E2526" s="3" t="str">
        <f t="array" ref="E2526">IF(B2526="","",INDEX(helper!$F$3:$F3996,MOD(ROW()-2,COUNTA(helper!$D$3:$D3996))+1))</f>
        <v/>
      </c>
      <c r="F2526" s="3" t="str">
        <f>IF(B2526="","",SUMIFS('inventory ledger'!$H:$H,'inventory ledger'!$C:$C,C2526,'inventory ledger'!$D:$D,D2526,'inventory ledger'!$E:$E,E2526,'inventory ledger'!$A:$A,"&lt;="&amp;B2526+TIME(23,59,59))-SUMIFS('inventory ledger'!$I:$I,'inventory ledger'!$C:$C,C2526,'inventory ledger'!$D:$D,D2526,'inventory ledger'!$E:$E,E2526,'inventory ledger'!$A:$A,"&lt;="&amp;B2526+TIME(23,59,59)))</f>
        <v/>
      </c>
      <c r="G2526" s="3">
        <f>IFERROR(__xludf.DUMMYFUNCTION("IF(F2526&lt;=0,0,IFERROR(ROUNDUP(F2526/INDEX(FILTER('warehouse config'!$D:$D,('warehouse config'!$B:$B=C2526)*('warehouse config'!$C:$C=D2526)*('warehouse config'!$G:$G&lt;=B2526)*(('warehouse config'!$H:$H&gt;=B2526)+ISBLANK('warehouse config'!$H:$H))),1)),0))"),0.0)</f>
        <v>0</v>
      </c>
      <c r="H2526" s="3">
        <f>IFERROR(__xludf.DUMMYFUNCTION("IFERROR(INDEX(FILTER('cost master'!$E:$E,('cost master'!$B:$B=C2526)*('cost master'!$D:$D=""Storage cost per pallet / week"")*('cost master'!$G:$G&lt;=B2526)*(('cost master'!$H:$H&gt;=B2526)+ISBLANK('cost master'!$H:$H))),1),0)"),0.0)</f>
        <v>0</v>
      </c>
      <c r="I2526" s="3">
        <f t="shared" si="4"/>
        <v>0</v>
      </c>
      <c r="J2526" s="27">
        <f t="shared" si="5"/>
        <v>693947</v>
      </c>
      <c r="K2526" s="27">
        <f t="shared" si="6"/>
        <v>693977</v>
      </c>
    </row>
    <row r="2527" hidden="1">
      <c r="A2527" s="3" t="str">
        <f t="shared" si="3"/>
        <v/>
      </c>
      <c r="B2527" s="2" t="str">
        <f t="array" ref="B2527">INDEX(helper!$A$3:$A3996,ROUNDUP((ROW()-1)/COUNTA(helper!$D$3:$D3996),0))</f>
        <v/>
      </c>
      <c r="C2527" s="5" t="str">
        <f t="array" ref="C2527">IF(B2527="","",INDEX(helper!$D$3:$D3996,MOD(ROW()-2,COUNTA(helper!$D$3:$D3996))+1))</f>
        <v/>
      </c>
      <c r="D2527" s="3" t="str">
        <f t="array" ref="D2527">IF(B2527="","",INDEX(helper!$E$3:$E3996,MOD(ROW()-2,COUNTA(helper!$D$3:$D3996))+1))</f>
        <v/>
      </c>
      <c r="E2527" s="3" t="str">
        <f t="array" ref="E2527">IF(B2527="","",INDEX(helper!$F$3:$F3996,MOD(ROW()-2,COUNTA(helper!$D$3:$D3996))+1))</f>
        <v/>
      </c>
      <c r="F2527" s="3" t="str">
        <f>IF(B2527="","",SUMIFS('inventory ledger'!$H:$H,'inventory ledger'!$C:$C,C2527,'inventory ledger'!$D:$D,D2527,'inventory ledger'!$E:$E,E2527,'inventory ledger'!$A:$A,"&lt;="&amp;B2527+TIME(23,59,59))-SUMIFS('inventory ledger'!$I:$I,'inventory ledger'!$C:$C,C2527,'inventory ledger'!$D:$D,D2527,'inventory ledger'!$E:$E,E2527,'inventory ledger'!$A:$A,"&lt;="&amp;B2527+TIME(23,59,59)))</f>
        <v/>
      </c>
      <c r="G2527" s="3">
        <f>IFERROR(__xludf.DUMMYFUNCTION("IF(F2527&lt;=0,0,IFERROR(ROUNDUP(F2527/INDEX(FILTER('warehouse config'!$D:$D,('warehouse config'!$B:$B=C2527)*('warehouse config'!$C:$C=D2527)*('warehouse config'!$G:$G&lt;=B2527)*(('warehouse config'!$H:$H&gt;=B2527)+ISBLANK('warehouse config'!$H:$H))),1)),0))"),0.0)</f>
        <v>0</v>
      </c>
      <c r="H2527" s="3">
        <f>IFERROR(__xludf.DUMMYFUNCTION("IFERROR(INDEX(FILTER('cost master'!$E:$E,('cost master'!$B:$B=C2527)*('cost master'!$D:$D=""Storage cost per pallet / week"")*('cost master'!$G:$G&lt;=B2527)*(('cost master'!$H:$H&gt;=B2527)+ISBLANK('cost master'!$H:$H))),1),0)"),0.0)</f>
        <v>0</v>
      </c>
      <c r="I2527" s="3">
        <f t="shared" si="4"/>
        <v>0</v>
      </c>
      <c r="J2527" s="27">
        <f t="shared" si="5"/>
        <v>693947</v>
      </c>
      <c r="K2527" s="27">
        <f t="shared" si="6"/>
        <v>693977</v>
      </c>
    </row>
    <row r="2528" hidden="1">
      <c r="A2528" s="3" t="str">
        <f t="shared" si="3"/>
        <v/>
      </c>
      <c r="B2528" s="2" t="str">
        <f t="array" ref="B2528">INDEX(helper!$A$3:$A3996,ROUNDUP((ROW()-1)/COUNTA(helper!$D$3:$D3996),0))</f>
        <v/>
      </c>
      <c r="C2528" s="5" t="str">
        <f t="array" ref="C2528">IF(B2528="","",INDEX(helper!$D$3:$D3996,MOD(ROW()-2,COUNTA(helper!$D$3:$D3996))+1))</f>
        <v/>
      </c>
      <c r="D2528" s="3" t="str">
        <f t="array" ref="D2528">IF(B2528="","",INDEX(helper!$E$3:$E3996,MOD(ROW()-2,COUNTA(helper!$D$3:$D3996))+1))</f>
        <v/>
      </c>
      <c r="E2528" s="3" t="str">
        <f t="array" ref="E2528">IF(B2528="","",INDEX(helper!$F$3:$F3996,MOD(ROW()-2,COUNTA(helper!$D$3:$D3996))+1))</f>
        <v/>
      </c>
      <c r="F2528" s="3" t="str">
        <f>IF(B2528="","",SUMIFS('inventory ledger'!$H:$H,'inventory ledger'!$C:$C,C2528,'inventory ledger'!$D:$D,D2528,'inventory ledger'!$E:$E,E2528,'inventory ledger'!$A:$A,"&lt;="&amp;B2528+TIME(23,59,59))-SUMIFS('inventory ledger'!$I:$I,'inventory ledger'!$C:$C,C2528,'inventory ledger'!$D:$D,D2528,'inventory ledger'!$E:$E,E2528,'inventory ledger'!$A:$A,"&lt;="&amp;B2528+TIME(23,59,59)))</f>
        <v/>
      </c>
      <c r="G2528" s="3">
        <f>IFERROR(__xludf.DUMMYFUNCTION("IF(F2528&lt;=0,0,IFERROR(ROUNDUP(F2528/INDEX(FILTER('warehouse config'!$D:$D,('warehouse config'!$B:$B=C2528)*('warehouse config'!$C:$C=D2528)*('warehouse config'!$G:$G&lt;=B2528)*(('warehouse config'!$H:$H&gt;=B2528)+ISBLANK('warehouse config'!$H:$H))),1)),0))"),0.0)</f>
        <v>0</v>
      </c>
      <c r="H2528" s="3">
        <f>IFERROR(__xludf.DUMMYFUNCTION("IFERROR(INDEX(FILTER('cost master'!$E:$E,('cost master'!$B:$B=C2528)*('cost master'!$D:$D=""Storage cost per pallet / week"")*('cost master'!$G:$G&lt;=B2528)*(('cost master'!$H:$H&gt;=B2528)+ISBLANK('cost master'!$H:$H))),1),0)"),0.0)</f>
        <v>0</v>
      </c>
      <c r="I2528" s="3">
        <f t="shared" si="4"/>
        <v>0</v>
      </c>
      <c r="J2528" s="27">
        <f t="shared" si="5"/>
        <v>693947</v>
      </c>
      <c r="K2528" s="27">
        <f t="shared" si="6"/>
        <v>693977</v>
      </c>
    </row>
    <row r="2529" hidden="1">
      <c r="A2529" s="3" t="str">
        <f t="shared" si="3"/>
        <v/>
      </c>
      <c r="B2529" s="2" t="str">
        <f t="array" ref="B2529">INDEX(helper!$A$3:$A3996,ROUNDUP((ROW()-1)/COUNTA(helper!$D$3:$D3996),0))</f>
        <v/>
      </c>
      <c r="C2529" s="5" t="str">
        <f t="array" ref="C2529">IF(B2529="","",INDEX(helper!$D$3:$D3996,MOD(ROW()-2,COUNTA(helper!$D$3:$D3996))+1))</f>
        <v/>
      </c>
      <c r="D2529" s="3" t="str">
        <f t="array" ref="D2529">IF(B2529="","",INDEX(helper!$E$3:$E3996,MOD(ROW()-2,COUNTA(helper!$D$3:$D3996))+1))</f>
        <v/>
      </c>
      <c r="E2529" s="3" t="str">
        <f t="array" ref="E2529">IF(B2529="","",INDEX(helper!$F$3:$F3996,MOD(ROW()-2,COUNTA(helper!$D$3:$D3996))+1))</f>
        <v/>
      </c>
      <c r="F2529" s="3" t="str">
        <f>IF(B2529="","",SUMIFS('inventory ledger'!$H:$H,'inventory ledger'!$C:$C,C2529,'inventory ledger'!$D:$D,D2529,'inventory ledger'!$E:$E,E2529,'inventory ledger'!$A:$A,"&lt;="&amp;B2529+TIME(23,59,59))-SUMIFS('inventory ledger'!$I:$I,'inventory ledger'!$C:$C,C2529,'inventory ledger'!$D:$D,D2529,'inventory ledger'!$E:$E,E2529,'inventory ledger'!$A:$A,"&lt;="&amp;B2529+TIME(23,59,59)))</f>
        <v/>
      </c>
      <c r="G2529" s="3">
        <f>IFERROR(__xludf.DUMMYFUNCTION("IF(F2529&lt;=0,0,IFERROR(ROUNDUP(F2529/INDEX(FILTER('warehouse config'!$D:$D,('warehouse config'!$B:$B=C2529)*('warehouse config'!$C:$C=D2529)*('warehouse config'!$G:$G&lt;=B2529)*(('warehouse config'!$H:$H&gt;=B2529)+ISBLANK('warehouse config'!$H:$H))),1)),0))"),0.0)</f>
        <v>0</v>
      </c>
      <c r="H2529" s="3">
        <f>IFERROR(__xludf.DUMMYFUNCTION("IFERROR(INDEX(FILTER('cost master'!$E:$E,('cost master'!$B:$B=C2529)*('cost master'!$D:$D=""Storage cost per pallet / week"")*('cost master'!$G:$G&lt;=B2529)*(('cost master'!$H:$H&gt;=B2529)+ISBLANK('cost master'!$H:$H))),1),0)"),0.0)</f>
        <v>0</v>
      </c>
      <c r="I2529" s="3">
        <f t="shared" si="4"/>
        <v>0</v>
      </c>
      <c r="J2529" s="27">
        <f t="shared" si="5"/>
        <v>693947</v>
      </c>
      <c r="K2529" s="27">
        <f t="shared" si="6"/>
        <v>693977</v>
      </c>
    </row>
    <row r="2530" hidden="1">
      <c r="A2530" s="3" t="str">
        <f t="shared" si="3"/>
        <v/>
      </c>
      <c r="B2530" s="2" t="str">
        <f t="array" ref="B2530">INDEX(helper!$A$3:$A3996,ROUNDUP((ROW()-1)/COUNTA(helper!$D$3:$D3996),0))</f>
        <v/>
      </c>
      <c r="C2530" s="5" t="str">
        <f t="array" ref="C2530">IF(B2530="","",INDEX(helper!$D$3:$D3996,MOD(ROW()-2,COUNTA(helper!$D$3:$D3996))+1))</f>
        <v/>
      </c>
      <c r="D2530" s="3" t="str">
        <f t="array" ref="D2530">IF(B2530="","",INDEX(helper!$E$3:$E3996,MOD(ROW()-2,COUNTA(helper!$D$3:$D3996))+1))</f>
        <v/>
      </c>
      <c r="E2530" s="3" t="str">
        <f t="array" ref="E2530">IF(B2530="","",INDEX(helper!$F$3:$F3996,MOD(ROW()-2,COUNTA(helper!$D$3:$D3996))+1))</f>
        <v/>
      </c>
      <c r="F2530" s="3" t="str">
        <f>IF(B2530="","",SUMIFS('inventory ledger'!$H:$H,'inventory ledger'!$C:$C,C2530,'inventory ledger'!$D:$D,D2530,'inventory ledger'!$E:$E,E2530,'inventory ledger'!$A:$A,"&lt;="&amp;B2530+TIME(23,59,59))-SUMIFS('inventory ledger'!$I:$I,'inventory ledger'!$C:$C,C2530,'inventory ledger'!$D:$D,D2530,'inventory ledger'!$E:$E,E2530,'inventory ledger'!$A:$A,"&lt;="&amp;B2530+TIME(23,59,59)))</f>
        <v/>
      </c>
      <c r="G2530" s="3">
        <f>IFERROR(__xludf.DUMMYFUNCTION("IF(F2530&lt;=0,0,IFERROR(ROUNDUP(F2530/INDEX(FILTER('warehouse config'!$D:$D,('warehouse config'!$B:$B=C2530)*('warehouse config'!$C:$C=D2530)*('warehouse config'!$G:$G&lt;=B2530)*(('warehouse config'!$H:$H&gt;=B2530)+ISBLANK('warehouse config'!$H:$H))),1)),0))"),0.0)</f>
        <v>0</v>
      </c>
      <c r="H2530" s="3">
        <f>IFERROR(__xludf.DUMMYFUNCTION("IFERROR(INDEX(FILTER('cost master'!$E:$E,('cost master'!$B:$B=C2530)*('cost master'!$D:$D=""Storage cost per pallet / week"")*('cost master'!$G:$G&lt;=B2530)*(('cost master'!$H:$H&gt;=B2530)+ISBLANK('cost master'!$H:$H))),1),0)"),0.0)</f>
        <v>0</v>
      </c>
      <c r="I2530" s="3">
        <f t="shared" si="4"/>
        <v>0</v>
      </c>
      <c r="J2530" s="27">
        <f t="shared" si="5"/>
        <v>693947</v>
      </c>
      <c r="K2530" s="27">
        <f t="shared" si="6"/>
        <v>693977</v>
      </c>
    </row>
    <row r="2531" hidden="1">
      <c r="A2531" s="3" t="str">
        <f t="shared" si="3"/>
        <v/>
      </c>
      <c r="B2531" s="2" t="str">
        <f t="array" ref="B2531">INDEX(helper!$A$3:$A3996,ROUNDUP((ROW()-1)/COUNTA(helper!$D$3:$D3996),0))</f>
        <v/>
      </c>
      <c r="C2531" s="5" t="str">
        <f t="array" ref="C2531">IF(B2531="","",INDEX(helper!$D$3:$D3996,MOD(ROW()-2,COUNTA(helper!$D$3:$D3996))+1))</f>
        <v/>
      </c>
      <c r="D2531" s="3" t="str">
        <f t="array" ref="D2531">IF(B2531="","",INDEX(helper!$E$3:$E3996,MOD(ROW()-2,COUNTA(helper!$D$3:$D3996))+1))</f>
        <v/>
      </c>
      <c r="E2531" s="3" t="str">
        <f t="array" ref="E2531">IF(B2531="","",INDEX(helper!$F$3:$F3996,MOD(ROW()-2,COUNTA(helper!$D$3:$D3996))+1))</f>
        <v/>
      </c>
      <c r="F2531" s="3" t="str">
        <f>IF(B2531="","",SUMIFS('inventory ledger'!$H:$H,'inventory ledger'!$C:$C,C2531,'inventory ledger'!$D:$D,D2531,'inventory ledger'!$E:$E,E2531,'inventory ledger'!$A:$A,"&lt;="&amp;B2531+TIME(23,59,59))-SUMIFS('inventory ledger'!$I:$I,'inventory ledger'!$C:$C,C2531,'inventory ledger'!$D:$D,D2531,'inventory ledger'!$E:$E,E2531,'inventory ledger'!$A:$A,"&lt;="&amp;B2531+TIME(23,59,59)))</f>
        <v/>
      </c>
      <c r="G2531" s="3">
        <f>IFERROR(__xludf.DUMMYFUNCTION("IF(F2531&lt;=0,0,IFERROR(ROUNDUP(F2531/INDEX(FILTER('warehouse config'!$D:$D,('warehouse config'!$B:$B=C2531)*('warehouse config'!$C:$C=D2531)*('warehouse config'!$G:$G&lt;=B2531)*(('warehouse config'!$H:$H&gt;=B2531)+ISBLANK('warehouse config'!$H:$H))),1)),0))"),0.0)</f>
        <v>0</v>
      </c>
      <c r="H2531" s="3">
        <f>IFERROR(__xludf.DUMMYFUNCTION("IFERROR(INDEX(FILTER('cost master'!$E:$E,('cost master'!$B:$B=C2531)*('cost master'!$D:$D=""Storage cost per pallet / week"")*('cost master'!$G:$G&lt;=B2531)*(('cost master'!$H:$H&gt;=B2531)+ISBLANK('cost master'!$H:$H))),1),0)"),0.0)</f>
        <v>0</v>
      </c>
      <c r="I2531" s="3">
        <f t="shared" si="4"/>
        <v>0</v>
      </c>
      <c r="J2531" s="27">
        <f t="shared" si="5"/>
        <v>693947</v>
      </c>
      <c r="K2531" s="27">
        <f t="shared" si="6"/>
        <v>693977</v>
      </c>
    </row>
    <row r="2532" hidden="1">
      <c r="A2532" s="3" t="str">
        <f t="shared" si="3"/>
        <v/>
      </c>
      <c r="B2532" s="2" t="str">
        <f t="array" ref="B2532">INDEX(helper!$A$3:$A3996,ROUNDUP((ROW()-1)/COUNTA(helper!$D$3:$D3996),0))</f>
        <v/>
      </c>
      <c r="C2532" s="5" t="str">
        <f t="array" ref="C2532">IF(B2532="","",INDEX(helper!$D$3:$D3996,MOD(ROW()-2,COUNTA(helper!$D$3:$D3996))+1))</f>
        <v/>
      </c>
      <c r="D2532" s="3" t="str">
        <f t="array" ref="D2532">IF(B2532="","",INDEX(helper!$E$3:$E3996,MOD(ROW()-2,COUNTA(helper!$D$3:$D3996))+1))</f>
        <v/>
      </c>
      <c r="E2532" s="3" t="str">
        <f t="array" ref="E2532">IF(B2532="","",INDEX(helper!$F$3:$F3996,MOD(ROW()-2,COUNTA(helper!$D$3:$D3996))+1))</f>
        <v/>
      </c>
      <c r="F2532" s="3" t="str">
        <f>IF(B2532="","",SUMIFS('inventory ledger'!$H:$H,'inventory ledger'!$C:$C,C2532,'inventory ledger'!$D:$D,D2532,'inventory ledger'!$E:$E,E2532,'inventory ledger'!$A:$A,"&lt;="&amp;B2532+TIME(23,59,59))-SUMIFS('inventory ledger'!$I:$I,'inventory ledger'!$C:$C,C2532,'inventory ledger'!$D:$D,D2532,'inventory ledger'!$E:$E,E2532,'inventory ledger'!$A:$A,"&lt;="&amp;B2532+TIME(23,59,59)))</f>
        <v/>
      </c>
      <c r="G2532" s="3">
        <f>IFERROR(__xludf.DUMMYFUNCTION("IF(F2532&lt;=0,0,IFERROR(ROUNDUP(F2532/INDEX(FILTER('warehouse config'!$D:$D,('warehouse config'!$B:$B=C2532)*('warehouse config'!$C:$C=D2532)*('warehouse config'!$G:$G&lt;=B2532)*(('warehouse config'!$H:$H&gt;=B2532)+ISBLANK('warehouse config'!$H:$H))),1)),0))"),0.0)</f>
        <v>0</v>
      </c>
      <c r="H2532" s="3">
        <f>IFERROR(__xludf.DUMMYFUNCTION("IFERROR(INDEX(FILTER('cost master'!$E:$E,('cost master'!$B:$B=C2532)*('cost master'!$D:$D=""Storage cost per pallet / week"")*('cost master'!$G:$G&lt;=B2532)*(('cost master'!$H:$H&gt;=B2532)+ISBLANK('cost master'!$H:$H))),1),0)"),0.0)</f>
        <v>0</v>
      </c>
      <c r="I2532" s="3">
        <f t="shared" si="4"/>
        <v>0</v>
      </c>
      <c r="J2532" s="27">
        <f t="shared" si="5"/>
        <v>693947</v>
      </c>
      <c r="K2532" s="27">
        <f t="shared" si="6"/>
        <v>693977</v>
      </c>
    </row>
    <row r="2533" hidden="1">
      <c r="A2533" s="3" t="str">
        <f t="shared" si="3"/>
        <v/>
      </c>
      <c r="B2533" s="2" t="str">
        <f t="array" ref="B2533">INDEX(helper!$A$3:$A3996,ROUNDUP((ROW()-1)/COUNTA(helper!$D$3:$D3996),0))</f>
        <v/>
      </c>
      <c r="C2533" s="5" t="str">
        <f t="array" ref="C2533">IF(B2533="","",INDEX(helper!$D$3:$D3996,MOD(ROW()-2,COUNTA(helper!$D$3:$D3996))+1))</f>
        <v/>
      </c>
      <c r="D2533" s="3" t="str">
        <f t="array" ref="D2533">IF(B2533="","",INDEX(helper!$E$3:$E3996,MOD(ROW()-2,COUNTA(helper!$D$3:$D3996))+1))</f>
        <v/>
      </c>
      <c r="E2533" s="3" t="str">
        <f t="array" ref="E2533">IF(B2533="","",INDEX(helper!$F$3:$F3996,MOD(ROW()-2,COUNTA(helper!$D$3:$D3996))+1))</f>
        <v/>
      </c>
      <c r="F2533" s="3" t="str">
        <f>IF(B2533="","",SUMIFS('inventory ledger'!$H:$H,'inventory ledger'!$C:$C,C2533,'inventory ledger'!$D:$D,D2533,'inventory ledger'!$E:$E,E2533,'inventory ledger'!$A:$A,"&lt;="&amp;B2533+TIME(23,59,59))-SUMIFS('inventory ledger'!$I:$I,'inventory ledger'!$C:$C,C2533,'inventory ledger'!$D:$D,D2533,'inventory ledger'!$E:$E,E2533,'inventory ledger'!$A:$A,"&lt;="&amp;B2533+TIME(23,59,59)))</f>
        <v/>
      </c>
      <c r="G2533" s="3">
        <f>IFERROR(__xludf.DUMMYFUNCTION("IF(F2533&lt;=0,0,IFERROR(ROUNDUP(F2533/INDEX(FILTER('warehouse config'!$D:$D,('warehouse config'!$B:$B=C2533)*('warehouse config'!$C:$C=D2533)*('warehouse config'!$G:$G&lt;=B2533)*(('warehouse config'!$H:$H&gt;=B2533)+ISBLANK('warehouse config'!$H:$H))),1)),0))"),0.0)</f>
        <v>0</v>
      </c>
      <c r="H2533" s="3">
        <f>IFERROR(__xludf.DUMMYFUNCTION("IFERROR(INDEX(FILTER('cost master'!$E:$E,('cost master'!$B:$B=C2533)*('cost master'!$D:$D=""Storage cost per pallet / week"")*('cost master'!$G:$G&lt;=B2533)*(('cost master'!$H:$H&gt;=B2533)+ISBLANK('cost master'!$H:$H))),1),0)"),0.0)</f>
        <v>0</v>
      </c>
      <c r="I2533" s="3">
        <f t="shared" si="4"/>
        <v>0</v>
      </c>
      <c r="J2533" s="27">
        <f t="shared" si="5"/>
        <v>693947</v>
      </c>
      <c r="K2533" s="27">
        <f t="shared" si="6"/>
        <v>693977</v>
      </c>
    </row>
    <row r="2534" hidden="1">
      <c r="A2534" s="3" t="str">
        <f t="shared" si="3"/>
        <v/>
      </c>
      <c r="B2534" s="2" t="str">
        <f t="array" ref="B2534">INDEX(helper!$A$3:$A3996,ROUNDUP((ROW()-1)/COUNTA(helper!$D$3:$D3996),0))</f>
        <v/>
      </c>
      <c r="C2534" s="5" t="str">
        <f t="array" ref="C2534">IF(B2534="","",INDEX(helper!$D$3:$D3996,MOD(ROW()-2,COUNTA(helper!$D$3:$D3996))+1))</f>
        <v/>
      </c>
      <c r="D2534" s="3" t="str">
        <f t="array" ref="D2534">IF(B2534="","",INDEX(helper!$E$3:$E3996,MOD(ROW()-2,COUNTA(helper!$D$3:$D3996))+1))</f>
        <v/>
      </c>
      <c r="E2534" s="3" t="str">
        <f t="array" ref="E2534">IF(B2534="","",INDEX(helper!$F$3:$F3996,MOD(ROW()-2,COUNTA(helper!$D$3:$D3996))+1))</f>
        <v/>
      </c>
      <c r="F2534" s="3" t="str">
        <f>IF(B2534="","",SUMIFS('inventory ledger'!$H:$H,'inventory ledger'!$C:$C,C2534,'inventory ledger'!$D:$D,D2534,'inventory ledger'!$E:$E,E2534,'inventory ledger'!$A:$A,"&lt;="&amp;B2534+TIME(23,59,59))-SUMIFS('inventory ledger'!$I:$I,'inventory ledger'!$C:$C,C2534,'inventory ledger'!$D:$D,D2534,'inventory ledger'!$E:$E,E2534,'inventory ledger'!$A:$A,"&lt;="&amp;B2534+TIME(23,59,59)))</f>
        <v/>
      </c>
      <c r="G2534" s="3">
        <f>IFERROR(__xludf.DUMMYFUNCTION("IF(F2534&lt;=0,0,IFERROR(ROUNDUP(F2534/INDEX(FILTER('warehouse config'!$D:$D,('warehouse config'!$B:$B=C2534)*('warehouse config'!$C:$C=D2534)*('warehouse config'!$G:$G&lt;=B2534)*(('warehouse config'!$H:$H&gt;=B2534)+ISBLANK('warehouse config'!$H:$H))),1)),0))"),0.0)</f>
        <v>0</v>
      </c>
      <c r="H2534" s="3">
        <f>IFERROR(__xludf.DUMMYFUNCTION("IFERROR(INDEX(FILTER('cost master'!$E:$E,('cost master'!$B:$B=C2534)*('cost master'!$D:$D=""Storage cost per pallet / week"")*('cost master'!$G:$G&lt;=B2534)*(('cost master'!$H:$H&gt;=B2534)+ISBLANK('cost master'!$H:$H))),1),0)"),0.0)</f>
        <v>0</v>
      </c>
      <c r="I2534" s="3">
        <f t="shared" si="4"/>
        <v>0</v>
      </c>
      <c r="J2534" s="27">
        <f t="shared" si="5"/>
        <v>693947</v>
      </c>
      <c r="K2534" s="27">
        <f t="shared" si="6"/>
        <v>693977</v>
      </c>
    </row>
    <row r="2535" hidden="1">
      <c r="A2535" s="3" t="str">
        <f t="shared" si="3"/>
        <v/>
      </c>
      <c r="B2535" s="2" t="str">
        <f t="array" ref="B2535">INDEX(helper!$A$3:$A3996,ROUNDUP((ROW()-1)/COUNTA(helper!$D$3:$D3996),0))</f>
        <v/>
      </c>
      <c r="C2535" s="5" t="str">
        <f t="array" ref="C2535">IF(B2535="","",INDEX(helper!$D$3:$D3996,MOD(ROW()-2,COUNTA(helper!$D$3:$D3996))+1))</f>
        <v/>
      </c>
      <c r="D2535" s="3" t="str">
        <f t="array" ref="D2535">IF(B2535="","",INDEX(helper!$E$3:$E3996,MOD(ROW()-2,COUNTA(helper!$D$3:$D3996))+1))</f>
        <v/>
      </c>
      <c r="E2535" s="3" t="str">
        <f t="array" ref="E2535">IF(B2535="","",INDEX(helper!$F$3:$F3996,MOD(ROW()-2,COUNTA(helper!$D$3:$D3996))+1))</f>
        <v/>
      </c>
      <c r="F2535" s="3" t="str">
        <f>IF(B2535="","",SUMIFS('inventory ledger'!$H:$H,'inventory ledger'!$C:$C,C2535,'inventory ledger'!$D:$D,D2535,'inventory ledger'!$E:$E,E2535,'inventory ledger'!$A:$A,"&lt;="&amp;B2535+TIME(23,59,59))-SUMIFS('inventory ledger'!$I:$I,'inventory ledger'!$C:$C,C2535,'inventory ledger'!$D:$D,D2535,'inventory ledger'!$E:$E,E2535,'inventory ledger'!$A:$A,"&lt;="&amp;B2535+TIME(23,59,59)))</f>
        <v/>
      </c>
      <c r="G2535" s="3">
        <f>IFERROR(__xludf.DUMMYFUNCTION("IF(F2535&lt;=0,0,IFERROR(ROUNDUP(F2535/INDEX(FILTER('warehouse config'!$D:$D,('warehouse config'!$B:$B=C2535)*('warehouse config'!$C:$C=D2535)*('warehouse config'!$G:$G&lt;=B2535)*(('warehouse config'!$H:$H&gt;=B2535)+ISBLANK('warehouse config'!$H:$H))),1)),0))"),0.0)</f>
        <v>0</v>
      </c>
      <c r="H2535" s="3">
        <f>IFERROR(__xludf.DUMMYFUNCTION("IFERROR(INDEX(FILTER('cost master'!$E:$E,('cost master'!$B:$B=C2535)*('cost master'!$D:$D=""Storage cost per pallet / week"")*('cost master'!$G:$G&lt;=B2535)*(('cost master'!$H:$H&gt;=B2535)+ISBLANK('cost master'!$H:$H))),1),0)"),0.0)</f>
        <v>0</v>
      </c>
      <c r="I2535" s="3">
        <f t="shared" si="4"/>
        <v>0</v>
      </c>
      <c r="J2535" s="27">
        <f t="shared" si="5"/>
        <v>693947</v>
      </c>
      <c r="K2535" s="27">
        <f t="shared" si="6"/>
        <v>693977</v>
      </c>
    </row>
    <row r="2536" hidden="1">
      <c r="A2536" s="3" t="str">
        <f t="shared" si="3"/>
        <v/>
      </c>
      <c r="B2536" s="2" t="str">
        <f t="array" ref="B2536">INDEX(helper!$A$3:$A3996,ROUNDUP((ROW()-1)/COUNTA(helper!$D$3:$D3996),0))</f>
        <v/>
      </c>
      <c r="C2536" s="5" t="str">
        <f t="array" ref="C2536">IF(B2536="","",INDEX(helper!$D$3:$D3996,MOD(ROW()-2,COUNTA(helper!$D$3:$D3996))+1))</f>
        <v/>
      </c>
      <c r="D2536" s="3" t="str">
        <f t="array" ref="D2536">IF(B2536="","",INDEX(helper!$E$3:$E3996,MOD(ROW()-2,COUNTA(helper!$D$3:$D3996))+1))</f>
        <v/>
      </c>
      <c r="E2536" s="3" t="str">
        <f t="array" ref="E2536">IF(B2536="","",INDEX(helper!$F$3:$F3996,MOD(ROW()-2,COUNTA(helper!$D$3:$D3996))+1))</f>
        <v/>
      </c>
      <c r="F2536" s="3" t="str">
        <f>IF(B2536="","",SUMIFS('inventory ledger'!$H:$H,'inventory ledger'!$C:$C,C2536,'inventory ledger'!$D:$D,D2536,'inventory ledger'!$E:$E,E2536,'inventory ledger'!$A:$A,"&lt;="&amp;B2536+TIME(23,59,59))-SUMIFS('inventory ledger'!$I:$I,'inventory ledger'!$C:$C,C2536,'inventory ledger'!$D:$D,D2536,'inventory ledger'!$E:$E,E2536,'inventory ledger'!$A:$A,"&lt;="&amp;B2536+TIME(23,59,59)))</f>
        <v/>
      </c>
      <c r="G2536" s="3">
        <f>IFERROR(__xludf.DUMMYFUNCTION("IF(F2536&lt;=0,0,IFERROR(ROUNDUP(F2536/INDEX(FILTER('warehouse config'!$D:$D,('warehouse config'!$B:$B=C2536)*('warehouse config'!$C:$C=D2536)*('warehouse config'!$G:$G&lt;=B2536)*(('warehouse config'!$H:$H&gt;=B2536)+ISBLANK('warehouse config'!$H:$H))),1)),0))"),0.0)</f>
        <v>0</v>
      </c>
      <c r="H2536" s="3">
        <f>IFERROR(__xludf.DUMMYFUNCTION("IFERROR(INDEX(FILTER('cost master'!$E:$E,('cost master'!$B:$B=C2536)*('cost master'!$D:$D=""Storage cost per pallet / week"")*('cost master'!$G:$G&lt;=B2536)*(('cost master'!$H:$H&gt;=B2536)+ISBLANK('cost master'!$H:$H))),1),0)"),0.0)</f>
        <v>0</v>
      </c>
      <c r="I2536" s="3">
        <f t="shared" si="4"/>
        <v>0</v>
      </c>
      <c r="J2536" s="27">
        <f t="shared" si="5"/>
        <v>693947</v>
      </c>
      <c r="K2536" s="27">
        <f t="shared" si="6"/>
        <v>693977</v>
      </c>
    </row>
    <row r="2537" hidden="1">
      <c r="A2537" s="3" t="str">
        <f t="shared" si="3"/>
        <v/>
      </c>
      <c r="B2537" s="2" t="str">
        <f t="array" ref="B2537">INDEX(helper!$A$3:$A3996,ROUNDUP((ROW()-1)/COUNTA(helper!$D$3:$D3996),0))</f>
        <v/>
      </c>
      <c r="C2537" s="5" t="str">
        <f t="array" ref="C2537">IF(B2537="","",INDEX(helper!$D$3:$D3996,MOD(ROW()-2,COUNTA(helper!$D$3:$D3996))+1))</f>
        <v/>
      </c>
      <c r="D2537" s="3" t="str">
        <f t="array" ref="D2537">IF(B2537="","",INDEX(helper!$E$3:$E3996,MOD(ROW()-2,COUNTA(helper!$D$3:$D3996))+1))</f>
        <v/>
      </c>
      <c r="E2537" s="3" t="str">
        <f t="array" ref="E2537">IF(B2537="","",INDEX(helper!$F$3:$F3996,MOD(ROW()-2,COUNTA(helper!$D$3:$D3996))+1))</f>
        <v/>
      </c>
      <c r="F2537" s="3" t="str">
        <f>IF(B2537="","",SUMIFS('inventory ledger'!$H:$H,'inventory ledger'!$C:$C,C2537,'inventory ledger'!$D:$D,D2537,'inventory ledger'!$E:$E,E2537,'inventory ledger'!$A:$A,"&lt;="&amp;B2537+TIME(23,59,59))-SUMIFS('inventory ledger'!$I:$I,'inventory ledger'!$C:$C,C2537,'inventory ledger'!$D:$D,D2537,'inventory ledger'!$E:$E,E2537,'inventory ledger'!$A:$A,"&lt;="&amp;B2537+TIME(23,59,59)))</f>
        <v/>
      </c>
      <c r="G2537" s="3">
        <f>IFERROR(__xludf.DUMMYFUNCTION("IF(F2537&lt;=0,0,IFERROR(ROUNDUP(F2537/INDEX(FILTER('warehouse config'!$D:$D,('warehouse config'!$B:$B=C2537)*('warehouse config'!$C:$C=D2537)*('warehouse config'!$G:$G&lt;=B2537)*(('warehouse config'!$H:$H&gt;=B2537)+ISBLANK('warehouse config'!$H:$H))),1)),0))"),0.0)</f>
        <v>0</v>
      </c>
      <c r="H2537" s="3">
        <f>IFERROR(__xludf.DUMMYFUNCTION("IFERROR(INDEX(FILTER('cost master'!$E:$E,('cost master'!$B:$B=C2537)*('cost master'!$D:$D=""Storage cost per pallet / week"")*('cost master'!$G:$G&lt;=B2537)*(('cost master'!$H:$H&gt;=B2537)+ISBLANK('cost master'!$H:$H))),1),0)"),0.0)</f>
        <v>0</v>
      </c>
      <c r="I2537" s="3">
        <f t="shared" si="4"/>
        <v>0</v>
      </c>
      <c r="J2537" s="27">
        <f t="shared" si="5"/>
        <v>693947</v>
      </c>
      <c r="K2537" s="27">
        <f t="shared" si="6"/>
        <v>693977</v>
      </c>
    </row>
    <row r="2538" hidden="1">
      <c r="A2538" s="3" t="str">
        <f t="shared" si="3"/>
        <v/>
      </c>
      <c r="B2538" s="2" t="str">
        <f t="array" ref="B2538">INDEX(helper!$A$3:$A3996,ROUNDUP((ROW()-1)/COUNTA(helper!$D$3:$D3996),0))</f>
        <v/>
      </c>
      <c r="C2538" s="5" t="str">
        <f t="array" ref="C2538">IF(B2538="","",INDEX(helper!$D$3:$D3996,MOD(ROW()-2,COUNTA(helper!$D$3:$D3996))+1))</f>
        <v/>
      </c>
      <c r="D2538" s="3" t="str">
        <f t="array" ref="D2538">IF(B2538="","",INDEX(helper!$E$3:$E3996,MOD(ROW()-2,COUNTA(helper!$D$3:$D3996))+1))</f>
        <v/>
      </c>
      <c r="E2538" s="3" t="str">
        <f t="array" ref="E2538">IF(B2538="","",INDEX(helper!$F$3:$F3996,MOD(ROW()-2,COUNTA(helper!$D$3:$D3996))+1))</f>
        <v/>
      </c>
      <c r="F2538" s="3" t="str">
        <f>IF(B2538="","",SUMIFS('inventory ledger'!$H:$H,'inventory ledger'!$C:$C,C2538,'inventory ledger'!$D:$D,D2538,'inventory ledger'!$E:$E,E2538,'inventory ledger'!$A:$A,"&lt;="&amp;B2538+TIME(23,59,59))-SUMIFS('inventory ledger'!$I:$I,'inventory ledger'!$C:$C,C2538,'inventory ledger'!$D:$D,D2538,'inventory ledger'!$E:$E,E2538,'inventory ledger'!$A:$A,"&lt;="&amp;B2538+TIME(23,59,59)))</f>
        <v/>
      </c>
      <c r="G2538" s="3">
        <f>IFERROR(__xludf.DUMMYFUNCTION("IF(F2538&lt;=0,0,IFERROR(ROUNDUP(F2538/INDEX(FILTER('warehouse config'!$D:$D,('warehouse config'!$B:$B=C2538)*('warehouse config'!$C:$C=D2538)*('warehouse config'!$G:$G&lt;=B2538)*(('warehouse config'!$H:$H&gt;=B2538)+ISBLANK('warehouse config'!$H:$H))),1)),0))"),0.0)</f>
        <v>0</v>
      </c>
      <c r="H2538" s="3">
        <f>IFERROR(__xludf.DUMMYFUNCTION("IFERROR(INDEX(FILTER('cost master'!$E:$E,('cost master'!$B:$B=C2538)*('cost master'!$D:$D=""Storage cost per pallet / week"")*('cost master'!$G:$G&lt;=B2538)*(('cost master'!$H:$H&gt;=B2538)+ISBLANK('cost master'!$H:$H))),1),0)"),0.0)</f>
        <v>0</v>
      </c>
      <c r="I2538" s="3">
        <f t="shared" si="4"/>
        <v>0</v>
      </c>
      <c r="J2538" s="27">
        <f t="shared" si="5"/>
        <v>693947</v>
      </c>
      <c r="K2538" s="27">
        <f t="shared" si="6"/>
        <v>693977</v>
      </c>
    </row>
    <row r="2539" hidden="1">
      <c r="A2539" s="3" t="str">
        <f t="shared" si="3"/>
        <v/>
      </c>
      <c r="B2539" s="2" t="str">
        <f t="array" ref="B2539">INDEX(helper!$A$3:$A3996,ROUNDUP((ROW()-1)/COUNTA(helper!$D$3:$D3996),0))</f>
        <v/>
      </c>
      <c r="C2539" s="5" t="str">
        <f t="array" ref="C2539">IF(B2539="","",INDEX(helper!$D$3:$D3996,MOD(ROW()-2,COUNTA(helper!$D$3:$D3996))+1))</f>
        <v/>
      </c>
      <c r="D2539" s="3" t="str">
        <f t="array" ref="D2539">IF(B2539="","",INDEX(helper!$E$3:$E3996,MOD(ROW()-2,COUNTA(helper!$D$3:$D3996))+1))</f>
        <v/>
      </c>
      <c r="E2539" s="3" t="str">
        <f t="array" ref="E2539">IF(B2539="","",INDEX(helper!$F$3:$F3996,MOD(ROW()-2,COUNTA(helper!$D$3:$D3996))+1))</f>
        <v/>
      </c>
      <c r="F2539" s="3" t="str">
        <f>IF(B2539="","",SUMIFS('inventory ledger'!$H:$H,'inventory ledger'!$C:$C,C2539,'inventory ledger'!$D:$D,D2539,'inventory ledger'!$E:$E,E2539,'inventory ledger'!$A:$A,"&lt;="&amp;B2539+TIME(23,59,59))-SUMIFS('inventory ledger'!$I:$I,'inventory ledger'!$C:$C,C2539,'inventory ledger'!$D:$D,D2539,'inventory ledger'!$E:$E,E2539,'inventory ledger'!$A:$A,"&lt;="&amp;B2539+TIME(23,59,59)))</f>
        <v/>
      </c>
      <c r="G2539" s="3">
        <f>IFERROR(__xludf.DUMMYFUNCTION("IF(F2539&lt;=0,0,IFERROR(ROUNDUP(F2539/INDEX(FILTER('warehouse config'!$D:$D,('warehouse config'!$B:$B=C2539)*('warehouse config'!$C:$C=D2539)*('warehouse config'!$G:$G&lt;=B2539)*(('warehouse config'!$H:$H&gt;=B2539)+ISBLANK('warehouse config'!$H:$H))),1)),0))"),0.0)</f>
        <v>0</v>
      </c>
      <c r="H2539" s="3">
        <f>IFERROR(__xludf.DUMMYFUNCTION("IFERROR(INDEX(FILTER('cost master'!$E:$E,('cost master'!$B:$B=C2539)*('cost master'!$D:$D=""Storage cost per pallet / week"")*('cost master'!$G:$G&lt;=B2539)*(('cost master'!$H:$H&gt;=B2539)+ISBLANK('cost master'!$H:$H))),1),0)"),0.0)</f>
        <v>0</v>
      </c>
      <c r="I2539" s="3">
        <f t="shared" si="4"/>
        <v>0</v>
      </c>
      <c r="J2539" s="27">
        <f t="shared" si="5"/>
        <v>693947</v>
      </c>
      <c r="K2539" s="27">
        <f t="shared" si="6"/>
        <v>693977</v>
      </c>
    </row>
    <row r="2540" hidden="1">
      <c r="A2540" s="3" t="str">
        <f t="shared" si="3"/>
        <v/>
      </c>
      <c r="B2540" s="2" t="str">
        <f t="array" ref="B2540">INDEX(helper!$A$3:$A3996,ROUNDUP((ROW()-1)/COUNTA(helper!$D$3:$D3996),0))</f>
        <v/>
      </c>
      <c r="C2540" s="5" t="str">
        <f t="array" ref="C2540">IF(B2540="","",INDEX(helper!$D$3:$D3996,MOD(ROW()-2,COUNTA(helper!$D$3:$D3996))+1))</f>
        <v/>
      </c>
      <c r="D2540" s="3" t="str">
        <f t="array" ref="D2540">IF(B2540="","",INDEX(helper!$E$3:$E3996,MOD(ROW()-2,COUNTA(helper!$D$3:$D3996))+1))</f>
        <v/>
      </c>
      <c r="E2540" s="3" t="str">
        <f t="array" ref="E2540">IF(B2540="","",INDEX(helper!$F$3:$F3996,MOD(ROW()-2,COUNTA(helper!$D$3:$D3996))+1))</f>
        <v/>
      </c>
      <c r="F2540" s="3" t="str">
        <f>IF(B2540="","",SUMIFS('inventory ledger'!$H:$H,'inventory ledger'!$C:$C,C2540,'inventory ledger'!$D:$D,D2540,'inventory ledger'!$E:$E,E2540,'inventory ledger'!$A:$A,"&lt;="&amp;B2540+TIME(23,59,59))-SUMIFS('inventory ledger'!$I:$I,'inventory ledger'!$C:$C,C2540,'inventory ledger'!$D:$D,D2540,'inventory ledger'!$E:$E,E2540,'inventory ledger'!$A:$A,"&lt;="&amp;B2540+TIME(23,59,59)))</f>
        <v/>
      </c>
      <c r="G2540" s="3">
        <f>IFERROR(__xludf.DUMMYFUNCTION("IF(F2540&lt;=0,0,IFERROR(ROUNDUP(F2540/INDEX(FILTER('warehouse config'!$D:$D,('warehouse config'!$B:$B=C2540)*('warehouse config'!$C:$C=D2540)*('warehouse config'!$G:$G&lt;=B2540)*(('warehouse config'!$H:$H&gt;=B2540)+ISBLANK('warehouse config'!$H:$H))),1)),0))"),0.0)</f>
        <v>0</v>
      </c>
      <c r="H2540" s="3">
        <f>IFERROR(__xludf.DUMMYFUNCTION("IFERROR(INDEX(FILTER('cost master'!$E:$E,('cost master'!$B:$B=C2540)*('cost master'!$D:$D=""Storage cost per pallet / week"")*('cost master'!$G:$G&lt;=B2540)*(('cost master'!$H:$H&gt;=B2540)+ISBLANK('cost master'!$H:$H))),1),0)"),0.0)</f>
        <v>0</v>
      </c>
      <c r="I2540" s="3">
        <f t="shared" si="4"/>
        <v>0</v>
      </c>
      <c r="J2540" s="27">
        <f t="shared" si="5"/>
        <v>693947</v>
      </c>
      <c r="K2540" s="27">
        <f t="shared" si="6"/>
        <v>693977</v>
      </c>
    </row>
    <row r="2541" hidden="1">
      <c r="A2541" s="3" t="str">
        <f t="shared" si="3"/>
        <v/>
      </c>
      <c r="B2541" s="2" t="str">
        <f t="array" ref="B2541">INDEX(helper!$A$3:$A3996,ROUNDUP((ROW()-1)/COUNTA(helper!$D$3:$D3996),0))</f>
        <v/>
      </c>
      <c r="C2541" s="5" t="str">
        <f t="array" ref="C2541">IF(B2541="","",INDEX(helper!$D$3:$D3996,MOD(ROW()-2,COUNTA(helper!$D$3:$D3996))+1))</f>
        <v/>
      </c>
      <c r="D2541" s="3" t="str">
        <f t="array" ref="D2541">IF(B2541="","",INDEX(helper!$E$3:$E3996,MOD(ROW()-2,COUNTA(helper!$D$3:$D3996))+1))</f>
        <v/>
      </c>
      <c r="E2541" s="3" t="str">
        <f t="array" ref="E2541">IF(B2541="","",INDEX(helper!$F$3:$F3996,MOD(ROW()-2,COUNTA(helper!$D$3:$D3996))+1))</f>
        <v/>
      </c>
      <c r="F2541" s="3" t="str">
        <f>IF(B2541="","",SUMIFS('inventory ledger'!$H:$H,'inventory ledger'!$C:$C,C2541,'inventory ledger'!$D:$D,D2541,'inventory ledger'!$E:$E,E2541,'inventory ledger'!$A:$A,"&lt;="&amp;B2541+TIME(23,59,59))-SUMIFS('inventory ledger'!$I:$I,'inventory ledger'!$C:$C,C2541,'inventory ledger'!$D:$D,D2541,'inventory ledger'!$E:$E,E2541,'inventory ledger'!$A:$A,"&lt;="&amp;B2541+TIME(23,59,59)))</f>
        <v/>
      </c>
      <c r="G2541" s="3">
        <f>IFERROR(__xludf.DUMMYFUNCTION("IF(F2541&lt;=0,0,IFERROR(ROUNDUP(F2541/INDEX(FILTER('warehouse config'!$D:$D,('warehouse config'!$B:$B=C2541)*('warehouse config'!$C:$C=D2541)*('warehouse config'!$G:$G&lt;=B2541)*(('warehouse config'!$H:$H&gt;=B2541)+ISBLANK('warehouse config'!$H:$H))),1)),0))"),0.0)</f>
        <v>0</v>
      </c>
      <c r="H2541" s="3">
        <f>IFERROR(__xludf.DUMMYFUNCTION("IFERROR(INDEX(FILTER('cost master'!$E:$E,('cost master'!$B:$B=C2541)*('cost master'!$D:$D=""Storage cost per pallet / week"")*('cost master'!$G:$G&lt;=B2541)*(('cost master'!$H:$H&gt;=B2541)+ISBLANK('cost master'!$H:$H))),1),0)"),0.0)</f>
        <v>0</v>
      </c>
      <c r="I2541" s="3">
        <f t="shared" si="4"/>
        <v>0</v>
      </c>
      <c r="J2541" s="27">
        <f t="shared" si="5"/>
        <v>693947</v>
      </c>
      <c r="K2541" s="27">
        <f t="shared" si="6"/>
        <v>693977</v>
      </c>
    </row>
    <row r="2542" hidden="1">
      <c r="A2542" s="3" t="str">
        <f t="shared" si="3"/>
        <v/>
      </c>
      <c r="B2542" s="2" t="str">
        <f t="array" ref="B2542">INDEX(helper!$A$3:$A3996,ROUNDUP((ROW()-1)/COUNTA(helper!$D$3:$D3996),0))</f>
        <v/>
      </c>
      <c r="C2542" s="5" t="str">
        <f t="array" ref="C2542">IF(B2542="","",INDEX(helper!$D$3:$D3996,MOD(ROW()-2,COUNTA(helper!$D$3:$D3996))+1))</f>
        <v/>
      </c>
      <c r="D2542" s="3" t="str">
        <f t="array" ref="D2542">IF(B2542="","",INDEX(helper!$E$3:$E3996,MOD(ROW()-2,COUNTA(helper!$D$3:$D3996))+1))</f>
        <v/>
      </c>
      <c r="E2542" s="3" t="str">
        <f t="array" ref="E2542">IF(B2542="","",INDEX(helper!$F$3:$F3996,MOD(ROW()-2,COUNTA(helper!$D$3:$D3996))+1))</f>
        <v/>
      </c>
      <c r="F2542" s="3" t="str">
        <f>IF(B2542="","",SUMIFS('inventory ledger'!$H:$H,'inventory ledger'!$C:$C,C2542,'inventory ledger'!$D:$D,D2542,'inventory ledger'!$E:$E,E2542,'inventory ledger'!$A:$A,"&lt;="&amp;B2542+TIME(23,59,59))-SUMIFS('inventory ledger'!$I:$I,'inventory ledger'!$C:$C,C2542,'inventory ledger'!$D:$D,D2542,'inventory ledger'!$E:$E,E2542,'inventory ledger'!$A:$A,"&lt;="&amp;B2542+TIME(23,59,59)))</f>
        <v/>
      </c>
      <c r="G2542" s="3">
        <f>IFERROR(__xludf.DUMMYFUNCTION("IF(F2542&lt;=0,0,IFERROR(ROUNDUP(F2542/INDEX(FILTER('warehouse config'!$D:$D,('warehouse config'!$B:$B=C2542)*('warehouse config'!$C:$C=D2542)*('warehouse config'!$G:$G&lt;=B2542)*(('warehouse config'!$H:$H&gt;=B2542)+ISBLANK('warehouse config'!$H:$H))),1)),0))"),0.0)</f>
        <v>0</v>
      </c>
      <c r="H2542" s="3">
        <f>IFERROR(__xludf.DUMMYFUNCTION("IFERROR(INDEX(FILTER('cost master'!$E:$E,('cost master'!$B:$B=C2542)*('cost master'!$D:$D=""Storage cost per pallet / week"")*('cost master'!$G:$G&lt;=B2542)*(('cost master'!$H:$H&gt;=B2542)+ISBLANK('cost master'!$H:$H))),1),0)"),0.0)</f>
        <v>0</v>
      </c>
      <c r="I2542" s="3">
        <f t="shared" si="4"/>
        <v>0</v>
      </c>
      <c r="J2542" s="27">
        <f t="shared" si="5"/>
        <v>693947</v>
      </c>
      <c r="K2542" s="27">
        <f t="shared" si="6"/>
        <v>693977</v>
      </c>
    </row>
    <row r="2543" hidden="1">
      <c r="A2543" s="3" t="str">
        <f t="shared" si="3"/>
        <v/>
      </c>
      <c r="B2543" s="2" t="str">
        <f t="array" ref="B2543">INDEX(helper!$A$3:$A3996,ROUNDUP((ROW()-1)/COUNTA(helper!$D$3:$D3996),0))</f>
        <v/>
      </c>
      <c r="C2543" s="5" t="str">
        <f t="array" ref="C2543">IF(B2543="","",INDEX(helper!$D$3:$D3996,MOD(ROW()-2,COUNTA(helper!$D$3:$D3996))+1))</f>
        <v/>
      </c>
      <c r="D2543" s="3" t="str">
        <f t="array" ref="D2543">IF(B2543="","",INDEX(helper!$E$3:$E3996,MOD(ROW()-2,COUNTA(helper!$D$3:$D3996))+1))</f>
        <v/>
      </c>
      <c r="E2543" s="3" t="str">
        <f t="array" ref="E2543">IF(B2543="","",INDEX(helper!$F$3:$F3996,MOD(ROW()-2,COUNTA(helper!$D$3:$D3996))+1))</f>
        <v/>
      </c>
      <c r="F2543" s="3" t="str">
        <f>IF(B2543="","",SUMIFS('inventory ledger'!$H:$H,'inventory ledger'!$C:$C,C2543,'inventory ledger'!$D:$D,D2543,'inventory ledger'!$E:$E,E2543,'inventory ledger'!$A:$A,"&lt;="&amp;B2543+TIME(23,59,59))-SUMIFS('inventory ledger'!$I:$I,'inventory ledger'!$C:$C,C2543,'inventory ledger'!$D:$D,D2543,'inventory ledger'!$E:$E,E2543,'inventory ledger'!$A:$A,"&lt;="&amp;B2543+TIME(23,59,59)))</f>
        <v/>
      </c>
      <c r="G2543" s="3">
        <f>IFERROR(__xludf.DUMMYFUNCTION("IF(F2543&lt;=0,0,IFERROR(ROUNDUP(F2543/INDEX(FILTER('warehouse config'!$D:$D,('warehouse config'!$B:$B=C2543)*('warehouse config'!$C:$C=D2543)*('warehouse config'!$G:$G&lt;=B2543)*(('warehouse config'!$H:$H&gt;=B2543)+ISBLANK('warehouse config'!$H:$H))),1)),0))"),0.0)</f>
        <v>0</v>
      </c>
      <c r="H2543" s="3">
        <f>IFERROR(__xludf.DUMMYFUNCTION("IFERROR(INDEX(FILTER('cost master'!$E:$E,('cost master'!$B:$B=C2543)*('cost master'!$D:$D=""Storage cost per pallet / week"")*('cost master'!$G:$G&lt;=B2543)*(('cost master'!$H:$H&gt;=B2543)+ISBLANK('cost master'!$H:$H))),1),0)"),0.0)</f>
        <v>0</v>
      </c>
      <c r="I2543" s="3">
        <f t="shared" si="4"/>
        <v>0</v>
      </c>
      <c r="J2543" s="27">
        <f t="shared" si="5"/>
        <v>693947</v>
      </c>
      <c r="K2543" s="27">
        <f t="shared" si="6"/>
        <v>693977</v>
      </c>
    </row>
    <row r="2544" hidden="1">
      <c r="A2544" s="3" t="str">
        <f t="shared" si="3"/>
        <v/>
      </c>
      <c r="B2544" s="2" t="str">
        <f t="array" ref="B2544">INDEX(helper!$A$3:$A3996,ROUNDUP((ROW()-1)/COUNTA(helper!$D$3:$D3996),0))</f>
        <v/>
      </c>
      <c r="C2544" s="5" t="str">
        <f t="array" ref="C2544">IF(B2544="","",INDEX(helper!$D$3:$D3996,MOD(ROW()-2,COUNTA(helper!$D$3:$D3996))+1))</f>
        <v/>
      </c>
      <c r="D2544" s="3" t="str">
        <f t="array" ref="D2544">IF(B2544="","",INDEX(helper!$E$3:$E3996,MOD(ROW()-2,COUNTA(helper!$D$3:$D3996))+1))</f>
        <v/>
      </c>
      <c r="E2544" s="3" t="str">
        <f t="array" ref="E2544">IF(B2544="","",INDEX(helper!$F$3:$F3996,MOD(ROW()-2,COUNTA(helper!$D$3:$D3996))+1))</f>
        <v/>
      </c>
      <c r="F2544" s="3" t="str">
        <f>IF(B2544="","",SUMIFS('inventory ledger'!$H:$H,'inventory ledger'!$C:$C,C2544,'inventory ledger'!$D:$D,D2544,'inventory ledger'!$E:$E,E2544,'inventory ledger'!$A:$A,"&lt;="&amp;B2544+TIME(23,59,59))-SUMIFS('inventory ledger'!$I:$I,'inventory ledger'!$C:$C,C2544,'inventory ledger'!$D:$D,D2544,'inventory ledger'!$E:$E,E2544,'inventory ledger'!$A:$A,"&lt;="&amp;B2544+TIME(23,59,59)))</f>
        <v/>
      </c>
      <c r="G2544" s="3">
        <f>IFERROR(__xludf.DUMMYFUNCTION("IF(F2544&lt;=0,0,IFERROR(ROUNDUP(F2544/INDEX(FILTER('warehouse config'!$D:$D,('warehouse config'!$B:$B=C2544)*('warehouse config'!$C:$C=D2544)*('warehouse config'!$G:$G&lt;=B2544)*(('warehouse config'!$H:$H&gt;=B2544)+ISBLANK('warehouse config'!$H:$H))),1)),0))"),0.0)</f>
        <v>0</v>
      </c>
      <c r="H2544" s="3">
        <f>IFERROR(__xludf.DUMMYFUNCTION("IFERROR(INDEX(FILTER('cost master'!$E:$E,('cost master'!$B:$B=C2544)*('cost master'!$D:$D=""Storage cost per pallet / week"")*('cost master'!$G:$G&lt;=B2544)*(('cost master'!$H:$H&gt;=B2544)+ISBLANK('cost master'!$H:$H))),1),0)"),0.0)</f>
        <v>0</v>
      </c>
      <c r="I2544" s="3">
        <f t="shared" si="4"/>
        <v>0</v>
      </c>
      <c r="J2544" s="27">
        <f t="shared" si="5"/>
        <v>693947</v>
      </c>
      <c r="K2544" s="27">
        <f t="shared" si="6"/>
        <v>693977</v>
      </c>
    </row>
    <row r="2545" hidden="1">
      <c r="A2545" s="3" t="str">
        <f t="shared" si="3"/>
        <v/>
      </c>
      <c r="B2545" s="2" t="str">
        <f t="array" ref="B2545">INDEX(helper!$A$3:$A3996,ROUNDUP((ROW()-1)/COUNTA(helper!$D$3:$D3996),0))</f>
        <v/>
      </c>
      <c r="C2545" s="5" t="str">
        <f t="array" ref="C2545">IF(B2545="","",INDEX(helper!$D$3:$D3996,MOD(ROW()-2,COUNTA(helper!$D$3:$D3996))+1))</f>
        <v/>
      </c>
      <c r="D2545" s="3" t="str">
        <f t="array" ref="D2545">IF(B2545="","",INDEX(helper!$E$3:$E3996,MOD(ROW()-2,COUNTA(helper!$D$3:$D3996))+1))</f>
        <v/>
      </c>
      <c r="E2545" s="3" t="str">
        <f t="array" ref="E2545">IF(B2545="","",INDEX(helper!$F$3:$F3996,MOD(ROW()-2,COUNTA(helper!$D$3:$D3996))+1))</f>
        <v/>
      </c>
      <c r="F2545" s="3" t="str">
        <f>IF(B2545="","",SUMIFS('inventory ledger'!$H:$H,'inventory ledger'!$C:$C,C2545,'inventory ledger'!$D:$D,D2545,'inventory ledger'!$E:$E,E2545,'inventory ledger'!$A:$A,"&lt;="&amp;B2545+TIME(23,59,59))-SUMIFS('inventory ledger'!$I:$I,'inventory ledger'!$C:$C,C2545,'inventory ledger'!$D:$D,D2545,'inventory ledger'!$E:$E,E2545,'inventory ledger'!$A:$A,"&lt;="&amp;B2545+TIME(23,59,59)))</f>
        <v/>
      </c>
      <c r="G2545" s="3">
        <f>IFERROR(__xludf.DUMMYFUNCTION("IF(F2545&lt;=0,0,IFERROR(ROUNDUP(F2545/INDEX(FILTER('warehouse config'!$D:$D,('warehouse config'!$B:$B=C2545)*('warehouse config'!$C:$C=D2545)*('warehouse config'!$G:$G&lt;=B2545)*(('warehouse config'!$H:$H&gt;=B2545)+ISBLANK('warehouse config'!$H:$H))),1)),0))"),0.0)</f>
        <v>0</v>
      </c>
      <c r="H2545" s="3">
        <f>IFERROR(__xludf.DUMMYFUNCTION("IFERROR(INDEX(FILTER('cost master'!$E:$E,('cost master'!$B:$B=C2545)*('cost master'!$D:$D=""Storage cost per pallet / week"")*('cost master'!$G:$G&lt;=B2545)*(('cost master'!$H:$H&gt;=B2545)+ISBLANK('cost master'!$H:$H))),1),0)"),0.0)</f>
        <v>0</v>
      </c>
      <c r="I2545" s="3">
        <f t="shared" si="4"/>
        <v>0</v>
      </c>
      <c r="J2545" s="27">
        <f t="shared" si="5"/>
        <v>693947</v>
      </c>
      <c r="K2545" s="27">
        <f t="shared" si="6"/>
        <v>693977</v>
      </c>
    </row>
    <row r="2546" hidden="1">
      <c r="A2546" s="3" t="str">
        <f t="shared" si="3"/>
        <v/>
      </c>
      <c r="B2546" s="2" t="str">
        <f t="array" ref="B2546">INDEX(helper!$A$3:$A3996,ROUNDUP((ROW()-1)/COUNTA(helper!$D$3:$D3996),0))</f>
        <v/>
      </c>
      <c r="C2546" s="5" t="str">
        <f t="array" ref="C2546">IF(B2546="","",INDEX(helper!$D$3:$D3996,MOD(ROW()-2,COUNTA(helper!$D$3:$D3996))+1))</f>
        <v/>
      </c>
      <c r="D2546" s="3" t="str">
        <f t="array" ref="D2546">IF(B2546="","",INDEX(helper!$E$3:$E3996,MOD(ROW()-2,COUNTA(helper!$D$3:$D3996))+1))</f>
        <v/>
      </c>
      <c r="E2546" s="3" t="str">
        <f t="array" ref="E2546">IF(B2546="","",INDEX(helper!$F$3:$F3996,MOD(ROW()-2,COUNTA(helper!$D$3:$D3996))+1))</f>
        <v/>
      </c>
      <c r="F2546" s="3" t="str">
        <f>IF(B2546="","",SUMIFS('inventory ledger'!$H:$H,'inventory ledger'!$C:$C,C2546,'inventory ledger'!$D:$D,D2546,'inventory ledger'!$E:$E,E2546,'inventory ledger'!$A:$A,"&lt;="&amp;B2546+TIME(23,59,59))-SUMIFS('inventory ledger'!$I:$I,'inventory ledger'!$C:$C,C2546,'inventory ledger'!$D:$D,D2546,'inventory ledger'!$E:$E,E2546,'inventory ledger'!$A:$A,"&lt;="&amp;B2546+TIME(23,59,59)))</f>
        <v/>
      </c>
      <c r="G2546" s="3">
        <f>IFERROR(__xludf.DUMMYFUNCTION("IF(F2546&lt;=0,0,IFERROR(ROUNDUP(F2546/INDEX(FILTER('warehouse config'!$D:$D,('warehouse config'!$B:$B=C2546)*('warehouse config'!$C:$C=D2546)*('warehouse config'!$G:$G&lt;=B2546)*(('warehouse config'!$H:$H&gt;=B2546)+ISBLANK('warehouse config'!$H:$H))),1)),0))"),0.0)</f>
        <v>0</v>
      </c>
      <c r="H2546" s="3">
        <f>IFERROR(__xludf.DUMMYFUNCTION("IFERROR(INDEX(FILTER('cost master'!$E:$E,('cost master'!$B:$B=C2546)*('cost master'!$D:$D=""Storage cost per pallet / week"")*('cost master'!$G:$G&lt;=B2546)*(('cost master'!$H:$H&gt;=B2546)+ISBLANK('cost master'!$H:$H))),1),0)"),0.0)</f>
        <v>0</v>
      </c>
      <c r="I2546" s="3">
        <f t="shared" si="4"/>
        <v>0</v>
      </c>
      <c r="J2546" s="27">
        <f t="shared" si="5"/>
        <v>693947</v>
      </c>
      <c r="K2546" s="27">
        <f t="shared" si="6"/>
        <v>693977</v>
      </c>
    </row>
    <row r="2547" hidden="1">
      <c r="A2547" s="3" t="str">
        <f t="shared" si="3"/>
        <v/>
      </c>
      <c r="B2547" s="2" t="str">
        <f t="array" ref="B2547">INDEX(helper!$A$3:$A3996,ROUNDUP((ROW()-1)/COUNTA(helper!$D$3:$D3996),0))</f>
        <v/>
      </c>
      <c r="C2547" s="5" t="str">
        <f t="array" ref="C2547">IF(B2547="","",INDEX(helper!$D$3:$D3996,MOD(ROW()-2,COUNTA(helper!$D$3:$D3996))+1))</f>
        <v/>
      </c>
      <c r="D2547" s="3" t="str">
        <f t="array" ref="D2547">IF(B2547="","",INDEX(helper!$E$3:$E3996,MOD(ROW()-2,COUNTA(helper!$D$3:$D3996))+1))</f>
        <v/>
      </c>
      <c r="E2547" s="3" t="str">
        <f t="array" ref="E2547">IF(B2547="","",INDEX(helper!$F$3:$F3996,MOD(ROW()-2,COUNTA(helper!$D$3:$D3996))+1))</f>
        <v/>
      </c>
      <c r="F2547" s="3" t="str">
        <f>IF(B2547="","",SUMIFS('inventory ledger'!$H:$H,'inventory ledger'!$C:$C,C2547,'inventory ledger'!$D:$D,D2547,'inventory ledger'!$E:$E,E2547,'inventory ledger'!$A:$A,"&lt;="&amp;B2547+TIME(23,59,59))-SUMIFS('inventory ledger'!$I:$I,'inventory ledger'!$C:$C,C2547,'inventory ledger'!$D:$D,D2547,'inventory ledger'!$E:$E,E2547,'inventory ledger'!$A:$A,"&lt;="&amp;B2547+TIME(23,59,59)))</f>
        <v/>
      </c>
      <c r="G2547" s="3">
        <f>IFERROR(__xludf.DUMMYFUNCTION("IF(F2547&lt;=0,0,IFERROR(ROUNDUP(F2547/INDEX(FILTER('warehouse config'!$D:$D,('warehouse config'!$B:$B=C2547)*('warehouse config'!$C:$C=D2547)*('warehouse config'!$G:$G&lt;=B2547)*(('warehouse config'!$H:$H&gt;=B2547)+ISBLANK('warehouse config'!$H:$H))),1)),0))"),0.0)</f>
        <v>0</v>
      </c>
      <c r="H2547" s="3">
        <f>IFERROR(__xludf.DUMMYFUNCTION("IFERROR(INDEX(FILTER('cost master'!$E:$E,('cost master'!$B:$B=C2547)*('cost master'!$D:$D=""Storage cost per pallet / week"")*('cost master'!$G:$G&lt;=B2547)*(('cost master'!$H:$H&gt;=B2547)+ISBLANK('cost master'!$H:$H))),1),0)"),0.0)</f>
        <v>0</v>
      </c>
      <c r="I2547" s="3">
        <f t="shared" si="4"/>
        <v>0</v>
      </c>
      <c r="J2547" s="27">
        <f t="shared" si="5"/>
        <v>693947</v>
      </c>
      <c r="K2547" s="27">
        <f t="shared" si="6"/>
        <v>693977</v>
      </c>
    </row>
    <row r="2548" hidden="1">
      <c r="A2548" s="3" t="str">
        <f t="shared" si="3"/>
        <v/>
      </c>
      <c r="B2548" s="2" t="str">
        <f t="array" ref="B2548">INDEX(helper!$A$3:$A3996,ROUNDUP((ROW()-1)/COUNTA(helper!$D$3:$D3996),0))</f>
        <v/>
      </c>
      <c r="C2548" s="5" t="str">
        <f t="array" ref="C2548">IF(B2548="","",INDEX(helper!$D$3:$D3996,MOD(ROW()-2,COUNTA(helper!$D$3:$D3996))+1))</f>
        <v/>
      </c>
      <c r="D2548" s="3" t="str">
        <f t="array" ref="D2548">IF(B2548="","",INDEX(helper!$E$3:$E3996,MOD(ROW()-2,COUNTA(helper!$D$3:$D3996))+1))</f>
        <v/>
      </c>
      <c r="E2548" s="3" t="str">
        <f t="array" ref="E2548">IF(B2548="","",INDEX(helper!$F$3:$F3996,MOD(ROW()-2,COUNTA(helper!$D$3:$D3996))+1))</f>
        <v/>
      </c>
      <c r="F2548" s="3" t="str">
        <f>IF(B2548="","",SUMIFS('inventory ledger'!$H:$H,'inventory ledger'!$C:$C,C2548,'inventory ledger'!$D:$D,D2548,'inventory ledger'!$E:$E,E2548,'inventory ledger'!$A:$A,"&lt;="&amp;B2548+TIME(23,59,59))-SUMIFS('inventory ledger'!$I:$I,'inventory ledger'!$C:$C,C2548,'inventory ledger'!$D:$D,D2548,'inventory ledger'!$E:$E,E2548,'inventory ledger'!$A:$A,"&lt;="&amp;B2548+TIME(23,59,59)))</f>
        <v/>
      </c>
      <c r="G2548" s="3">
        <f>IFERROR(__xludf.DUMMYFUNCTION("IF(F2548&lt;=0,0,IFERROR(ROUNDUP(F2548/INDEX(FILTER('warehouse config'!$D:$D,('warehouse config'!$B:$B=C2548)*('warehouse config'!$C:$C=D2548)*('warehouse config'!$G:$G&lt;=B2548)*(('warehouse config'!$H:$H&gt;=B2548)+ISBLANK('warehouse config'!$H:$H))),1)),0))"),0.0)</f>
        <v>0</v>
      </c>
      <c r="H2548" s="3">
        <f>IFERROR(__xludf.DUMMYFUNCTION("IFERROR(INDEX(FILTER('cost master'!$E:$E,('cost master'!$B:$B=C2548)*('cost master'!$D:$D=""Storage cost per pallet / week"")*('cost master'!$G:$G&lt;=B2548)*(('cost master'!$H:$H&gt;=B2548)+ISBLANK('cost master'!$H:$H))),1),0)"),0.0)</f>
        <v>0</v>
      </c>
      <c r="I2548" s="3">
        <f t="shared" si="4"/>
        <v>0</v>
      </c>
      <c r="J2548" s="27">
        <f t="shared" si="5"/>
        <v>693947</v>
      </c>
      <c r="K2548" s="27">
        <f t="shared" si="6"/>
        <v>693977</v>
      </c>
    </row>
    <row r="2549" hidden="1">
      <c r="A2549" s="3" t="str">
        <f t="shared" si="3"/>
        <v/>
      </c>
      <c r="B2549" s="2" t="str">
        <f t="array" ref="B2549">INDEX(helper!$A$3:$A3996,ROUNDUP((ROW()-1)/COUNTA(helper!$D$3:$D3996),0))</f>
        <v/>
      </c>
      <c r="C2549" s="5" t="str">
        <f t="array" ref="C2549">IF(B2549="","",INDEX(helper!$D$3:$D3996,MOD(ROW()-2,COUNTA(helper!$D$3:$D3996))+1))</f>
        <v/>
      </c>
      <c r="D2549" s="3" t="str">
        <f t="array" ref="D2549">IF(B2549="","",INDEX(helper!$E$3:$E3996,MOD(ROW()-2,COUNTA(helper!$D$3:$D3996))+1))</f>
        <v/>
      </c>
      <c r="E2549" s="3" t="str">
        <f t="array" ref="E2549">IF(B2549="","",INDEX(helper!$F$3:$F3996,MOD(ROW()-2,COUNTA(helper!$D$3:$D3996))+1))</f>
        <v/>
      </c>
      <c r="F2549" s="3" t="str">
        <f>IF(B2549="","",SUMIFS('inventory ledger'!$H:$H,'inventory ledger'!$C:$C,C2549,'inventory ledger'!$D:$D,D2549,'inventory ledger'!$E:$E,E2549,'inventory ledger'!$A:$A,"&lt;="&amp;B2549+TIME(23,59,59))-SUMIFS('inventory ledger'!$I:$I,'inventory ledger'!$C:$C,C2549,'inventory ledger'!$D:$D,D2549,'inventory ledger'!$E:$E,E2549,'inventory ledger'!$A:$A,"&lt;="&amp;B2549+TIME(23,59,59)))</f>
        <v/>
      </c>
      <c r="G2549" s="3">
        <f>IFERROR(__xludf.DUMMYFUNCTION("IF(F2549&lt;=0,0,IFERROR(ROUNDUP(F2549/INDEX(FILTER('warehouse config'!$D:$D,('warehouse config'!$B:$B=C2549)*('warehouse config'!$C:$C=D2549)*('warehouse config'!$G:$G&lt;=B2549)*(('warehouse config'!$H:$H&gt;=B2549)+ISBLANK('warehouse config'!$H:$H))),1)),0))"),0.0)</f>
        <v>0</v>
      </c>
      <c r="H2549" s="3">
        <f>IFERROR(__xludf.DUMMYFUNCTION("IFERROR(INDEX(FILTER('cost master'!$E:$E,('cost master'!$B:$B=C2549)*('cost master'!$D:$D=""Storage cost per pallet / week"")*('cost master'!$G:$G&lt;=B2549)*(('cost master'!$H:$H&gt;=B2549)+ISBLANK('cost master'!$H:$H))),1),0)"),0.0)</f>
        <v>0</v>
      </c>
      <c r="I2549" s="3">
        <f t="shared" si="4"/>
        <v>0</v>
      </c>
      <c r="J2549" s="27">
        <f t="shared" si="5"/>
        <v>693947</v>
      </c>
      <c r="K2549" s="27">
        <f t="shared" si="6"/>
        <v>693977</v>
      </c>
    </row>
    <row r="2550" hidden="1">
      <c r="A2550" s="3" t="str">
        <f t="shared" si="3"/>
        <v/>
      </c>
      <c r="B2550" s="2" t="str">
        <f t="array" ref="B2550">INDEX(helper!$A$3:$A3996,ROUNDUP((ROW()-1)/COUNTA(helper!$D$3:$D3996),0))</f>
        <v/>
      </c>
      <c r="C2550" s="5" t="str">
        <f t="array" ref="C2550">IF(B2550="","",INDEX(helper!$D$3:$D3996,MOD(ROW()-2,COUNTA(helper!$D$3:$D3996))+1))</f>
        <v/>
      </c>
      <c r="D2550" s="3" t="str">
        <f t="array" ref="D2550">IF(B2550="","",INDEX(helper!$E$3:$E3996,MOD(ROW()-2,COUNTA(helper!$D$3:$D3996))+1))</f>
        <v/>
      </c>
      <c r="E2550" s="3" t="str">
        <f t="array" ref="E2550">IF(B2550="","",INDEX(helper!$F$3:$F3996,MOD(ROW()-2,COUNTA(helper!$D$3:$D3996))+1))</f>
        <v/>
      </c>
      <c r="F2550" s="3" t="str">
        <f>IF(B2550="","",SUMIFS('inventory ledger'!$H:$H,'inventory ledger'!$C:$C,C2550,'inventory ledger'!$D:$D,D2550,'inventory ledger'!$E:$E,E2550,'inventory ledger'!$A:$A,"&lt;="&amp;B2550+TIME(23,59,59))-SUMIFS('inventory ledger'!$I:$I,'inventory ledger'!$C:$C,C2550,'inventory ledger'!$D:$D,D2550,'inventory ledger'!$E:$E,E2550,'inventory ledger'!$A:$A,"&lt;="&amp;B2550+TIME(23,59,59)))</f>
        <v/>
      </c>
      <c r="G2550" s="3">
        <f>IFERROR(__xludf.DUMMYFUNCTION("IF(F2550&lt;=0,0,IFERROR(ROUNDUP(F2550/INDEX(FILTER('warehouse config'!$D:$D,('warehouse config'!$B:$B=C2550)*('warehouse config'!$C:$C=D2550)*('warehouse config'!$G:$G&lt;=B2550)*(('warehouse config'!$H:$H&gt;=B2550)+ISBLANK('warehouse config'!$H:$H))),1)),0))"),0.0)</f>
        <v>0</v>
      </c>
      <c r="H2550" s="3">
        <f>IFERROR(__xludf.DUMMYFUNCTION("IFERROR(INDEX(FILTER('cost master'!$E:$E,('cost master'!$B:$B=C2550)*('cost master'!$D:$D=""Storage cost per pallet / week"")*('cost master'!$G:$G&lt;=B2550)*(('cost master'!$H:$H&gt;=B2550)+ISBLANK('cost master'!$H:$H))),1),0)"),0.0)</f>
        <v>0</v>
      </c>
      <c r="I2550" s="3">
        <f t="shared" si="4"/>
        <v>0</v>
      </c>
      <c r="J2550" s="27">
        <f t="shared" si="5"/>
        <v>693947</v>
      </c>
      <c r="K2550" s="27">
        <f t="shared" si="6"/>
        <v>693977</v>
      </c>
    </row>
    <row r="2551" hidden="1">
      <c r="A2551" s="3" t="str">
        <f t="shared" si="3"/>
        <v/>
      </c>
      <c r="B2551" s="2" t="str">
        <f t="array" ref="B2551">INDEX(helper!$A$3:$A3996,ROUNDUP((ROW()-1)/COUNTA(helper!$D$3:$D3996),0))</f>
        <v/>
      </c>
      <c r="C2551" s="5" t="str">
        <f t="array" ref="C2551">IF(B2551="","",INDEX(helper!$D$3:$D3996,MOD(ROW()-2,COUNTA(helper!$D$3:$D3996))+1))</f>
        <v/>
      </c>
      <c r="D2551" s="3" t="str">
        <f t="array" ref="D2551">IF(B2551="","",INDEX(helper!$E$3:$E3996,MOD(ROW()-2,COUNTA(helper!$D$3:$D3996))+1))</f>
        <v/>
      </c>
      <c r="E2551" s="3" t="str">
        <f t="array" ref="E2551">IF(B2551="","",INDEX(helper!$F$3:$F3996,MOD(ROW()-2,COUNTA(helper!$D$3:$D3996))+1))</f>
        <v/>
      </c>
      <c r="F2551" s="3" t="str">
        <f>IF(B2551="","",SUMIFS('inventory ledger'!$H:$H,'inventory ledger'!$C:$C,C2551,'inventory ledger'!$D:$D,D2551,'inventory ledger'!$E:$E,E2551,'inventory ledger'!$A:$A,"&lt;="&amp;B2551+TIME(23,59,59))-SUMIFS('inventory ledger'!$I:$I,'inventory ledger'!$C:$C,C2551,'inventory ledger'!$D:$D,D2551,'inventory ledger'!$E:$E,E2551,'inventory ledger'!$A:$A,"&lt;="&amp;B2551+TIME(23,59,59)))</f>
        <v/>
      </c>
      <c r="G2551" s="3">
        <f>IFERROR(__xludf.DUMMYFUNCTION("IF(F2551&lt;=0,0,IFERROR(ROUNDUP(F2551/INDEX(FILTER('warehouse config'!$D:$D,('warehouse config'!$B:$B=C2551)*('warehouse config'!$C:$C=D2551)*('warehouse config'!$G:$G&lt;=B2551)*(('warehouse config'!$H:$H&gt;=B2551)+ISBLANK('warehouse config'!$H:$H))),1)),0))"),0.0)</f>
        <v>0</v>
      </c>
      <c r="H2551" s="3">
        <f>IFERROR(__xludf.DUMMYFUNCTION("IFERROR(INDEX(FILTER('cost master'!$E:$E,('cost master'!$B:$B=C2551)*('cost master'!$D:$D=""Storage cost per pallet / week"")*('cost master'!$G:$G&lt;=B2551)*(('cost master'!$H:$H&gt;=B2551)+ISBLANK('cost master'!$H:$H))),1),0)"),0.0)</f>
        <v>0</v>
      </c>
      <c r="I2551" s="3">
        <f t="shared" si="4"/>
        <v>0</v>
      </c>
      <c r="J2551" s="27">
        <f t="shared" si="5"/>
        <v>693947</v>
      </c>
      <c r="K2551" s="27">
        <f t="shared" si="6"/>
        <v>693977</v>
      </c>
    </row>
    <row r="2552" hidden="1">
      <c r="A2552" s="3" t="str">
        <f t="shared" si="3"/>
        <v/>
      </c>
      <c r="B2552" s="2" t="str">
        <f t="array" ref="B2552">INDEX(helper!$A$3:$A3996,ROUNDUP((ROW()-1)/COUNTA(helper!$D$3:$D3996),0))</f>
        <v/>
      </c>
      <c r="C2552" s="5" t="str">
        <f t="array" ref="C2552">IF(B2552="","",INDEX(helper!$D$3:$D3996,MOD(ROW()-2,COUNTA(helper!$D$3:$D3996))+1))</f>
        <v/>
      </c>
      <c r="D2552" s="3" t="str">
        <f t="array" ref="D2552">IF(B2552="","",INDEX(helper!$E$3:$E3996,MOD(ROW()-2,COUNTA(helper!$D$3:$D3996))+1))</f>
        <v/>
      </c>
      <c r="E2552" s="3" t="str">
        <f t="array" ref="E2552">IF(B2552="","",INDEX(helper!$F$3:$F3996,MOD(ROW()-2,COUNTA(helper!$D$3:$D3996))+1))</f>
        <v/>
      </c>
      <c r="F2552" s="3" t="str">
        <f>IF(B2552="","",SUMIFS('inventory ledger'!$H:$H,'inventory ledger'!$C:$C,C2552,'inventory ledger'!$D:$D,D2552,'inventory ledger'!$E:$E,E2552,'inventory ledger'!$A:$A,"&lt;="&amp;B2552+TIME(23,59,59))-SUMIFS('inventory ledger'!$I:$I,'inventory ledger'!$C:$C,C2552,'inventory ledger'!$D:$D,D2552,'inventory ledger'!$E:$E,E2552,'inventory ledger'!$A:$A,"&lt;="&amp;B2552+TIME(23,59,59)))</f>
        <v/>
      </c>
      <c r="G2552" s="3">
        <f>IFERROR(__xludf.DUMMYFUNCTION("IF(F2552&lt;=0,0,IFERROR(ROUNDUP(F2552/INDEX(FILTER('warehouse config'!$D:$D,('warehouse config'!$B:$B=C2552)*('warehouse config'!$C:$C=D2552)*('warehouse config'!$G:$G&lt;=B2552)*(('warehouse config'!$H:$H&gt;=B2552)+ISBLANK('warehouse config'!$H:$H))),1)),0))"),0.0)</f>
        <v>0</v>
      </c>
      <c r="H2552" s="3">
        <f>IFERROR(__xludf.DUMMYFUNCTION("IFERROR(INDEX(FILTER('cost master'!$E:$E,('cost master'!$B:$B=C2552)*('cost master'!$D:$D=""Storage cost per pallet / week"")*('cost master'!$G:$G&lt;=B2552)*(('cost master'!$H:$H&gt;=B2552)+ISBLANK('cost master'!$H:$H))),1),0)"),0.0)</f>
        <v>0</v>
      </c>
      <c r="I2552" s="3">
        <f t="shared" si="4"/>
        <v>0</v>
      </c>
      <c r="J2552" s="27">
        <f t="shared" si="5"/>
        <v>693947</v>
      </c>
      <c r="K2552" s="27">
        <f t="shared" si="6"/>
        <v>693977</v>
      </c>
    </row>
    <row r="2553" hidden="1">
      <c r="A2553" s="3" t="str">
        <f t="shared" si="3"/>
        <v/>
      </c>
      <c r="B2553" s="2" t="str">
        <f t="array" ref="B2553">INDEX(helper!$A$3:$A3996,ROUNDUP((ROW()-1)/COUNTA(helper!$D$3:$D3996),0))</f>
        <v/>
      </c>
      <c r="C2553" s="5" t="str">
        <f t="array" ref="C2553">IF(B2553="","",INDEX(helper!$D$3:$D3996,MOD(ROW()-2,COUNTA(helper!$D$3:$D3996))+1))</f>
        <v/>
      </c>
      <c r="D2553" s="3" t="str">
        <f t="array" ref="D2553">IF(B2553="","",INDEX(helper!$E$3:$E3996,MOD(ROW()-2,COUNTA(helper!$D$3:$D3996))+1))</f>
        <v/>
      </c>
      <c r="E2553" s="3" t="str">
        <f t="array" ref="E2553">IF(B2553="","",INDEX(helper!$F$3:$F3996,MOD(ROW()-2,COUNTA(helper!$D$3:$D3996))+1))</f>
        <v/>
      </c>
      <c r="F2553" s="3" t="str">
        <f>IF(B2553="","",SUMIFS('inventory ledger'!$H:$H,'inventory ledger'!$C:$C,C2553,'inventory ledger'!$D:$D,D2553,'inventory ledger'!$E:$E,E2553,'inventory ledger'!$A:$A,"&lt;="&amp;B2553+TIME(23,59,59))-SUMIFS('inventory ledger'!$I:$I,'inventory ledger'!$C:$C,C2553,'inventory ledger'!$D:$D,D2553,'inventory ledger'!$E:$E,E2553,'inventory ledger'!$A:$A,"&lt;="&amp;B2553+TIME(23,59,59)))</f>
        <v/>
      </c>
      <c r="G2553" s="3">
        <f>IFERROR(__xludf.DUMMYFUNCTION("IF(F2553&lt;=0,0,IFERROR(ROUNDUP(F2553/INDEX(FILTER('warehouse config'!$D:$D,('warehouse config'!$B:$B=C2553)*('warehouse config'!$C:$C=D2553)*('warehouse config'!$G:$G&lt;=B2553)*(('warehouse config'!$H:$H&gt;=B2553)+ISBLANK('warehouse config'!$H:$H))),1)),0))"),0.0)</f>
        <v>0</v>
      </c>
      <c r="H2553" s="3">
        <f>IFERROR(__xludf.DUMMYFUNCTION("IFERROR(INDEX(FILTER('cost master'!$E:$E,('cost master'!$B:$B=C2553)*('cost master'!$D:$D=""Storage cost per pallet / week"")*('cost master'!$G:$G&lt;=B2553)*(('cost master'!$H:$H&gt;=B2553)+ISBLANK('cost master'!$H:$H))),1),0)"),0.0)</f>
        <v>0</v>
      </c>
      <c r="I2553" s="3">
        <f t="shared" si="4"/>
        <v>0</v>
      </c>
      <c r="J2553" s="27">
        <f t="shared" si="5"/>
        <v>693947</v>
      </c>
      <c r="K2553" s="27">
        <f t="shared" si="6"/>
        <v>693977</v>
      </c>
    </row>
    <row r="2554" hidden="1">
      <c r="A2554" s="3" t="str">
        <f t="shared" si="3"/>
        <v/>
      </c>
      <c r="B2554" s="2" t="str">
        <f t="array" ref="B2554">INDEX(helper!$A$3:$A3996,ROUNDUP((ROW()-1)/COUNTA(helper!$D$3:$D3996),0))</f>
        <v/>
      </c>
      <c r="C2554" s="5" t="str">
        <f t="array" ref="C2554">IF(B2554="","",INDEX(helper!$D$3:$D3996,MOD(ROW()-2,COUNTA(helper!$D$3:$D3996))+1))</f>
        <v/>
      </c>
      <c r="D2554" s="3" t="str">
        <f t="array" ref="D2554">IF(B2554="","",INDEX(helper!$E$3:$E3996,MOD(ROW()-2,COUNTA(helper!$D$3:$D3996))+1))</f>
        <v/>
      </c>
      <c r="E2554" s="3" t="str">
        <f t="array" ref="E2554">IF(B2554="","",INDEX(helper!$F$3:$F3996,MOD(ROW()-2,COUNTA(helper!$D$3:$D3996))+1))</f>
        <v/>
      </c>
      <c r="F2554" s="3" t="str">
        <f>IF(B2554="","",SUMIFS('inventory ledger'!$H:$H,'inventory ledger'!$C:$C,C2554,'inventory ledger'!$D:$D,D2554,'inventory ledger'!$E:$E,E2554,'inventory ledger'!$A:$A,"&lt;="&amp;B2554+TIME(23,59,59))-SUMIFS('inventory ledger'!$I:$I,'inventory ledger'!$C:$C,C2554,'inventory ledger'!$D:$D,D2554,'inventory ledger'!$E:$E,E2554,'inventory ledger'!$A:$A,"&lt;="&amp;B2554+TIME(23,59,59)))</f>
        <v/>
      </c>
      <c r="G2554" s="3">
        <f>IFERROR(__xludf.DUMMYFUNCTION("IF(F2554&lt;=0,0,IFERROR(ROUNDUP(F2554/INDEX(FILTER('warehouse config'!$D:$D,('warehouse config'!$B:$B=C2554)*('warehouse config'!$C:$C=D2554)*('warehouse config'!$G:$G&lt;=B2554)*(('warehouse config'!$H:$H&gt;=B2554)+ISBLANK('warehouse config'!$H:$H))),1)),0))"),0.0)</f>
        <v>0</v>
      </c>
      <c r="H2554" s="3">
        <f>IFERROR(__xludf.DUMMYFUNCTION("IFERROR(INDEX(FILTER('cost master'!$E:$E,('cost master'!$B:$B=C2554)*('cost master'!$D:$D=""Storage cost per pallet / week"")*('cost master'!$G:$G&lt;=B2554)*(('cost master'!$H:$H&gt;=B2554)+ISBLANK('cost master'!$H:$H))),1),0)"),0.0)</f>
        <v>0</v>
      </c>
      <c r="I2554" s="3">
        <f t="shared" si="4"/>
        <v>0</v>
      </c>
      <c r="J2554" s="27">
        <f t="shared" si="5"/>
        <v>693947</v>
      </c>
      <c r="K2554" s="27">
        <f t="shared" si="6"/>
        <v>693977</v>
      </c>
    </row>
    <row r="2555" hidden="1">
      <c r="A2555" s="3" t="str">
        <f t="shared" si="3"/>
        <v/>
      </c>
      <c r="B2555" s="2" t="str">
        <f t="array" ref="B2555">INDEX(helper!$A$3:$A3996,ROUNDUP((ROW()-1)/COUNTA(helper!$D$3:$D3996),0))</f>
        <v/>
      </c>
      <c r="C2555" s="5" t="str">
        <f t="array" ref="C2555">IF(B2555="","",INDEX(helper!$D$3:$D3996,MOD(ROW()-2,COUNTA(helper!$D$3:$D3996))+1))</f>
        <v/>
      </c>
      <c r="D2555" s="3" t="str">
        <f t="array" ref="D2555">IF(B2555="","",INDEX(helper!$E$3:$E3996,MOD(ROW()-2,COUNTA(helper!$D$3:$D3996))+1))</f>
        <v/>
      </c>
      <c r="E2555" s="3" t="str">
        <f t="array" ref="E2555">IF(B2555="","",INDEX(helper!$F$3:$F3996,MOD(ROW()-2,COUNTA(helper!$D$3:$D3996))+1))</f>
        <v/>
      </c>
      <c r="F2555" s="3" t="str">
        <f>IF(B2555="","",SUMIFS('inventory ledger'!$H:$H,'inventory ledger'!$C:$C,C2555,'inventory ledger'!$D:$D,D2555,'inventory ledger'!$E:$E,E2555,'inventory ledger'!$A:$A,"&lt;="&amp;B2555+TIME(23,59,59))-SUMIFS('inventory ledger'!$I:$I,'inventory ledger'!$C:$C,C2555,'inventory ledger'!$D:$D,D2555,'inventory ledger'!$E:$E,E2555,'inventory ledger'!$A:$A,"&lt;="&amp;B2555+TIME(23,59,59)))</f>
        <v/>
      </c>
      <c r="G2555" s="3">
        <f>IFERROR(__xludf.DUMMYFUNCTION("IF(F2555&lt;=0,0,IFERROR(ROUNDUP(F2555/INDEX(FILTER('warehouse config'!$D:$D,('warehouse config'!$B:$B=C2555)*('warehouse config'!$C:$C=D2555)*('warehouse config'!$G:$G&lt;=B2555)*(('warehouse config'!$H:$H&gt;=B2555)+ISBLANK('warehouse config'!$H:$H))),1)),0))"),0.0)</f>
        <v>0</v>
      </c>
      <c r="H2555" s="3">
        <f>IFERROR(__xludf.DUMMYFUNCTION("IFERROR(INDEX(FILTER('cost master'!$E:$E,('cost master'!$B:$B=C2555)*('cost master'!$D:$D=""Storage cost per pallet / week"")*('cost master'!$G:$G&lt;=B2555)*(('cost master'!$H:$H&gt;=B2555)+ISBLANK('cost master'!$H:$H))),1),0)"),0.0)</f>
        <v>0</v>
      </c>
      <c r="I2555" s="3">
        <f t="shared" si="4"/>
        <v>0</v>
      </c>
      <c r="J2555" s="27">
        <f t="shared" si="5"/>
        <v>693947</v>
      </c>
      <c r="K2555" s="27">
        <f t="shared" si="6"/>
        <v>693977</v>
      </c>
    </row>
    <row r="2556" hidden="1">
      <c r="A2556" s="3" t="str">
        <f t="shared" si="3"/>
        <v/>
      </c>
      <c r="B2556" s="2" t="str">
        <f t="array" ref="B2556">INDEX(helper!$A$3:$A3996,ROUNDUP((ROW()-1)/COUNTA(helper!$D$3:$D3996),0))</f>
        <v/>
      </c>
      <c r="C2556" s="5" t="str">
        <f t="array" ref="C2556">IF(B2556="","",INDEX(helper!$D$3:$D3996,MOD(ROW()-2,COUNTA(helper!$D$3:$D3996))+1))</f>
        <v/>
      </c>
      <c r="D2556" s="3" t="str">
        <f t="array" ref="D2556">IF(B2556="","",INDEX(helper!$E$3:$E3996,MOD(ROW()-2,COUNTA(helper!$D$3:$D3996))+1))</f>
        <v/>
      </c>
      <c r="E2556" s="3" t="str">
        <f t="array" ref="E2556">IF(B2556="","",INDEX(helper!$F$3:$F3996,MOD(ROW()-2,COUNTA(helper!$D$3:$D3996))+1))</f>
        <v/>
      </c>
      <c r="F2556" s="3" t="str">
        <f>IF(B2556="","",SUMIFS('inventory ledger'!$H:$H,'inventory ledger'!$C:$C,C2556,'inventory ledger'!$D:$D,D2556,'inventory ledger'!$E:$E,E2556,'inventory ledger'!$A:$A,"&lt;="&amp;B2556+TIME(23,59,59))-SUMIFS('inventory ledger'!$I:$I,'inventory ledger'!$C:$C,C2556,'inventory ledger'!$D:$D,D2556,'inventory ledger'!$E:$E,E2556,'inventory ledger'!$A:$A,"&lt;="&amp;B2556+TIME(23,59,59)))</f>
        <v/>
      </c>
      <c r="G2556" s="3">
        <f>IFERROR(__xludf.DUMMYFUNCTION("IF(F2556&lt;=0,0,IFERROR(ROUNDUP(F2556/INDEX(FILTER('warehouse config'!$D:$D,('warehouse config'!$B:$B=C2556)*('warehouse config'!$C:$C=D2556)*('warehouse config'!$G:$G&lt;=B2556)*(('warehouse config'!$H:$H&gt;=B2556)+ISBLANK('warehouse config'!$H:$H))),1)),0))"),0.0)</f>
        <v>0</v>
      </c>
      <c r="H2556" s="3">
        <f>IFERROR(__xludf.DUMMYFUNCTION("IFERROR(INDEX(FILTER('cost master'!$E:$E,('cost master'!$B:$B=C2556)*('cost master'!$D:$D=""Storage cost per pallet / week"")*('cost master'!$G:$G&lt;=B2556)*(('cost master'!$H:$H&gt;=B2556)+ISBLANK('cost master'!$H:$H))),1),0)"),0.0)</f>
        <v>0</v>
      </c>
      <c r="I2556" s="3">
        <f t="shared" si="4"/>
        <v>0</v>
      </c>
      <c r="J2556" s="27">
        <f t="shared" si="5"/>
        <v>693947</v>
      </c>
      <c r="K2556" s="27">
        <f t="shared" si="6"/>
        <v>693977</v>
      </c>
    </row>
    <row r="2557" hidden="1">
      <c r="A2557" s="3" t="str">
        <f t="shared" si="3"/>
        <v/>
      </c>
      <c r="B2557" s="2" t="str">
        <f t="array" ref="B2557">INDEX(helper!$A$3:$A3996,ROUNDUP((ROW()-1)/COUNTA(helper!$D$3:$D3996),0))</f>
        <v/>
      </c>
      <c r="C2557" s="5" t="str">
        <f t="array" ref="C2557">IF(B2557="","",INDEX(helper!$D$3:$D3996,MOD(ROW()-2,COUNTA(helper!$D$3:$D3996))+1))</f>
        <v/>
      </c>
      <c r="D2557" s="3" t="str">
        <f t="array" ref="D2557">IF(B2557="","",INDEX(helper!$E$3:$E3996,MOD(ROW()-2,COUNTA(helper!$D$3:$D3996))+1))</f>
        <v/>
      </c>
      <c r="E2557" s="3" t="str">
        <f t="array" ref="E2557">IF(B2557="","",INDEX(helper!$F$3:$F3996,MOD(ROW()-2,COUNTA(helper!$D$3:$D3996))+1))</f>
        <v/>
      </c>
      <c r="F2557" s="3" t="str">
        <f>IF(B2557="","",SUMIFS('inventory ledger'!$H:$H,'inventory ledger'!$C:$C,C2557,'inventory ledger'!$D:$D,D2557,'inventory ledger'!$E:$E,E2557,'inventory ledger'!$A:$A,"&lt;="&amp;B2557+TIME(23,59,59))-SUMIFS('inventory ledger'!$I:$I,'inventory ledger'!$C:$C,C2557,'inventory ledger'!$D:$D,D2557,'inventory ledger'!$E:$E,E2557,'inventory ledger'!$A:$A,"&lt;="&amp;B2557+TIME(23,59,59)))</f>
        <v/>
      </c>
      <c r="G2557" s="3">
        <f>IFERROR(__xludf.DUMMYFUNCTION("IF(F2557&lt;=0,0,IFERROR(ROUNDUP(F2557/INDEX(FILTER('warehouse config'!$D:$D,('warehouse config'!$B:$B=C2557)*('warehouse config'!$C:$C=D2557)*('warehouse config'!$G:$G&lt;=B2557)*(('warehouse config'!$H:$H&gt;=B2557)+ISBLANK('warehouse config'!$H:$H))),1)),0))"),0.0)</f>
        <v>0</v>
      </c>
      <c r="H2557" s="3">
        <f>IFERROR(__xludf.DUMMYFUNCTION("IFERROR(INDEX(FILTER('cost master'!$E:$E,('cost master'!$B:$B=C2557)*('cost master'!$D:$D=""Storage cost per pallet / week"")*('cost master'!$G:$G&lt;=B2557)*(('cost master'!$H:$H&gt;=B2557)+ISBLANK('cost master'!$H:$H))),1),0)"),0.0)</f>
        <v>0</v>
      </c>
      <c r="I2557" s="3">
        <f t="shared" si="4"/>
        <v>0</v>
      </c>
      <c r="J2557" s="27">
        <f t="shared" si="5"/>
        <v>693947</v>
      </c>
      <c r="K2557" s="27">
        <f t="shared" si="6"/>
        <v>693977</v>
      </c>
    </row>
    <row r="2558" hidden="1">
      <c r="A2558" s="3" t="str">
        <f t="shared" si="3"/>
        <v/>
      </c>
      <c r="B2558" s="2" t="str">
        <f t="array" ref="B2558">INDEX(helper!$A$3:$A3996,ROUNDUP((ROW()-1)/COUNTA(helper!$D$3:$D3996),0))</f>
        <v/>
      </c>
      <c r="C2558" s="5" t="str">
        <f t="array" ref="C2558">IF(B2558="","",INDEX(helper!$D$3:$D3996,MOD(ROW()-2,COUNTA(helper!$D$3:$D3996))+1))</f>
        <v/>
      </c>
      <c r="D2558" s="3" t="str">
        <f t="array" ref="D2558">IF(B2558="","",INDEX(helper!$E$3:$E3996,MOD(ROW()-2,COUNTA(helper!$D$3:$D3996))+1))</f>
        <v/>
      </c>
      <c r="E2558" s="3" t="str">
        <f t="array" ref="E2558">IF(B2558="","",INDEX(helper!$F$3:$F3996,MOD(ROW()-2,COUNTA(helper!$D$3:$D3996))+1))</f>
        <v/>
      </c>
      <c r="F2558" s="3" t="str">
        <f>IF(B2558="","",SUMIFS('inventory ledger'!$H:$H,'inventory ledger'!$C:$C,C2558,'inventory ledger'!$D:$D,D2558,'inventory ledger'!$E:$E,E2558,'inventory ledger'!$A:$A,"&lt;="&amp;B2558+TIME(23,59,59))-SUMIFS('inventory ledger'!$I:$I,'inventory ledger'!$C:$C,C2558,'inventory ledger'!$D:$D,D2558,'inventory ledger'!$E:$E,E2558,'inventory ledger'!$A:$A,"&lt;="&amp;B2558+TIME(23,59,59)))</f>
        <v/>
      </c>
      <c r="G2558" s="3">
        <f>IFERROR(__xludf.DUMMYFUNCTION("IF(F2558&lt;=0,0,IFERROR(ROUNDUP(F2558/INDEX(FILTER('warehouse config'!$D:$D,('warehouse config'!$B:$B=C2558)*('warehouse config'!$C:$C=D2558)*('warehouse config'!$G:$G&lt;=B2558)*(('warehouse config'!$H:$H&gt;=B2558)+ISBLANK('warehouse config'!$H:$H))),1)),0))"),0.0)</f>
        <v>0</v>
      </c>
      <c r="H2558" s="3">
        <f>IFERROR(__xludf.DUMMYFUNCTION("IFERROR(INDEX(FILTER('cost master'!$E:$E,('cost master'!$B:$B=C2558)*('cost master'!$D:$D=""Storage cost per pallet / week"")*('cost master'!$G:$G&lt;=B2558)*(('cost master'!$H:$H&gt;=B2558)+ISBLANK('cost master'!$H:$H))),1),0)"),0.0)</f>
        <v>0</v>
      </c>
      <c r="I2558" s="3">
        <f t="shared" si="4"/>
        <v>0</v>
      </c>
      <c r="J2558" s="27">
        <f t="shared" si="5"/>
        <v>693947</v>
      </c>
      <c r="K2558" s="27">
        <f t="shared" si="6"/>
        <v>693977</v>
      </c>
    </row>
    <row r="2559" hidden="1">
      <c r="A2559" s="3" t="str">
        <f t="shared" si="3"/>
        <v/>
      </c>
      <c r="B2559" s="2" t="str">
        <f t="array" ref="B2559">INDEX(helper!$A$3:$A3996,ROUNDUP((ROW()-1)/COUNTA(helper!$D$3:$D3996),0))</f>
        <v/>
      </c>
      <c r="C2559" s="5" t="str">
        <f t="array" ref="C2559">IF(B2559="","",INDEX(helper!$D$3:$D3996,MOD(ROW()-2,COUNTA(helper!$D$3:$D3996))+1))</f>
        <v/>
      </c>
      <c r="D2559" s="3" t="str">
        <f t="array" ref="D2559">IF(B2559="","",INDEX(helper!$E$3:$E3996,MOD(ROW()-2,COUNTA(helper!$D$3:$D3996))+1))</f>
        <v/>
      </c>
      <c r="E2559" s="3" t="str">
        <f t="array" ref="E2559">IF(B2559="","",INDEX(helper!$F$3:$F3996,MOD(ROW()-2,COUNTA(helper!$D$3:$D3996))+1))</f>
        <v/>
      </c>
      <c r="F2559" s="3" t="str">
        <f>IF(B2559="","",SUMIFS('inventory ledger'!$H:$H,'inventory ledger'!$C:$C,C2559,'inventory ledger'!$D:$D,D2559,'inventory ledger'!$E:$E,E2559,'inventory ledger'!$A:$A,"&lt;="&amp;B2559+TIME(23,59,59))-SUMIFS('inventory ledger'!$I:$I,'inventory ledger'!$C:$C,C2559,'inventory ledger'!$D:$D,D2559,'inventory ledger'!$E:$E,E2559,'inventory ledger'!$A:$A,"&lt;="&amp;B2559+TIME(23,59,59)))</f>
        <v/>
      </c>
      <c r="G2559" s="3">
        <f>IFERROR(__xludf.DUMMYFUNCTION("IF(F2559&lt;=0,0,IFERROR(ROUNDUP(F2559/INDEX(FILTER('warehouse config'!$D:$D,('warehouse config'!$B:$B=C2559)*('warehouse config'!$C:$C=D2559)*('warehouse config'!$G:$G&lt;=B2559)*(('warehouse config'!$H:$H&gt;=B2559)+ISBLANK('warehouse config'!$H:$H))),1)),0))"),0.0)</f>
        <v>0</v>
      </c>
      <c r="H2559" s="3">
        <f>IFERROR(__xludf.DUMMYFUNCTION("IFERROR(INDEX(FILTER('cost master'!$E:$E,('cost master'!$B:$B=C2559)*('cost master'!$D:$D=""Storage cost per pallet / week"")*('cost master'!$G:$G&lt;=B2559)*(('cost master'!$H:$H&gt;=B2559)+ISBLANK('cost master'!$H:$H))),1),0)"),0.0)</f>
        <v>0</v>
      </c>
      <c r="I2559" s="3">
        <f t="shared" si="4"/>
        <v>0</v>
      </c>
      <c r="J2559" s="27">
        <f t="shared" si="5"/>
        <v>693947</v>
      </c>
      <c r="K2559" s="27">
        <f t="shared" si="6"/>
        <v>693977</v>
      </c>
    </row>
    <row r="2560" hidden="1">
      <c r="A2560" s="3" t="str">
        <f t="shared" si="3"/>
        <v/>
      </c>
      <c r="B2560" s="2" t="str">
        <f t="array" ref="B2560">INDEX(helper!$A$3:$A3996,ROUNDUP((ROW()-1)/COUNTA(helper!$D$3:$D3996),0))</f>
        <v/>
      </c>
      <c r="C2560" s="5" t="str">
        <f t="array" ref="C2560">IF(B2560="","",INDEX(helper!$D$3:$D3996,MOD(ROW()-2,COUNTA(helper!$D$3:$D3996))+1))</f>
        <v/>
      </c>
      <c r="D2560" s="3" t="str">
        <f t="array" ref="D2560">IF(B2560="","",INDEX(helper!$E$3:$E3996,MOD(ROW()-2,COUNTA(helper!$D$3:$D3996))+1))</f>
        <v/>
      </c>
      <c r="E2560" s="3" t="str">
        <f t="array" ref="E2560">IF(B2560="","",INDEX(helper!$F$3:$F3996,MOD(ROW()-2,COUNTA(helper!$D$3:$D3996))+1))</f>
        <v/>
      </c>
      <c r="F2560" s="3" t="str">
        <f>IF(B2560="","",SUMIFS('inventory ledger'!$H:$H,'inventory ledger'!$C:$C,C2560,'inventory ledger'!$D:$D,D2560,'inventory ledger'!$E:$E,E2560,'inventory ledger'!$A:$A,"&lt;="&amp;B2560+TIME(23,59,59))-SUMIFS('inventory ledger'!$I:$I,'inventory ledger'!$C:$C,C2560,'inventory ledger'!$D:$D,D2560,'inventory ledger'!$E:$E,E2560,'inventory ledger'!$A:$A,"&lt;="&amp;B2560+TIME(23,59,59)))</f>
        <v/>
      </c>
      <c r="G2560" s="3">
        <f>IFERROR(__xludf.DUMMYFUNCTION("IF(F2560&lt;=0,0,IFERROR(ROUNDUP(F2560/INDEX(FILTER('warehouse config'!$D:$D,('warehouse config'!$B:$B=C2560)*('warehouse config'!$C:$C=D2560)*('warehouse config'!$G:$G&lt;=B2560)*(('warehouse config'!$H:$H&gt;=B2560)+ISBLANK('warehouse config'!$H:$H))),1)),0))"),0.0)</f>
        <v>0</v>
      </c>
      <c r="H2560" s="3">
        <f>IFERROR(__xludf.DUMMYFUNCTION("IFERROR(INDEX(FILTER('cost master'!$E:$E,('cost master'!$B:$B=C2560)*('cost master'!$D:$D=""Storage cost per pallet / week"")*('cost master'!$G:$G&lt;=B2560)*(('cost master'!$H:$H&gt;=B2560)+ISBLANK('cost master'!$H:$H))),1),0)"),0.0)</f>
        <v>0</v>
      </c>
      <c r="I2560" s="3">
        <f t="shared" si="4"/>
        <v>0</v>
      </c>
      <c r="J2560" s="27">
        <f t="shared" si="5"/>
        <v>693947</v>
      </c>
      <c r="K2560" s="27">
        <f t="shared" si="6"/>
        <v>693977</v>
      </c>
    </row>
    <row r="2561" hidden="1">
      <c r="A2561" s="3" t="str">
        <f t="shared" si="3"/>
        <v/>
      </c>
      <c r="B2561" s="2" t="str">
        <f t="array" ref="B2561">INDEX(helper!$A$3:$A3996,ROUNDUP((ROW()-1)/COUNTA(helper!$D$3:$D3996),0))</f>
        <v/>
      </c>
      <c r="C2561" s="5" t="str">
        <f t="array" ref="C2561">IF(B2561="","",INDEX(helper!$D$3:$D3996,MOD(ROW()-2,COUNTA(helper!$D$3:$D3996))+1))</f>
        <v/>
      </c>
      <c r="D2561" s="3" t="str">
        <f t="array" ref="D2561">IF(B2561="","",INDEX(helper!$E$3:$E3996,MOD(ROW()-2,COUNTA(helper!$D$3:$D3996))+1))</f>
        <v/>
      </c>
      <c r="E2561" s="3" t="str">
        <f t="array" ref="E2561">IF(B2561="","",INDEX(helper!$F$3:$F3996,MOD(ROW()-2,COUNTA(helper!$D$3:$D3996))+1))</f>
        <v/>
      </c>
      <c r="F2561" s="3" t="str">
        <f>IF(B2561="","",SUMIFS('inventory ledger'!$H:$H,'inventory ledger'!$C:$C,C2561,'inventory ledger'!$D:$D,D2561,'inventory ledger'!$E:$E,E2561,'inventory ledger'!$A:$A,"&lt;="&amp;B2561+TIME(23,59,59))-SUMIFS('inventory ledger'!$I:$I,'inventory ledger'!$C:$C,C2561,'inventory ledger'!$D:$D,D2561,'inventory ledger'!$E:$E,E2561,'inventory ledger'!$A:$A,"&lt;="&amp;B2561+TIME(23,59,59)))</f>
        <v/>
      </c>
      <c r="G2561" s="3">
        <f>IFERROR(__xludf.DUMMYFUNCTION("IF(F2561&lt;=0,0,IFERROR(ROUNDUP(F2561/INDEX(FILTER('warehouse config'!$D:$D,('warehouse config'!$B:$B=C2561)*('warehouse config'!$C:$C=D2561)*('warehouse config'!$G:$G&lt;=B2561)*(('warehouse config'!$H:$H&gt;=B2561)+ISBLANK('warehouse config'!$H:$H))),1)),0))"),0.0)</f>
        <v>0</v>
      </c>
      <c r="H2561" s="3">
        <f>IFERROR(__xludf.DUMMYFUNCTION("IFERROR(INDEX(FILTER('cost master'!$E:$E,('cost master'!$B:$B=C2561)*('cost master'!$D:$D=""Storage cost per pallet / week"")*('cost master'!$G:$G&lt;=B2561)*(('cost master'!$H:$H&gt;=B2561)+ISBLANK('cost master'!$H:$H))),1),0)"),0.0)</f>
        <v>0</v>
      </c>
      <c r="I2561" s="3">
        <f t="shared" si="4"/>
        <v>0</v>
      </c>
      <c r="J2561" s="27">
        <f t="shared" si="5"/>
        <v>693947</v>
      </c>
      <c r="K2561" s="27">
        <f t="shared" si="6"/>
        <v>693977</v>
      </c>
    </row>
    <row r="2562" hidden="1">
      <c r="A2562" s="3" t="str">
        <f t="shared" si="3"/>
        <v/>
      </c>
      <c r="B2562" s="2" t="str">
        <f t="array" ref="B2562">INDEX(helper!$A$3:$A3996,ROUNDUP((ROW()-1)/COUNTA(helper!$D$3:$D3996),0))</f>
        <v/>
      </c>
      <c r="C2562" s="5" t="str">
        <f t="array" ref="C2562">IF(B2562="","",INDEX(helper!$D$3:$D3996,MOD(ROW()-2,COUNTA(helper!$D$3:$D3996))+1))</f>
        <v/>
      </c>
      <c r="D2562" s="3" t="str">
        <f t="array" ref="D2562">IF(B2562="","",INDEX(helper!$E$3:$E3996,MOD(ROW()-2,COUNTA(helper!$D$3:$D3996))+1))</f>
        <v/>
      </c>
      <c r="E2562" s="3" t="str">
        <f t="array" ref="E2562">IF(B2562="","",INDEX(helper!$F$3:$F3996,MOD(ROW()-2,COUNTA(helper!$D$3:$D3996))+1))</f>
        <v/>
      </c>
      <c r="F2562" s="3" t="str">
        <f>IF(B2562="","",SUMIFS('inventory ledger'!$H:$H,'inventory ledger'!$C:$C,C2562,'inventory ledger'!$D:$D,D2562,'inventory ledger'!$E:$E,E2562,'inventory ledger'!$A:$A,"&lt;="&amp;B2562+TIME(23,59,59))-SUMIFS('inventory ledger'!$I:$I,'inventory ledger'!$C:$C,C2562,'inventory ledger'!$D:$D,D2562,'inventory ledger'!$E:$E,E2562,'inventory ledger'!$A:$A,"&lt;="&amp;B2562+TIME(23,59,59)))</f>
        <v/>
      </c>
      <c r="G2562" s="3">
        <f>IFERROR(__xludf.DUMMYFUNCTION("IF(F2562&lt;=0,0,IFERROR(ROUNDUP(F2562/INDEX(FILTER('warehouse config'!$D:$D,('warehouse config'!$B:$B=C2562)*('warehouse config'!$C:$C=D2562)*('warehouse config'!$G:$G&lt;=B2562)*(('warehouse config'!$H:$H&gt;=B2562)+ISBLANK('warehouse config'!$H:$H))),1)),0))"),0.0)</f>
        <v>0</v>
      </c>
      <c r="H2562" s="3">
        <f>IFERROR(__xludf.DUMMYFUNCTION("IFERROR(INDEX(FILTER('cost master'!$E:$E,('cost master'!$B:$B=C2562)*('cost master'!$D:$D=""Storage cost per pallet / week"")*('cost master'!$G:$G&lt;=B2562)*(('cost master'!$H:$H&gt;=B2562)+ISBLANK('cost master'!$H:$H))),1),0)"),0.0)</f>
        <v>0</v>
      </c>
      <c r="I2562" s="3">
        <f t="shared" si="4"/>
        <v>0</v>
      </c>
      <c r="J2562" s="27">
        <f t="shared" si="5"/>
        <v>693947</v>
      </c>
      <c r="K2562" s="27">
        <f t="shared" si="6"/>
        <v>693977</v>
      </c>
    </row>
    <row r="2563" hidden="1">
      <c r="A2563" s="3" t="str">
        <f t="shared" si="3"/>
        <v/>
      </c>
      <c r="B2563" s="2" t="str">
        <f t="array" ref="B2563">INDEX(helper!$A$3:$A3996,ROUNDUP((ROW()-1)/COUNTA(helper!$D$3:$D3996),0))</f>
        <v/>
      </c>
      <c r="C2563" s="5" t="str">
        <f t="array" ref="C2563">IF(B2563="","",INDEX(helper!$D$3:$D3996,MOD(ROW()-2,COUNTA(helper!$D$3:$D3996))+1))</f>
        <v/>
      </c>
      <c r="D2563" s="3" t="str">
        <f t="array" ref="D2563">IF(B2563="","",INDEX(helper!$E$3:$E3996,MOD(ROW()-2,COUNTA(helper!$D$3:$D3996))+1))</f>
        <v/>
      </c>
      <c r="E2563" s="3" t="str">
        <f t="array" ref="E2563">IF(B2563="","",INDEX(helper!$F$3:$F3996,MOD(ROW()-2,COUNTA(helper!$D$3:$D3996))+1))</f>
        <v/>
      </c>
      <c r="F2563" s="3" t="str">
        <f>IF(B2563="","",SUMIFS('inventory ledger'!$H:$H,'inventory ledger'!$C:$C,C2563,'inventory ledger'!$D:$D,D2563,'inventory ledger'!$E:$E,E2563,'inventory ledger'!$A:$A,"&lt;="&amp;B2563+TIME(23,59,59))-SUMIFS('inventory ledger'!$I:$I,'inventory ledger'!$C:$C,C2563,'inventory ledger'!$D:$D,D2563,'inventory ledger'!$E:$E,E2563,'inventory ledger'!$A:$A,"&lt;="&amp;B2563+TIME(23,59,59)))</f>
        <v/>
      </c>
      <c r="G2563" s="3">
        <f>IFERROR(__xludf.DUMMYFUNCTION("IF(F2563&lt;=0,0,IFERROR(ROUNDUP(F2563/INDEX(FILTER('warehouse config'!$D:$D,('warehouse config'!$B:$B=C2563)*('warehouse config'!$C:$C=D2563)*('warehouse config'!$G:$G&lt;=B2563)*(('warehouse config'!$H:$H&gt;=B2563)+ISBLANK('warehouse config'!$H:$H))),1)),0))"),0.0)</f>
        <v>0</v>
      </c>
      <c r="H2563" s="3">
        <f>IFERROR(__xludf.DUMMYFUNCTION("IFERROR(INDEX(FILTER('cost master'!$E:$E,('cost master'!$B:$B=C2563)*('cost master'!$D:$D=""Storage cost per pallet / week"")*('cost master'!$G:$G&lt;=B2563)*(('cost master'!$H:$H&gt;=B2563)+ISBLANK('cost master'!$H:$H))),1),0)"),0.0)</f>
        <v>0</v>
      </c>
      <c r="I2563" s="3">
        <f t="shared" si="4"/>
        <v>0</v>
      </c>
      <c r="J2563" s="27">
        <f t="shared" si="5"/>
        <v>693947</v>
      </c>
      <c r="K2563" s="27">
        <f t="shared" si="6"/>
        <v>693977</v>
      </c>
    </row>
    <row r="2564" hidden="1">
      <c r="A2564" s="3" t="str">
        <f t="shared" si="3"/>
        <v/>
      </c>
      <c r="B2564" s="2" t="str">
        <f t="array" ref="B2564">INDEX(helper!$A$3:$A3996,ROUNDUP((ROW()-1)/COUNTA(helper!$D$3:$D3996),0))</f>
        <v/>
      </c>
      <c r="C2564" s="5" t="str">
        <f t="array" ref="C2564">IF(B2564="","",INDEX(helper!$D$3:$D3996,MOD(ROW()-2,COUNTA(helper!$D$3:$D3996))+1))</f>
        <v/>
      </c>
      <c r="D2564" s="3" t="str">
        <f t="array" ref="D2564">IF(B2564="","",INDEX(helper!$E$3:$E3996,MOD(ROW()-2,COUNTA(helper!$D$3:$D3996))+1))</f>
        <v/>
      </c>
      <c r="E2564" s="3" t="str">
        <f t="array" ref="E2564">IF(B2564="","",INDEX(helper!$F$3:$F3996,MOD(ROW()-2,COUNTA(helper!$D$3:$D3996))+1))</f>
        <v/>
      </c>
      <c r="F2564" s="3" t="str">
        <f>IF(B2564="","",SUMIFS('inventory ledger'!$H:$H,'inventory ledger'!$C:$C,C2564,'inventory ledger'!$D:$D,D2564,'inventory ledger'!$E:$E,E2564,'inventory ledger'!$A:$A,"&lt;="&amp;B2564+TIME(23,59,59))-SUMIFS('inventory ledger'!$I:$I,'inventory ledger'!$C:$C,C2564,'inventory ledger'!$D:$D,D2564,'inventory ledger'!$E:$E,E2564,'inventory ledger'!$A:$A,"&lt;="&amp;B2564+TIME(23,59,59)))</f>
        <v/>
      </c>
      <c r="G2564" s="3">
        <f>IFERROR(__xludf.DUMMYFUNCTION("IF(F2564&lt;=0,0,IFERROR(ROUNDUP(F2564/INDEX(FILTER('warehouse config'!$D:$D,('warehouse config'!$B:$B=C2564)*('warehouse config'!$C:$C=D2564)*('warehouse config'!$G:$G&lt;=B2564)*(('warehouse config'!$H:$H&gt;=B2564)+ISBLANK('warehouse config'!$H:$H))),1)),0))"),0.0)</f>
        <v>0</v>
      </c>
      <c r="H2564" s="3">
        <f>IFERROR(__xludf.DUMMYFUNCTION("IFERROR(INDEX(FILTER('cost master'!$E:$E,('cost master'!$B:$B=C2564)*('cost master'!$D:$D=""Storage cost per pallet / week"")*('cost master'!$G:$G&lt;=B2564)*(('cost master'!$H:$H&gt;=B2564)+ISBLANK('cost master'!$H:$H))),1),0)"),0.0)</f>
        <v>0</v>
      </c>
      <c r="I2564" s="3">
        <f t="shared" si="4"/>
        <v>0</v>
      </c>
      <c r="J2564" s="27">
        <f t="shared" si="5"/>
        <v>693947</v>
      </c>
      <c r="K2564" s="27">
        <f t="shared" si="6"/>
        <v>693977</v>
      </c>
    </row>
    <row r="2565" hidden="1">
      <c r="A2565" s="3" t="str">
        <f t="shared" si="3"/>
        <v/>
      </c>
      <c r="B2565" s="2" t="str">
        <f t="array" ref="B2565">INDEX(helper!$A$3:$A3996,ROUNDUP((ROW()-1)/COUNTA(helper!$D$3:$D3996),0))</f>
        <v/>
      </c>
      <c r="C2565" s="5" t="str">
        <f t="array" ref="C2565">IF(B2565="","",INDEX(helper!$D$3:$D3996,MOD(ROW()-2,COUNTA(helper!$D$3:$D3996))+1))</f>
        <v/>
      </c>
      <c r="D2565" s="3" t="str">
        <f t="array" ref="D2565">IF(B2565="","",INDEX(helper!$E$3:$E3996,MOD(ROW()-2,COUNTA(helper!$D$3:$D3996))+1))</f>
        <v/>
      </c>
      <c r="E2565" s="3" t="str">
        <f t="array" ref="E2565">IF(B2565="","",INDEX(helper!$F$3:$F3996,MOD(ROW()-2,COUNTA(helper!$D$3:$D3996))+1))</f>
        <v/>
      </c>
      <c r="F2565" s="3" t="str">
        <f>IF(B2565="","",SUMIFS('inventory ledger'!$H:$H,'inventory ledger'!$C:$C,C2565,'inventory ledger'!$D:$D,D2565,'inventory ledger'!$E:$E,E2565,'inventory ledger'!$A:$A,"&lt;="&amp;B2565+TIME(23,59,59))-SUMIFS('inventory ledger'!$I:$I,'inventory ledger'!$C:$C,C2565,'inventory ledger'!$D:$D,D2565,'inventory ledger'!$E:$E,E2565,'inventory ledger'!$A:$A,"&lt;="&amp;B2565+TIME(23,59,59)))</f>
        <v/>
      </c>
      <c r="G2565" s="3">
        <f>IFERROR(__xludf.DUMMYFUNCTION("IF(F2565&lt;=0,0,IFERROR(ROUNDUP(F2565/INDEX(FILTER('warehouse config'!$D:$D,('warehouse config'!$B:$B=C2565)*('warehouse config'!$C:$C=D2565)*('warehouse config'!$G:$G&lt;=B2565)*(('warehouse config'!$H:$H&gt;=B2565)+ISBLANK('warehouse config'!$H:$H))),1)),0))"),0.0)</f>
        <v>0</v>
      </c>
      <c r="H2565" s="3">
        <f>IFERROR(__xludf.DUMMYFUNCTION("IFERROR(INDEX(FILTER('cost master'!$E:$E,('cost master'!$B:$B=C2565)*('cost master'!$D:$D=""Storage cost per pallet / week"")*('cost master'!$G:$G&lt;=B2565)*(('cost master'!$H:$H&gt;=B2565)+ISBLANK('cost master'!$H:$H))),1),0)"),0.0)</f>
        <v>0</v>
      </c>
      <c r="I2565" s="3">
        <f t="shared" si="4"/>
        <v>0</v>
      </c>
      <c r="J2565" s="27">
        <f t="shared" si="5"/>
        <v>693947</v>
      </c>
      <c r="K2565" s="27">
        <f t="shared" si="6"/>
        <v>693977</v>
      </c>
    </row>
    <row r="2566" hidden="1">
      <c r="A2566" s="3" t="str">
        <f t="shared" si="3"/>
        <v/>
      </c>
      <c r="B2566" s="2" t="str">
        <f t="array" ref="B2566">INDEX(helper!$A$3:$A3996,ROUNDUP((ROW()-1)/COUNTA(helper!$D$3:$D3996),0))</f>
        <v/>
      </c>
      <c r="C2566" s="5" t="str">
        <f t="array" ref="C2566">IF(B2566="","",INDEX(helper!$D$3:$D3996,MOD(ROW()-2,COUNTA(helper!$D$3:$D3996))+1))</f>
        <v/>
      </c>
      <c r="D2566" s="3" t="str">
        <f t="array" ref="D2566">IF(B2566="","",INDEX(helper!$E$3:$E3996,MOD(ROW()-2,COUNTA(helper!$D$3:$D3996))+1))</f>
        <v/>
      </c>
      <c r="E2566" s="3" t="str">
        <f t="array" ref="E2566">IF(B2566="","",INDEX(helper!$F$3:$F3996,MOD(ROW()-2,COUNTA(helper!$D$3:$D3996))+1))</f>
        <v/>
      </c>
      <c r="F2566" s="3" t="str">
        <f>IF(B2566="","",SUMIFS('inventory ledger'!$H:$H,'inventory ledger'!$C:$C,C2566,'inventory ledger'!$D:$D,D2566,'inventory ledger'!$E:$E,E2566,'inventory ledger'!$A:$A,"&lt;="&amp;B2566+TIME(23,59,59))-SUMIFS('inventory ledger'!$I:$I,'inventory ledger'!$C:$C,C2566,'inventory ledger'!$D:$D,D2566,'inventory ledger'!$E:$E,E2566,'inventory ledger'!$A:$A,"&lt;="&amp;B2566+TIME(23,59,59)))</f>
        <v/>
      </c>
      <c r="G2566" s="3">
        <f>IFERROR(__xludf.DUMMYFUNCTION("IF(F2566&lt;=0,0,IFERROR(ROUNDUP(F2566/INDEX(FILTER('warehouse config'!$D:$D,('warehouse config'!$B:$B=C2566)*('warehouse config'!$C:$C=D2566)*('warehouse config'!$G:$G&lt;=B2566)*(('warehouse config'!$H:$H&gt;=B2566)+ISBLANK('warehouse config'!$H:$H))),1)),0))"),0.0)</f>
        <v>0</v>
      </c>
      <c r="H2566" s="3">
        <f>IFERROR(__xludf.DUMMYFUNCTION("IFERROR(INDEX(FILTER('cost master'!$E:$E,('cost master'!$B:$B=C2566)*('cost master'!$D:$D=""Storage cost per pallet / week"")*('cost master'!$G:$G&lt;=B2566)*(('cost master'!$H:$H&gt;=B2566)+ISBLANK('cost master'!$H:$H))),1),0)"),0.0)</f>
        <v>0</v>
      </c>
      <c r="I2566" s="3">
        <f t="shared" si="4"/>
        <v>0</v>
      </c>
      <c r="J2566" s="27">
        <f t="shared" si="5"/>
        <v>693947</v>
      </c>
      <c r="K2566" s="27">
        <f t="shared" si="6"/>
        <v>693977</v>
      </c>
    </row>
    <row r="2567" hidden="1">
      <c r="A2567" s="3" t="str">
        <f t="shared" si="3"/>
        <v/>
      </c>
      <c r="B2567" s="2" t="str">
        <f t="array" ref="B2567">INDEX(helper!$A$3:$A3996,ROUNDUP((ROW()-1)/COUNTA(helper!$D$3:$D3996),0))</f>
        <v/>
      </c>
      <c r="C2567" s="5" t="str">
        <f t="array" ref="C2567">IF(B2567="","",INDEX(helper!$D$3:$D3996,MOD(ROW()-2,COUNTA(helper!$D$3:$D3996))+1))</f>
        <v/>
      </c>
      <c r="D2567" s="3" t="str">
        <f t="array" ref="D2567">IF(B2567="","",INDEX(helper!$E$3:$E3996,MOD(ROW()-2,COUNTA(helper!$D$3:$D3996))+1))</f>
        <v/>
      </c>
      <c r="E2567" s="3" t="str">
        <f t="array" ref="E2567">IF(B2567="","",INDEX(helper!$F$3:$F3996,MOD(ROW()-2,COUNTA(helper!$D$3:$D3996))+1))</f>
        <v/>
      </c>
      <c r="F2567" s="3" t="str">
        <f>IF(B2567="","",SUMIFS('inventory ledger'!$H:$H,'inventory ledger'!$C:$C,C2567,'inventory ledger'!$D:$D,D2567,'inventory ledger'!$E:$E,E2567,'inventory ledger'!$A:$A,"&lt;="&amp;B2567+TIME(23,59,59))-SUMIFS('inventory ledger'!$I:$I,'inventory ledger'!$C:$C,C2567,'inventory ledger'!$D:$D,D2567,'inventory ledger'!$E:$E,E2567,'inventory ledger'!$A:$A,"&lt;="&amp;B2567+TIME(23,59,59)))</f>
        <v/>
      </c>
      <c r="G2567" s="3">
        <f>IFERROR(__xludf.DUMMYFUNCTION("IF(F2567&lt;=0,0,IFERROR(ROUNDUP(F2567/INDEX(FILTER('warehouse config'!$D:$D,('warehouse config'!$B:$B=C2567)*('warehouse config'!$C:$C=D2567)*('warehouse config'!$G:$G&lt;=B2567)*(('warehouse config'!$H:$H&gt;=B2567)+ISBLANK('warehouse config'!$H:$H))),1)),0))"),0.0)</f>
        <v>0</v>
      </c>
      <c r="H2567" s="3">
        <f>IFERROR(__xludf.DUMMYFUNCTION("IFERROR(INDEX(FILTER('cost master'!$E:$E,('cost master'!$B:$B=C2567)*('cost master'!$D:$D=""Storage cost per pallet / week"")*('cost master'!$G:$G&lt;=B2567)*(('cost master'!$H:$H&gt;=B2567)+ISBLANK('cost master'!$H:$H))),1),0)"),0.0)</f>
        <v>0</v>
      </c>
      <c r="I2567" s="3">
        <f t="shared" si="4"/>
        <v>0</v>
      </c>
      <c r="J2567" s="27">
        <f t="shared" si="5"/>
        <v>693947</v>
      </c>
      <c r="K2567" s="27">
        <f t="shared" si="6"/>
        <v>693977</v>
      </c>
    </row>
    <row r="2568" hidden="1">
      <c r="A2568" s="3" t="str">
        <f t="shared" si="3"/>
        <v/>
      </c>
      <c r="B2568" s="2" t="str">
        <f t="array" ref="B2568">INDEX(helper!$A$3:$A3996,ROUNDUP((ROW()-1)/COUNTA(helper!$D$3:$D3996),0))</f>
        <v/>
      </c>
      <c r="C2568" s="5" t="str">
        <f t="array" ref="C2568">IF(B2568="","",INDEX(helper!$D$3:$D3996,MOD(ROW()-2,COUNTA(helper!$D$3:$D3996))+1))</f>
        <v/>
      </c>
      <c r="D2568" s="3" t="str">
        <f t="array" ref="D2568">IF(B2568="","",INDEX(helper!$E$3:$E3996,MOD(ROW()-2,COUNTA(helper!$D$3:$D3996))+1))</f>
        <v/>
      </c>
      <c r="E2568" s="3" t="str">
        <f t="array" ref="E2568">IF(B2568="","",INDEX(helper!$F$3:$F3996,MOD(ROW()-2,COUNTA(helper!$D$3:$D3996))+1))</f>
        <v/>
      </c>
      <c r="F2568" s="3" t="str">
        <f>IF(B2568="","",SUMIFS('inventory ledger'!$H:$H,'inventory ledger'!$C:$C,C2568,'inventory ledger'!$D:$D,D2568,'inventory ledger'!$E:$E,E2568,'inventory ledger'!$A:$A,"&lt;="&amp;B2568+TIME(23,59,59))-SUMIFS('inventory ledger'!$I:$I,'inventory ledger'!$C:$C,C2568,'inventory ledger'!$D:$D,D2568,'inventory ledger'!$E:$E,E2568,'inventory ledger'!$A:$A,"&lt;="&amp;B2568+TIME(23,59,59)))</f>
        <v/>
      </c>
      <c r="G2568" s="3">
        <f>IFERROR(__xludf.DUMMYFUNCTION("IF(F2568&lt;=0,0,IFERROR(ROUNDUP(F2568/INDEX(FILTER('warehouse config'!$D:$D,('warehouse config'!$B:$B=C2568)*('warehouse config'!$C:$C=D2568)*('warehouse config'!$G:$G&lt;=B2568)*(('warehouse config'!$H:$H&gt;=B2568)+ISBLANK('warehouse config'!$H:$H))),1)),0))"),0.0)</f>
        <v>0</v>
      </c>
      <c r="H2568" s="3">
        <f>IFERROR(__xludf.DUMMYFUNCTION("IFERROR(INDEX(FILTER('cost master'!$E:$E,('cost master'!$B:$B=C2568)*('cost master'!$D:$D=""Storage cost per pallet / week"")*('cost master'!$G:$G&lt;=B2568)*(('cost master'!$H:$H&gt;=B2568)+ISBLANK('cost master'!$H:$H))),1),0)"),0.0)</f>
        <v>0</v>
      </c>
      <c r="I2568" s="3">
        <f t="shared" si="4"/>
        <v>0</v>
      </c>
      <c r="J2568" s="27">
        <f t="shared" si="5"/>
        <v>693947</v>
      </c>
      <c r="K2568" s="27">
        <f t="shared" si="6"/>
        <v>693977</v>
      </c>
    </row>
    <row r="2569" hidden="1">
      <c r="A2569" s="3" t="str">
        <f t="shared" si="3"/>
        <v/>
      </c>
      <c r="B2569" s="2" t="str">
        <f t="array" ref="B2569">INDEX(helper!$A$3:$A3996,ROUNDUP((ROW()-1)/COUNTA(helper!$D$3:$D3996),0))</f>
        <v/>
      </c>
      <c r="C2569" s="5" t="str">
        <f t="array" ref="C2569">IF(B2569="","",INDEX(helper!$D$3:$D3996,MOD(ROW()-2,COUNTA(helper!$D$3:$D3996))+1))</f>
        <v/>
      </c>
      <c r="D2569" s="3" t="str">
        <f t="array" ref="D2569">IF(B2569="","",INDEX(helper!$E$3:$E3996,MOD(ROW()-2,COUNTA(helper!$D$3:$D3996))+1))</f>
        <v/>
      </c>
      <c r="E2569" s="3" t="str">
        <f t="array" ref="E2569">IF(B2569="","",INDEX(helper!$F$3:$F3996,MOD(ROW()-2,COUNTA(helper!$D$3:$D3996))+1))</f>
        <v/>
      </c>
      <c r="F2569" s="3" t="str">
        <f>IF(B2569="","",SUMIFS('inventory ledger'!$H:$H,'inventory ledger'!$C:$C,C2569,'inventory ledger'!$D:$D,D2569,'inventory ledger'!$E:$E,E2569,'inventory ledger'!$A:$A,"&lt;="&amp;B2569+TIME(23,59,59))-SUMIFS('inventory ledger'!$I:$I,'inventory ledger'!$C:$C,C2569,'inventory ledger'!$D:$D,D2569,'inventory ledger'!$E:$E,E2569,'inventory ledger'!$A:$A,"&lt;="&amp;B2569+TIME(23,59,59)))</f>
        <v/>
      </c>
      <c r="G2569" s="3">
        <f>IFERROR(__xludf.DUMMYFUNCTION("IF(F2569&lt;=0,0,IFERROR(ROUNDUP(F2569/INDEX(FILTER('warehouse config'!$D:$D,('warehouse config'!$B:$B=C2569)*('warehouse config'!$C:$C=D2569)*('warehouse config'!$G:$G&lt;=B2569)*(('warehouse config'!$H:$H&gt;=B2569)+ISBLANK('warehouse config'!$H:$H))),1)),0))"),0.0)</f>
        <v>0</v>
      </c>
      <c r="H2569" s="3">
        <f>IFERROR(__xludf.DUMMYFUNCTION("IFERROR(INDEX(FILTER('cost master'!$E:$E,('cost master'!$B:$B=C2569)*('cost master'!$D:$D=""Storage cost per pallet / week"")*('cost master'!$G:$G&lt;=B2569)*(('cost master'!$H:$H&gt;=B2569)+ISBLANK('cost master'!$H:$H))),1),0)"),0.0)</f>
        <v>0</v>
      </c>
      <c r="I2569" s="3">
        <f t="shared" si="4"/>
        <v>0</v>
      </c>
      <c r="J2569" s="27">
        <f t="shared" si="5"/>
        <v>693947</v>
      </c>
      <c r="K2569" s="27">
        <f t="shared" si="6"/>
        <v>693977</v>
      </c>
    </row>
    <row r="2570" hidden="1">
      <c r="A2570" s="3" t="str">
        <f t="shared" si="3"/>
        <v/>
      </c>
      <c r="B2570" s="2" t="str">
        <f t="array" ref="B2570">INDEX(helper!$A$3:$A3996,ROUNDUP((ROW()-1)/COUNTA(helper!$D$3:$D3996),0))</f>
        <v/>
      </c>
      <c r="C2570" s="5" t="str">
        <f t="array" ref="C2570">IF(B2570="","",INDEX(helper!$D$3:$D3996,MOD(ROW()-2,COUNTA(helper!$D$3:$D3996))+1))</f>
        <v/>
      </c>
      <c r="D2570" s="3" t="str">
        <f t="array" ref="D2570">IF(B2570="","",INDEX(helper!$E$3:$E3996,MOD(ROW()-2,COUNTA(helper!$D$3:$D3996))+1))</f>
        <v/>
      </c>
      <c r="E2570" s="3" t="str">
        <f t="array" ref="E2570">IF(B2570="","",INDEX(helper!$F$3:$F3996,MOD(ROW()-2,COUNTA(helper!$D$3:$D3996))+1))</f>
        <v/>
      </c>
      <c r="F2570" s="3" t="str">
        <f>IF(B2570="","",SUMIFS('inventory ledger'!$H:$H,'inventory ledger'!$C:$C,C2570,'inventory ledger'!$D:$D,D2570,'inventory ledger'!$E:$E,E2570,'inventory ledger'!$A:$A,"&lt;="&amp;B2570+TIME(23,59,59))-SUMIFS('inventory ledger'!$I:$I,'inventory ledger'!$C:$C,C2570,'inventory ledger'!$D:$D,D2570,'inventory ledger'!$E:$E,E2570,'inventory ledger'!$A:$A,"&lt;="&amp;B2570+TIME(23,59,59)))</f>
        <v/>
      </c>
      <c r="G2570" s="3">
        <f>IFERROR(__xludf.DUMMYFUNCTION("IF(F2570&lt;=0,0,IFERROR(ROUNDUP(F2570/INDEX(FILTER('warehouse config'!$D:$D,('warehouse config'!$B:$B=C2570)*('warehouse config'!$C:$C=D2570)*('warehouse config'!$G:$G&lt;=B2570)*(('warehouse config'!$H:$H&gt;=B2570)+ISBLANK('warehouse config'!$H:$H))),1)),0))"),0.0)</f>
        <v>0</v>
      </c>
      <c r="H2570" s="3">
        <f>IFERROR(__xludf.DUMMYFUNCTION("IFERROR(INDEX(FILTER('cost master'!$E:$E,('cost master'!$B:$B=C2570)*('cost master'!$D:$D=""Storage cost per pallet / week"")*('cost master'!$G:$G&lt;=B2570)*(('cost master'!$H:$H&gt;=B2570)+ISBLANK('cost master'!$H:$H))),1),0)"),0.0)</f>
        <v>0</v>
      </c>
      <c r="I2570" s="3">
        <f t="shared" si="4"/>
        <v>0</v>
      </c>
      <c r="J2570" s="27">
        <f t="shared" si="5"/>
        <v>693947</v>
      </c>
      <c r="K2570" s="27">
        <f t="shared" si="6"/>
        <v>693977</v>
      </c>
    </row>
    <row r="2571" hidden="1">
      <c r="A2571" s="3" t="str">
        <f t="shared" si="3"/>
        <v/>
      </c>
      <c r="B2571" s="2" t="str">
        <f t="array" ref="B2571">INDEX(helper!$A$3:$A3996,ROUNDUP((ROW()-1)/COUNTA(helper!$D$3:$D3996),0))</f>
        <v/>
      </c>
      <c r="C2571" s="5" t="str">
        <f t="array" ref="C2571">IF(B2571="","",INDEX(helper!$D$3:$D3996,MOD(ROW()-2,COUNTA(helper!$D$3:$D3996))+1))</f>
        <v/>
      </c>
      <c r="D2571" s="3" t="str">
        <f t="array" ref="D2571">IF(B2571="","",INDEX(helper!$E$3:$E3996,MOD(ROW()-2,COUNTA(helper!$D$3:$D3996))+1))</f>
        <v/>
      </c>
      <c r="E2571" s="3" t="str">
        <f t="array" ref="E2571">IF(B2571="","",INDEX(helper!$F$3:$F3996,MOD(ROW()-2,COUNTA(helper!$D$3:$D3996))+1))</f>
        <v/>
      </c>
      <c r="F2571" s="3" t="str">
        <f>IF(B2571="","",SUMIFS('inventory ledger'!$H:$H,'inventory ledger'!$C:$C,C2571,'inventory ledger'!$D:$D,D2571,'inventory ledger'!$E:$E,E2571,'inventory ledger'!$A:$A,"&lt;="&amp;B2571+TIME(23,59,59))-SUMIFS('inventory ledger'!$I:$I,'inventory ledger'!$C:$C,C2571,'inventory ledger'!$D:$D,D2571,'inventory ledger'!$E:$E,E2571,'inventory ledger'!$A:$A,"&lt;="&amp;B2571+TIME(23,59,59)))</f>
        <v/>
      </c>
      <c r="G2571" s="3">
        <f>IFERROR(__xludf.DUMMYFUNCTION("IF(F2571&lt;=0,0,IFERROR(ROUNDUP(F2571/INDEX(FILTER('warehouse config'!$D:$D,('warehouse config'!$B:$B=C2571)*('warehouse config'!$C:$C=D2571)*('warehouse config'!$G:$G&lt;=B2571)*(('warehouse config'!$H:$H&gt;=B2571)+ISBLANK('warehouse config'!$H:$H))),1)),0))"),0.0)</f>
        <v>0</v>
      </c>
      <c r="H2571" s="3">
        <f>IFERROR(__xludf.DUMMYFUNCTION("IFERROR(INDEX(FILTER('cost master'!$E:$E,('cost master'!$B:$B=C2571)*('cost master'!$D:$D=""Storage cost per pallet / week"")*('cost master'!$G:$G&lt;=B2571)*(('cost master'!$H:$H&gt;=B2571)+ISBLANK('cost master'!$H:$H))),1),0)"),0.0)</f>
        <v>0</v>
      </c>
      <c r="I2571" s="3">
        <f t="shared" si="4"/>
        <v>0</v>
      </c>
      <c r="J2571" s="27">
        <f t="shared" si="5"/>
        <v>693947</v>
      </c>
      <c r="K2571" s="27">
        <f t="shared" si="6"/>
        <v>693977</v>
      </c>
    </row>
    <row r="2572" hidden="1">
      <c r="A2572" s="3" t="str">
        <f t="shared" si="3"/>
        <v/>
      </c>
      <c r="B2572" s="2" t="str">
        <f t="array" ref="B2572">INDEX(helper!$A$3:$A3996,ROUNDUP((ROW()-1)/COUNTA(helper!$D$3:$D3996),0))</f>
        <v/>
      </c>
      <c r="C2572" s="5" t="str">
        <f t="array" ref="C2572">IF(B2572="","",INDEX(helper!$D$3:$D3996,MOD(ROW()-2,COUNTA(helper!$D$3:$D3996))+1))</f>
        <v/>
      </c>
      <c r="D2572" s="3" t="str">
        <f t="array" ref="D2572">IF(B2572="","",INDEX(helper!$E$3:$E3996,MOD(ROW()-2,COUNTA(helper!$D$3:$D3996))+1))</f>
        <v/>
      </c>
      <c r="E2572" s="3" t="str">
        <f t="array" ref="E2572">IF(B2572="","",INDEX(helper!$F$3:$F3996,MOD(ROW()-2,COUNTA(helper!$D$3:$D3996))+1))</f>
        <v/>
      </c>
      <c r="F2572" s="3" t="str">
        <f>IF(B2572="","",SUMIFS('inventory ledger'!$H:$H,'inventory ledger'!$C:$C,C2572,'inventory ledger'!$D:$D,D2572,'inventory ledger'!$E:$E,E2572,'inventory ledger'!$A:$A,"&lt;="&amp;B2572+TIME(23,59,59))-SUMIFS('inventory ledger'!$I:$I,'inventory ledger'!$C:$C,C2572,'inventory ledger'!$D:$D,D2572,'inventory ledger'!$E:$E,E2572,'inventory ledger'!$A:$A,"&lt;="&amp;B2572+TIME(23,59,59)))</f>
        <v/>
      </c>
      <c r="G2572" s="3">
        <f>IFERROR(__xludf.DUMMYFUNCTION("IF(F2572&lt;=0,0,IFERROR(ROUNDUP(F2572/INDEX(FILTER('warehouse config'!$D:$D,('warehouse config'!$B:$B=C2572)*('warehouse config'!$C:$C=D2572)*('warehouse config'!$G:$G&lt;=B2572)*(('warehouse config'!$H:$H&gt;=B2572)+ISBLANK('warehouse config'!$H:$H))),1)),0))"),0.0)</f>
        <v>0</v>
      </c>
      <c r="H2572" s="3">
        <f>IFERROR(__xludf.DUMMYFUNCTION("IFERROR(INDEX(FILTER('cost master'!$E:$E,('cost master'!$B:$B=C2572)*('cost master'!$D:$D=""Storage cost per pallet / week"")*('cost master'!$G:$G&lt;=B2572)*(('cost master'!$H:$H&gt;=B2572)+ISBLANK('cost master'!$H:$H))),1),0)"),0.0)</f>
        <v>0</v>
      </c>
      <c r="I2572" s="3">
        <f t="shared" si="4"/>
        <v>0</v>
      </c>
      <c r="J2572" s="27">
        <f t="shared" si="5"/>
        <v>693947</v>
      </c>
      <c r="K2572" s="27">
        <f t="shared" si="6"/>
        <v>693977</v>
      </c>
    </row>
    <row r="2573" hidden="1">
      <c r="A2573" s="3" t="str">
        <f t="shared" si="3"/>
        <v/>
      </c>
      <c r="B2573" s="2" t="str">
        <f t="array" ref="B2573">INDEX(helper!$A$3:$A3996,ROUNDUP((ROW()-1)/COUNTA(helper!$D$3:$D3996),0))</f>
        <v/>
      </c>
      <c r="C2573" s="5" t="str">
        <f t="array" ref="C2573">IF(B2573="","",INDEX(helper!$D$3:$D3996,MOD(ROW()-2,COUNTA(helper!$D$3:$D3996))+1))</f>
        <v/>
      </c>
      <c r="D2573" s="3" t="str">
        <f t="array" ref="D2573">IF(B2573="","",INDEX(helper!$E$3:$E3996,MOD(ROW()-2,COUNTA(helper!$D$3:$D3996))+1))</f>
        <v/>
      </c>
      <c r="E2573" s="3" t="str">
        <f t="array" ref="E2573">IF(B2573="","",INDEX(helper!$F$3:$F3996,MOD(ROW()-2,COUNTA(helper!$D$3:$D3996))+1))</f>
        <v/>
      </c>
      <c r="F2573" s="3" t="str">
        <f>IF(B2573="","",SUMIFS('inventory ledger'!$H:$H,'inventory ledger'!$C:$C,C2573,'inventory ledger'!$D:$D,D2573,'inventory ledger'!$E:$E,E2573,'inventory ledger'!$A:$A,"&lt;="&amp;B2573+TIME(23,59,59))-SUMIFS('inventory ledger'!$I:$I,'inventory ledger'!$C:$C,C2573,'inventory ledger'!$D:$D,D2573,'inventory ledger'!$E:$E,E2573,'inventory ledger'!$A:$A,"&lt;="&amp;B2573+TIME(23,59,59)))</f>
        <v/>
      </c>
      <c r="G2573" s="3">
        <f>IFERROR(__xludf.DUMMYFUNCTION("IF(F2573&lt;=0,0,IFERROR(ROUNDUP(F2573/INDEX(FILTER('warehouse config'!$D:$D,('warehouse config'!$B:$B=C2573)*('warehouse config'!$C:$C=D2573)*('warehouse config'!$G:$G&lt;=B2573)*(('warehouse config'!$H:$H&gt;=B2573)+ISBLANK('warehouse config'!$H:$H))),1)),0))"),0.0)</f>
        <v>0</v>
      </c>
      <c r="H2573" s="3">
        <f>IFERROR(__xludf.DUMMYFUNCTION("IFERROR(INDEX(FILTER('cost master'!$E:$E,('cost master'!$B:$B=C2573)*('cost master'!$D:$D=""Storage cost per pallet / week"")*('cost master'!$G:$G&lt;=B2573)*(('cost master'!$H:$H&gt;=B2573)+ISBLANK('cost master'!$H:$H))),1),0)"),0.0)</f>
        <v>0</v>
      </c>
      <c r="I2573" s="3">
        <f t="shared" si="4"/>
        <v>0</v>
      </c>
      <c r="J2573" s="27">
        <f t="shared" si="5"/>
        <v>693947</v>
      </c>
      <c r="K2573" s="27">
        <f t="shared" si="6"/>
        <v>693977</v>
      </c>
    </row>
    <row r="2574" hidden="1">
      <c r="A2574" s="3" t="str">
        <f t="shared" si="3"/>
        <v/>
      </c>
      <c r="B2574" s="2" t="str">
        <f t="array" ref="B2574">INDEX(helper!$A$3:$A3996,ROUNDUP((ROW()-1)/COUNTA(helper!$D$3:$D3996),0))</f>
        <v/>
      </c>
      <c r="C2574" s="5" t="str">
        <f t="array" ref="C2574">IF(B2574="","",INDEX(helper!$D$3:$D3996,MOD(ROW()-2,COUNTA(helper!$D$3:$D3996))+1))</f>
        <v/>
      </c>
      <c r="D2574" s="3" t="str">
        <f t="array" ref="D2574">IF(B2574="","",INDEX(helper!$E$3:$E3996,MOD(ROW()-2,COUNTA(helper!$D$3:$D3996))+1))</f>
        <v/>
      </c>
      <c r="E2574" s="3" t="str">
        <f t="array" ref="E2574">IF(B2574="","",INDEX(helper!$F$3:$F3996,MOD(ROW()-2,COUNTA(helper!$D$3:$D3996))+1))</f>
        <v/>
      </c>
      <c r="F2574" s="3" t="str">
        <f>IF(B2574="","",SUMIFS('inventory ledger'!$H:$H,'inventory ledger'!$C:$C,C2574,'inventory ledger'!$D:$D,D2574,'inventory ledger'!$E:$E,E2574,'inventory ledger'!$A:$A,"&lt;="&amp;B2574+TIME(23,59,59))-SUMIFS('inventory ledger'!$I:$I,'inventory ledger'!$C:$C,C2574,'inventory ledger'!$D:$D,D2574,'inventory ledger'!$E:$E,E2574,'inventory ledger'!$A:$A,"&lt;="&amp;B2574+TIME(23,59,59)))</f>
        <v/>
      </c>
      <c r="G2574" s="3">
        <f>IFERROR(__xludf.DUMMYFUNCTION("IF(F2574&lt;=0,0,IFERROR(ROUNDUP(F2574/INDEX(FILTER('warehouse config'!$D:$D,('warehouse config'!$B:$B=C2574)*('warehouse config'!$C:$C=D2574)*('warehouse config'!$G:$G&lt;=B2574)*(('warehouse config'!$H:$H&gt;=B2574)+ISBLANK('warehouse config'!$H:$H))),1)),0))"),0.0)</f>
        <v>0</v>
      </c>
      <c r="H2574" s="3">
        <f>IFERROR(__xludf.DUMMYFUNCTION("IFERROR(INDEX(FILTER('cost master'!$E:$E,('cost master'!$B:$B=C2574)*('cost master'!$D:$D=""Storage cost per pallet / week"")*('cost master'!$G:$G&lt;=B2574)*(('cost master'!$H:$H&gt;=B2574)+ISBLANK('cost master'!$H:$H))),1),0)"),0.0)</f>
        <v>0</v>
      </c>
      <c r="I2574" s="3">
        <f t="shared" si="4"/>
        <v>0</v>
      </c>
      <c r="J2574" s="27">
        <f t="shared" si="5"/>
        <v>693947</v>
      </c>
      <c r="K2574" s="27">
        <f t="shared" si="6"/>
        <v>693977</v>
      </c>
    </row>
    <row r="2575" hidden="1">
      <c r="A2575" s="3" t="str">
        <f t="shared" si="3"/>
        <v/>
      </c>
      <c r="B2575" s="2" t="str">
        <f t="array" ref="B2575">INDEX(helper!$A$3:$A3996,ROUNDUP((ROW()-1)/COUNTA(helper!$D$3:$D3996),0))</f>
        <v/>
      </c>
      <c r="C2575" s="5" t="str">
        <f t="array" ref="C2575">IF(B2575="","",INDEX(helper!$D$3:$D3996,MOD(ROW()-2,COUNTA(helper!$D$3:$D3996))+1))</f>
        <v/>
      </c>
      <c r="D2575" s="3" t="str">
        <f t="array" ref="D2575">IF(B2575="","",INDEX(helper!$E$3:$E3996,MOD(ROW()-2,COUNTA(helper!$D$3:$D3996))+1))</f>
        <v/>
      </c>
      <c r="E2575" s="3" t="str">
        <f t="array" ref="E2575">IF(B2575="","",INDEX(helper!$F$3:$F3996,MOD(ROW()-2,COUNTA(helper!$D$3:$D3996))+1))</f>
        <v/>
      </c>
      <c r="F2575" s="3" t="str">
        <f>IF(B2575="","",SUMIFS('inventory ledger'!$H:$H,'inventory ledger'!$C:$C,C2575,'inventory ledger'!$D:$D,D2575,'inventory ledger'!$E:$E,E2575,'inventory ledger'!$A:$A,"&lt;="&amp;B2575+TIME(23,59,59))-SUMIFS('inventory ledger'!$I:$I,'inventory ledger'!$C:$C,C2575,'inventory ledger'!$D:$D,D2575,'inventory ledger'!$E:$E,E2575,'inventory ledger'!$A:$A,"&lt;="&amp;B2575+TIME(23,59,59)))</f>
        <v/>
      </c>
      <c r="G2575" s="3">
        <f>IFERROR(__xludf.DUMMYFUNCTION("IF(F2575&lt;=0,0,IFERROR(ROUNDUP(F2575/INDEX(FILTER('warehouse config'!$D:$D,('warehouse config'!$B:$B=C2575)*('warehouse config'!$C:$C=D2575)*('warehouse config'!$G:$G&lt;=B2575)*(('warehouse config'!$H:$H&gt;=B2575)+ISBLANK('warehouse config'!$H:$H))),1)),0))"),0.0)</f>
        <v>0</v>
      </c>
      <c r="H2575" s="3">
        <f>IFERROR(__xludf.DUMMYFUNCTION("IFERROR(INDEX(FILTER('cost master'!$E:$E,('cost master'!$B:$B=C2575)*('cost master'!$D:$D=""Storage cost per pallet / week"")*('cost master'!$G:$G&lt;=B2575)*(('cost master'!$H:$H&gt;=B2575)+ISBLANK('cost master'!$H:$H))),1),0)"),0.0)</f>
        <v>0</v>
      </c>
      <c r="I2575" s="3">
        <f t="shared" si="4"/>
        <v>0</v>
      </c>
      <c r="J2575" s="27">
        <f t="shared" si="5"/>
        <v>693947</v>
      </c>
      <c r="K2575" s="27">
        <f t="shared" si="6"/>
        <v>693977</v>
      </c>
    </row>
    <row r="2576" hidden="1">
      <c r="A2576" s="3" t="str">
        <f t="shared" si="3"/>
        <v/>
      </c>
      <c r="B2576" s="2" t="str">
        <f t="array" ref="B2576">INDEX(helper!$A$3:$A3996,ROUNDUP((ROW()-1)/COUNTA(helper!$D$3:$D3996),0))</f>
        <v/>
      </c>
      <c r="C2576" s="5" t="str">
        <f t="array" ref="C2576">IF(B2576="","",INDEX(helper!$D$3:$D3996,MOD(ROW()-2,COUNTA(helper!$D$3:$D3996))+1))</f>
        <v/>
      </c>
      <c r="D2576" s="3" t="str">
        <f t="array" ref="D2576">IF(B2576="","",INDEX(helper!$E$3:$E3996,MOD(ROW()-2,COUNTA(helper!$D$3:$D3996))+1))</f>
        <v/>
      </c>
      <c r="E2576" s="3" t="str">
        <f t="array" ref="E2576">IF(B2576="","",INDEX(helper!$F$3:$F3996,MOD(ROW()-2,COUNTA(helper!$D$3:$D3996))+1))</f>
        <v/>
      </c>
      <c r="F2576" s="3" t="str">
        <f>IF(B2576="","",SUMIFS('inventory ledger'!$H:$H,'inventory ledger'!$C:$C,C2576,'inventory ledger'!$D:$D,D2576,'inventory ledger'!$E:$E,E2576,'inventory ledger'!$A:$A,"&lt;="&amp;B2576+TIME(23,59,59))-SUMIFS('inventory ledger'!$I:$I,'inventory ledger'!$C:$C,C2576,'inventory ledger'!$D:$D,D2576,'inventory ledger'!$E:$E,E2576,'inventory ledger'!$A:$A,"&lt;="&amp;B2576+TIME(23,59,59)))</f>
        <v/>
      </c>
      <c r="G2576" s="3">
        <f>IFERROR(__xludf.DUMMYFUNCTION("IF(F2576&lt;=0,0,IFERROR(ROUNDUP(F2576/INDEX(FILTER('warehouse config'!$D:$D,('warehouse config'!$B:$B=C2576)*('warehouse config'!$C:$C=D2576)*('warehouse config'!$G:$G&lt;=B2576)*(('warehouse config'!$H:$H&gt;=B2576)+ISBLANK('warehouse config'!$H:$H))),1)),0))"),0.0)</f>
        <v>0</v>
      </c>
      <c r="H2576" s="3">
        <f>IFERROR(__xludf.DUMMYFUNCTION("IFERROR(INDEX(FILTER('cost master'!$E:$E,('cost master'!$B:$B=C2576)*('cost master'!$D:$D=""Storage cost per pallet / week"")*('cost master'!$G:$G&lt;=B2576)*(('cost master'!$H:$H&gt;=B2576)+ISBLANK('cost master'!$H:$H))),1),0)"),0.0)</f>
        <v>0</v>
      </c>
      <c r="I2576" s="3">
        <f t="shared" si="4"/>
        <v>0</v>
      </c>
      <c r="J2576" s="27">
        <f t="shared" si="5"/>
        <v>693947</v>
      </c>
      <c r="K2576" s="27">
        <f t="shared" si="6"/>
        <v>693977</v>
      </c>
    </row>
    <row r="2577" hidden="1">
      <c r="A2577" s="3" t="str">
        <f t="shared" si="3"/>
        <v/>
      </c>
      <c r="B2577" s="2" t="str">
        <f t="array" ref="B2577">INDEX(helper!$A$3:$A3996,ROUNDUP((ROW()-1)/COUNTA(helper!$D$3:$D3996),0))</f>
        <v/>
      </c>
      <c r="C2577" s="5" t="str">
        <f t="array" ref="C2577">IF(B2577="","",INDEX(helper!$D$3:$D3996,MOD(ROW()-2,COUNTA(helper!$D$3:$D3996))+1))</f>
        <v/>
      </c>
      <c r="D2577" s="3" t="str">
        <f t="array" ref="D2577">IF(B2577="","",INDEX(helper!$E$3:$E3996,MOD(ROW()-2,COUNTA(helper!$D$3:$D3996))+1))</f>
        <v/>
      </c>
      <c r="E2577" s="3" t="str">
        <f t="array" ref="E2577">IF(B2577="","",INDEX(helper!$F$3:$F3996,MOD(ROW()-2,COUNTA(helper!$D$3:$D3996))+1))</f>
        <v/>
      </c>
      <c r="F2577" s="3" t="str">
        <f>IF(B2577="","",SUMIFS('inventory ledger'!$H:$H,'inventory ledger'!$C:$C,C2577,'inventory ledger'!$D:$D,D2577,'inventory ledger'!$E:$E,E2577,'inventory ledger'!$A:$A,"&lt;="&amp;B2577+TIME(23,59,59))-SUMIFS('inventory ledger'!$I:$I,'inventory ledger'!$C:$C,C2577,'inventory ledger'!$D:$D,D2577,'inventory ledger'!$E:$E,E2577,'inventory ledger'!$A:$A,"&lt;="&amp;B2577+TIME(23,59,59)))</f>
        <v/>
      </c>
      <c r="G2577" s="3">
        <f>IFERROR(__xludf.DUMMYFUNCTION("IF(F2577&lt;=0,0,IFERROR(ROUNDUP(F2577/INDEX(FILTER('warehouse config'!$D:$D,('warehouse config'!$B:$B=C2577)*('warehouse config'!$C:$C=D2577)*('warehouse config'!$G:$G&lt;=B2577)*(('warehouse config'!$H:$H&gt;=B2577)+ISBLANK('warehouse config'!$H:$H))),1)),0))"),0.0)</f>
        <v>0</v>
      </c>
      <c r="H2577" s="3">
        <f>IFERROR(__xludf.DUMMYFUNCTION("IFERROR(INDEX(FILTER('cost master'!$E:$E,('cost master'!$B:$B=C2577)*('cost master'!$D:$D=""Storage cost per pallet / week"")*('cost master'!$G:$G&lt;=B2577)*(('cost master'!$H:$H&gt;=B2577)+ISBLANK('cost master'!$H:$H))),1),0)"),0.0)</f>
        <v>0</v>
      </c>
      <c r="I2577" s="3">
        <f t="shared" si="4"/>
        <v>0</v>
      </c>
      <c r="J2577" s="27">
        <f t="shared" si="5"/>
        <v>693947</v>
      </c>
      <c r="K2577" s="27">
        <f t="shared" si="6"/>
        <v>693977</v>
      </c>
    </row>
    <row r="2578" hidden="1">
      <c r="A2578" s="3" t="str">
        <f t="shared" si="3"/>
        <v/>
      </c>
      <c r="B2578" s="2" t="str">
        <f t="array" ref="B2578">INDEX(helper!$A$3:$A3996,ROUNDUP((ROW()-1)/COUNTA(helper!$D$3:$D3996),0))</f>
        <v/>
      </c>
      <c r="C2578" s="5" t="str">
        <f t="array" ref="C2578">IF(B2578="","",INDEX(helper!$D$3:$D3996,MOD(ROW()-2,COUNTA(helper!$D$3:$D3996))+1))</f>
        <v/>
      </c>
      <c r="D2578" s="3" t="str">
        <f t="array" ref="D2578">IF(B2578="","",INDEX(helper!$E$3:$E3996,MOD(ROW()-2,COUNTA(helper!$D$3:$D3996))+1))</f>
        <v/>
      </c>
      <c r="E2578" s="3" t="str">
        <f t="array" ref="E2578">IF(B2578="","",INDEX(helper!$F$3:$F3996,MOD(ROW()-2,COUNTA(helper!$D$3:$D3996))+1))</f>
        <v/>
      </c>
      <c r="F2578" s="3" t="str">
        <f>IF(B2578="","",SUMIFS('inventory ledger'!$H:$H,'inventory ledger'!$C:$C,C2578,'inventory ledger'!$D:$D,D2578,'inventory ledger'!$E:$E,E2578,'inventory ledger'!$A:$A,"&lt;="&amp;B2578+TIME(23,59,59))-SUMIFS('inventory ledger'!$I:$I,'inventory ledger'!$C:$C,C2578,'inventory ledger'!$D:$D,D2578,'inventory ledger'!$E:$E,E2578,'inventory ledger'!$A:$A,"&lt;="&amp;B2578+TIME(23,59,59)))</f>
        <v/>
      </c>
      <c r="G2578" s="3">
        <f>IFERROR(__xludf.DUMMYFUNCTION("IF(F2578&lt;=0,0,IFERROR(ROUNDUP(F2578/INDEX(FILTER('warehouse config'!$D:$D,('warehouse config'!$B:$B=C2578)*('warehouse config'!$C:$C=D2578)*('warehouse config'!$G:$G&lt;=B2578)*(('warehouse config'!$H:$H&gt;=B2578)+ISBLANK('warehouse config'!$H:$H))),1)),0))"),0.0)</f>
        <v>0</v>
      </c>
      <c r="H2578" s="3">
        <f>IFERROR(__xludf.DUMMYFUNCTION("IFERROR(INDEX(FILTER('cost master'!$E:$E,('cost master'!$B:$B=C2578)*('cost master'!$D:$D=""Storage cost per pallet / week"")*('cost master'!$G:$G&lt;=B2578)*(('cost master'!$H:$H&gt;=B2578)+ISBLANK('cost master'!$H:$H))),1),0)"),0.0)</f>
        <v>0</v>
      </c>
      <c r="I2578" s="3">
        <f t="shared" si="4"/>
        <v>0</v>
      </c>
      <c r="J2578" s="27">
        <f t="shared" si="5"/>
        <v>693947</v>
      </c>
      <c r="K2578" s="27">
        <f t="shared" si="6"/>
        <v>693977</v>
      </c>
    </row>
    <row r="2579" hidden="1">
      <c r="A2579" s="3" t="str">
        <f t="shared" si="3"/>
        <v/>
      </c>
      <c r="B2579" s="2" t="str">
        <f t="array" ref="B2579">INDEX(helper!$A$3:$A3996,ROUNDUP((ROW()-1)/COUNTA(helper!$D$3:$D3996),0))</f>
        <v/>
      </c>
      <c r="C2579" s="5" t="str">
        <f t="array" ref="C2579">IF(B2579="","",INDEX(helper!$D$3:$D3996,MOD(ROW()-2,COUNTA(helper!$D$3:$D3996))+1))</f>
        <v/>
      </c>
      <c r="D2579" s="3" t="str">
        <f t="array" ref="D2579">IF(B2579="","",INDEX(helper!$E$3:$E3996,MOD(ROW()-2,COUNTA(helper!$D$3:$D3996))+1))</f>
        <v/>
      </c>
      <c r="E2579" s="3" t="str">
        <f t="array" ref="E2579">IF(B2579="","",INDEX(helper!$F$3:$F3996,MOD(ROW()-2,COUNTA(helper!$D$3:$D3996))+1))</f>
        <v/>
      </c>
      <c r="F2579" s="3" t="str">
        <f>IF(B2579="","",SUMIFS('inventory ledger'!$H:$H,'inventory ledger'!$C:$C,C2579,'inventory ledger'!$D:$D,D2579,'inventory ledger'!$E:$E,E2579,'inventory ledger'!$A:$A,"&lt;="&amp;B2579+TIME(23,59,59))-SUMIFS('inventory ledger'!$I:$I,'inventory ledger'!$C:$C,C2579,'inventory ledger'!$D:$D,D2579,'inventory ledger'!$E:$E,E2579,'inventory ledger'!$A:$A,"&lt;="&amp;B2579+TIME(23,59,59)))</f>
        <v/>
      </c>
      <c r="G2579" s="3">
        <f>IFERROR(__xludf.DUMMYFUNCTION("IF(F2579&lt;=0,0,IFERROR(ROUNDUP(F2579/INDEX(FILTER('warehouse config'!$D:$D,('warehouse config'!$B:$B=C2579)*('warehouse config'!$C:$C=D2579)*('warehouse config'!$G:$G&lt;=B2579)*(('warehouse config'!$H:$H&gt;=B2579)+ISBLANK('warehouse config'!$H:$H))),1)),0))"),0.0)</f>
        <v>0</v>
      </c>
      <c r="H2579" s="3">
        <f>IFERROR(__xludf.DUMMYFUNCTION("IFERROR(INDEX(FILTER('cost master'!$E:$E,('cost master'!$B:$B=C2579)*('cost master'!$D:$D=""Storage cost per pallet / week"")*('cost master'!$G:$G&lt;=B2579)*(('cost master'!$H:$H&gt;=B2579)+ISBLANK('cost master'!$H:$H))),1),0)"),0.0)</f>
        <v>0</v>
      </c>
      <c r="I2579" s="3">
        <f t="shared" si="4"/>
        <v>0</v>
      </c>
      <c r="J2579" s="27">
        <f t="shared" si="5"/>
        <v>693947</v>
      </c>
      <c r="K2579" s="27">
        <f t="shared" si="6"/>
        <v>693977</v>
      </c>
    </row>
    <row r="2580" hidden="1">
      <c r="A2580" s="3" t="str">
        <f t="shared" si="3"/>
        <v/>
      </c>
      <c r="B2580" s="2" t="str">
        <f t="array" ref="B2580">INDEX(helper!$A$3:$A3996,ROUNDUP((ROW()-1)/COUNTA(helper!$D$3:$D3996),0))</f>
        <v/>
      </c>
      <c r="C2580" s="5" t="str">
        <f t="array" ref="C2580">IF(B2580="","",INDEX(helper!$D$3:$D3996,MOD(ROW()-2,COUNTA(helper!$D$3:$D3996))+1))</f>
        <v/>
      </c>
      <c r="D2580" s="3" t="str">
        <f t="array" ref="D2580">IF(B2580="","",INDEX(helper!$E$3:$E3996,MOD(ROW()-2,COUNTA(helper!$D$3:$D3996))+1))</f>
        <v/>
      </c>
      <c r="E2580" s="3" t="str">
        <f t="array" ref="E2580">IF(B2580="","",INDEX(helper!$F$3:$F3996,MOD(ROW()-2,COUNTA(helper!$D$3:$D3996))+1))</f>
        <v/>
      </c>
      <c r="F2580" s="3" t="str">
        <f>IF(B2580="","",SUMIFS('inventory ledger'!$H:$H,'inventory ledger'!$C:$C,C2580,'inventory ledger'!$D:$D,D2580,'inventory ledger'!$E:$E,E2580,'inventory ledger'!$A:$A,"&lt;="&amp;B2580+TIME(23,59,59))-SUMIFS('inventory ledger'!$I:$I,'inventory ledger'!$C:$C,C2580,'inventory ledger'!$D:$D,D2580,'inventory ledger'!$E:$E,E2580,'inventory ledger'!$A:$A,"&lt;="&amp;B2580+TIME(23,59,59)))</f>
        <v/>
      </c>
      <c r="G2580" s="3">
        <f>IFERROR(__xludf.DUMMYFUNCTION("IF(F2580&lt;=0,0,IFERROR(ROUNDUP(F2580/INDEX(FILTER('warehouse config'!$D:$D,('warehouse config'!$B:$B=C2580)*('warehouse config'!$C:$C=D2580)*('warehouse config'!$G:$G&lt;=B2580)*(('warehouse config'!$H:$H&gt;=B2580)+ISBLANK('warehouse config'!$H:$H))),1)),0))"),0.0)</f>
        <v>0</v>
      </c>
      <c r="H2580" s="3">
        <f>IFERROR(__xludf.DUMMYFUNCTION("IFERROR(INDEX(FILTER('cost master'!$E:$E,('cost master'!$B:$B=C2580)*('cost master'!$D:$D=""Storage cost per pallet / week"")*('cost master'!$G:$G&lt;=B2580)*(('cost master'!$H:$H&gt;=B2580)+ISBLANK('cost master'!$H:$H))),1),0)"),0.0)</f>
        <v>0</v>
      </c>
      <c r="I2580" s="3">
        <f t="shared" si="4"/>
        <v>0</v>
      </c>
      <c r="J2580" s="27">
        <f t="shared" si="5"/>
        <v>693947</v>
      </c>
      <c r="K2580" s="27">
        <f t="shared" si="6"/>
        <v>693977</v>
      </c>
    </row>
    <row r="2581" hidden="1">
      <c r="A2581" s="3" t="str">
        <f t="shared" si="3"/>
        <v/>
      </c>
      <c r="B2581" s="2" t="str">
        <f t="array" ref="B2581">INDEX(helper!$A$3:$A3996,ROUNDUP((ROW()-1)/COUNTA(helper!$D$3:$D3996),0))</f>
        <v/>
      </c>
      <c r="C2581" s="5" t="str">
        <f t="array" ref="C2581">IF(B2581="","",INDEX(helper!$D$3:$D3996,MOD(ROW()-2,COUNTA(helper!$D$3:$D3996))+1))</f>
        <v/>
      </c>
      <c r="D2581" s="3" t="str">
        <f t="array" ref="D2581">IF(B2581="","",INDEX(helper!$E$3:$E3996,MOD(ROW()-2,COUNTA(helper!$D$3:$D3996))+1))</f>
        <v/>
      </c>
      <c r="E2581" s="3" t="str">
        <f t="array" ref="E2581">IF(B2581="","",INDEX(helper!$F$3:$F3996,MOD(ROW()-2,COUNTA(helper!$D$3:$D3996))+1))</f>
        <v/>
      </c>
      <c r="F2581" s="3" t="str">
        <f>IF(B2581="","",SUMIFS('inventory ledger'!$H:$H,'inventory ledger'!$C:$C,C2581,'inventory ledger'!$D:$D,D2581,'inventory ledger'!$E:$E,E2581,'inventory ledger'!$A:$A,"&lt;="&amp;B2581+TIME(23,59,59))-SUMIFS('inventory ledger'!$I:$I,'inventory ledger'!$C:$C,C2581,'inventory ledger'!$D:$D,D2581,'inventory ledger'!$E:$E,E2581,'inventory ledger'!$A:$A,"&lt;="&amp;B2581+TIME(23,59,59)))</f>
        <v/>
      </c>
      <c r="G2581" s="3">
        <f>IFERROR(__xludf.DUMMYFUNCTION("IF(F2581&lt;=0,0,IFERROR(ROUNDUP(F2581/INDEX(FILTER('warehouse config'!$D:$D,('warehouse config'!$B:$B=C2581)*('warehouse config'!$C:$C=D2581)*('warehouse config'!$G:$G&lt;=B2581)*(('warehouse config'!$H:$H&gt;=B2581)+ISBLANK('warehouse config'!$H:$H))),1)),0))"),0.0)</f>
        <v>0</v>
      </c>
      <c r="H2581" s="3">
        <f>IFERROR(__xludf.DUMMYFUNCTION("IFERROR(INDEX(FILTER('cost master'!$E:$E,('cost master'!$B:$B=C2581)*('cost master'!$D:$D=""Storage cost per pallet / week"")*('cost master'!$G:$G&lt;=B2581)*(('cost master'!$H:$H&gt;=B2581)+ISBLANK('cost master'!$H:$H))),1),0)"),0.0)</f>
        <v>0</v>
      </c>
      <c r="I2581" s="3">
        <f t="shared" si="4"/>
        <v>0</v>
      </c>
      <c r="J2581" s="27">
        <f t="shared" si="5"/>
        <v>693947</v>
      </c>
      <c r="K2581" s="27">
        <f t="shared" si="6"/>
        <v>693977</v>
      </c>
    </row>
    <row r="2582" hidden="1">
      <c r="A2582" s="3" t="str">
        <f t="shared" si="3"/>
        <v/>
      </c>
      <c r="B2582" s="2" t="str">
        <f t="array" ref="B2582">INDEX(helper!$A$3:$A3996,ROUNDUP((ROW()-1)/COUNTA(helper!$D$3:$D3996),0))</f>
        <v/>
      </c>
      <c r="C2582" s="5" t="str">
        <f t="array" ref="C2582">IF(B2582="","",INDEX(helper!$D$3:$D3996,MOD(ROW()-2,COUNTA(helper!$D$3:$D3996))+1))</f>
        <v/>
      </c>
      <c r="D2582" s="3" t="str">
        <f t="array" ref="D2582">IF(B2582="","",INDEX(helper!$E$3:$E3996,MOD(ROW()-2,COUNTA(helper!$D$3:$D3996))+1))</f>
        <v/>
      </c>
      <c r="E2582" s="3" t="str">
        <f t="array" ref="E2582">IF(B2582="","",INDEX(helper!$F$3:$F3996,MOD(ROW()-2,COUNTA(helper!$D$3:$D3996))+1))</f>
        <v/>
      </c>
      <c r="F2582" s="3" t="str">
        <f>IF(B2582="","",SUMIFS('inventory ledger'!$H:$H,'inventory ledger'!$C:$C,C2582,'inventory ledger'!$D:$D,D2582,'inventory ledger'!$E:$E,E2582,'inventory ledger'!$A:$A,"&lt;="&amp;B2582+TIME(23,59,59))-SUMIFS('inventory ledger'!$I:$I,'inventory ledger'!$C:$C,C2582,'inventory ledger'!$D:$D,D2582,'inventory ledger'!$E:$E,E2582,'inventory ledger'!$A:$A,"&lt;="&amp;B2582+TIME(23,59,59)))</f>
        <v/>
      </c>
      <c r="G2582" s="3">
        <f>IFERROR(__xludf.DUMMYFUNCTION("IF(F2582&lt;=0,0,IFERROR(ROUNDUP(F2582/INDEX(FILTER('warehouse config'!$D:$D,('warehouse config'!$B:$B=C2582)*('warehouse config'!$C:$C=D2582)*('warehouse config'!$G:$G&lt;=B2582)*(('warehouse config'!$H:$H&gt;=B2582)+ISBLANK('warehouse config'!$H:$H))),1)),0))"),0.0)</f>
        <v>0</v>
      </c>
      <c r="H2582" s="3">
        <f>IFERROR(__xludf.DUMMYFUNCTION("IFERROR(INDEX(FILTER('cost master'!$E:$E,('cost master'!$B:$B=C2582)*('cost master'!$D:$D=""Storage cost per pallet / week"")*('cost master'!$G:$G&lt;=B2582)*(('cost master'!$H:$H&gt;=B2582)+ISBLANK('cost master'!$H:$H))),1),0)"),0.0)</f>
        <v>0</v>
      </c>
      <c r="I2582" s="3">
        <f t="shared" si="4"/>
        <v>0</v>
      </c>
      <c r="J2582" s="27">
        <f t="shared" si="5"/>
        <v>693947</v>
      </c>
      <c r="K2582" s="27">
        <f t="shared" si="6"/>
        <v>693977</v>
      </c>
    </row>
    <row r="2583" hidden="1">
      <c r="A2583" s="3" t="str">
        <f t="shared" si="3"/>
        <v/>
      </c>
      <c r="B2583" s="2" t="str">
        <f t="array" ref="B2583">INDEX(helper!$A$3:$A3996,ROUNDUP((ROW()-1)/COUNTA(helper!$D$3:$D3996),0))</f>
        <v/>
      </c>
      <c r="C2583" s="5" t="str">
        <f t="array" ref="C2583">IF(B2583="","",INDEX(helper!$D$3:$D3996,MOD(ROW()-2,COUNTA(helper!$D$3:$D3996))+1))</f>
        <v/>
      </c>
      <c r="D2583" s="3" t="str">
        <f t="array" ref="D2583">IF(B2583="","",INDEX(helper!$E$3:$E3996,MOD(ROW()-2,COUNTA(helper!$D$3:$D3996))+1))</f>
        <v/>
      </c>
      <c r="E2583" s="3" t="str">
        <f t="array" ref="E2583">IF(B2583="","",INDEX(helper!$F$3:$F3996,MOD(ROW()-2,COUNTA(helper!$D$3:$D3996))+1))</f>
        <v/>
      </c>
      <c r="F2583" s="3" t="str">
        <f>IF(B2583="","",SUMIFS('inventory ledger'!$H:$H,'inventory ledger'!$C:$C,C2583,'inventory ledger'!$D:$D,D2583,'inventory ledger'!$E:$E,E2583,'inventory ledger'!$A:$A,"&lt;="&amp;B2583+TIME(23,59,59))-SUMIFS('inventory ledger'!$I:$I,'inventory ledger'!$C:$C,C2583,'inventory ledger'!$D:$D,D2583,'inventory ledger'!$E:$E,E2583,'inventory ledger'!$A:$A,"&lt;="&amp;B2583+TIME(23,59,59)))</f>
        <v/>
      </c>
      <c r="G2583" s="3">
        <f>IFERROR(__xludf.DUMMYFUNCTION("IF(F2583&lt;=0,0,IFERROR(ROUNDUP(F2583/INDEX(FILTER('warehouse config'!$D:$D,('warehouse config'!$B:$B=C2583)*('warehouse config'!$C:$C=D2583)*('warehouse config'!$G:$G&lt;=B2583)*(('warehouse config'!$H:$H&gt;=B2583)+ISBLANK('warehouse config'!$H:$H))),1)),0))"),0.0)</f>
        <v>0</v>
      </c>
      <c r="H2583" s="3">
        <f>IFERROR(__xludf.DUMMYFUNCTION("IFERROR(INDEX(FILTER('cost master'!$E:$E,('cost master'!$B:$B=C2583)*('cost master'!$D:$D=""Storage cost per pallet / week"")*('cost master'!$G:$G&lt;=B2583)*(('cost master'!$H:$H&gt;=B2583)+ISBLANK('cost master'!$H:$H))),1),0)"),0.0)</f>
        <v>0</v>
      </c>
      <c r="I2583" s="3">
        <f t="shared" si="4"/>
        <v>0</v>
      </c>
      <c r="J2583" s="27">
        <f t="shared" si="5"/>
        <v>693947</v>
      </c>
      <c r="K2583" s="27">
        <f t="shared" si="6"/>
        <v>693977</v>
      </c>
    </row>
    <row r="2584" hidden="1">
      <c r="A2584" s="3" t="str">
        <f t="shared" si="3"/>
        <v/>
      </c>
      <c r="B2584" s="2" t="str">
        <f t="array" ref="B2584">INDEX(helper!$A$3:$A3996,ROUNDUP((ROW()-1)/COUNTA(helper!$D$3:$D3996),0))</f>
        <v/>
      </c>
      <c r="C2584" s="5" t="str">
        <f t="array" ref="C2584">IF(B2584="","",INDEX(helper!$D$3:$D3996,MOD(ROW()-2,COUNTA(helper!$D$3:$D3996))+1))</f>
        <v/>
      </c>
      <c r="D2584" s="3" t="str">
        <f t="array" ref="D2584">IF(B2584="","",INDEX(helper!$E$3:$E3996,MOD(ROW()-2,COUNTA(helper!$D$3:$D3996))+1))</f>
        <v/>
      </c>
      <c r="E2584" s="3" t="str">
        <f t="array" ref="E2584">IF(B2584="","",INDEX(helper!$F$3:$F3996,MOD(ROW()-2,COUNTA(helper!$D$3:$D3996))+1))</f>
        <v/>
      </c>
      <c r="F2584" s="3" t="str">
        <f>IF(B2584="","",SUMIFS('inventory ledger'!$H:$H,'inventory ledger'!$C:$C,C2584,'inventory ledger'!$D:$D,D2584,'inventory ledger'!$E:$E,E2584,'inventory ledger'!$A:$A,"&lt;="&amp;B2584+TIME(23,59,59))-SUMIFS('inventory ledger'!$I:$I,'inventory ledger'!$C:$C,C2584,'inventory ledger'!$D:$D,D2584,'inventory ledger'!$E:$E,E2584,'inventory ledger'!$A:$A,"&lt;="&amp;B2584+TIME(23,59,59)))</f>
        <v/>
      </c>
      <c r="G2584" s="3">
        <f>IFERROR(__xludf.DUMMYFUNCTION("IF(F2584&lt;=0,0,IFERROR(ROUNDUP(F2584/INDEX(FILTER('warehouse config'!$D:$D,('warehouse config'!$B:$B=C2584)*('warehouse config'!$C:$C=D2584)*('warehouse config'!$G:$G&lt;=B2584)*(('warehouse config'!$H:$H&gt;=B2584)+ISBLANK('warehouse config'!$H:$H))),1)),0))"),0.0)</f>
        <v>0</v>
      </c>
      <c r="H2584" s="3">
        <f>IFERROR(__xludf.DUMMYFUNCTION("IFERROR(INDEX(FILTER('cost master'!$E:$E,('cost master'!$B:$B=C2584)*('cost master'!$D:$D=""Storage cost per pallet / week"")*('cost master'!$G:$G&lt;=B2584)*(('cost master'!$H:$H&gt;=B2584)+ISBLANK('cost master'!$H:$H))),1),0)"),0.0)</f>
        <v>0</v>
      </c>
      <c r="I2584" s="3">
        <f t="shared" si="4"/>
        <v>0</v>
      </c>
      <c r="J2584" s="27">
        <f t="shared" si="5"/>
        <v>693947</v>
      </c>
      <c r="K2584" s="27">
        <f t="shared" si="6"/>
        <v>693977</v>
      </c>
    </row>
    <row r="2585" hidden="1">
      <c r="A2585" s="3" t="str">
        <f t="shared" si="3"/>
        <v/>
      </c>
      <c r="B2585" s="2" t="str">
        <f t="array" ref="B2585">INDEX(helper!$A$3:$A3996,ROUNDUP((ROW()-1)/COUNTA(helper!$D$3:$D3996),0))</f>
        <v/>
      </c>
      <c r="C2585" s="5" t="str">
        <f t="array" ref="C2585">IF(B2585="","",INDEX(helper!$D$3:$D3996,MOD(ROW()-2,COUNTA(helper!$D$3:$D3996))+1))</f>
        <v/>
      </c>
      <c r="D2585" s="3" t="str">
        <f t="array" ref="D2585">IF(B2585="","",INDEX(helper!$E$3:$E3996,MOD(ROW()-2,COUNTA(helper!$D$3:$D3996))+1))</f>
        <v/>
      </c>
      <c r="E2585" s="3" t="str">
        <f t="array" ref="E2585">IF(B2585="","",INDEX(helper!$F$3:$F3996,MOD(ROW()-2,COUNTA(helper!$D$3:$D3996))+1))</f>
        <v/>
      </c>
      <c r="F2585" s="3" t="str">
        <f>IF(B2585="","",SUMIFS('inventory ledger'!$H:$H,'inventory ledger'!$C:$C,C2585,'inventory ledger'!$D:$D,D2585,'inventory ledger'!$E:$E,E2585,'inventory ledger'!$A:$A,"&lt;="&amp;B2585+TIME(23,59,59))-SUMIFS('inventory ledger'!$I:$I,'inventory ledger'!$C:$C,C2585,'inventory ledger'!$D:$D,D2585,'inventory ledger'!$E:$E,E2585,'inventory ledger'!$A:$A,"&lt;="&amp;B2585+TIME(23,59,59)))</f>
        <v/>
      </c>
      <c r="G2585" s="3">
        <f>IFERROR(__xludf.DUMMYFUNCTION("IF(F2585&lt;=0,0,IFERROR(ROUNDUP(F2585/INDEX(FILTER('warehouse config'!$D:$D,('warehouse config'!$B:$B=C2585)*('warehouse config'!$C:$C=D2585)*('warehouse config'!$G:$G&lt;=B2585)*(('warehouse config'!$H:$H&gt;=B2585)+ISBLANK('warehouse config'!$H:$H))),1)),0))"),0.0)</f>
        <v>0</v>
      </c>
      <c r="H2585" s="3">
        <f>IFERROR(__xludf.DUMMYFUNCTION("IFERROR(INDEX(FILTER('cost master'!$E:$E,('cost master'!$B:$B=C2585)*('cost master'!$D:$D=""Storage cost per pallet / week"")*('cost master'!$G:$G&lt;=B2585)*(('cost master'!$H:$H&gt;=B2585)+ISBLANK('cost master'!$H:$H))),1),0)"),0.0)</f>
        <v>0</v>
      </c>
      <c r="I2585" s="3">
        <f t="shared" si="4"/>
        <v>0</v>
      </c>
      <c r="J2585" s="27">
        <f t="shared" si="5"/>
        <v>693947</v>
      </c>
      <c r="K2585" s="27">
        <f t="shared" si="6"/>
        <v>693977</v>
      </c>
    </row>
    <row r="2586" hidden="1">
      <c r="A2586" s="3" t="str">
        <f t="shared" si="3"/>
        <v/>
      </c>
      <c r="B2586" s="2" t="str">
        <f t="array" ref="B2586">INDEX(helper!$A$3:$A3996,ROUNDUP((ROW()-1)/COUNTA(helper!$D$3:$D3996),0))</f>
        <v/>
      </c>
      <c r="C2586" s="5" t="str">
        <f t="array" ref="C2586">IF(B2586="","",INDEX(helper!$D$3:$D3996,MOD(ROW()-2,COUNTA(helper!$D$3:$D3996))+1))</f>
        <v/>
      </c>
      <c r="D2586" s="3" t="str">
        <f t="array" ref="D2586">IF(B2586="","",INDEX(helper!$E$3:$E3996,MOD(ROW()-2,COUNTA(helper!$D$3:$D3996))+1))</f>
        <v/>
      </c>
      <c r="E2586" s="3" t="str">
        <f t="array" ref="E2586">IF(B2586="","",INDEX(helper!$F$3:$F3996,MOD(ROW()-2,COUNTA(helper!$D$3:$D3996))+1))</f>
        <v/>
      </c>
      <c r="F2586" s="3" t="str">
        <f>IF(B2586="","",SUMIFS('inventory ledger'!$H:$H,'inventory ledger'!$C:$C,C2586,'inventory ledger'!$D:$D,D2586,'inventory ledger'!$E:$E,E2586,'inventory ledger'!$A:$A,"&lt;="&amp;B2586+TIME(23,59,59))-SUMIFS('inventory ledger'!$I:$I,'inventory ledger'!$C:$C,C2586,'inventory ledger'!$D:$D,D2586,'inventory ledger'!$E:$E,E2586,'inventory ledger'!$A:$A,"&lt;="&amp;B2586+TIME(23,59,59)))</f>
        <v/>
      </c>
      <c r="G2586" s="3">
        <f>IFERROR(__xludf.DUMMYFUNCTION("IF(F2586&lt;=0,0,IFERROR(ROUNDUP(F2586/INDEX(FILTER('warehouse config'!$D:$D,('warehouse config'!$B:$B=C2586)*('warehouse config'!$C:$C=D2586)*('warehouse config'!$G:$G&lt;=B2586)*(('warehouse config'!$H:$H&gt;=B2586)+ISBLANK('warehouse config'!$H:$H))),1)),0))"),0.0)</f>
        <v>0</v>
      </c>
      <c r="H2586" s="3">
        <f>IFERROR(__xludf.DUMMYFUNCTION("IFERROR(INDEX(FILTER('cost master'!$E:$E,('cost master'!$B:$B=C2586)*('cost master'!$D:$D=""Storage cost per pallet / week"")*('cost master'!$G:$G&lt;=B2586)*(('cost master'!$H:$H&gt;=B2586)+ISBLANK('cost master'!$H:$H))),1),0)"),0.0)</f>
        <v>0</v>
      </c>
      <c r="I2586" s="3">
        <f t="shared" si="4"/>
        <v>0</v>
      </c>
      <c r="J2586" s="27">
        <f t="shared" si="5"/>
        <v>693947</v>
      </c>
      <c r="K2586" s="27">
        <f t="shared" si="6"/>
        <v>693977</v>
      </c>
    </row>
    <row r="2587" hidden="1">
      <c r="A2587" s="3" t="str">
        <f t="shared" si="3"/>
        <v/>
      </c>
      <c r="B2587" s="2" t="str">
        <f t="array" ref="B2587">INDEX(helper!$A$3:$A3996,ROUNDUP((ROW()-1)/COUNTA(helper!$D$3:$D3996),0))</f>
        <v/>
      </c>
      <c r="C2587" s="5" t="str">
        <f t="array" ref="C2587">IF(B2587="","",INDEX(helper!$D$3:$D3996,MOD(ROW()-2,COUNTA(helper!$D$3:$D3996))+1))</f>
        <v/>
      </c>
      <c r="D2587" s="3" t="str">
        <f t="array" ref="D2587">IF(B2587="","",INDEX(helper!$E$3:$E3996,MOD(ROW()-2,COUNTA(helper!$D$3:$D3996))+1))</f>
        <v/>
      </c>
      <c r="E2587" s="3" t="str">
        <f t="array" ref="E2587">IF(B2587="","",INDEX(helper!$F$3:$F3996,MOD(ROW()-2,COUNTA(helper!$D$3:$D3996))+1))</f>
        <v/>
      </c>
      <c r="F2587" s="3" t="str">
        <f>IF(B2587="","",SUMIFS('inventory ledger'!$H:$H,'inventory ledger'!$C:$C,C2587,'inventory ledger'!$D:$D,D2587,'inventory ledger'!$E:$E,E2587,'inventory ledger'!$A:$A,"&lt;="&amp;B2587+TIME(23,59,59))-SUMIFS('inventory ledger'!$I:$I,'inventory ledger'!$C:$C,C2587,'inventory ledger'!$D:$D,D2587,'inventory ledger'!$E:$E,E2587,'inventory ledger'!$A:$A,"&lt;="&amp;B2587+TIME(23,59,59)))</f>
        <v/>
      </c>
      <c r="G2587" s="3">
        <f>IFERROR(__xludf.DUMMYFUNCTION("IF(F2587&lt;=0,0,IFERROR(ROUNDUP(F2587/INDEX(FILTER('warehouse config'!$D:$D,('warehouse config'!$B:$B=C2587)*('warehouse config'!$C:$C=D2587)*('warehouse config'!$G:$G&lt;=B2587)*(('warehouse config'!$H:$H&gt;=B2587)+ISBLANK('warehouse config'!$H:$H))),1)),0))"),0.0)</f>
        <v>0</v>
      </c>
      <c r="H2587" s="3">
        <f>IFERROR(__xludf.DUMMYFUNCTION("IFERROR(INDEX(FILTER('cost master'!$E:$E,('cost master'!$B:$B=C2587)*('cost master'!$D:$D=""Storage cost per pallet / week"")*('cost master'!$G:$G&lt;=B2587)*(('cost master'!$H:$H&gt;=B2587)+ISBLANK('cost master'!$H:$H))),1),0)"),0.0)</f>
        <v>0</v>
      </c>
      <c r="I2587" s="3">
        <f t="shared" si="4"/>
        <v>0</v>
      </c>
      <c r="J2587" s="27">
        <f t="shared" si="5"/>
        <v>693947</v>
      </c>
      <c r="K2587" s="27">
        <f t="shared" si="6"/>
        <v>693977</v>
      </c>
    </row>
    <row r="2588" hidden="1">
      <c r="A2588" s="3" t="str">
        <f t="shared" si="3"/>
        <v/>
      </c>
      <c r="B2588" s="2" t="str">
        <f t="array" ref="B2588">INDEX(helper!$A$3:$A3996,ROUNDUP((ROW()-1)/COUNTA(helper!$D$3:$D3996),0))</f>
        <v/>
      </c>
      <c r="C2588" s="5" t="str">
        <f t="array" ref="C2588">IF(B2588="","",INDEX(helper!$D$3:$D3996,MOD(ROW()-2,COUNTA(helper!$D$3:$D3996))+1))</f>
        <v/>
      </c>
      <c r="D2588" s="3" t="str">
        <f t="array" ref="D2588">IF(B2588="","",INDEX(helper!$E$3:$E3996,MOD(ROW()-2,COUNTA(helper!$D$3:$D3996))+1))</f>
        <v/>
      </c>
      <c r="E2588" s="3" t="str">
        <f t="array" ref="E2588">IF(B2588="","",INDEX(helper!$F$3:$F3996,MOD(ROW()-2,COUNTA(helper!$D$3:$D3996))+1))</f>
        <v/>
      </c>
      <c r="F2588" s="3" t="str">
        <f>IF(B2588="","",SUMIFS('inventory ledger'!$H:$H,'inventory ledger'!$C:$C,C2588,'inventory ledger'!$D:$D,D2588,'inventory ledger'!$E:$E,E2588,'inventory ledger'!$A:$A,"&lt;="&amp;B2588+TIME(23,59,59))-SUMIFS('inventory ledger'!$I:$I,'inventory ledger'!$C:$C,C2588,'inventory ledger'!$D:$D,D2588,'inventory ledger'!$E:$E,E2588,'inventory ledger'!$A:$A,"&lt;="&amp;B2588+TIME(23,59,59)))</f>
        <v/>
      </c>
      <c r="G2588" s="3">
        <f>IFERROR(__xludf.DUMMYFUNCTION("IF(F2588&lt;=0,0,IFERROR(ROUNDUP(F2588/INDEX(FILTER('warehouse config'!$D:$D,('warehouse config'!$B:$B=C2588)*('warehouse config'!$C:$C=D2588)*('warehouse config'!$G:$G&lt;=B2588)*(('warehouse config'!$H:$H&gt;=B2588)+ISBLANK('warehouse config'!$H:$H))),1)),0))"),0.0)</f>
        <v>0</v>
      </c>
      <c r="H2588" s="3">
        <f>IFERROR(__xludf.DUMMYFUNCTION("IFERROR(INDEX(FILTER('cost master'!$E:$E,('cost master'!$B:$B=C2588)*('cost master'!$D:$D=""Storage cost per pallet / week"")*('cost master'!$G:$G&lt;=B2588)*(('cost master'!$H:$H&gt;=B2588)+ISBLANK('cost master'!$H:$H))),1),0)"),0.0)</f>
        <v>0</v>
      </c>
      <c r="I2588" s="3">
        <f t="shared" si="4"/>
        <v>0</v>
      </c>
      <c r="J2588" s="27">
        <f t="shared" si="5"/>
        <v>693947</v>
      </c>
      <c r="K2588" s="27">
        <f t="shared" si="6"/>
        <v>693977</v>
      </c>
    </row>
    <row r="2589" hidden="1">
      <c r="A2589" s="3" t="str">
        <f t="shared" si="3"/>
        <v/>
      </c>
      <c r="B2589" s="2" t="str">
        <f t="array" ref="B2589">INDEX(helper!$A$3:$A3996,ROUNDUP((ROW()-1)/COUNTA(helper!$D$3:$D3996),0))</f>
        <v/>
      </c>
      <c r="C2589" s="5" t="str">
        <f t="array" ref="C2589">IF(B2589="","",INDEX(helper!$D$3:$D3996,MOD(ROW()-2,COUNTA(helper!$D$3:$D3996))+1))</f>
        <v/>
      </c>
      <c r="D2589" s="3" t="str">
        <f t="array" ref="D2589">IF(B2589="","",INDEX(helper!$E$3:$E3996,MOD(ROW()-2,COUNTA(helper!$D$3:$D3996))+1))</f>
        <v/>
      </c>
      <c r="E2589" s="3" t="str">
        <f t="array" ref="E2589">IF(B2589="","",INDEX(helper!$F$3:$F3996,MOD(ROW()-2,COUNTA(helper!$D$3:$D3996))+1))</f>
        <v/>
      </c>
      <c r="F2589" s="3" t="str">
        <f>IF(B2589="","",SUMIFS('inventory ledger'!$H:$H,'inventory ledger'!$C:$C,C2589,'inventory ledger'!$D:$D,D2589,'inventory ledger'!$E:$E,E2589,'inventory ledger'!$A:$A,"&lt;="&amp;B2589+TIME(23,59,59))-SUMIFS('inventory ledger'!$I:$I,'inventory ledger'!$C:$C,C2589,'inventory ledger'!$D:$D,D2589,'inventory ledger'!$E:$E,E2589,'inventory ledger'!$A:$A,"&lt;="&amp;B2589+TIME(23,59,59)))</f>
        <v/>
      </c>
      <c r="G2589" s="3">
        <f>IFERROR(__xludf.DUMMYFUNCTION("IF(F2589&lt;=0,0,IFERROR(ROUNDUP(F2589/INDEX(FILTER('warehouse config'!$D:$D,('warehouse config'!$B:$B=C2589)*('warehouse config'!$C:$C=D2589)*('warehouse config'!$G:$G&lt;=B2589)*(('warehouse config'!$H:$H&gt;=B2589)+ISBLANK('warehouse config'!$H:$H))),1)),0))"),0.0)</f>
        <v>0</v>
      </c>
      <c r="H2589" s="3">
        <f>IFERROR(__xludf.DUMMYFUNCTION("IFERROR(INDEX(FILTER('cost master'!$E:$E,('cost master'!$B:$B=C2589)*('cost master'!$D:$D=""Storage cost per pallet / week"")*('cost master'!$G:$G&lt;=B2589)*(('cost master'!$H:$H&gt;=B2589)+ISBLANK('cost master'!$H:$H))),1),0)"),0.0)</f>
        <v>0</v>
      </c>
      <c r="I2589" s="3">
        <f t="shared" si="4"/>
        <v>0</v>
      </c>
      <c r="J2589" s="27">
        <f t="shared" si="5"/>
        <v>693947</v>
      </c>
      <c r="K2589" s="27">
        <f t="shared" si="6"/>
        <v>693977</v>
      </c>
    </row>
    <row r="2590" hidden="1">
      <c r="A2590" s="3" t="str">
        <f t="shared" si="3"/>
        <v/>
      </c>
      <c r="B2590" s="2" t="str">
        <f t="array" ref="B2590">INDEX(helper!$A$3:$A3996,ROUNDUP((ROW()-1)/COUNTA(helper!$D$3:$D3996),0))</f>
        <v/>
      </c>
      <c r="C2590" s="5" t="str">
        <f t="array" ref="C2590">IF(B2590="","",INDEX(helper!$D$3:$D3996,MOD(ROW()-2,COUNTA(helper!$D$3:$D3996))+1))</f>
        <v/>
      </c>
      <c r="D2590" s="3" t="str">
        <f t="array" ref="D2590">IF(B2590="","",INDEX(helper!$E$3:$E3996,MOD(ROW()-2,COUNTA(helper!$D$3:$D3996))+1))</f>
        <v/>
      </c>
      <c r="E2590" s="3" t="str">
        <f t="array" ref="E2590">IF(B2590="","",INDEX(helper!$F$3:$F3996,MOD(ROW()-2,COUNTA(helper!$D$3:$D3996))+1))</f>
        <v/>
      </c>
      <c r="F2590" s="3" t="str">
        <f>IF(B2590="","",SUMIFS('inventory ledger'!$H:$H,'inventory ledger'!$C:$C,C2590,'inventory ledger'!$D:$D,D2590,'inventory ledger'!$E:$E,E2590,'inventory ledger'!$A:$A,"&lt;="&amp;B2590+TIME(23,59,59))-SUMIFS('inventory ledger'!$I:$I,'inventory ledger'!$C:$C,C2590,'inventory ledger'!$D:$D,D2590,'inventory ledger'!$E:$E,E2590,'inventory ledger'!$A:$A,"&lt;="&amp;B2590+TIME(23,59,59)))</f>
        <v/>
      </c>
      <c r="G2590" s="3">
        <f>IFERROR(__xludf.DUMMYFUNCTION("IF(F2590&lt;=0,0,IFERROR(ROUNDUP(F2590/INDEX(FILTER('warehouse config'!$D:$D,('warehouse config'!$B:$B=C2590)*('warehouse config'!$C:$C=D2590)*('warehouse config'!$G:$G&lt;=B2590)*(('warehouse config'!$H:$H&gt;=B2590)+ISBLANK('warehouse config'!$H:$H))),1)),0))"),0.0)</f>
        <v>0</v>
      </c>
      <c r="H2590" s="3">
        <f>IFERROR(__xludf.DUMMYFUNCTION("IFERROR(INDEX(FILTER('cost master'!$E:$E,('cost master'!$B:$B=C2590)*('cost master'!$D:$D=""Storage cost per pallet / week"")*('cost master'!$G:$G&lt;=B2590)*(('cost master'!$H:$H&gt;=B2590)+ISBLANK('cost master'!$H:$H))),1),0)"),0.0)</f>
        <v>0</v>
      </c>
      <c r="I2590" s="3">
        <f t="shared" si="4"/>
        <v>0</v>
      </c>
      <c r="J2590" s="27">
        <f t="shared" si="5"/>
        <v>693947</v>
      </c>
      <c r="K2590" s="27">
        <f t="shared" si="6"/>
        <v>693977</v>
      </c>
    </row>
    <row r="2591" hidden="1">
      <c r="A2591" s="3" t="str">
        <f t="shared" si="3"/>
        <v/>
      </c>
      <c r="B2591" s="2" t="str">
        <f t="array" ref="B2591">INDEX(helper!$A$3:$A3996,ROUNDUP((ROW()-1)/COUNTA(helper!$D$3:$D3996),0))</f>
        <v/>
      </c>
      <c r="C2591" s="5" t="str">
        <f t="array" ref="C2591">IF(B2591="","",INDEX(helper!$D$3:$D3996,MOD(ROW()-2,COUNTA(helper!$D$3:$D3996))+1))</f>
        <v/>
      </c>
      <c r="D2591" s="3" t="str">
        <f t="array" ref="D2591">IF(B2591="","",INDEX(helper!$E$3:$E3996,MOD(ROW()-2,COUNTA(helper!$D$3:$D3996))+1))</f>
        <v/>
      </c>
      <c r="E2591" s="3" t="str">
        <f t="array" ref="E2591">IF(B2591="","",INDEX(helper!$F$3:$F3996,MOD(ROW()-2,COUNTA(helper!$D$3:$D3996))+1))</f>
        <v/>
      </c>
      <c r="F2591" s="3" t="str">
        <f>IF(B2591="","",SUMIFS('inventory ledger'!$H:$H,'inventory ledger'!$C:$C,C2591,'inventory ledger'!$D:$D,D2591,'inventory ledger'!$E:$E,E2591,'inventory ledger'!$A:$A,"&lt;="&amp;B2591+TIME(23,59,59))-SUMIFS('inventory ledger'!$I:$I,'inventory ledger'!$C:$C,C2591,'inventory ledger'!$D:$D,D2591,'inventory ledger'!$E:$E,E2591,'inventory ledger'!$A:$A,"&lt;="&amp;B2591+TIME(23,59,59)))</f>
        <v/>
      </c>
      <c r="G2591" s="3">
        <f>IFERROR(__xludf.DUMMYFUNCTION("IF(F2591&lt;=0,0,IFERROR(ROUNDUP(F2591/INDEX(FILTER('warehouse config'!$D:$D,('warehouse config'!$B:$B=C2591)*('warehouse config'!$C:$C=D2591)*('warehouse config'!$G:$G&lt;=B2591)*(('warehouse config'!$H:$H&gt;=B2591)+ISBLANK('warehouse config'!$H:$H))),1)),0))"),0.0)</f>
        <v>0</v>
      </c>
      <c r="H2591" s="3">
        <f>IFERROR(__xludf.DUMMYFUNCTION("IFERROR(INDEX(FILTER('cost master'!$E:$E,('cost master'!$B:$B=C2591)*('cost master'!$D:$D=""Storage cost per pallet / week"")*('cost master'!$G:$G&lt;=B2591)*(('cost master'!$H:$H&gt;=B2591)+ISBLANK('cost master'!$H:$H))),1),0)"),0.0)</f>
        <v>0</v>
      </c>
      <c r="I2591" s="3">
        <f t="shared" si="4"/>
        <v>0</v>
      </c>
      <c r="J2591" s="27">
        <f t="shared" si="5"/>
        <v>693947</v>
      </c>
      <c r="K2591" s="27">
        <f t="shared" si="6"/>
        <v>693977</v>
      </c>
    </row>
    <row r="2592" hidden="1">
      <c r="A2592" s="3" t="str">
        <f t="shared" si="3"/>
        <v/>
      </c>
      <c r="B2592" s="2" t="str">
        <f t="array" ref="B2592">INDEX(helper!$A$3:$A3996,ROUNDUP((ROW()-1)/COUNTA(helper!$D$3:$D3996),0))</f>
        <v/>
      </c>
      <c r="C2592" s="5" t="str">
        <f t="array" ref="C2592">IF(B2592="","",INDEX(helper!$D$3:$D3996,MOD(ROW()-2,COUNTA(helper!$D$3:$D3996))+1))</f>
        <v/>
      </c>
      <c r="D2592" s="3" t="str">
        <f t="array" ref="D2592">IF(B2592="","",INDEX(helper!$E$3:$E3996,MOD(ROW()-2,COUNTA(helper!$D$3:$D3996))+1))</f>
        <v/>
      </c>
      <c r="E2592" s="3" t="str">
        <f t="array" ref="E2592">IF(B2592="","",INDEX(helper!$F$3:$F3996,MOD(ROW()-2,COUNTA(helper!$D$3:$D3996))+1))</f>
        <v/>
      </c>
      <c r="F2592" s="3" t="str">
        <f>IF(B2592="","",SUMIFS('inventory ledger'!$H:$H,'inventory ledger'!$C:$C,C2592,'inventory ledger'!$D:$D,D2592,'inventory ledger'!$E:$E,E2592,'inventory ledger'!$A:$A,"&lt;="&amp;B2592+TIME(23,59,59))-SUMIFS('inventory ledger'!$I:$I,'inventory ledger'!$C:$C,C2592,'inventory ledger'!$D:$D,D2592,'inventory ledger'!$E:$E,E2592,'inventory ledger'!$A:$A,"&lt;="&amp;B2592+TIME(23,59,59)))</f>
        <v/>
      </c>
      <c r="G2592" s="3">
        <f>IFERROR(__xludf.DUMMYFUNCTION("IF(F2592&lt;=0,0,IFERROR(ROUNDUP(F2592/INDEX(FILTER('warehouse config'!$D:$D,('warehouse config'!$B:$B=C2592)*('warehouse config'!$C:$C=D2592)*('warehouse config'!$G:$G&lt;=B2592)*(('warehouse config'!$H:$H&gt;=B2592)+ISBLANK('warehouse config'!$H:$H))),1)),0))"),0.0)</f>
        <v>0</v>
      </c>
      <c r="H2592" s="3">
        <f>IFERROR(__xludf.DUMMYFUNCTION("IFERROR(INDEX(FILTER('cost master'!$E:$E,('cost master'!$B:$B=C2592)*('cost master'!$D:$D=""Storage cost per pallet / week"")*('cost master'!$G:$G&lt;=B2592)*(('cost master'!$H:$H&gt;=B2592)+ISBLANK('cost master'!$H:$H))),1),0)"),0.0)</f>
        <v>0</v>
      </c>
      <c r="I2592" s="3">
        <f t="shared" si="4"/>
        <v>0</v>
      </c>
      <c r="J2592" s="27">
        <f t="shared" si="5"/>
        <v>693947</v>
      </c>
      <c r="K2592" s="27">
        <f t="shared" si="6"/>
        <v>693977</v>
      </c>
    </row>
    <row r="2593" hidden="1">
      <c r="A2593" s="3" t="str">
        <f t="shared" si="3"/>
        <v/>
      </c>
      <c r="B2593" s="2" t="str">
        <f t="array" ref="B2593">INDEX(helper!$A$3:$A3996,ROUNDUP((ROW()-1)/COUNTA(helper!$D$3:$D3996),0))</f>
        <v/>
      </c>
      <c r="C2593" s="5" t="str">
        <f t="array" ref="C2593">IF(B2593="","",INDEX(helper!$D$3:$D3996,MOD(ROW()-2,COUNTA(helper!$D$3:$D3996))+1))</f>
        <v/>
      </c>
      <c r="D2593" s="3" t="str">
        <f t="array" ref="D2593">IF(B2593="","",INDEX(helper!$E$3:$E3996,MOD(ROW()-2,COUNTA(helper!$D$3:$D3996))+1))</f>
        <v/>
      </c>
      <c r="E2593" s="3" t="str">
        <f t="array" ref="E2593">IF(B2593="","",INDEX(helper!$F$3:$F3996,MOD(ROW()-2,COUNTA(helper!$D$3:$D3996))+1))</f>
        <v/>
      </c>
      <c r="F2593" s="3" t="str">
        <f>IF(B2593="","",SUMIFS('inventory ledger'!$H:$H,'inventory ledger'!$C:$C,C2593,'inventory ledger'!$D:$D,D2593,'inventory ledger'!$E:$E,E2593,'inventory ledger'!$A:$A,"&lt;="&amp;B2593+TIME(23,59,59))-SUMIFS('inventory ledger'!$I:$I,'inventory ledger'!$C:$C,C2593,'inventory ledger'!$D:$D,D2593,'inventory ledger'!$E:$E,E2593,'inventory ledger'!$A:$A,"&lt;="&amp;B2593+TIME(23,59,59)))</f>
        <v/>
      </c>
      <c r="G2593" s="3">
        <f>IFERROR(__xludf.DUMMYFUNCTION("IF(F2593&lt;=0,0,IFERROR(ROUNDUP(F2593/INDEX(FILTER('warehouse config'!$D:$D,('warehouse config'!$B:$B=C2593)*('warehouse config'!$C:$C=D2593)*('warehouse config'!$G:$G&lt;=B2593)*(('warehouse config'!$H:$H&gt;=B2593)+ISBLANK('warehouse config'!$H:$H))),1)),0))"),0.0)</f>
        <v>0</v>
      </c>
      <c r="H2593" s="3">
        <f>IFERROR(__xludf.DUMMYFUNCTION("IFERROR(INDEX(FILTER('cost master'!$E:$E,('cost master'!$B:$B=C2593)*('cost master'!$D:$D=""Storage cost per pallet / week"")*('cost master'!$G:$G&lt;=B2593)*(('cost master'!$H:$H&gt;=B2593)+ISBLANK('cost master'!$H:$H))),1),0)"),0.0)</f>
        <v>0</v>
      </c>
      <c r="I2593" s="3">
        <f t="shared" si="4"/>
        <v>0</v>
      </c>
      <c r="J2593" s="27">
        <f t="shared" si="5"/>
        <v>693947</v>
      </c>
      <c r="K2593" s="27">
        <f t="shared" si="6"/>
        <v>693977</v>
      </c>
    </row>
    <row r="2594" hidden="1">
      <c r="A2594" s="3" t="str">
        <f t="shared" si="3"/>
        <v/>
      </c>
      <c r="B2594" s="2" t="str">
        <f t="array" ref="B2594">INDEX(helper!$A$3:$A3996,ROUNDUP((ROW()-1)/COUNTA(helper!$D$3:$D3996),0))</f>
        <v/>
      </c>
      <c r="C2594" s="5" t="str">
        <f t="array" ref="C2594">IF(B2594="","",INDEX(helper!$D$3:$D3996,MOD(ROW()-2,COUNTA(helper!$D$3:$D3996))+1))</f>
        <v/>
      </c>
      <c r="D2594" s="3" t="str">
        <f t="array" ref="D2594">IF(B2594="","",INDEX(helper!$E$3:$E3996,MOD(ROW()-2,COUNTA(helper!$D$3:$D3996))+1))</f>
        <v/>
      </c>
      <c r="E2594" s="3" t="str">
        <f t="array" ref="E2594">IF(B2594="","",INDEX(helper!$F$3:$F3996,MOD(ROW()-2,COUNTA(helper!$D$3:$D3996))+1))</f>
        <v/>
      </c>
      <c r="F2594" s="3" t="str">
        <f>IF(B2594="","",SUMIFS('inventory ledger'!$H:$H,'inventory ledger'!$C:$C,C2594,'inventory ledger'!$D:$D,D2594,'inventory ledger'!$E:$E,E2594,'inventory ledger'!$A:$A,"&lt;="&amp;B2594+TIME(23,59,59))-SUMIFS('inventory ledger'!$I:$I,'inventory ledger'!$C:$C,C2594,'inventory ledger'!$D:$D,D2594,'inventory ledger'!$E:$E,E2594,'inventory ledger'!$A:$A,"&lt;="&amp;B2594+TIME(23,59,59)))</f>
        <v/>
      </c>
      <c r="G2594" s="3">
        <f>IFERROR(__xludf.DUMMYFUNCTION("IF(F2594&lt;=0,0,IFERROR(ROUNDUP(F2594/INDEX(FILTER('warehouse config'!$D:$D,('warehouse config'!$B:$B=C2594)*('warehouse config'!$C:$C=D2594)*('warehouse config'!$G:$G&lt;=B2594)*(('warehouse config'!$H:$H&gt;=B2594)+ISBLANK('warehouse config'!$H:$H))),1)),0))"),0.0)</f>
        <v>0</v>
      </c>
      <c r="H2594" s="3">
        <f>IFERROR(__xludf.DUMMYFUNCTION("IFERROR(INDEX(FILTER('cost master'!$E:$E,('cost master'!$B:$B=C2594)*('cost master'!$D:$D=""Storage cost per pallet / week"")*('cost master'!$G:$G&lt;=B2594)*(('cost master'!$H:$H&gt;=B2594)+ISBLANK('cost master'!$H:$H))),1),0)"),0.0)</f>
        <v>0</v>
      </c>
      <c r="I2594" s="3">
        <f t="shared" si="4"/>
        <v>0</v>
      </c>
      <c r="J2594" s="27">
        <f t="shared" si="5"/>
        <v>693947</v>
      </c>
      <c r="K2594" s="27">
        <f t="shared" si="6"/>
        <v>693977</v>
      </c>
    </row>
    <row r="2595" hidden="1">
      <c r="A2595" s="3" t="str">
        <f t="shared" si="3"/>
        <v/>
      </c>
      <c r="B2595" s="2" t="str">
        <f t="array" ref="B2595">INDEX(helper!$A$3:$A3996,ROUNDUP((ROW()-1)/COUNTA(helper!$D$3:$D3996),0))</f>
        <v/>
      </c>
      <c r="C2595" s="5" t="str">
        <f t="array" ref="C2595">IF(B2595="","",INDEX(helper!$D$3:$D3996,MOD(ROW()-2,COUNTA(helper!$D$3:$D3996))+1))</f>
        <v/>
      </c>
      <c r="D2595" s="3" t="str">
        <f t="array" ref="D2595">IF(B2595="","",INDEX(helper!$E$3:$E3996,MOD(ROW()-2,COUNTA(helper!$D$3:$D3996))+1))</f>
        <v/>
      </c>
      <c r="E2595" s="3" t="str">
        <f t="array" ref="E2595">IF(B2595="","",INDEX(helper!$F$3:$F3996,MOD(ROW()-2,COUNTA(helper!$D$3:$D3996))+1))</f>
        <v/>
      </c>
      <c r="F2595" s="3" t="str">
        <f>IF(B2595="","",SUMIFS('inventory ledger'!$H:$H,'inventory ledger'!$C:$C,C2595,'inventory ledger'!$D:$D,D2595,'inventory ledger'!$E:$E,E2595,'inventory ledger'!$A:$A,"&lt;="&amp;B2595+TIME(23,59,59))-SUMIFS('inventory ledger'!$I:$I,'inventory ledger'!$C:$C,C2595,'inventory ledger'!$D:$D,D2595,'inventory ledger'!$E:$E,E2595,'inventory ledger'!$A:$A,"&lt;="&amp;B2595+TIME(23,59,59)))</f>
        <v/>
      </c>
      <c r="G2595" s="3">
        <f>IFERROR(__xludf.DUMMYFUNCTION("IF(F2595&lt;=0,0,IFERROR(ROUNDUP(F2595/INDEX(FILTER('warehouse config'!$D:$D,('warehouse config'!$B:$B=C2595)*('warehouse config'!$C:$C=D2595)*('warehouse config'!$G:$G&lt;=B2595)*(('warehouse config'!$H:$H&gt;=B2595)+ISBLANK('warehouse config'!$H:$H))),1)),0))"),0.0)</f>
        <v>0</v>
      </c>
      <c r="H2595" s="3">
        <f>IFERROR(__xludf.DUMMYFUNCTION("IFERROR(INDEX(FILTER('cost master'!$E:$E,('cost master'!$B:$B=C2595)*('cost master'!$D:$D=""Storage cost per pallet / week"")*('cost master'!$G:$G&lt;=B2595)*(('cost master'!$H:$H&gt;=B2595)+ISBLANK('cost master'!$H:$H))),1),0)"),0.0)</f>
        <v>0</v>
      </c>
      <c r="I2595" s="3">
        <f t="shared" si="4"/>
        <v>0</v>
      </c>
      <c r="J2595" s="27">
        <f t="shared" si="5"/>
        <v>693947</v>
      </c>
      <c r="K2595" s="27">
        <f t="shared" si="6"/>
        <v>693977</v>
      </c>
    </row>
    <row r="2596" hidden="1">
      <c r="A2596" s="3" t="str">
        <f t="shared" si="3"/>
        <v/>
      </c>
      <c r="B2596" s="2" t="str">
        <f t="array" ref="B2596">INDEX(helper!$A$3:$A3996,ROUNDUP((ROW()-1)/COUNTA(helper!$D$3:$D3996),0))</f>
        <v/>
      </c>
      <c r="C2596" s="5" t="str">
        <f t="array" ref="C2596">IF(B2596="","",INDEX(helper!$D$3:$D3996,MOD(ROW()-2,COUNTA(helper!$D$3:$D3996))+1))</f>
        <v/>
      </c>
      <c r="D2596" s="3" t="str">
        <f t="array" ref="D2596">IF(B2596="","",INDEX(helper!$E$3:$E3996,MOD(ROW()-2,COUNTA(helper!$D$3:$D3996))+1))</f>
        <v/>
      </c>
      <c r="E2596" s="3" t="str">
        <f t="array" ref="E2596">IF(B2596="","",INDEX(helper!$F$3:$F3996,MOD(ROW()-2,COUNTA(helper!$D$3:$D3996))+1))</f>
        <v/>
      </c>
      <c r="F2596" s="3" t="str">
        <f>IF(B2596="","",SUMIFS('inventory ledger'!$H:$H,'inventory ledger'!$C:$C,C2596,'inventory ledger'!$D:$D,D2596,'inventory ledger'!$E:$E,E2596,'inventory ledger'!$A:$A,"&lt;="&amp;B2596+TIME(23,59,59))-SUMIFS('inventory ledger'!$I:$I,'inventory ledger'!$C:$C,C2596,'inventory ledger'!$D:$D,D2596,'inventory ledger'!$E:$E,E2596,'inventory ledger'!$A:$A,"&lt;="&amp;B2596+TIME(23,59,59)))</f>
        <v/>
      </c>
      <c r="G2596" s="3">
        <f>IFERROR(__xludf.DUMMYFUNCTION("IF(F2596&lt;=0,0,IFERROR(ROUNDUP(F2596/INDEX(FILTER('warehouse config'!$D:$D,('warehouse config'!$B:$B=C2596)*('warehouse config'!$C:$C=D2596)*('warehouse config'!$G:$G&lt;=B2596)*(('warehouse config'!$H:$H&gt;=B2596)+ISBLANK('warehouse config'!$H:$H))),1)),0))"),0.0)</f>
        <v>0</v>
      </c>
      <c r="H2596" s="3">
        <f>IFERROR(__xludf.DUMMYFUNCTION("IFERROR(INDEX(FILTER('cost master'!$E:$E,('cost master'!$B:$B=C2596)*('cost master'!$D:$D=""Storage cost per pallet / week"")*('cost master'!$G:$G&lt;=B2596)*(('cost master'!$H:$H&gt;=B2596)+ISBLANK('cost master'!$H:$H))),1),0)"),0.0)</f>
        <v>0</v>
      </c>
      <c r="I2596" s="3">
        <f t="shared" si="4"/>
        <v>0</v>
      </c>
      <c r="J2596" s="27">
        <f t="shared" si="5"/>
        <v>693947</v>
      </c>
      <c r="K2596" s="27">
        <f t="shared" si="6"/>
        <v>693977</v>
      </c>
    </row>
    <row r="2597" hidden="1">
      <c r="A2597" s="3" t="str">
        <f t="shared" si="3"/>
        <v/>
      </c>
      <c r="B2597" s="2" t="str">
        <f t="array" ref="B2597">INDEX(helper!$A$3:$A3996,ROUNDUP((ROW()-1)/COUNTA(helper!$D$3:$D3996),0))</f>
        <v/>
      </c>
      <c r="C2597" s="5" t="str">
        <f t="array" ref="C2597">IF(B2597="","",INDEX(helper!$D$3:$D3996,MOD(ROW()-2,COUNTA(helper!$D$3:$D3996))+1))</f>
        <v/>
      </c>
      <c r="D2597" s="3" t="str">
        <f t="array" ref="D2597">IF(B2597="","",INDEX(helper!$E$3:$E3996,MOD(ROW()-2,COUNTA(helper!$D$3:$D3996))+1))</f>
        <v/>
      </c>
      <c r="E2597" s="3" t="str">
        <f t="array" ref="E2597">IF(B2597="","",INDEX(helper!$F$3:$F3996,MOD(ROW()-2,COUNTA(helper!$D$3:$D3996))+1))</f>
        <v/>
      </c>
      <c r="F2597" s="3" t="str">
        <f>IF(B2597="","",SUMIFS('inventory ledger'!$H:$H,'inventory ledger'!$C:$C,C2597,'inventory ledger'!$D:$D,D2597,'inventory ledger'!$E:$E,E2597,'inventory ledger'!$A:$A,"&lt;="&amp;B2597+TIME(23,59,59))-SUMIFS('inventory ledger'!$I:$I,'inventory ledger'!$C:$C,C2597,'inventory ledger'!$D:$D,D2597,'inventory ledger'!$E:$E,E2597,'inventory ledger'!$A:$A,"&lt;="&amp;B2597+TIME(23,59,59)))</f>
        <v/>
      </c>
      <c r="G2597" s="3">
        <f>IFERROR(__xludf.DUMMYFUNCTION("IF(F2597&lt;=0,0,IFERROR(ROUNDUP(F2597/INDEX(FILTER('warehouse config'!$D:$D,('warehouse config'!$B:$B=C2597)*('warehouse config'!$C:$C=D2597)*('warehouse config'!$G:$G&lt;=B2597)*(('warehouse config'!$H:$H&gt;=B2597)+ISBLANK('warehouse config'!$H:$H))),1)),0))"),0.0)</f>
        <v>0</v>
      </c>
      <c r="H2597" s="3">
        <f>IFERROR(__xludf.DUMMYFUNCTION("IFERROR(INDEX(FILTER('cost master'!$E:$E,('cost master'!$B:$B=C2597)*('cost master'!$D:$D=""Storage cost per pallet / week"")*('cost master'!$G:$G&lt;=B2597)*(('cost master'!$H:$H&gt;=B2597)+ISBLANK('cost master'!$H:$H))),1),0)"),0.0)</f>
        <v>0</v>
      </c>
      <c r="I2597" s="3">
        <f t="shared" si="4"/>
        <v>0</v>
      </c>
      <c r="J2597" s="27">
        <f t="shared" si="5"/>
        <v>693947</v>
      </c>
      <c r="K2597" s="27">
        <f t="shared" si="6"/>
        <v>693977</v>
      </c>
    </row>
    <row r="2598" hidden="1">
      <c r="A2598" s="3" t="str">
        <f t="shared" si="3"/>
        <v/>
      </c>
      <c r="B2598" s="2" t="str">
        <f t="array" ref="B2598">INDEX(helper!$A$3:$A3996,ROUNDUP((ROW()-1)/COUNTA(helper!$D$3:$D3996),0))</f>
        <v/>
      </c>
      <c r="C2598" s="5" t="str">
        <f t="array" ref="C2598">IF(B2598="","",INDEX(helper!$D$3:$D3996,MOD(ROW()-2,COUNTA(helper!$D$3:$D3996))+1))</f>
        <v/>
      </c>
      <c r="D2598" s="3" t="str">
        <f t="array" ref="D2598">IF(B2598="","",INDEX(helper!$E$3:$E3996,MOD(ROW()-2,COUNTA(helper!$D$3:$D3996))+1))</f>
        <v/>
      </c>
      <c r="E2598" s="3" t="str">
        <f t="array" ref="E2598">IF(B2598="","",INDEX(helper!$F$3:$F3996,MOD(ROW()-2,COUNTA(helper!$D$3:$D3996))+1))</f>
        <v/>
      </c>
      <c r="F2598" s="3" t="str">
        <f>IF(B2598="","",SUMIFS('inventory ledger'!$H:$H,'inventory ledger'!$C:$C,C2598,'inventory ledger'!$D:$D,D2598,'inventory ledger'!$E:$E,E2598,'inventory ledger'!$A:$A,"&lt;="&amp;B2598+TIME(23,59,59))-SUMIFS('inventory ledger'!$I:$I,'inventory ledger'!$C:$C,C2598,'inventory ledger'!$D:$D,D2598,'inventory ledger'!$E:$E,E2598,'inventory ledger'!$A:$A,"&lt;="&amp;B2598+TIME(23,59,59)))</f>
        <v/>
      </c>
      <c r="G2598" s="3">
        <f>IFERROR(__xludf.DUMMYFUNCTION("IF(F2598&lt;=0,0,IFERROR(ROUNDUP(F2598/INDEX(FILTER('warehouse config'!$D:$D,('warehouse config'!$B:$B=C2598)*('warehouse config'!$C:$C=D2598)*('warehouse config'!$G:$G&lt;=B2598)*(('warehouse config'!$H:$H&gt;=B2598)+ISBLANK('warehouse config'!$H:$H))),1)),0))"),0.0)</f>
        <v>0</v>
      </c>
      <c r="H2598" s="3">
        <f>IFERROR(__xludf.DUMMYFUNCTION("IFERROR(INDEX(FILTER('cost master'!$E:$E,('cost master'!$B:$B=C2598)*('cost master'!$D:$D=""Storage cost per pallet / week"")*('cost master'!$G:$G&lt;=B2598)*(('cost master'!$H:$H&gt;=B2598)+ISBLANK('cost master'!$H:$H))),1),0)"),0.0)</f>
        <v>0</v>
      </c>
      <c r="I2598" s="3">
        <f t="shared" si="4"/>
        <v>0</v>
      </c>
      <c r="J2598" s="27">
        <f t="shared" si="5"/>
        <v>693947</v>
      </c>
      <c r="K2598" s="27">
        <f t="shared" si="6"/>
        <v>693977</v>
      </c>
    </row>
    <row r="2599" hidden="1">
      <c r="A2599" s="3" t="str">
        <f t="shared" si="3"/>
        <v/>
      </c>
      <c r="B2599" s="2" t="str">
        <f t="array" ref="B2599">INDEX(helper!$A$3:$A3996,ROUNDUP((ROW()-1)/COUNTA(helper!$D$3:$D3996),0))</f>
        <v/>
      </c>
      <c r="C2599" s="5" t="str">
        <f t="array" ref="C2599">IF(B2599="","",INDEX(helper!$D$3:$D3996,MOD(ROW()-2,COUNTA(helper!$D$3:$D3996))+1))</f>
        <v/>
      </c>
      <c r="D2599" s="3" t="str">
        <f t="array" ref="D2599">IF(B2599="","",INDEX(helper!$E$3:$E3996,MOD(ROW()-2,COUNTA(helper!$D$3:$D3996))+1))</f>
        <v/>
      </c>
      <c r="E2599" s="3" t="str">
        <f t="array" ref="E2599">IF(B2599="","",INDEX(helper!$F$3:$F3996,MOD(ROW()-2,COUNTA(helper!$D$3:$D3996))+1))</f>
        <v/>
      </c>
      <c r="F2599" s="3" t="str">
        <f>IF(B2599="","",SUMIFS('inventory ledger'!$H:$H,'inventory ledger'!$C:$C,C2599,'inventory ledger'!$D:$D,D2599,'inventory ledger'!$E:$E,E2599,'inventory ledger'!$A:$A,"&lt;="&amp;B2599+TIME(23,59,59))-SUMIFS('inventory ledger'!$I:$I,'inventory ledger'!$C:$C,C2599,'inventory ledger'!$D:$D,D2599,'inventory ledger'!$E:$E,E2599,'inventory ledger'!$A:$A,"&lt;="&amp;B2599+TIME(23,59,59)))</f>
        <v/>
      </c>
      <c r="G2599" s="3">
        <f>IFERROR(__xludf.DUMMYFUNCTION("IF(F2599&lt;=0,0,IFERROR(ROUNDUP(F2599/INDEX(FILTER('warehouse config'!$D:$D,('warehouse config'!$B:$B=C2599)*('warehouse config'!$C:$C=D2599)*('warehouse config'!$G:$G&lt;=B2599)*(('warehouse config'!$H:$H&gt;=B2599)+ISBLANK('warehouse config'!$H:$H))),1)),0))"),0.0)</f>
        <v>0</v>
      </c>
      <c r="H2599" s="3">
        <f>IFERROR(__xludf.DUMMYFUNCTION("IFERROR(INDEX(FILTER('cost master'!$E:$E,('cost master'!$B:$B=C2599)*('cost master'!$D:$D=""Storage cost per pallet / week"")*('cost master'!$G:$G&lt;=B2599)*(('cost master'!$H:$H&gt;=B2599)+ISBLANK('cost master'!$H:$H))),1),0)"),0.0)</f>
        <v>0</v>
      </c>
      <c r="I2599" s="3">
        <f t="shared" si="4"/>
        <v>0</v>
      </c>
      <c r="J2599" s="27">
        <f t="shared" si="5"/>
        <v>693947</v>
      </c>
      <c r="K2599" s="27">
        <f t="shared" si="6"/>
        <v>693977</v>
      </c>
    </row>
    <row r="2600" hidden="1">
      <c r="A2600" s="3" t="str">
        <f t="shared" si="3"/>
        <v/>
      </c>
      <c r="B2600" s="2" t="str">
        <f t="array" ref="B2600">INDEX(helper!$A$3:$A3996,ROUNDUP((ROW()-1)/COUNTA(helper!$D$3:$D3996),0))</f>
        <v/>
      </c>
      <c r="C2600" s="5" t="str">
        <f t="array" ref="C2600">IF(B2600="","",INDEX(helper!$D$3:$D3996,MOD(ROW()-2,COUNTA(helper!$D$3:$D3996))+1))</f>
        <v/>
      </c>
      <c r="D2600" s="3" t="str">
        <f t="array" ref="D2600">IF(B2600="","",INDEX(helper!$E$3:$E3996,MOD(ROW()-2,COUNTA(helper!$D$3:$D3996))+1))</f>
        <v/>
      </c>
      <c r="E2600" s="3" t="str">
        <f t="array" ref="E2600">IF(B2600="","",INDEX(helper!$F$3:$F3996,MOD(ROW()-2,COUNTA(helper!$D$3:$D3996))+1))</f>
        <v/>
      </c>
      <c r="F2600" s="3" t="str">
        <f>IF(B2600="","",SUMIFS('inventory ledger'!$H:$H,'inventory ledger'!$C:$C,C2600,'inventory ledger'!$D:$D,D2600,'inventory ledger'!$E:$E,E2600,'inventory ledger'!$A:$A,"&lt;="&amp;B2600+TIME(23,59,59))-SUMIFS('inventory ledger'!$I:$I,'inventory ledger'!$C:$C,C2600,'inventory ledger'!$D:$D,D2600,'inventory ledger'!$E:$E,E2600,'inventory ledger'!$A:$A,"&lt;="&amp;B2600+TIME(23,59,59)))</f>
        <v/>
      </c>
      <c r="G2600" s="3">
        <f>IFERROR(__xludf.DUMMYFUNCTION("IF(F2600&lt;=0,0,IFERROR(ROUNDUP(F2600/INDEX(FILTER('warehouse config'!$D:$D,('warehouse config'!$B:$B=C2600)*('warehouse config'!$C:$C=D2600)*('warehouse config'!$G:$G&lt;=B2600)*(('warehouse config'!$H:$H&gt;=B2600)+ISBLANK('warehouse config'!$H:$H))),1)),0))"),0.0)</f>
        <v>0</v>
      </c>
      <c r="H2600" s="3">
        <f>IFERROR(__xludf.DUMMYFUNCTION("IFERROR(INDEX(FILTER('cost master'!$E:$E,('cost master'!$B:$B=C2600)*('cost master'!$D:$D=""Storage cost per pallet / week"")*('cost master'!$G:$G&lt;=B2600)*(('cost master'!$H:$H&gt;=B2600)+ISBLANK('cost master'!$H:$H))),1),0)"),0.0)</f>
        <v>0</v>
      </c>
      <c r="I2600" s="3">
        <f t="shared" si="4"/>
        <v>0</v>
      </c>
      <c r="J2600" s="27">
        <f t="shared" si="5"/>
        <v>693947</v>
      </c>
      <c r="K2600" s="27">
        <f t="shared" si="6"/>
        <v>693977</v>
      </c>
    </row>
    <row r="2601" hidden="1">
      <c r="A2601" s="3" t="str">
        <f t="shared" si="3"/>
        <v/>
      </c>
      <c r="B2601" s="2" t="str">
        <f t="array" ref="B2601">INDEX(helper!$A$3:$A3996,ROUNDUP((ROW()-1)/COUNTA(helper!$D$3:$D3996),0))</f>
        <v/>
      </c>
      <c r="C2601" s="5" t="str">
        <f t="array" ref="C2601">IF(B2601="","",INDEX(helper!$D$3:$D3996,MOD(ROW()-2,COUNTA(helper!$D$3:$D3996))+1))</f>
        <v/>
      </c>
      <c r="D2601" s="3" t="str">
        <f t="array" ref="D2601">IF(B2601="","",INDEX(helper!$E$3:$E3996,MOD(ROW()-2,COUNTA(helper!$D$3:$D3996))+1))</f>
        <v/>
      </c>
      <c r="E2601" s="3" t="str">
        <f t="array" ref="E2601">IF(B2601="","",INDEX(helper!$F$3:$F3996,MOD(ROW()-2,COUNTA(helper!$D$3:$D3996))+1))</f>
        <v/>
      </c>
      <c r="F2601" s="3" t="str">
        <f>IF(B2601="","",SUMIFS('inventory ledger'!$H:$H,'inventory ledger'!$C:$C,C2601,'inventory ledger'!$D:$D,D2601,'inventory ledger'!$E:$E,E2601,'inventory ledger'!$A:$A,"&lt;="&amp;B2601+TIME(23,59,59))-SUMIFS('inventory ledger'!$I:$I,'inventory ledger'!$C:$C,C2601,'inventory ledger'!$D:$D,D2601,'inventory ledger'!$E:$E,E2601,'inventory ledger'!$A:$A,"&lt;="&amp;B2601+TIME(23,59,59)))</f>
        <v/>
      </c>
      <c r="G2601" s="3">
        <f>IFERROR(__xludf.DUMMYFUNCTION("IF(F2601&lt;=0,0,IFERROR(ROUNDUP(F2601/INDEX(FILTER('warehouse config'!$D:$D,('warehouse config'!$B:$B=C2601)*('warehouse config'!$C:$C=D2601)*('warehouse config'!$G:$G&lt;=B2601)*(('warehouse config'!$H:$H&gt;=B2601)+ISBLANK('warehouse config'!$H:$H))),1)),0))"),0.0)</f>
        <v>0</v>
      </c>
      <c r="H2601" s="3">
        <f>IFERROR(__xludf.DUMMYFUNCTION("IFERROR(INDEX(FILTER('cost master'!$E:$E,('cost master'!$B:$B=C2601)*('cost master'!$D:$D=""Storage cost per pallet / week"")*('cost master'!$G:$G&lt;=B2601)*(('cost master'!$H:$H&gt;=B2601)+ISBLANK('cost master'!$H:$H))),1),0)"),0.0)</f>
        <v>0</v>
      </c>
      <c r="I2601" s="3">
        <f t="shared" si="4"/>
        <v>0</v>
      </c>
      <c r="J2601" s="27">
        <f t="shared" si="5"/>
        <v>693947</v>
      </c>
      <c r="K2601" s="27">
        <f t="shared" si="6"/>
        <v>693977</v>
      </c>
    </row>
    <row r="2602" hidden="1">
      <c r="A2602" s="3" t="str">
        <f t="shared" si="3"/>
        <v/>
      </c>
      <c r="B2602" s="2" t="str">
        <f t="array" ref="B2602">INDEX(helper!$A$3:$A3996,ROUNDUP((ROW()-1)/COUNTA(helper!$D$3:$D3996),0))</f>
        <v/>
      </c>
      <c r="C2602" s="5" t="str">
        <f t="array" ref="C2602">IF(B2602="","",INDEX(helper!$D$3:$D3996,MOD(ROW()-2,COUNTA(helper!$D$3:$D3996))+1))</f>
        <v/>
      </c>
      <c r="D2602" s="3" t="str">
        <f t="array" ref="D2602">IF(B2602="","",INDEX(helper!$E$3:$E3996,MOD(ROW()-2,COUNTA(helper!$D$3:$D3996))+1))</f>
        <v/>
      </c>
      <c r="E2602" s="3" t="str">
        <f t="array" ref="E2602">IF(B2602="","",INDEX(helper!$F$3:$F3996,MOD(ROW()-2,COUNTA(helper!$D$3:$D3996))+1))</f>
        <v/>
      </c>
      <c r="F2602" s="3" t="str">
        <f>IF(B2602="","",SUMIFS('inventory ledger'!$H:$H,'inventory ledger'!$C:$C,C2602,'inventory ledger'!$D:$D,D2602,'inventory ledger'!$E:$E,E2602,'inventory ledger'!$A:$A,"&lt;="&amp;B2602+TIME(23,59,59))-SUMIFS('inventory ledger'!$I:$I,'inventory ledger'!$C:$C,C2602,'inventory ledger'!$D:$D,D2602,'inventory ledger'!$E:$E,E2602,'inventory ledger'!$A:$A,"&lt;="&amp;B2602+TIME(23,59,59)))</f>
        <v/>
      </c>
      <c r="G2602" s="3">
        <f>IFERROR(__xludf.DUMMYFUNCTION("IF(F2602&lt;=0,0,IFERROR(ROUNDUP(F2602/INDEX(FILTER('warehouse config'!$D:$D,('warehouse config'!$B:$B=C2602)*('warehouse config'!$C:$C=D2602)*('warehouse config'!$G:$G&lt;=B2602)*(('warehouse config'!$H:$H&gt;=B2602)+ISBLANK('warehouse config'!$H:$H))),1)),0))"),0.0)</f>
        <v>0</v>
      </c>
      <c r="H2602" s="3">
        <f>IFERROR(__xludf.DUMMYFUNCTION("IFERROR(INDEX(FILTER('cost master'!$E:$E,('cost master'!$B:$B=C2602)*('cost master'!$D:$D=""Storage cost per pallet / week"")*('cost master'!$G:$G&lt;=B2602)*(('cost master'!$H:$H&gt;=B2602)+ISBLANK('cost master'!$H:$H))),1),0)"),0.0)</f>
        <v>0</v>
      </c>
      <c r="I2602" s="3">
        <f t="shared" si="4"/>
        <v>0</v>
      </c>
      <c r="J2602" s="27">
        <f t="shared" si="5"/>
        <v>693947</v>
      </c>
      <c r="K2602" s="27">
        <f t="shared" si="6"/>
        <v>693977</v>
      </c>
    </row>
    <row r="2603" hidden="1">
      <c r="A2603" s="3" t="str">
        <f t="shared" si="3"/>
        <v/>
      </c>
      <c r="B2603" s="2" t="str">
        <f t="array" ref="B2603">INDEX(helper!$A$3:$A3996,ROUNDUP((ROW()-1)/COUNTA(helper!$D$3:$D3996),0))</f>
        <v/>
      </c>
      <c r="C2603" s="5" t="str">
        <f t="array" ref="C2603">IF(B2603="","",INDEX(helper!$D$3:$D3996,MOD(ROW()-2,COUNTA(helper!$D$3:$D3996))+1))</f>
        <v/>
      </c>
      <c r="D2603" s="3" t="str">
        <f t="array" ref="D2603">IF(B2603="","",INDEX(helper!$E$3:$E3996,MOD(ROW()-2,COUNTA(helper!$D$3:$D3996))+1))</f>
        <v/>
      </c>
      <c r="E2603" s="3" t="str">
        <f t="array" ref="E2603">IF(B2603="","",INDEX(helper!$F$3:$F3996,MOD(ROW()-2,COUNTA(helper!$D$3:$D3996))+1))</f>
        <v/>
      </c>
      <c r="F2603" s="3" t="str">
        <f>IF(B2603="","",SUMIFS('inventory ledger'!$H:$H,'inventory ledger'!$C:$C,C2603,'inventory ledger'!$D:$D,D2603,'inventory ledger'!$E:$E,E2603,'inventory ledger'!$A:$A,"&lt;="&amp;B2603+TIME(23,59,59))-SUMIFS('inventory ledger'!$I:$I,'inventory ledger'!$C:$C,C2603,'inventory ledger'!$D:$D,D2603,'inventory ledger'!$E:$E,E2603,'inventory ledger'!$A:$A,"&lt;="&amp;B2603+TIME(23,59,59)))</f>
        <v/>
      </c>
      <c r="G2603" s="3">
        <f>IFERROR(__xludf.DUMMYFUNCTION("IF(F2603&lt;=0,0,IFERROR(ROUNDUP(F2603/INDEX(FILTER('warehouse config'!$D:$D,('warehouse config'!$B:$B=C2603)*('warehouse config'!$C:$C=D2603)*('warehouse config'!$G:$G&lt;=B2603)*(('warehouse config'!$H:$H&gt;=B2603)+ISBLANK('warehouse config'!$H:$H))),1)),0))"),0.0)</f>
        <v>0</v>
      </c>
      <c r="H2603" s="3">
        <f>IFERROR(__xludf.DUMMYFUNCTION("IFERROR(INDEX(FILTER('cost master'!$E:$E,('cost master'!$B:$B=C2603)*('cost master'!$D:$D=""Storage cost per pallet / week"")*('cost master'!$G:$G&lt;=B2603)*(('cost master'!$H:$H&gt;=B2603)+ISBLANK('cost master'!$H:$H))),1),0)"),0.0)</f>
        <v>0</v>
      </c>
      <c r="I2603" s="3">
        <f t="shared" si="4"/>
        <v>0</v>
      </c>
      <c r="J2603" s="27">
        <f t="shared" si="5"/>
        <v>693947</v>
      </c>
      <c r="K2603" s="27">
        <f t="shared" si="6"/>
        <v>693977</v>
      </c>
    </row>
    <row r="2604" hidden="1">
      <c r="A2604" s="3" t="str">
        <f t="shared" si="3"/>
        <v/>
      </c>
      <c r="B2604" s="2" t="str">
        <f t="array" ref="B2604">INDEX(helper!$A$3:$A3996,ROUNDUP((ROW()-1)/COUNTA(helper!$D$3:$D3996),0))</f>
        <v/>
      </c>
      <c r="C2604" s="5" t="str">
        <f t="array" ref="C2604">IF(B2604="","",INDEX(helper!$D$3:$D3996,MOD(ROW()-2,COUNTA(helper!$D$3:$D3996))+1))</f>
        <v/>
      </c>
      <c r="D2604" s="3" t="str">
        <f t="array" ref="D2604">IF(B2604="","",INDEX(helper!$E$3:$E3996,MOD(ROW()-2,COUNTA(helper!$D$3:$D3996))+1))</f>
        <v/>
      </c>
      <c r="E2604" s="3" t="str">
        <f t="array" ref="E2604">IF(B2604="","",INDEX(helper!$F$3:$F3996,MOD(ROW()-2,COUNTA(helper!$D$3:$D3996))+1))</f>
        <v/>
      </c>
      <c r="F2604" s="3" t="str">
        <f>IF(B2604="","",SUMIFS('inventory ledger'!$H:$H,'inventory ledger'!$C:$C,C2604,'inventory ledger'!$D:$D,D2604,'inventory ledger'!$E:$E,E2604,'inventory ledger'!$A:$A,"&lt;="&amp;B2604+TIME(23,59,59))-SUMIFS('inventory ledger'!$I:$I,'inventory ledger'!$C:$C,C2604,'inventory ledger'!$D:$D,D2604,'inventory ledger'!$E:$E,E2604,'inventory ledger'!$A:$A,"&lt;="&amp;B2604+TIME(23,59,59)))</f>
        <v/>
      </c>
      <c r="G2604" s="3">
        <f>IFERROR(__xludf.DUMMYFUNCTION("IF(F2604&lt;=0,0,IFERROR(ROUNDUP(F2604/INDEX(FILTER('warehouse config'!$D:$D,('warehouse config'!$B:$B=C2604)*('warehouse config'!$C:$C=D2604)*('warehouse config'!$G:$G&lt;=B2604)*(('warehouse config'!$H:$H&gt;=B2604)+ISBLANK('warehouse config'!$H:$H))),1)),0))"),0.0)</f>
        <v>0</v>
      </c>
      <c r="H2604" s="3">
        <f>IFERROR(__xludf.DUMMYFUNCTION("IFERROR(INDEX(FILTER('cost master'!$E:$E,('cost master'!$B:$B=C2604)*('cost master'!$D:$D=""Storage cost per pallet / week"")*('cost master'!$G:$G&lt;=B2604)*(('cost master'!$H:$H&gt;=B2604)+ISBLANK('cost master'!$H:$H))),1),0)"),0.0)</f>
        <v>0</v>
      </c>
      <c r="I2604" s="3">
        <f t="shared" si="4"/>
        <v>0</v>
      </c>
      <c r="J2604" s="27">
        <f t="shared" si="5"/>
        <v>693947</v>
      </c>
      <c r="K2604" s="27">
        <f t="shared" si="6"/>
        <v>693977</v>
      </c>
    </row>
    <row r="2605" hidden="1">
      <c r="A2605" s="3" t="str">
        <f t="shared" si="3"/>
        <v/>
      </c>
      <c r="B2605" s="2" t="str">
        <f t="array" ref="B2605">INDEX(helper!$A$3:$A3996,ROUNDUP((ROW()-1)/COUNTA(helper!$D$3:$D3996),0))</f>
        <v/>
      </c>
      <c r="C2605" s="5" t="str">
        <f t="array" ref="C2605">IF(B2605="","",INDEX(helper!$D$3:$D3996,MOD(ROW()-2,COUNTA(helper!$D$3:$D3996))+1))</f>
        <v/>
      </c>
      <c r="D2605" s="3" t="str">
        <f t="array" ref="D2605">IF(B2605="","",INDEX(helper!$E$3:$E3996,MOD(ROW()-2,COUNTA(helper!$D$3:$D3996))+1))</f>
        <v/>
      </c>
      <c r="E2605" s="3" t="str">
        <f t="array" ref="E2605">IF(B2605="","",INDEX(helper!$F$3:$F3996,MOD(ROW()-2,COUNTA(helper!$D$3:$D3996))+1))</f>
        <v/>
      </c>
      <c r="F2605" s="3" t="str">
        <f>IF(B2605="","",SUMIFS('inventory ledger'!$H:$H,'inventory ledger'!$C:$C,C2605,'inventory ledger'!$D:$D,D2605,'inventory ledger'!$E:$E,E2605,'inventory ledger'!$A:$A,"&lt;="&amp;B2605+TIME(23,59,59))-SUMIFS('inventory ledger'!$I:$I,'inventory ledger'!$C:$C,C2605,'inventory ledger'!$D:$D,D2605,'inventory ledger'!$E:$E,E2605,'inventory ledger'!$A:$A,"&lt;="&amp;B2605+TIME(23,59,59)))</f>
        <v/>
      </c>
      <c r="G2605" s="3">
        <f>IFERROR(__xludf.DUMMYFUNCTION("IF(F2605&lt;=0,0,IFERROR(ROUNDUP(F2605/INDEX(FILTER('warehouse config'!$D:$D,('warehouse config'!$B:$B=C2605)*('warehouse config'!$C:$C=D2605)*('warehouse config'!$G:$G&lt;=B2605)*(('warehouse config'!$H:$H&gt;=B2605)+ISBLANK('warehouse config'!$H:$H))),1)),0))"),0.0)</f>
        <v>0</v>
      </c>
      <c r="H2605" s="3">
        <f>IFERROR(__xludf.DUMMYFUNCTION("IFERROR(INDEX(FILTER('cost master'!$E:$E,('cost master'!$B:$B=C2605)*('cost master'!$D:$D=""Storage cost per pallet / week"")*('cost master'!$G:$G&lt;=B2605)*(('cost master'!$H:$H&gt;=B2605)+ISBLANK('cost master'!$H:$H))),1),0)"),0.0)</f>
        <v>0</v>
      </c>
      <c r="I2605" s="3">
        <f t="shared" si="4"/>
        <v>0</v>
      </c>
      <c r="J2605" s="27">
        <f t="shared" si="5"/>
        <v>693947</v>
      </c>
      <c r="K2605" s="27">
        <f t="shared" si="6"/>
        <v>693977</v>
      </c>
    </row>
    <row r="2606" hidden="1">
      <c r="A2606" s="3" t="str">
        <f t="shared" si="3"/>
        <v/>
      </c>
      <c r="B2606" s="2" t="str">
        <f t="array" ref="B2606">INDEX(helper!$A$3:$A3996,ROUNDUP((ROW()-1)/COUNTA(helper!$D$3:$D3996),0))</f>
        <v/>
      </c>
      <c r="C2606" s="5" t="str">
        <f t="array" ref="C2606">IF(B2606="","",INDEX(helper!$D$3:$D3996,MOD(ROW()-2,COUNTA(helper!$D$3:$D3996))+1))</f>
        <v/>
      </c>
      <c r="D2606" s="3" t="str">
        <f t="array" ref="D2606">IF(B2606="","",INDEX(helper!$E$3:$E3996,MOD(ROW()-2,COUNTA(helper!$D$3:$D3996))+1))</f>
        <v/>
      </c>
      <c r="E2606" s="3" t="str">
        <f t="array" ref="E2606">IF(B2606="","",INDEX(helper!$F$3:$F3996,MOD(ROW()-2,COUNTA(helper!$D$3:$D3996))+1))</f>
        <v/>
      </c>
      <c r="F2606" s="3" t="str">
        <f>IF(B2606="","",SUMIFS('inventory ledger'!$H:$H,'inventory ledger'!$C:$C,C2606,'inventory ledger'!$D:$D,D2606,'inventory ledger'!$E:$E,E2606,'inventory ledger'!$A:$A,"&lt;="&amp;B2606+TIME(23,59,59))-SUMIFS('inventory ledger'!$I:$I,'inventory ledger'!$C:$C,C2606,'inventory ledger'!$D:$D,D2606,'inventory ledger'!$E:$E,E2606,'inventory ledger'!$A:$A,"&lt;="&amp;B2606+TIME(23,59,59)))</f>
        <v/>
      </c>
      <c r="G2606" s="3">
        <f>IFERROR(__xludf.DUMMYFUNCTION("IF(F2606&lt;=0,0,IFERROR(ROUNDUP(F2606/INDEX(FILTER('warehouse config'!$D:$D,('warehouse config'!$B:$B=C2606)*('warehouse config'!$C:$C=D2606)*('warehouse config'!$G:$G&lt;=B2606)*(('warehouse config'!$H:$H&gt;=B2606)+ISBLANK('warehouse config'!$H:$H))),1)),0))"),0.0)</f>
        <v>0</v>
      </c>
      <c r="H2606" s="3">
        <f>IFERROR(__xludf.DUMMYFUNCTION("IFERROR(INDEX(FILTER('cost master'!$E:$E,('cost master'!$B:$B=C2606)*('cost master'!$D:$D=""Storage cost per pallet / week"")*('cost master'!$G:$G&lt;=B2606)*(('cost master'!$H:$H&gt;=B2606)+ISBLANK('cost master'!$H:$H))),1),0)"),0.0)</f>
        <v>0</v>
      </c>
      <c r="I2606" s="3">
        <f t="shared" si="4"/>
        <v>0</v>
      </c>
      <c r="J2606" s="27">
        <f t="shared" si="5"/>
        <v>693947</v>
      </c>
      <c r="K2606" s="27">
        <f t="shared" si="6"/>
        <v>693977</v>
      </c>
    </row>
    <row r="2607" hidden="1">
      <c r="A2607" s="3" t="str">
        <f t="shared" si="3"/>
        <v/>
      </c>
      <c r="B2607" s="2" t="str">
        <f t="array" ref="B2607">INDEX(helper!$A$3:$A3996,ROUNDUP((ROW()-1)/COUNTA(helper!$D$3:$D3996),0))</f>
        <v/>
      </c>
      <c r="C2607" s="5" t="str">
        <f t="array" ref="C2607">IF(B2607="","",INDEX(helper!$D$3:$D3996,MOD(ROW()-2,COUNTA(helper!$D$3:$D3996))+1))</f>
        <v/>
      </c>
      <c r="D2607" s="3" t="str">
        <f t="array" ref="D2607">IF(B2607="","",INDEX(helper!$E$3:$E3996,MOD(ROW()-2,COUNTA(helper!$D$3:$D3996))+1))</f>
        <v/>
      </c>
      <c r="E2607" s="3" t="str">
        <f t="array" ref="E2607">IF(B2607="","",INDEX(helper!$F$3:$F3996,MOD(ROW()-2,COUNTA(helper!$D$3:$D3996))+1))</f>
        <v/>
      </c>
      <c r="F2607" s="3" t="str">
        <f>IF(B2607="","",SUMIFS('inventory ledger'!$H:$H,'inventory ledger'!$C:$C,C2607,'inventory ledger'!$D:$D,D2607,'inventory ledger'!$E:$E,E2607,'inventory ledger'!$A:$A,"&lt;="&amp;B2607+TIME(23,59,59))-SUMIFS('inventory ledger'!$I:$I,'inventory ledger'!$C:$C,C2607,'inventory ledger'!$D:$D,D2607,'inventory ledger'!$E:$E,E2607,'inventory ledger'!$A:$A,"&lt;="&amp;B2607+TIME(23,59,59)))</f>
        <v/>
      </c>
      <c r="G2607" s="3">
        <f>IFERROR(__xludf.DUMMYFUNCTION("IF(F2607&lt;=0,0,IFERROR(ROUNDUP(F2607/INDEX(FILTER('warehouse config'!$D:$D,('warehouse config'!$B:$B=C2607)*('warehouse config'!$C:$C=D2607)*('warehouse config'!$G:$G&lt;=B2607)*(('warehouse config'!$H:$H&gt;=B2607)+ISBLANK('warehouse config'!$H:$H))),1)),0))"),0.0)</f>
        <v>0</v>
      </c>
      <c r="H2607" s="3">
        <f>IFERROR(__xludf.DUMMYFUNCTION("IFERROR(INDEX(FILTER('cost master'!$E:$E,('cost master'!$B:$B=C2607)*('cost master'!$D:$D=""Storage cost per pallet / week"")*('cost master'!$G:$G&lt;=B2607)*(('cost master'!$H:$H&gt;=B2607)+ISBLANK('cost master'!$H:$H))),1),0)"),0.0)</f>
        <v>0</v>
      </c>
      <c r="I2607" s="3">
        <f t="shared" si="4"/>
        <v>0</v>
      </c>
      <c r="J2607" s="27">
        <f t="shared" si="5"/>
        <v>693947</v>
      </c>
      <c r="K2607" s="27">
        <f t="shared" si="6"/>
        <v>693977</v>
      </c>
    </row>
    <row r="2608" hidden="1">
      <c r="A2608" s="3" t="str">
        <f t="shared" si="3"/>
        <v/>
      </c>
      <c r="B2608" s="2" t="str">
        <f t="array" ref="B2608">INDEX(helper!$A$3:$A3996,ROUNDUP((ROW()-1)/COUNTA(helper!$D$3:$D3996),0))</f>
        <v/>
      </c>
      <c r="C2608" s="5" t="str">
        <f t="array" ref="C2608">IF(B2608="","",INDEX(helper!$D$3:$D3996,MOD(ROW()-2,COUNTA(helper!$D$3:$D3996))+1))</f>
        <v/>
      </c>
      <c r="D2608" s="3" t="str">
        <f t="array" ref="D2608">IF(B2608="","",INDEX(helper!$E$3:$E3996,MOD(ROW()-2,COUNTA(helper!$D$3:$D3996))+1))</f>
        <v/>
      </c>
      <c r="E2608" s="3" t="str">
        <f t="array" ref="E2608">IF(B2608="","",INDEX(helper!$F$3:$F3996,MOD(ROW()-2,COUNTA(helper!$D$3:$D3996))+1))</f>
        <v/>
      </c>
      <c r="F2608" s="3" t="str">
        <f>IF(B2608="","",SUMIFS('inventory ledger'!$H:$H,'inventory ledger'!$C:$C,C2608,'inventory ledger'!$D:$D,D2608,'inventory ledger'!$E:$E,E2608,'inventory ledger'!$A:$A,"&lt;="&amp;B2608+TIME(23,59,59))-SUMIFS('inventory ledger'!$I:$I,'inventory ledger'!$C:$C,C2608,'inventory ledger'!$D:$D,D2608,'inventory ledger'!$E:$E,E2608,'inventory ledger'!$A:$A,"&lt;="&amp;B2608+TIME(23,59,59)))</f>
        <v/>
      </c>
      <c r="G2608" s="3">
        <f>IFERROR(__xludf.DUMMYFUNCTION("IF(F2608&lt;=0,0,IFERROR(ROUNDUP(F2608/INDEX(FILTER('warehouse config'!$D:$D,('warehouse config'!$B:$B=C2608)*('warehouse config'!$C:$C=D2608)*('warehouse config'!$G:$G&lt;=B2608)*(('warehouse config'!$H:$H&gt;=B2608)+ISBLANK('warehouse config'!$H:$H))),1)),0))"),0.0)</f>
        <v>0</v>
      </c>
      <c r="H2608" s="3">
        <f>IFERROR(__xludf.DUMMYFUNCTION("IFERROR(INDEX(FILTER('cost master'!$E:$E,('cost master'!$B:$B=C2608)*('cost master'!$D:$D=""Storage cost per pallet / week"")*('cost master'!$G:$G&lt;=B2608)*(('cost master'!$H:$H&gt;=B2608)+ISBLANK('cost master'!$H:$H))),1),0)"),0.0)</f>
        <v>0</v>
      </c>
      <c r="I2608" s="3">
        <f t="shared" si="4"/>
        <v>0</v>
      </c>
      <c r="J2608" s="27">
        <f t="shared" si="5"/>
        <v>693947</v>
      </c>
      <c r="K2608" s="27">
        <f t="shared" si="6"/>
        <v>693977</v>
      </c>
    </row>
    <row r="2609" hidden="1">
      <c r="A2609" s="3" t="str">
        <f t="shared" si="3"/>
        <v/>
      </c>
      <c r="B2609" s="2" t="str">
        <f t="array" ref="B2609">INDEX(helper!$A$3:$A3996,ROUNDUP((ROW()-1)/COUNTA(helper!$D$3:$D3996),0))</f>
        <v/>
      </c>
      <c r="C2609" s="5" t="str">
        <f t="array" ref="C2609">IF(B2609="","",INDEX(helper!$D$3:$D3996,MOD(ROW()-2,COUNTA(helper!$D$3:$D3996))+1))</f>
        <v/>
      </c>
      <c r="D2609" s="3" t="str">
        <f t="array" ref="D2609">IF(B2609="","",INDEX(helper!$E$3:$E3996,MOD(ROW()-2,COUNTA(helper!$D$3:$D3996))+1))</f>
        <v/>
      </c>
      <c r="E2609" s="3" t="str">
        <f t="array" ref="E2609">IF(B2609="","",INDEX(helper!$F$3:$F3996,MOD(ROW()-2,COUNTA(helper!$D$3:$D3996))+1))</f>
        <v/>
      </c>
      <c r="F2609" s="3" t="str">
        <f>IF(B2609="","",SUMIFS('inventory ledger'!$H:$H,'inventory ledger'!$C:$C,C2609,'inventory ledger'!$D:$D,D2609,'inventory ledger'!$E:$E,E2609,'inventory ledger'!$A:$A,"&lt;="&amp;B2609+TIME(23,59,59))-SUMIFS('inventory ledger'!$I:$I,'inventory ledger'!$C:$C,C2609,'inventory ledger'!$D:$D,D2609,'inventory ledger'!$E:$E,E2609,'inventory ledger'!$A:$A,"&lt;="&amp;B2609+TIME(23,59,59)))</f>
        <v/>
      </c>
      <c r="G2609" s="3">
        <f>IFERROR(__xludf.DUMMYFUNCTION("IF(F2609&lt;=0,0,IFERROR(ROUNDUP(F2609/INDEX(FILTER('warehouse config'!$D:$D,('warehouse config'!$B:$B=C2609)*('warehouse config'!$C:$C=D2609)*('warehouse config'!$G:$G&lt;=B2609)*(('warehouse config'!$H:$H&gt;=B2609)+ISBLANK('warehouse config'!$H:$H))),1)),0))"),0.0)</f>
        <v>0</v>
      </c>
      <c r="H2609" s="3">
        <f>IFERROR(__xludf.DUMMYFUNCTION("IFERROR(INDEX(FILTER('cost master'!$E:$E,('cost master'!$B:$B=C2609)*('cost master'!$D:$D=""Storage cost per pallet / week"")*('cost master'!$G:$G&lt;=B2609)*(('cost master'!$H:$H&gt;=B2609)+ISBLANK('cost master'!$H:$H))),1),0)"),0.0)</f>
        <v>0</v>
      </c>
      <c r="I2609" s="3">
        <f t="shared" si="4"/>
        <v>0</v>
      </c>
      <c r="J2609" s="27">
        <f t="shared" si="5"/>
        <v>693947</v>
      </c>
      <c r="K2609" s="27">
        <f t="shared" si="6"/>
        <v>693977</v>
      </c>
    </row>
    <row r="2610" hidden="1">
      <c r="A2610" s="3" t="str">
        <f t="shared" si="3"/>
        <v/>
      </c>
      <c r="B2610" s="2" t="str">
        <f t="array" ref="B2610">INDEX(helper!$A$3:$A3996,ROUNDUP((ROW()-1)/COUNTA(helper!$D$3:$D3996),0))</f>
        <v/>
      </c>
      <c r="C2610" s="5" t="str">
        <f t="array" ref="C2610">IF(B2610="","",INDEX(helper!$D$3:$D3996,MOD(ROW()-2,COUNTA(helper!$D$3:$D3996))+1))</f>
        <v/>
      </c>
      <c r="D2610" s="3" t="str">
        <f t="array" ref="D2610">IF(B2610="","",INDEX(helper!$E$3:$E3996,MOD(ROW()-2,COUNTA(helper!$D$3:$D3996))+1))</f>
        <v/>
      </c>
      <c r="E2610" s="3" t="str">
        <f t="array" ref="E2610">IF(B2610="","",INDEX(helper!$F$3:$F3996,MOD(ROW()-2,COUNTA(helper!$D$3:$D3996))+1))</f>
        <v/>
      </c>
      <c r="F2610" s="3" t="str">
        <f>IF(B2610="","",SUMIFS('inventory ledger'!$H:$H,'inventory ledger'!$C:$C,C2610,'inventory ledger'!$D:$D,D2610,'inventory ledger'!$E:$E,E2610,'inventory ledger'!$A:$A,"&lt;="&amp;B2610+TIME(23,59,59))-SUMIFS('inventory ledger'!$I:$I,'inventory ledger'!$C:$C,C2610,'inventory ledger'!$D:$D,D2610,'inventory ledger'!$E:$E,E2610,'inventory ledger'!$A:$A,"&lt;="&amp;B2610+TIME(23,59,59)))</f>
        <v/>
      </c>
      <c r="G2610" s="3">
        <f>IFERROR(__xludf.DUMMYFUNCTION("IF(F2610&lt;=0,0,IFERROR(ROUNDUP(F2610/INDEX(FILTER('warehouse config'!$D:$D,('warehouse config'!$B:$B=C2610)*('warehouse config'!$C:$C=D2610)*('warehouse config'!$G:$G&lt;=B2610)*(('warehouse config'!$H:$H&gt;=B2610)+ISBLANK('warehouse config'!$H:$H))),1)),0))"),0.0)</f>
        <v>0</v>
      </c>
      <c r="H2610" s="3">
        <f>IFERROR(__xludf.DUMMYFUNCTION("IFERROR(INDEX(FILTER('cost master'!$E:$E,('cost master'!$B:$B=C2610)*('cost master'!$D:$D=""Storage cost per pallet / week"")*('cost master'!$G:$G&lt;=B2610)*(('cost master'!$H:$H&gt;=B2610)+ISBLANK('cost master'!$H:$H))),1),0)"),0.0)</f>
        <v>0</v>
      </c>
      <c r="I2610" s="3">
        <f t="shared" si="4"/>
        <v>0</v>
      </c>
      <c r="J2610" s="27">
        <f t="shared" si="5"/>
        <v>693947</v>
      </c>
      <c r="K2610" s="27">
        <f t="shared" si="6"/>
        <v>693977</v>
      </c>
    </row>
    <row r="2611" hidden="1">
      <c r="A2611" s="3" t="str">
        <f t="shared" si="3"/>
        <v/>
      </c>
      <c r="B2611" s="2" t="str">
        <f t="array" ref="B2611">INDEX(helper!$A$3:$A3996,ROUNDUP((ROW()-1)/COUNTA(helper!$D$3:$D3996),0))</f>
        <v/>
      </c>
      <c r="C2611" s="5" t="str">
        <f t="array" ref="C2611">IF(B2611="","",INDEX(helper!$D$3:$D3996,MOD(ROW()-2,COUNTA(helper!$D$3:$D3996))+1))</f>
        <v/>
      </c>
      <c r="D2611" s="3" t="str">
        <f t="array" ref="D2611">IF(B2611="","",INDEX(helper!$E$3:$E3996,MOD(ROW()-2,COUNTA(helper!$D$3:$D3996))+1))</f>
        <v/>
      </c>
      <c r="E2611" s="3" t="str">
        <f t="array" ref="E2611">IF(B2611="","",INDEX(helper!$F$3:$F3996,MOD(ROW()-2,COUNTA(helper!$D$3:$D3996))+1))</f>
        <v/>
      </c>
      <c r="F2611" s="3" t="str">
        <f>IF(B2611="","",SUMIFS('inventory ledger'!$H:$H,'inventory ledger'!$C:$C,C2611,'inventory ledger'!$D:$D,D2611,'inventory ledger'!$E:$E,E2611,'inventory ledger'!$A:$A,"&lt;="&amp;B2611+TIME(23,59,59))-SUMIFS('inventory ledger'!$I:$I,'inventory ledger'!$C:$C,C2611,'inventory ledger'!$D:$D,D2611,'inventory ledger'!$E:$E,E2611,'inventory ledger'!$A:$A,"&lt;="&amp;B2611+TIME(23,59,59)))</f>
        <v/>
      </c>
      <c r="G2611" s="3">
        <f>IFERROR(__xludf.DUMMYFUNCTION("IF(F2611&lt;=0,0,IFERROR(ROUNDUP(F2611/INDEX(FILTER('warehouse config'!$D:$D,('warehouse config'!$B:$B=C2611)*('warehouse config'!$C:$C=D2611)*('warehouse config'!$G:$G&lt;=B2611)*(('warehouse config'!$H:$H&gt;=B2611)+ISBLANK('warehouse config'!$H:$H))),1)),0))"),0.0)</f>
        <v>0</v>
      </c>
      <c r="H2611" s="3">
        <f>IFERROR(__xludf.DUMMYFUNCTION("IFERROR(INDEX(FILTER('cost master'!$E:$E,('cost master'!$B:$B=C2611)*('cost master'!$D:$D=""Storage cost per pallet / week"")*('cost master'!$G:$G&lt;=B2611)*(('cost master'!$H:$H&gt;=B2611)+ISBLANK('cost master'!$H:$H))),1),0)"),0.0)</f>
        <v>0</v>
      </c>
      <c r="I2611" s="3">
        <f t="shared" si="4"/>
        <v>0</v>
      </c>
      <c r="J2611" s="27">
        <f t="shared" si="5"/>
        <v>693947</v>
      </c>
      <c r="K2611" s="27">
        <f t="shared" si="6"/>
        <v>693977</v>
      </c>
    </row>
    <row r="2612" hidden="1">
      <c r="A2612" s="3" t="str">
        <f t="shared" si="3"/>
        <v/>
      </c>
      <c r="B2612" s="2" t="str">
        <f t="array" ref="B2612">INDEX(helper!$A$3:$A3996,ROUNDUP((ROW()-1)/COUNTA(helper!$D$3:$D3996),0))</f>
        <v/>
      </c>
      <c r="C2612" s="5" t="str">
        <f t="array" ref="C2612">IF(B2612="","",INDEX(helper!$D$3:$D3996,MOD(ROW()-2,COUNTA(helper!$D$3:$D3996))+1))</f>
        <v/>
      </c>
      <c r="D2612" s="3" t="str">
        <f t="array" ref="D2612">IF(B2612="","",INDEX(helper!$E$3:$E3996,MOD(ROW()-2,COUNTA(helper!$D$3:$D3996))+1))</f>
        <v/>
      </c>
      <c r="E2612" s="3" t="str">
        <f t="array" ref="E2612">IF(B2612="","",INDEX(helper!$F$3:$F3996,MOD(ROW()-2,COUNTA(helper!$D$3:$D3996))+1))</f>
        <v/>
      </c>
      <c r="F2612" s="3" t="str">
        <f>IF(B2612="","",SUMIFS('inventory ledger'!$H:$H,'inventory ledger'!$C:$C,C2612,'inventory ledger'!$D:$D,D2612,'inventory ledger'!$E:$E,E2612,'inventory ledger'!$A:$A,"&lt;="&amp;B2612+TIME(23,59,59))-SUMIFS('inventory ledger'!$I:$I,'inventory ledger'!$C:$C,C2612,'inventory ledger'!$D:$D,D2612,'inventory ledger'!$E:$E,E2612,'inventory ledger'!$A:$A,"&lt;="&amp;B2612+TIME(23,59,59)))</f>
        <v/>
      </c>
      <c r="G2612" s="3">
        <f>IFERROR(__xludf.DUMMYFUNCTION("IF(F2612&lt;=0,0,IFERROR(ROUNDUP(F2612/INDEX(FILTER('warehouse config'!$D:$D,('warehouse config'!$B:$B=C2612)*('warehouse config'!$C:$C=D2612)*('warehouse config'!$G:$G&lt;=B2612)*(('warehouse config'!$H:$H&gt;=B2612)+ISBLANK('warehouse config'!$H:$H))),1)),0))"),0.0)</f>
        <v>0</v>
      </c>
      <c r="H2612" s="3">
        <f>IFERROR(__xludf.DUMMYFUNCTION("IFERROR(INDEX(FILTER('cost master'!$E:$E,('cost master'!$B:$B=C2612)*('cost master'!$D:$D=""Storage cost per pallet / week"")*('cost master'!$G:$G&lt;=B2612)*(('cost master'!$H:$H&gt;=B2612)+ISBLANK('cost master'!$H:$H))),1),0)"),0.0)</f>
        <v>0</v>
      </c>
      <c r="I2612" s="3">
        <f t="shared" si="4"/>
        <v>0</v>
      </c>
      <c r="J2612" s="27">
        <f t="shared" si="5"/>
        <v>693947</v>
      </c>
      <c r="K2612" s="27">
        <f t="shared" si="6"/>
        <v>693977</v>
      </c>
    </row>
    <row r="2613" hidden="1">
      <c r="A2613" s="3" t="str">
        <f t="shared" si="3"/>
        <v/>
      </c>
      <c r="B2613" s="2" t="str">
        <f t="array" ref="B2613">INDEX(helper!$A$3:$A3996,ROUNDUP((ROW()-1)/COUNTA(helper!$D$3:$D3996),0))</f>
        <v/>
      </c>
      <c r="C2613" s="5" t="str">
        <f t="array" ref="C2613">IF(B2613="","",INDEX(helper!$D$3:$D3996,MOD(ROW()-2,COUNTA(helper!$D$3:$D3996))+1))</f>
        <v/>
      </c>
      <c r="D2613" s="3" t="str">
        <f t="array" ref="D2613">IF(B2613="","",INDEX(helper!$E$3:$E3996,MOD(ROW()-2,COUNTA(helper!$D$3:$D3996))+1))</f>
        <v/>
      </c>
      <c r="E2613" s="3" t="str">
        <f t="array" ref="E2613">IF(B2613="","",INDEX(helper!$F$3:$F3996,MOD(ROW()-2,COUNTA(helper!$D$3:$D3996))+1))</f>
        <v/>
      </c>
      <c r="F2613" s="3" t="str">
        <f>IF(B2613="","",SUMIFS('inventory ledger'!$H:$H,'inventory ledger'!$C:$C,C2613,'inventory ledger'!$D:$D,D2613,'inventory ledger'!$E:$E,E2613,'inventory ledger'!$A:$A,"&lt;="&amp;B2613+TIME(23,59,59))-SUMIFS('inventory ledger'!$I:$I,'inventory ledger'!$C:$C,C2613,'inventory ledger'!$D:$D,D2613,'inventory ledger'!$E:$E,E2613,'inventory ledger'!$A:$A,"&lt;="&amp;B2613+TIME(23,59,59)))</f>
        <v/>
      </c>
      <c r="G2613" s="3">
        <f>IFERROR(__xludf.DUMMYFUNCTION("IF(F2613&lt;=0,0,IFERROR(ROUNDUP(F2613/INDEX(FILTER('warehouse config'!$D:$D,('warehouse config'!$B:$B=C2613)*('warehouse config'!$C:$C=D2613)*('warehouse config'!$G:$G&lt;=B2613)*(('warehouse config'!$H:$H&gt;=B2613)+ISBLANK('warehouse config'!$H:$H))),1)),0))"),0.0)</f>
        <v>0</v>
      </c>
      <c r="H2613" s="3">
        <f>IFERROR(__xludf.DUMMYFUNCTION("IFERROR(INDEX(FILTER('cost master'!$E:$E,('cost master'!$B:$B=C2613)*('cost master'!$D:$D=""Storage cost per pallet / week"")*('cost master'!$G:$G&lt;=B2613)*(('cost master'!$H:$H&gt;=B2613)+ISBLANK('cost master'!$H:$H))),1),0)"),0.0)</f>
        <v>0</v>
      </c>
      <c r="I2613" s="3">
        <f t="shared" si="4"/>
        <v>0</v>
      </c>
      <c r="J2613" s="27">
        <f t="shared" si="5"/>
        <v>693947</v>
      </c>
      <c r="K2613" s="27">
        <f t="shared" si="6"/>
        <v>693977</v>
      </c>
    </row>
    <row r="2614" hidden="1">
      <c r="A2614" s="3" t="str">
        <f t="shared" si="3"/>
        <v/>
      </c>
      <c r="B2614" s="2" t="str">
        <f t="array" ref="B2614">INDEX(helper!$A$3:$A3996,ROUNDUP((ROW()-1)/COUNTA(helper!$D$3:$D3996),0))</f>
        <v/>
      </c>
      <c r="C2614" s="5" t="str">
        <f t="array" ref="C2614">IF(B2614="","",INDEX(helper!$D$3:$D3996,MOD(ROW()-2,COUNTA(helper!$D$3:$D3996))+1))</f>
        <v/>
      </c>
      <c r="D2614" s="3" t="str">
        <f t="array" ref="D2614">IF(B2614="","",INDEX(helper!$E$3:$E3996,MOD(ROW()-2,COUNTA(helper!$D$3:$D3996))+1))</f>
        <v/>
      </c>
      <c r="E2614" s="3" t="str">
        <f t="array" ref="E2614">IF(B2614="","",INDEX(helper!$F$3:$F3996,MOD(ROW()-2,COUNTA(helper!$D$3:$D3996))+1))</f>
        <v/>
      </c>
      <c r="F2614" s="3" t="str">
        <f>IF(B2614="","",SUMIFS('inventory ledger'!$H:$H,'inventory ledger'!$C:$C,C2614,'inventory ledger'!$D:$D,D2614,'inventory ledger'!$E:$E,E2614,'inventory ledger'!$A:$A,"&lt;="&amp;B2614+TIME(23,59,59))-SUMIFS('inventory ledger'!$I:$I,'inventory ledger'!$C:$C,C2614,'inventory ledger'!$D:$D,D2614,'inventory ledger'!$E:$E,E2614,'inventory ledger'!$A:$A,"&lt;="&amp;B2614+TIME(23,59,59)))</f>
        <v/>
      </c>
      <c r="G2614" s="3">
        <f>IFERROR(__xludf.DUMMYFUNCTION("IF(F2614&lt;=0,0,IFERROR(ROUNDUP(F2614/INDEX(FILTER('warehouse config'!$D:$D,('warehouse config'!$B:$B=C2614)*('warehouse config'!$C:$C=D2614)*('warehouse config'!$G:$G&lt;=B2614)*(('warehouse config'!$H:$H&gt;=B2614)+ISBLANK('warehouse config'!$H:$H))),1)),0))"),0.0)</f>
        <v>0</v>
      </c>
      <c r="H2614" s="3">
        <f>IFERROR(__xludf.DUMMYFUNCTION("IFERROR(INDEX(FILTER('cost master'!$E:$E,('cost master'!$B:$B=C2614)*('cost master'!$D:$D=""Storage cost per pallet / week"")*('cost master'!$G:$G&lt;=B2614)*(('cost master'!$H:$H&gt;=B2614)+ISBLANK('cost master'!$H:$H))),1),0)"),0.0)</f>
        <v>0</v>
      </c>
      <c r="I2614" s="3">
        <f t="shared" si="4"/>
        <v>0</v>
      </c>
      <c r="J2614" s="27">
        <f t="shared" si="5"/>
        <v>693947</v>
      </c>
      <c r="K2614" s="27">
        <f t="shared" si="6"/>
        <v>693977</v>
      </c>
    </row>
    <row r="2615" hidden="1">
      <c r="A2615" s="3" t="str">
        <f t="shared" si="3"/>
        <v/>
      </c>
      <c r="B2615" s="2" t="str">
        <f t="array" ref="B2615">INDEX(helper!$A$3:$A3996,ROUNDUP((ROW()-1)/COUNTA(helper!$D$3:$D3996),0))</f>
        <v/>
      </c>
      <c r="C2615" s="5" t="str">
        <f t="array" ref="C2615">IF(B2615="","",INDEX(helper!$D$3:$D3996,MOD(ROW()-2,COUNTA(helper!$D$3:$D3996))+1))</f>
        <v/>
      </c>
      <c r="D2615" s="3" t="str">
        <f t="array" ref="D2615">IF(B2615="","",INDEX(helper!$E$3:$E3996,MOD(ROW()-2,COUNTA(helper!$D$3:$D3996))+1))</f>
        <v/>
      </c>
      <c r="E2615" s="3" t="str">
        <f t="array" ref="E2615">IF(B2615="","",INDEX(helper!$F$3:$F3996,MOD(ROW()-2,COUNTA(helper!$D$3:$D3996))+1))</f>
        <v/>
      </c>
      <c r="F2615" s="3" t="str">
        <f>IF(B2615="","",SUMIFS('inventory ledger'!$H:$H,'inventory ledger'!$C:$C,C2615,'inventory ledger'!$D:$D,D2615,'inventory ledger'!$E:$E,E2615,'inventory ledger'!$A:$A,"&lt;="&amp;B2615+TIME(23,59,59))-SUMIFS('inventory ledger'!$I:$I,'inventory ledger'!$C:$C,C2615,'inventory ledger'!$D:$D,D2615,'inventory ledger'!$E:$E,E2615,'inventory ledger'!$A:$A,"&lt;="&amp;B2615+TIME(23,59,59)))</f>
        <v/>
      </c>
      <c r="G2615" s="3">
        <f>IFERROR(__xludf.DUMMYFUNCTION("IF(F2615&lt;=0,0,IFERROR(ROUNDUP(F2615/INDEX(FILTER('warehouse config'!$D:$D,('warehouse config'!$B:$B=C2615)*('warehouse config'!$C:$C=D2615)*('warehouse config'!$G:$G&lt;=B2615)*(('warehouse config'!$H:$H&gt;=B2615)+ISBLANK('warehouse config'!$H:$H))),1)),0))"),0.0)</f>
        <v>0</v>
      </c>
      <c r="H2615" s="3">
        <f>IFERROR(__xludf.DUMMYFUNCTION("IFERROR(INDEX(FILTER('cost master'!$E:$E,('cost master'!$B:$B=C2615)*('cost master'!$D:$D=""Storage cost per pallet / week"")*('cost master'!$G:$G&lt;=B2615)*(('cost master'!$H:$H&gt;=B2615)+ISBLANK('cost master'!$H:$H))),1),0)"),0.0)</f>
        <v>0</v>
      </c>
      <c r="I2615" s="3">
        <f t="shared" si="4"/>
        <v>0</v>
      </c>
      <c r="J2615" s="27">
        <f t="shared" si="5"/>
        <v>693947</v>
      </c>
      <c r="K2615" s="27">
        <f t="shared" si="6"/>
        <v>693977</v>
      </c>
    </row>
    <row r="2616" hidden="1">
      <c r="A2616" s="3" t="str">
        <f t="shared" si="3"/>
        <v/>
      </c>
      <c r="B2616" s="2" t="str">
        <f t="array" ref="B2616">INDEX(helper!$A$3:$A3996,ROUNDUP((ROW()-1)/COUNTA(helper!$D$3:$D3996),0))</f>
        <v/>
      </c>
      <c r="C2616" s="5" t="str">
        <f t="array" ref="C2616">IF(B2616="","",INDEX(helper!$D$3:$D3996,MOD(ROW()-2,COUNTA(helper!$D$3:$D3996))+1))</f>
        <v/>
      </c>
      <c r="D2616" s="3" t="str">
        <f t="array" ref="D2616">IF(B2616="","",INDEX(helper!$E$3:$E3996,MOD(ROW()-2,COUNTA(helper!$D$3:$D3996))+1))</f>
        <v/>
      </c>
      <c r="E2616" s="3" t="str">
        <f t="array" ref="E2616">IF(B2616="","",INDEX(helper!$F$3:$F3996,MOD(ROW()-2,COUNTA(helper!$D$3:$D3996))+1))</f>
        <v/>
      </c>
      <c r="F2616" s="3" t="str">
        <f>IF(B2616="","",SUMIFS('inventory ledger'!$H:$H,'inventory ledger'!$C:$C,C2616,'inventory ledger'!$D:$D,D2616,'inventory ledger'!$E:$E,E2616,'inventory ledger'!$A:$A,"&lt;="&amp;B2616+TIME(23,59,59))-SUMIFS('inventory ledger'!$I:$I,'inventory ledger'!$C:$C,C2616,'inventory ledger'!$D:$D,D2616,'inventory ledger'!$E:$E,E2616,'inventory ledger'!$A:$A,"&lt;="&amp;B2616+TIME(23,59,59)))</f>
        <v/>
      </c>
      <c r="G2616" s="3">
        <f>IFERROR(__xludf.DUMMYFUNCTION("IF(F2616&lt;=0,0,IFERROR(ROUNDUP(F2616/INDEX(FILTER('warehouse config'!$D:$D,('warehouse config'!$B:$B=C2616)*('warehouse config'!$C:$C=D2616)*('warehouse config'!$G:$G&lt;=B2616)*(('warehouse config'!$H:$H&gt;=B2616)+ISBLANK('warehouse config'!$H:$H))),1)),0))"),0.0)</f>
        <v>0</v>
      </c>
      <c r="H2616" s="3">
        <f>IFERROR(__xludf.DUMMYFUNCTION("IFERROR(INDEX(FILTER('cost master'!$E:$E,('cost master'!$B:$B=C2616)*('cost master'!$D:$D=""Storage cost per pallet / week"")*('cost master'!$G:$G&lt;=B2616)*(('cost master'!$H:$H&gt;=B2616)+ISBLANK('cost master'!$H:$H))),1),0)"),0.0)</f>
        <v>0</v>
      </c>
      <c r="I2616" s="3">
        <f t="shared" si="4"/>
        <v>0</v>
      </c>
      <c r="J2616" s="27">
        <f t="shared" si="5"/>
        <v>693947</v>
      </c>
      <c r="K2616" s="27">
        <f t="shared" si="6"/>
        <v>693977</v>
      </c>
    </row>
    <row r="2617" hidden="1">
      <c r="A2617" s="3" t="str">
        <f t="shared" si="3"/>
        <v/>
      </c>
      <c r="B2617" s="2" t="str">
        <f t="array" ref="B2617">INDEX(helper!$A$3:$A3996,ROUNDUP((ROW()-1)/COUNTA(helper!$D$3:$D3996),0))</f>
        <v/>
      </c>
      <c r="C2617" s="5" t="str">
        <f t="array" ref="C2617">IF(B2617="","",INDEX(helper!$D$3:$D3996,MOD(ROW()-2,COUNTA(helper!$D$3:$D3996))+1))</f>
        <v/>
      </c>
      <c r="D2617" s="3" t="str">
        <f t="array" ref="D2617">IF(B2617="","",INDEX(helper!$E$3:$E3996,MOD(ROW()-2,COUNTA(helper!$D$3:$D3996))+1))</f>
        <v/>
      </c>
      <c r="E2617" s="3" t="str">
        <f t="array" ref="E2617">IF(B2617="","",INDEX(helper!$F$3:$F3996,MOD(ROW()-2,COUNTA(helper!$D$3:$D3996))+1))</f>
        <v/>
      </c>
      <c r="F2617" s="3" t="str">
        <f>IF(B2617="","",SUMIFS('inventory ledger'!$H:$H,'inventory ledger'!$C:$C,C2617,'inventory ledger'!$D:$D,D2617,'inventory ledger'!$E:$E,E2617,'inventory ledger'!$A:$A,"&lt;="&amp;B2617+TIME(23,59,59))-SUMIFS('inventory ledger'!$I:$I,'inventory ledger'!$C:$C,C2617,'inventory ledger'!$D:$D,D2617,'inventory ledger'!$E:$E,E2617,'inventory ledger'!$A:$A,"&lt;="&amp;B2617+TIME(23,59,59)))</f>
        <v/>
      </c>
      <c r="G2617" s="3">
        <f>IFERROR(__xludf.DUMMYFUNCTION("IF(F2617&lt;=0,0,IFERROR(ROUNDUP(F2617/INDEX(FILTER('warehouse config'!$D:$D,('warehouse config'!$B:$B=C2617)*('warehouse config'!$C:$C=D2617)*('warehouse config'!$G:$G&lt;=B2617)*(('warehouse config'!$H:$H&gt;=B2617)+ISBLANK('warehouse config'!$H:$H))),1)),0))"),0.0)</f>
        <v>0</v>
      </c>
      <c r="H2617" s="3">
        <f>IFERROR(__xludf.DUMMYFUNCTION("IFERROR(INDEX(FILTER('cost master'!$E:$E,('cost master'!$B:$B=C2617)*('cost master'!$D:$D=""Storage cost per pallet / week"")*('cost master'!$G:$G&lt;=B2617)*(('cost master'!$H:$H&gt;=B2617)+ISBLANK('cost master'!$H:$H))),1),0)"),0.0)</f>
        <v>0</v>
      </c>
      <c r="I2617" s="3">
        <f t="shared" si="4"/>
        <v>0</v>
      </c>
      <c r="J2617" s="27">
        <f t="shared" si="5"/>
        <v>693947</v>
      </c>
      <c r="K2617" s="27">
        <f t="shared" si="6"/>
        <v>693977</v>
      </c>
    </row>
    <row r="2618" hidden="1">
      <c r="A2618" s="3" t="str">
        <f t="shared" si="3"/>
        <v/>
      </c>
      <c r="B2618" s="2" t="str">
        <f t="array" ref="B2618">INDEX(helper!$A$3:$A3996,ROUNDUP((ROW()-1)/COUNTA(helper!$D$3:$D3996),0))</f>
        <v/>
      </c>
      <c r="C2618" s="5" t="str">
        <f t="array" ref="C2618">IF(B2618="","",INDEX(helper!$D$3:$D3996,MOD(ROW()-2,COUNTA(helper!$D$3:$D3996))+1))</f>
        <v/>
      </c>
      <c r="D2618" s="3" t="str">
        <f t="array" ref="D2618">IF(B2618="","",INDEX(helper!$E$3:$E3996,MOD(ROW()-2,COUNTA(helper!$D$3:$D3996))+1))</f>
        <v/>
      </c>
      <c r="E2618" s="3" t="str">
        <f t="array" ref="E2618">IF(B2618="","",INDEX(helper!$F$3:$F3996,MOD(ROW()-2,COUNTA(helper!$D$3:$D3996))+1))</f>
        <v/>
      </c>
      <c r="F2618" s="3" t="str">
        <f>IF(B2618="","",SUMIFS('inventory ledger'!$H:$H,'inventory ledger'!$C:$C,C2618,'inventory ledger'!$D:$D,D2618,'inventory ledger'!$E:$E,E2618,'inventory ledger'!$A:$A,"&lt;="&amp;B2618+TIME(23,59,59))-SUMIFS('inventory ledger'!$I:$I,'inventory ledger'!$C:$C,C2618,'inventory ledger'!$D:$D,D2618,'inventory ledger'!$E:$E,E2618,'inventory ledger'!$A:$A,"&lt;="&amp;B2618+TIME(23,59,59)))</f>
        <v/>
      </c>
      <c r="G2618" s="3">
        <f>IFERROR(__xludf.DUMMYFUNCTION("IF(F2618&lt;=0,0,IFERROR(ROUNDUP(F2618/INDEX(FILTER('warehouse config'!$D:$D,('warehouse config'!$B:$B=C2618)*('warehouse config'!$C:$C=D2618)*('warehouse config'!$G:$G&lt;=B2618)*(('warehouse config'!$H:$H&gt;=B2618)+ISBLANK('warehouse config'!$H:$H))),1)),0))"),0.0)</f>
        <v>0</v>
      </c>
      <c r="H2618" s="3">
        <f>IFERROR(__xludf.DUMMYFUNCTION("IFERROR(INDEX(FILTER('cost master'!$E:$E,('cost master'!$B:$B=C2618)*('cost master'!$D:$D=""Storage cost per pallet / week"")*('cost master'!$G:$G&lt;=B2618)*(('cost master'!$H:$H&gt;=B2618)+ISBLANK('cost master'!$H:$H))),1),0)"),0.0)</f>
        <v>0</v>
      </c>
      <c r="I2618" s="3">
        <f t="shared" si="4"/>
        <v>0</v>
      </c>
      <c r="J2618" s="27">
        <f t="shared" si="5"/>
        <v>693947</v>
      </c>
      <c r="K2618" s="27">
        <f t="shared" si="6"/>
        <v>693977</v>
      </c>
    </row>
    <row r="2619" hidden="1">
      <c r="A2619" s="3" t="str">
        <f t="shared" si="3"/>
        <v/>
      </c>
      <c r="B2619" s="2" t="str">
        <f t="array" ref="B2619">INDEX(helper!$A$3:$A3996,ROUNDUP((ROW()-1)/COUNTA(helper!$D$3:$D3996),0))</f>
        <v/>
      </c>
      <c r="C2619" s="5" t="str">
        <f t="array" ref="C2619">IF(B2619="","",INDEX(helper!$D$3:$D3996,MOD(ROW()-2,COUNTA(helper!$D$3:$D3996))+1))</f>
        <v/>
      </c>
      <c r="D2619" s="3" t="str">
        <f t="array" ref="D2619">IF(B2619="","",INDEX(helper!$E$3:$E3996,MOD(ROW()-2,COUNTA(helper!$D$3:$D3996))+1))</f>
        <v/>
      </c>
      <c r="E2619" s="3" t="str">
        <f t="array" ref="E2619">IF(B2619="","",INDEX(helper!$F$3:$F3996,MOD(ROW()-2,COUNTA(helper!$D$3:$D3996))+1))</f>
        <v/>
      </c>
      <c r="F2619" s="3" t="str">
        <f>IF(B2619="","",SUMIFS('inventory ledger'!$H:$H,'inventory ledger'!$C:$C,C2619,'inventory ledger'!$D:$D,D2619,'inventory ledger'!$E:$E,E2619,'inventory ledger'!$A:$A,"&lt;="&amp;B2619+TIME(23,59,59))-SUMIFS('inventory ledger'!$I:$I,'inventory ledger'!$C:$C,C2619,'inventory ledger'!$D:$D,D2619,'inventory ledger'!$E:$E,E2619,'inventory ledger'!$A:$A,"&lt;="&amp;B2619+TIME(23,59,59)))</f>
        <v/>
      </c>
      <c r="G2619" s="3">
        <f>IFERROR(__xludf.DUMMYFUNCTION("IF(F2619&lt;=0,0,IFERROR(ROUNDUP(F2619/INDEX(FILTER('warehouse config'!$D:$D,('warehouse config'!$B:$B=C2619)*('warehouse config'!$C:$C=D2619)*('warehouse config'!$G:$G&lt;=B2619)*(('warehouse config'!$H:$H&gt;=B2619)+ISBLANK('warehouse config'!$H:$H))),1)),0))"),0.0)</f>
        <v>0</v>
      </c>
      <c r="H2619" s="3">
        <f>IFERROR(__xludf.DUMMYFUNCTION("IFERROR(INDEX(FILTER('cost master'!$E:$E,('cost master'!$B:$B=C2619)*('cost master'!$D:$D=""Storage cost per pallet / week"")*('cost master'!$G:$G&lt;=B2619)*(('cost master'!$H:$H&gt;=B2619)+ISBLANK('cost master'!$H:$H))),1),0)"),0.0)</f>
        <v>0</v>
      </c>
      <c r="I2619" s="3">
        <f t="shared" si="4"/>
        <v>0</v>
      </c>
      <c r="J2619" s="27">
        <f t="shared" si="5"/>
        <v>693947</v>
      </c>
      <c r="K2619" s="27">
        <f t="shared" si="6"/>
        <v>693977</v>
      </c>
    </row>
    <row r="2620" hidden="1">
      <c r="A2620" s="3" t="str">
        <f t="shared" si="3"/>
        <v/>
      </c>
      <c r="B2620" s="2" t="str">
        <f t="array" ref="B2620">INDEX(helper!$A$3:$A3996,ROUNDUP((ROW()-1)/COUNTA(helper!$D$3:$D3996),0))</f>
        <v/>
      </c>
      <c r="C2620" s="5" t="str">
        <f t="array" ref="C2620">IF(B2620="","",INDEX(helper!$D$3:$D3996,MOD(ROW()-2,COUNTA(helper!$D$3:$D3996))+1))</f>
        <v/>
      </c>
      <c r="D2620" s="3" t="str">
        <f t="array" ref="D2620">IF(B2620="","",INDEX(helper!$E$3:$E3996,MOD(ROW()-2,COUNTA(helper!$D$3:$D3996))+1))</f>
        <v/>
      </c>
      <c r="E2620" s="3" t="str">
        <f t="array" ref="E2620">IF(B2620="","",INDEX(helper!$F$3:$F3996,MOD(ROW()-2,COUNTA(helper!$D$3:$D3996))+1))</f>
        <v/>
      </c>
      <c r="F2620" s="3" t="str">
        <f>IF(B2620="","",SUMIFS('inventory ledger'!$H:$H,'inventory ledger'!$C:$C,C2620,'inventory ledger'!$D:$D,D2620,'inventory ledger'!$E:$E,E2620,'inventory ledger'!$A:$A,"&lt;="&amp;B2620+TIME(23,59,59))-SUMIFS('inventory ledger'!$I:$I,'inventory ledger'!$C:$C,C2620,'inventory ledger'!$D:$D,D2620,'inventory ledger'!$E:$E,E2620,'inventory ledger'!$A:$A,"&lt;="&amp;B2620+TIME(23,59,59)))</f>
        <v/>
      </c>
      <c r="G2620" s="3">
        <f>IFERROR(__xludf.DUMMYFUNCTION("IF(F2620&lt;=0,0,IFERROR(ROUNDUP(F2620/INDEX(FILTER('warehouse config'!$D:$D,('warehouse config'!$B:$B=C2620)*('warehouse config'!$C:$C=D2620)*('warehouse config'!$G:$G&lt;=B2620)*(('warehouse config'!$H:$H&gt;=B2620)+ISBLANK('warehouse config'!$H:$H))),1)),0))"),0.0)</f>
        <v>0</v>
      </c>
      <c r="H2620" s="3">
        <f>IFERROR(__xludf.DUMMYFUNCTION("IFERROR(INDEX(FILTER('cost master'!$E:$E,('cost master'!$B:$B=C2620)*('cost master'!$D:$D=""Storage cost per pallet / week"")*('cost master'!$G:$G&lt;=B2620)*(('cost master'!$H:$H&gt;=B2620)+ISBLANK('cost master'!$H:$H))),1),0)"),0.0)</f>
        <v>0</v>
      </c>
      <c r="I2620" s="3">
        <f t="shared" si="4"/>
        <v>0</v>
      </c>
      <c r="J2620" s="27">
        <f t="shared" si="5"/>
        <v>693947</v>
      </c>
      <c r="K2620" s="27">
        <f t="shared" si="6"/>
        <v>693977</v>
      </c>
    </row>
    <row r="2621" hidden="1">
      <c r="A2621" s="3" t="str">
        <f t="shared" si="3"/>
        <v/>
      </c>
      <c r="B2621" s="2" t="str">
        <f t="array" ref="B2621">INDEX(helper!$A$3:$A3996,ROUNDUP((ROW()-1)/COUNTA(helper!$D$3:$D3996),0))</f>
        <v/>
      </c>
      <c r="C2621" s="5" t="str">
        <f t="array" ref="C2621">IF(B2621="","",INDEX(helper!$D$3:$D3996,MOD(ROW()-2,COUNTA(helper!$D$3:$D3996))+1))</f>
        <v/>
      </c>
      <c r="D2621" s="3" t="str">
        <f t="array" ref="D2621">IF(B2621="","",INDEX(helper!$E$3:$E3996,MOD(ROW()-2,COUNTA(helper!$D$3:$D3996))+1))</f>
        <v/>
      </c>
      <c r="E2621" s="3" t="str">
        <f t="array" ref="E2621">IF(B2621="","",INDEX(helper!$F$3:$F3996,MOD(ROW()-2,COUNTA(helper!$D$3:$D3996))+1))</f>
        <v/>
      </c>
      <c r="F2621" s="3" t="str">
        <f>IF(B2621="","",SUMIFS('inventory ledger'!$H:$H,'inventory ledger'!$C:$C,C2621,'inventory ledger'!$D:$D,D2621,'inventory ledger'!$E:$E,E2621,'inventory ledger'!$A:$A,"&lt;="&amp;B2621+TIME(23,59,59))-SUMIFS('inventory ledger'!$I:$I,'inventory ledger'!$C:$C,C2621,'inventory ledger'!$D:$D,D2621,'inventory ledger'!$E:$E,E2621,'inventory ledger'!$A:$A,"&lt;="&amp;B2621+TIME(23,59,59)))</f>
        <v/>
      </c>
      <c r="G2621" s="3">
        <f>IFERROR(__xludf.DUMMYFUNCTION("IF(F2621&lt;=0,0,IFERROR(ROUNDUP(F2621/INDEX(FILTER('warehouse config'!$D:$D,('warehouse config'!$B:$B=C2621)*('warehouse config'!$C:$C=D2621)*('warehouse config'!$G:$G&lt;=B2621)*(('warehouse config'!$H:$H&gt;=B2621)+ISBLANK('warehouse config'!$H:$H))),1)),0))"),0.0)</f>
        <v>0</v>
      </c>
      <c r="H2621" s="3">
        <f>IFERROR(__xludf.DUMMYFUNCTION("IFERROR(INDEX(FILTER('cost master'!$E:$E,('cost master'!$B:$B=C2621)*('cost master'!$D:$D=""Storage cost per pallet / week"")*('cost master'!$G:$G&lt;=B2621)*(('cost master'!$H:$H&gt;=B2621)+ISBLANK('cost master'!$H:$H))),1),0)"),0.0)</f>
        <v>0</v>
      </c>
      <c r="I2621" s="3">
        <f t="shared" si="4"/>
        <v>0</v>
      </c>
      <c r="J2621" s="27">
        <f t="shared" si="5"/>
        <v>693947</v>
      </c>
      <c r="K2621" s="27">
        <f t="shared" si="6"/>
        <v>693977</v>
      </c>
    </row>
    <row r="2622" hidden="1">
      <c r="A2622" s="3" t="str">
        <f t="shared" si="3"/>
        <v/>
      </c>
      <c r="B2622" s="2" t="str">
        <f t="array" ref="B2622">INDEX(helper!$A$3:$A3996,ROUNDUP((ROW()-1)/COUNTA(helper!$D$3:$D3996),0))</f>
        <v/>
      </c>
      <c r="C2622" s="5" t="str">
        <f t="array" ref="C2622">IF(B2622="","",INDEX(helper!$D$3:$D3996,MOD(ROW()-2,COUNTA(helper!$D$3:$D3996))+1))</f>
        <v/>
      </c>
      <c r="D2622" s="3" t="str">
        <f t="array" ref="D2622">IF(B2622="","",INDEX(helper!$E$3:$E3996,MOD(ROW()-2,COUNTA(helper!$D$3:$D3996))+1))</f>
        <v/>
      </c>
      <c r="E2622" s="3" t="str">
        <f t="array" ref="E2622">IF(B2622="","",INDEX(helper!$F$3:$F3996,MOD(ROW()-2,COUNTA(helper!$D$3:$D3996))+1))</f>
        <v/>
      </c>
      <c r="F2622" s="3" t="str">
        <f>IF(B2622="","",SUMIFS('inventory ledger'!$H:$H,'inventory ledger'!$C:$C,C2622,'inventory ledger'!$D:$D,D2622,'inventory ledger'!$E:$E,E2622,'inventory ledger'!$A:$A,"&lt;="&amp;B2622+TIME(23,59,59))-SUMIFS('inventory ledger'!$I:$I,'inventory ledger'!$C:$C,C2622,'inventory ledger'!$D:$D,D2622,'inventory ledger'!$E:$E,E2622,'inventory ledger'!$A:$A,"&lt;="&amp;B2622+TIME(23,59,59)))</f>
        <v/>
      </c>
      <c r="G2622" s="3">
        <f>IFERROR(__xludf.DUMMYFUNCTION("IF(F2622&lt;=0,0,IFERROR(ROUNDUP(F2622/INDEX(FILTER('warehouse config'!$D:$D,('warehouse config'!$B:$B=C2622)*('warehouse config'!$C:$C=D2622)*('warehouse config'!$G:$G&lt;=B2622)*(('warehouse config'!$H:$H&gt;=B2622)+ISBLANK('warehouse config'!$H:$H))),1)),0))"),0.0)</f>
        <v>0</v>
      </c>
      <c r="H2622" s="3">
        <f>IFERROR(__xludf.DUMMYFUNCTION("IFERROR(INDEX(FILTER('cost master'!$E:$E,('cost master'!$B:$B=C2622)*('cost master'!$D:$D=""Storage cost per pallet / week"")*('cost master'!$G:$G&lt;=B2622)*(('cost master'!$H:$H&gt;=B2622)+ISBLANK('cost master'!$H:$H))),1),0)"),0.0)</f>
        <v>0</v>
      </c>
      <c r="I2622" s="3">
        <f t="shared" si="4"/>
        <v>0</v>
      </c>
      <c r="J2622" s="27">
        <f t="shared" si="5"/>
        <v>693947</v>
      </c>
      <c r="K2622" s="27">
        <f t="shared" si="6"/>
        <v>693977</v>
      </c>
    </row>
    <row r="2623" hidden="1">
      <c r="A2623" s="3" t="str">
        <f t="shared" si="3"/>
        <v/>
      </c>
      <c r="B2623" s="2" t="str">
        <f t="array" ref="B2623">INDEX(helper!$A$3:$A3996,ROUNDUP((ROW()-1)/COUNTA(helper!$D$3:$D3996),0))</f>
        <v/>
      </c>
      <c r="C2623" s="5" t="str">
        <f t="array" ref="C2623">IF(B2623="","",INDEX(helper!$D$3:$D3996,MOD(ROW()-2,COUNTA(helper!$D$3:$D3996))+1))</f>
        <v/>
      </c>
      <c r="D2623" s="3" t="str">
        <f t="array" ref="D2623">IF(B2623="","",INDEX(helper!$E$3:$E3996,MOD(ROW()-2,COUNTA(helper!$D$3:$D3996))+1))</f>
        <v/>
      </c>
      <c r="E2623" s="3" t="str">
        <f t="array" ref="E2623">IF(B2623="","",INDEX(helper!$F$3:$F3996,MOD(ROW()-2,COUNTA(helper!$D$3:$D3996))+1))</f>
        <v/>
      </c>
      <c r="F2623" s="3" t="str">
        <f>IF(B2623="","",SUMIFS('inventory ledger'!$H:$H,'inventory ledger'!$C:$C,C2623,'inventory ledger'!$D:$D,D2623,'inventory ledger'!$E:$E,E2623,'inventory ledger'!$A:$A,"&lt;="&amp;B2623+TIME(23,59,59))-SUMIFS('inventory ledger'!$I:$I,'inventory ledger'!$C:$C,C2623,'inventory ledger'!$D:$D,D2623,'inventory ledger'!$E:$E,E2623,'inventory ledger'!$A:$A,"&lt;="&amp;B2623+TIME(23,59,59)))</f>
        <v/>
      </c>
      <c r="G2623" s="3">
        <f>IFERROR(__xludf.DUMMYFUNCTION("IF(F2623&lt;=0,0,IFERROR(ROUNDUP(F2623/INDEX(FILTER('warehouse config'!$D:$D,('warehouse config'!$B:$B=C2623)*('warehouse config'!$C:$C=D2623)*('warehouse config'!$G:$G&lt;=B2623)*(('warehouse config'!$H:$H&gt;=B2623)+ISBLANK('warehouse config'!$H:$H))),1)),0))"),0.0)</f>
        <v>0</v>
      </c>
      <c r="H2623" s="3">
        <f>IFERROR(__xludf.DUMMYFUNCTION("IFERROR(INDEX(FILTER('cost master'!$E:$E,('cost master'!$B:$B=C2623)*('cost master'!$D:$D=""Storage cost per pallet / week"")*('cost master'!$G:$G&lt;=B2623)*(('cost master'!$H:$H&gt;=B2623)+ISBLANK('cost master'!$H:$H))),1),0)"),0.0)</f>
        <v>0</v>
      </c>
      <c r="I2623" s="3">
        <f t="shared" si="4"/>
        <v>0</v>
      </c>
      <c r="J2623" s="27">
        <f t="shared" si="5"/>
        <v>693947</v>
      </c>
      <c r="K2623" s="27">
        <f t="shared" si="6"/>
        <v>693977</v>
      </c>
    </row>
    <row r="2624" hidden="1">
      <c r="A2624" s="3" t="str">
        <f t="shared" si="3"/>
        <v/>
      </c>
      <c r="B2624" s="2" t="str">
        <f t="array" ref="B2624">INDEX(helper!$A$3:$A3996,ROUNDUP((ROW()-1)/COUNTA(helper!$D$3:$D3996),0))</f>
        <v/>
      </c>
      <c r="C2624" s="5" t="str">
        <f t="array" ref="C2624">IF(B2624="","",INDEX(helper!$D$3:$D3996,MOD(ROW()-2,COUNTA(helper!$D$3:$D3996))+1))</f>
        <v/>
      </c>
      <c r="D2624" s="3" t="str">
        <f t="array" ref="D2624">IF(B2624="","",INDEX(helper!$E$3:$E3996,MOD(ROW()-2,COUNTA(helper!$D$3:$D3996))+1))</f>
        <v/>
      </c>
      <c r="E2624" s="3" t="str">
        <f t="array" ref="E2624">IF(B2624="","",INDEX(helper!$F$3:$F3996,MOD(ROW()-2,COUNTA(helper!$D$3:$D3996))+1))</f>
        <v/>
      </c>
      <c r="F2624" s="3" t="str">
        <f>IF(B2624="","",SUMIFS('inventory ledger'!$H:$H,'inventory ledger'!$C:$C,C2624,'inventory ledger'!$D:$D,D2624,'inventory ledger'!$E:$E,E2624,'inventory ledger'!$A:$A,"&lt;="&amp;B2624+TIME(23,59,59))-SUMIFS('inventory ledger'!$I:$I,'inventory ledger'!$C:$C,C2624,'inventory ledger'!$D:$D,D2624,'inventory ledger'!$E:$E,E2624,'inventory ledger'!$A:$A,"&lt;="&amp;B2624+TIME(23,59,59)))</f>
        <v/>
      </c>
      <c r="G2624" s="3">
        <f>IFERROR(__xludf.DUMMYFUNCTION("IF(F2624&lt;=0,0,IFERROR(ROUNDUP(F2624/INDEX(FILTER('warehouse config'!$D:$D,('warehouse config'!$B:$B=C2624)*('warehouse config'!$C:$C=D2624)*('warehouse config'!$G:$G&lt;=B2624)*(('warehouse config'!$H:$H&gt;=B2624)+ISBLANK('warehouse config'!$H:$H))),1)),0))"),0.0)</f>
        <v>0</v>
      </c>
      <c r="H2624" s="3">
        <f>IFERROR(__xludf.DUMMYFUNCTION("IFERROR(INDEX(FILTER('cost master'!$E:$E,('cost master'!$B:$B=C2624)*('cost master'!$D:$D=""Storage cost per pallet / week"")*('cost master'!$G:$G&lt;=B2624)*(('cost master'!$H:$H&gt;=B2624)+ISBLANK('cost master'!$H:$H))),1),0)"),0.0)</f>
        <v>0</v>
      </c>
      <c r="I2624" s="3">
        <f t="shared" si="4"/>
        <v>0</v>
      </c>
      <c r="J2624" s="27">
        <f t="shared" si="5"/>
        <v>693947</v>
      </c>
      <c r="K2624" s="27">
        <f t="shared" si="6"/>
        <v>693977</v>
      </c>
    </row>
    <row r="2625" hidden="1">
      <c r="A2625" s="3" t="str">
        <f t="shared" si="3"/>
        <v/>
      </c>
      <c r="B2625" s="2" t="str">
        <f t="array" ref="B2625">INDEX(helper!$A$3:$A3996,ROUNDUP((ROW()-1)/COUNTA(helper!$D$3:$D3996),0))</f>
        <v/>
      </c>
      <c r="C2625" s="5" t="str">
        <f t="array" ref="C2625">IF(B2625="","",INDEX(helper!$D$3:$D3996,MOD(ROW()-2,COUNTA(helper!$D$3:$D3996))+1))</f>
        <v/>
      </c>
      <c r="D2625" s="3" t="str">
        <f t="array" ref="D2625">IF(B2625="","",INDEX(helper!$E$3:$E3996,MOD(ROW()-2,COUNTA(helper!$D$3:$D3996))+1))</f>
        <v/>
      </c>
      <c r="E2625" s="3" t="str">
        <f t="array" ref="E2625">IF(B2625="","",INDEX(helper!$F$3:$F3996,MOD(ROW()-2,COUNTA(helper!$D$3:$D3996))+1))</f>
        <v/>
      </c>
      <c r="F2625" s="3" t="str">
        <f>IF(B2625="","",SUMIFS('inventory ledger'!$H:$H,'inventory ledger'!$C:$C,C2625,'inventory ledger'!$D:$D,D2625,'inventory ledger'!$E:$E,E2625,'inventory ledger'!$A:$A,"&lt;="&amp;B2625+TIME(23,59,59))-SUMIFS('inventory ledger'!$I:$I,'inventory ledger'!$C:$C,C2625,'inventory ledger'!$D:$D,D2625,'inventory ledger'!$E:$E,E2625,'inventory ledger'!$A:$A,"&lt;="&amp;B2625+TIME(23,59,59)))</f>
        <v/>
      </c>
      <c r="G2625" s="3">
        <f>IFERROR(__xludf.DUMMYFUNCTION("IF(F2625&lt;=0,0,IFERROR(ROUNDUP(F2625/INDEX(FILTER('warehouse config'!$D:$D,('warehouse config'!$B:$B=C2625)*('warehouse config'!$C:$C=D2625)*('warehouse config'!$G:$G&lt;=B2625)*(('warehouse config'!$H:$H&gt;=B2625)+ISBLANK('warehouse config'!$H:$H))),1)),0))"),0.0)</f>
        <v>0</v>
      </c>
      <c r="H2625" s="3">
        <f>IFERROR(__xludf.DUMMYFUNCTION("IFERROR(INDEX(FILTER('cost master'!$E:$E,('cost master'!$B:$B=C2625)*('cost master'!$D:$D=""Storage cost per pallet / week"")*('cost master'!$G:$G&lt;=B2625)*(('cost master'!$H:$H&gt;=B2625)+ISBLANK('cost master'!$H:$H))),1),0)"),0.0)</f>
        <v>0</v>
      </c>
      <c r="I2625" s="3">
        <f t="shared" si="4"/>
        <v>0</v>
      </c>
      <c r="J2625" s="27">
        <f t="shared" si="5"/>
        <v>693947</v>
      </c>
      <c r="K2625" s="27">
        <f t="shared" si="6"/>
        <v>693977</v>
      </c>
    </row>
    <row r="2626" hidden="1">
      <c r="A2626" s="3" t="str">
        <f t="shared" si="3"/>
        <v/>
      </c>
      <c r="B2626" s="2" t="str">
        <f t="array" ref="B2626">INDEX(helper!$A$3:$A3996,ROUNDUP((ROW()-1)/COUNTA(helper!$D$3:$D3996),0))</f>
        <v/>
      </c>
      <c r="C2626" s="5" t="str">
        <f t="array" ref="C2626">IF(B2626="","",INDEX(helper!$D$3:$D3996,MOD(ROW()-2,COUNTA(helper!$D$3:$D3996))+1))</f>
        <v/>
      </c>
      <c r="D2626" s="3" t="str">
        <f t="array" ref="D2626">IF(B2626="","",INDEX(helper!$E$3:$E3996,MOD(ROW()-2,COUNTA(helper!$D$3:$D3996))+1))</f>
        <v/>
      </c>
      <c r="E2626" s="3" t="str">
        <f t="array" ref="E2626">IF(B2626="","",INDEX(helper!$F$3:$F3996,MOD(ROW()-2,COUNTA(helper!$D$3:$D3996))+1))</f>
        <v/>
      </c>
      <c r="F2626" s="3" t="str">
        <f>IF(B2626="","",SUMIFS('inventory ledger'!$H:$H,'inventory ledger'!$C:$C,C2626,'inventory ledger'!$D:$D,D2626,'inventory ledger'!$E:$E,E2626,'inventory ledger'!$A:$A,"&lt;="&amp;B2626+TIME(23,59,59))-SUMIFS('inventory ledger'!$I:$I,'inventory ledger'!$C:$C,C2626,'inventory ledger'!$D:$D,D2626,'inventory ledger'!$E:$E,E2626,'inventory ledger'!$A:$A,"&lt;="&amp;B2626+TIME(23,59,59)))</f>
        <v/>
      </c>
      <c r="G2626" s="3">
        <f>IFERROR(__xludf.DUMMYFUNCTION("IF(F2626&lt;=0,0,IFERROR(ROUNDUP(F2626/INDEX(FILTER('warehouse config'!$D:$D,('warehouse config'!$B:$B=C2626)*('warehouse config'!$C:$C=D2626)*('warehouse config'!$G:$G&lt;=B2626)*(('warehouse config'!$H:$H&gt;=B2626)+ISBLANK('warehouse config'!$H:$H))),1)),0))"),0.0)</f>
        <v>0</v>
      </c>
      <c r="H2626" s="3">
        <f>IFERROR(__xludf.DUMMYFUNCTION("IFERROR(INDEX(FILTER('cost master'!$E:$E,('cost master'!$B:$B=C2626)*('cost master'!$D:$D=""Storage cost per pallet / week"")*('cost master'!$G:$G&lt;=B2626)*(('cost master'!$H:$H&gt;=B2626)+ISBLANK('cost master'!$H:$H))),1),0)"),0.0)</f>
        <v>0</v>
      </c>
      <c r="I2626" s="3">
        <f t="shared" si="4"/>
        <v>0</v>
      </c>
      <c r="J2626" s="27">
        <f t="shared" si="5"/>
        <v>693947</v>
      </c>
      <c r="K2626" s="27">
        <f t="shared" si="6"/>
        <v>693977</v>
      </c>
    </row>
    <row r="2627" hidden="1">
      <c r="A2627" s="3" t="str">
        <f t="shared" si="3"/>
        <v/>
      </c>
      <c r="B2627" s="2" t="str">
        <f t="array" ref="B2627">INDEX(helper!$A$3:$A3996,ROUNDUP((ROW()-1)/COUNTA(helper!$D$3:$D3996),0))</f>
        <v/>
      </c>
      <c r="C2627" s="5" t="str">
        <f t="array" ref="C2627">IF(B2627="","",INDEX(helper!$D$3:$D3996,MOD(ROW()-2,COUNTA(helper!$D$3:$D3996))+1))</f>
        <v/>
      </c>
      <c r="D2627" s="3" t="str">
        <f t="array" ref="D2627">IF(B2627="","",INDEX(helper!$E$3:$E3996,MOD(ROW()-2,COUNTA(helper!$D$3:$D3996))+1))</f>
        <v/>
      </c>
      <c r="E2627" s="3" t="str">
        <f t="array" ref="E2627">IF(B2627="","",INDEX(helper!$F$3:$F3996,MOD(ROW()-2,COUNTA(helper!$D$3:$D3996))+1))</f>
        <v/>
      </c>
      <c r="F2627" s="3" t="str">
        <f>IF(B2627="","",SUMIFS('inventory ledger'!$H:$H,'inventory ledger'!$C:$C,C2627,'inventory ledger'!$D:$D,D2627,'inventory ledger'!$E:$E,E2627,'inventory ledger'!$A:$A,"&lt;="&amp;B2627+TIME(23,59,59))-SUMIFS('inventory ledger'!$I:$I,'inventory ledger'!$C:$C,C2627,'inventory ledger'!$D:$D,D2627,'inventory ledger'!$E:$E,E2627,'inventory ledger'!$A:$A,"&lt;="&amp;B2627+TIME(23,59,59)))</f>
        <v/>
      </c>
      <c r="G2627" s="3">
        <f>IFERROR(__xludf.DUMMYFUNCTION("IF(F2627&lt;=0,0,IFERROR(ROUNDUP(F2627/INDEX(FILTER('warehouse config'!$D:$D,('warehouse config'!$B:$B=C2627)*('warehouse config'!$C:$C=D2627)*('warehouse config'!$G:$G&lt;=B2627)*(('warehouse config'!$H:$H&gt;=B2627)+ISBLANK('warehouse config'!$H:$H))),1)),0))"),0.0)</f>
        <v>0</v>
      </c>
      <c r="H2627" s="3">
        <f>IFERROR(__xludf.DUMMYFUNCTION("IFERROR(INDEX(FILTER('cost master'!$E:$E,('cost master'!$B:$B=C2627)*('cost master'!$D:$D=""Storage cost per pallet / week"")*('cost master'!$G:$G&lt;=B2627)*(('cost master'!$H:$H&gt;=B2627)+ISBLANK('cost master'!$H:$H))),1),0)"),0.0)</f>
        <v>0</v>
      </c>
      <c r="I2627" s="3">
        <f t="shared" si="4"/>
        <v>0</v>
      </c>
      <c r="J2627" s="27">
        <f t="shared" si="5"/>
        <v>693947</v>
      </c>
      <c r="K2627" s="27">
        <f t="shared" si="6"/>
        <v>693977</v>
      </c>
    </row>
    <row r="2628" hidden="1">
      <c r="A2628" s="3" t="str">
        <f t="shared" si="3"/>
        <v/>
      </c>
      <c r="B2628" s="2" t="str">
        <f t="array" ref="B2628">INDEX(helper!$A$3:$A3996,ROUNDUP((ROW()-1)/COUNTA(helper!$D$3:$D3996),0))</f>
        <v/>
      </c>
      <c r="C2628" s="5" t="str">
        <f t="array" ref="C2628">IF(B2628="","",INDEX(helper!$D$3:$D3996,MOD(ROW()-2,COUNTA(helper!$D$3:$D3996))+1))</f>
        <v/>
      </c>
      <c r="D2628" s="3" t="str">
        <f t="array" ref="D2628">IF(B2628="","",INDEX(helper!$E$3:$E3996,MOD(ROW()-2,COUNTA(helper!$D$3:$D3996))+1))</f>
        <v/>
      </c>
      <c r="E2628" s="3" t="str">
        <f t="array" ref="E2628">IF(B2628="","",INDEX(helper!$F$3:$F3996,MOD(ROW()-2,COUNTA(helper!$D$3:$D3996))+1))</f>
        <v/>
      </c>
      <c r="F2628" s="3" t="str">
        <f>IF(B2628="","",SUMIFS('inventory ledger'!$H:$H,'inventory ledger'!$C:$C,C2628,'inventory ledger'!$D:$D,D2628,'inventory ledger'!$E:$E,E2628,'inventory ledger'!$A:$A,"&lt;="&amp;B2628+TIME(23,59,59))-SUMIFS('inventory ledger'!$I:$I,'inventory ledger'!$C:$C,C2628,'inventory ledger'!$D:$D,D2628,'inventory ledger'!$E:$E,E2628,'inventory ledger'!$A:$A,"&lt;="&amp;B2628+TIME(23,59,59)))</f>
        <v/>
      </c>
      <c r="G2628" s="3">
        <f>IFERROR(__xludf.DUMMYFUNCTION("IF(F2628&lt;=0,0,IFERROR(ROUNDUP(F2628/INDEX(FILTER('warehouse config'!$D:$D,('warehouse config'!$B:$B=C2628)*('warehouse config'!$C:$C=D2628)*('warehouse config'!$G:$G&lt;=B2628)*(('warehouse config'!$H:$H&gt;=B2628)+ISBLANK('warehouse config'!$H:$H))),1)),0))"),0.0)</f>
        <v>0</v>
      </c>
      <c r="H2628" s="3">
        <f>IFERROR(__xludf.DUMMYFUNCTION("IFERROR(INDEX(FILTER('cost master'!$E:$E,('cost master'!$B:$B=C2628)*('cost master'!$D:$D=""Storage cost per pallet / week"")*('cost master'!$G:$G&lt;=B2628)*(('cost master'!$H:$H&gt;=B2628)+ISBLANK('cost master'!$H:$H))),1),0)"),0.0)</f>
        <v>0</v>
      </c>
      <c r="I2628" s="3">
        <f t="shared" si="4"/>
        <v>0</v>
      </c>
      <c r="J2628" s="27">
        <f t="shared" si="5"/>
        <v>693947</v>
      </c>
      <c r="K2628" s="27">
        <f t="shared" si="6"/>
        <v>693977</v>
      </c>
    </row>
    <row r="2629" hidden="1">
      <c r="A2629" s="3" t="str">
        <f t="shared" si="3"/>
        <v/>
      </c>
      <c r="B2629" s="2" t="str">
        <f t="array" ref="B2629">INDEX(helper!$A$3:$A3996,ROUNDUP((ROW()-1)/COUNTA(helper!$D$3:$D3996),0))</f>
        <v/>
      </c>
      <c r="C2629" s="5" t="str">
        <f t="array" ref="C2629">IF(B2629="","",INDEX(helper!$D$3:$D3996,MOD(ROW()-2,COUNTA(helper!$D$3:$D3996))+1))</f>
        <v/>
      </c>
      <c r="D2629" s="3" t="str">
        <f t="array" ref="D2629">IF(B2629="","",INDEX(helper!$E$3:$E3996,MOD(ROW()-2,COUNTA(helper!$D$3:$D3996))+1))</f>
        <v/>
      </c>
      <c r="E2629" s="3" t="str">
        <f t="array" ref="E2629">IF(B2629="","",INDEX(helper!$F$3:$F3996,MOD(ROW()-2,COUNTA(helper!$D$3:$D3996))+1))</f>
        <v/>
      </c>
      <c r="F2629" s="3" t="str">
        <f>IF(B2629="","",SUMIFS('inventory ledger'!$H:$H,'inventory ledger'!$C:$C,C2629,'inventory ledger'!$D:$D,D2629,'inventory ledger'!$E:$E,E2629,'inventory ledger'!$A:$A,"&lt;="&amp;B2629+TIME(23,59,59))-SUMIFS('inventory ledger'!$I:$I,'inventory ledger'!$C:$C,C2629,'inventory ledger'!$D:$D,D2629,'inventory ledger'!$E:$E,E2629,'inventory ledger'!$A:$A,"&lt;="&amp;B2629+TIME(23,59,59)))</f>
        <v/>
      </c>
      <c r="G2629" s="3">
        <f>IFERROR(__xludf.DUMMYFUNCTION("IF(F2629&lt;=0,0,IFERROR(ROUNDUP(F2629/INDEX(FILTER('warehouse config'!$D:$D,('warehouse config'!$B:$B=C2629)*('warehouse config'!$C:$C=D2629)*('warehouse config'!$G:$G&lt;=B2629)*(('warehouse config'!$H:$H&gt;=B2629)+ISBLANK('warehouse config'!$H:$H))),1)),0))"),0.0)</f>
        <v>0</v>
      </c>
      <c r="H2629" s="3">
        <f>IFERROR(__xludf.DUMMYFUNCTION("IFERROR(INDEX(FILTER('cost master'!$E:$E,('cost master'!$B:$B=C2629)*('cost master'!$D:$D=""Storage cost per pallet / week"")*('cost master'!$G:$G&lt;=B2629)*(('cost master'!$H:$H&gt;=B2629)+ISBLANK('cost master'!$H:$H))),1),0)"),0.0)</f>
        <v>0</v>
      </c>
      <c r="I2629" s="3">
        <f t="shared" si="4"/>
        <v>0</v>
      </c>
      <c r="J2629" s="27">
        <f t="shared" si="5"/>
        <v>693947</v>
      </c>
      <c r="K2629" s="27">
        <f t="shared" si="6"/>
        <v>693977</v>
      </c>
    </row>
    <row r="2630" hidden="1">
      <c r="A2630" s="3" t="str">
        <f t="shared" si="3"/>
        <v/>
      </c>
      <c r="B2630" s="2" t="str">
        <f t="array" ref="B2630">INDEX(helper!$A$3:$A3996,ROUNDUP((ROW()-1)/COUNTA(helper!$D$3:$D3996),0))</f>
        <v/>
      </c>
      <c r="C2630" s="5" t="str">
        <f t="array" ref="C2630">IF(B2630="","",INDEX(helper!$D$3:$D3996,MOD(ROW()-2,COUNTA(helper!$D$3:$D3996))+1))</f>
        <v/>
      </c>
      <c r="D2630" s="3" t="str">
        <f t="array" ref="D2630">IF(B2630="","",INDEX(helper!$E$3:$E3996,MOD(ROW()-2,COUNTA(helper!$D$3:$D3996))+1))</f>
        <v/>
      </c>
      <c r="E2630" s="3" t="str">
        <f t="array" ref="E2630">IF(B2630="","",INDEX(helper!$F$3:$F3996,MOD(ROW()-2,COUNTA(helper!$D$3:$D3996))+1))</f>
        <v/>
      </c>
      <c r="F2630" s="3" t="str">
        <f>IF(B2630="","",SUMIFS('inventory ledger'!$H:$H,'inventory ledger'!$C:$C,C2630,'inventory ledger'!$D:$D,D2630,'inventory ledger'!$E:$E,E2630,'inventory ledger'!$A:$A,"&lt;="&amp;B2630+TIME(23,59,59))-SUMIFS('inventory ledger'!$I:$I,'inventory ledger'!$C:$C,C2630,'inventory ledger'!$D:$D,D2630,'inventory ledger'!$E:$E,E2630,'inventory ledger'!$A:$A,"&lt;="&amp;B2630+TIME(23,59,59)))</f>
        <v/>
      </c>
      <c r="G2630" s="3">
        <f>IFERROR(__xludf.DUMMYFUNCTION("IF(F2630&lt;=0,0,IFERROR(ROUNDUP(F2630/INDEX(FILTER('warehouse config'!$D:$D,('warehouse config'!$B:$B=C2630)*('warehouse config'!$C:$C=D2630)*('warehouse config'!$G:$G&lt;=B2630)*(('warehouse config'!$H:$H&gt;=B2630)+ISBLANK('warehouse config'!$H:$H))),1)),0))"),0.0)</f>
        <v>0</v>
      </c>
      <c r="H2630" s="3">
        <f>IFERROR(__xludf.DUMMYFUNCTION("IFERROR(INDEX(FILTER('cost master'!$E:$E,('cost master'!$B:$B=C2630)*('cost master'!$D:$D=""Storage cost per pallet / week"")*('cost master'!$G:$G&lt;=B2630)*(('cost master'!$H:$H&gt;=B2630)+ISBLANK('cost master'!$H:$H))),1),0)"),0.0)</f>
        <v>0</v>
      </c>
      <c r="I2630" s="3">
        <f t="shared" si="4"/>
        <v>0</v>
      </c>
      <c r="J2630" s="27">
        <f t="shared" si="5"/>
        <v>693947</v>
      </c>
      <c r="K2630" s="27">
        <f t="shared" si="6"/>
        <v>693977</v>
      </c>
    </row>
    <row r="2631" hidden="1">
      <c r="A2631" s="3" t="str">
        <f t="shared" si="3"/>
        <v/>
      </c>
      <c r="B2631" s="2" t="str">
        <f t="array" ref="B2631">INDEX(helper!$A$3:$A3996,ROUNDUP((ROW()-1)/COUNTA(helper!$D$3:$D3996),0))</f>
        <v/>
      </c>
      <c r="C2631" s="5" t="str">
        <f t="array" ref="C2631">IF(B2631="","",INDEX(helper!$D$3:$D3996,MOD(ROW()-2,COUNTA(helper!$D$3:$D3996))+1))</f>
        <v/>
      </c>
      <c r="D2631" s="3" t="str">
        <f t="array" ref="D2631">IF(B2631="","",INDEX(helper!$E$3:$E3996,MOD(ROW()-2,COUNTA(helper!$D$3:$D3996))+1))</f>
        <v/>
      </c>
      <c r="E2631" s="3" t="str">
        <f t="array" ref="E2631">IF(B2631="","",INDEX(helper!$F$3:$F3996,MOD(ROW()-2,COUNTA(helper!$D$3:$D3996))+1))</f>
        <v/>
      </c>
      <c r="F2631" s="3" t="str">
        <f>IF(B2631="","",SUMIFS('inventory ledger'!$H:$H,'inventory ledger'!$C:$C,C2631,'inventory ledger'!$D:$D,D2631,'inventory ledger'!$E:$E,E2631,'inventory ledger'!$A:$A,"&lt;="&amp;B2631+TIME(23,59,59))-SUMIFS('inventory ledger'!$I:$I,'inventory ledger'!$C:$C,C2631,'inventory ledger'!$D:$D,D2631,'inventory ledger'!$E:$E,E2631,'inventory ledger'!$A:$A,"&lt;="&amp;B2631+TIME(23,59,59)))</f>
        <v/>
      </c>
      <c r="G2631" s="3">
        <f>IFERROR(__xludf.DUMMYFUNCTION("IF(F2631&lt;=0,0,IFERROR(ROUNDUP(F2631/INDEX(FILTER('warehouse config'!$D:$D,('warehouse config'!$B:$B=C2631)*('warehouse config'!$C:$C=D2631)*('warehouse config'!$G:$G&lt;=B2631)*(('warehouse config'!$H:$H&gt;=B2631)+ISBLANK('warehouse config'!$H:$H))),1)),0))"),0.0)</f>
        <v>0</v>
      </c>
      <c r="H2631" s="3">
        <f>IFERROR(__xludf.DUMMYFUNCTION("IFERROR(INDEX(FILTER('cost master'!$E:$E,('cost master'!$B:$B=C2631)*('cost master'!$D:$D=""Storage cost per pallet / week"")*('cost master'!$G:$G&lt;=B2631)*(('cost master'!$H:$H&gt;=B2631)+ISBLANK('cost master'!$H:$H))),1),0)"),0.0)</f>
        <v>0</v>
      </c>
      <c r="I2631" s="3">
        <f t="shared" si="4"/>
        <v>0</v>
      </c>
      <c r="J2631" s="27">
        <f t="shared" si="5"/>
        <v>693947</v>
      </c>
      <c r="K2631" s="27">
        <f t="shared" si="6"/>
        <v>693977</v>
      </c>
    </row>
    <row r="2632" hidden="1">
      <c r="A2632" s="3" t="str">
        <f t="shared" si="3"/>
        <v/>
      </c>
      <c r="B2632" s="2" t="str">
        <f t="array" ref="B2632">INDEX(helper!$A$3:$A3996,ROUNDUP((ROW()-1)/COUNTA(helper!$D$3:$D3996),0))</f>
        <v/>
      </c>
      <c r="C2632" s="5" t="str">
        <f t="array" ref="C2632">IF(B2632="","",INDEX(helper!$D$3:$D3996,MOD(ROW()-2,COUNTA(helper!$D$3:$D3996))+1))</f>
        <v/>
      </c>
      <c r="D2632" s="3" t="str">
        <f t="array" ref="D2632">IF(B2632="","",INDEX(helper!$E$3:$E3996,MOD(ROW()-2,COUNTA(helper!$D$3:$D3996))+1))</f>
        <v/>
      </c>
      <c r="E2632" s="3" t="str">
        <f t="array" ref="E2632">IF(B2632="","",INDEX(helper!$F$3:$F3996,MOD(ROW()-2,COUNTA(helper!$D$3:$D3996))+1))</f>
        <v/>
      </c>
      <c r="F2632" s="3" t="str">
        <f>IF(B2632="","",SUMIFS('inventory ledger'!$H:$H,'inventory ledger'!$C:$C,C2632,'inventory ledger'!$D:$D,D2632,'inventory ledger'!$E:$E,E2632,'inventory ledger'!$A:$A,"&lt;="&amp;B2632+TIME(23,59,59))-SUMIFS('inventory ledger'!$I:$I,'inventory ledger'!$C:$C,C2632,'inventory ledger'!$D:$D,D2632,'inventory ledger'!$E:$E,E2632,'inventory ledger'!$A:$A,"&lt;="&amp;B2632+TIME(23,59,59)))</f>
        <v/>
      </c>
      <c r="G2632" s="3">
        <f>IFERROR(__xludf.DUMMYFUNCTION("IF(F2632&lt;=0,0,IFERROR(ROUNDUP(F2632/INDEX(FILTER('warehouse config'!$D:$D,('warehouse config'!$B:$B=C2632)*('warehouse config'!$C:$C=D2632)*('warehouse config'!$G:$G&lt;=B2632)*(('warehouse config'!$H:$H&gt;=B2632)+ISBLANK('warehouse config'!$H:$H))),1)),0))"),0.0)</f>
        <v>0</v>
      </c>
      <c r="H2632" s="3">
        <f>IFERROR(__xludf.DUMMYFUNCTION("IFERROR(INDEX(FILTER('cost master'!$E:$E,('cost master'!$B:$B=C2632)*('cost master'!$D:$D=""Storage cost per pallet / week"")*('cost master'!$G:$G&lt;=B2632)*(('cost master'!$H:$H&gt;=B2632)+ISBLANK('cost master'!$H:$H))),1),0)"),0.0)</f>
        <v>0</v>
      </c>
      <c r="I2632" s="3">
        <f t="shared" si="4"/>
        <v>0</v>
      </c>
      <c r="J2632" s="27">
        <f t="shared" si="5"/>
        <v>693947</v>
      </c>
      <c r="K2632" s="27">
        <f t="shared" si="6"/>
        <v>693977</v>
      </c>
    </row>
    <row r="2633" hidden="1">
      <c r="A2633" s="3" t="str">
        <f t="shared" si="3"/>
        <v/>
      </c>
      <c r="B2633" s="2" t="str">
        <f t="array" ref="B2633">INDEX(helper!$A$3:$A3996,ROUNDUP((ROW()-1)/COUNTA(helper!$D$3:$D3996),0))</f>
        <v/>
      </c>
      <c r="C2633" s="5" t="str">
        <f t="array" ref="C2633">IF(B2633="","",INDEX(helper!$D$3:$D3996,MOD(ROW()-2,COUNTA(helper!$D$3:$D3996))+1))</f>
        <v/>
      </c>
      <c r="D2633" s="3" t="str">
        <f t="array" ref="D2633">IF(B2633="","",INDEX(helper!$E$3:$E3996,MOD(ROW()-2,COUNTA(helper!$D$3:$D3996))+1))</f>
        <v/>
      </c>
      <c r="E2633" s="3" t="str">
        <f t="array" ref="E2633">IF(B2633="","",INDEX(helper!$F$3:$F3996,MOD(ROW()-2,COUNTA(helper!$D$3:$D3996))+1))</f>
        <v/>
      </c>
      <c r="F2633" s="3" t="str">
        <f>IF(B2633="","",SUMIFS('inventory ledger'!$H:$H,'inventory ledger'!$C:$C,C2633,'inventory ledger'!$D:$D,D2633,'inventory ledger'!$E:$E,E2633,'inventory ledger'!$A:$A,"&lt;="&amp;B2633+TIME(23,59,59))-SUMIFS('inventory ledger'!$I:$I,'inventory ledger'!$C:$C,C2633,'inventory ledger'!$D:$D,D2633,'inventory ledger'!$E:$E,E2633,'inventory ledger'!$A:$A,"&lt;="&amp;B2633+TIME(23,59,59)))</f>
        <v/>
      </c>
      <c r="G2633" s="3">
        <f>IFERROR(__xludf.DUMMYFUNCTION("IF(F2633&lt;=0,0,IFERROR(ROUNDUP(F2633/INDEX(FILTER('warehouse config'!$D:$D,('warehouse config'!$B:$B=C2633)*('warehouse config'!$C:$C=D2633)*('warehouse config'!$G:$G&lt;=B2633)*(('warehouse config'!$H:$H&gt;=B2633)+ISBLANK('warehouse config'!$H:$H))),1)),0))"),0.0)</f>
        <v>0</v>
      </c>
      <c r="H2633" s="3">
        <f>IFERROR(__xludf.DUMMYFUNCTION("IFERROR(INDEX(FILTER('cost master'!$E:$E,('cost master'!$B:$B=C2633)*('cost master'!$D:$D=""Storage cost per pallet / week"")*('cost master'!$G:$G&lt;=B2633)*(('cost master'!$H:$H&gt;=B2633)+ISBLANK('cost master'!$H:$H))),1),0)"),0.0)</f>
        <v>0</v>
      </c>
      <c r="I2633" s="3">
        <f t="shared" si="4"/>
        <v>0</v>
      </c>
      <c r="J2633" s="27">
        <f t="shared" si="5"/>
        <v>693947</v>
      </c>
      <c r="K2633" s="27">
        <f t="shared" si="6"/>
        <v>693977</v>
      </c>
    </row>
    <row r="2634" hidden="1">
      <c r="A2634" s="3" t="str">
        <f t="shared" si="3"/>
        <v/>
      </c>
      <c r="B2634" s="2" t="str">
        <f t="array" ref="B2634">INDEX(helper!$A$3:$A3996,ROUNDUP((ROW()-1)/COUNTA(helper!$D$3:$D3996),0))</f>
        <v/>
      </c>
      <c r="C2634" s="5" t="str">
        <f t="array" ref="C2634">IF(B2634="","",INDEX(helper!$D$3:$D3996,MOD(ROW()-2,COUNTA(helper!$D$3:$D3996))+1))</f>
        <v/>
      </c>
      <c r="D2634" s="3" t="str">
        <f t="array" ref="D2634">IF(B2634="","",INDEX(helper!$E$3:$E3996,MOD(ROW()-2,COUNTA(helper!$D$3:$D3996))+1))</f>
        <v/>
      </c>
      <c r="E2634" s="3" t="str">
        <f t="array" ref="E2634">IF(B2634="","",INDEX(helper!$F$3:$F3996,MOD(ROW()-2,COUNTA(helper!$D$3:$D3996))+1))</f>
        <v/>
      </c>
      <c r="F2634" s="3" t="str">
        <f>IF(B2634="","",SUMIFS('inventory ledger'!$H:$H,'inventory ledger'!$C:$C,C2634,'inventory ledger'!$D:$D,D2634,'inventory ledger'!$E:$E,E2634,'inventory ledger'!$A:$A,"&lt;="&amp;B2634+TIME(23,59,59))-SUMIFS('inventory ledger'!$I:$I,'inventory ledger'!$C:$C,C2634,'inventory ledger'!$D:$D,D2634,'inventory ledger'!$E:$E,E2634,'inventory ledger'!$A:$A,"&lt;="&amp;B2634+TIME(23,59,59)))</f>
        <v/>
      </c>
      <c r="G2634" s="3">
        <f>IFERROR(__xludf.DUMMYFUNCTION("IF(F2634&lt;=0,0,IFERROR(ROUNDUP(F2634/INDEX(FILTER('warehouse config'!$D:$D,('warehouse config'!$B:$B=C2634)*('warehouse config'!$C:$C=D2634)*('warehouse config'!$G:$G&lt;=B2634)*(('warehouse config'!$H:$H&gt;=B2634)+ISBLANK('warehouse config'!$H:$H))),1)),0))"),0.0)</f>
        <v>0</v>
      </c>
      <c r="H2634" s="3">
        <f>IFERROR(__xludf.DUMMYFUNCTION("IFERROR(INDEX(FILTER('cost master'!$E:$E,('cost master'!$B:$B=C2634)*('cost master'!$D:$D=""Storage cost per pallet / week"")*('cost master'!$G:$G&lt;=B2634)*(('cost master'!$H:$H&gt;=B2634)+ISBLANK('cost master'!$H:$H))),1),0)"),0.0)</f>
        <v>0</v>
      </c>
      <c r="I2634" s="3">
        <f t="shared" si="4"/>
        <v>0</v>
      </c>
      <c r="J2634" s="27">
        <f t="shared" si="5"/>
        <v>693947</v>
      </c>
      <c r="K2634" s="27">
        <f t="shared" si="6"/>
        <v>693977</v>
      </c>
    </row>
    <row r="2635" hidden="1">
      <c r="A2635" s="3" t="str">
        <f t="shared" si="3"/>
        <v/>
      </c>
      <c r="B2635" s="2" t="str">
        <f t="array" ref="B2635">INDEX(helper!$A$3:$A3996,ROUNDUP((ROW()-1)/COUNTA(helper!$D$3:$D3996),0))</f>
        <v/>
      </c>
      <c r="C2635" s="5" t="str">
        <f t="array" ref="C2635">IF(B2635="","",INDEX(helper!$D$3:$D3996,MOD(ROW()-2,COUNTA(helper!$D$3:$D3996))+1))</f>
        <v/>
      </c>
      <c r="D2635" s="3" t="str">
        <f t="array" ref="D2635">IF(B2635="","",INDEX(helper!$E$3:$E3996,MOD(ROW()-2,COUNTA(helper!$D$3:$D3996))+1))</f>
        <v/>
      </c>
      <c r="E2635" s="3" t="str">
        <f t="array" ref="E2635">IF(B2635="","",INDEX(helper!$F$3:$F3996,MOD(ROW()-2,COUNTA(helper!$D$3:$D3996))+1))</f>
        <v/>
      </c>
      <c r="F2635" s="3" t="str">
        <f>IF(B2635="","",SUMIFS('inventory ledger'!$H:$H,'inventory ledger'!$C:$C,C2635,'inventory ledger'!$D:$D,D2635,'inventory ledger'!$E:$E,E2635,'inventory ledger'!$A:$A,"&lt;="&amp;B2635+TIME(23,59,59))-SUMIFS('inventory ledger'!$I:$I,'inventory ledger'!$C:$C,C2635,'inventory ledger'!$D:$D,D2635,'inventory ledger'!$E:$E,E2635,'inventory ledger'!$A:$A,"&lt;="&amp;B2635+TIME(23,59,59)))</f>
        <v/>
      </c>
      <c r="G2635" s="3">
        <f>IFERROR(__xludf.DUMMYFUNCTION("IF(F2635&lt;=0,0,IFERROR(ROUNDUP(F2635/INDEX(FILTER('warehouse config'!$D:$D,('warehouse config'!$B:$B=C2635)*('warehouse config'!$C:$C=D2635)*('warehouse config'!$G:$G&lt;=B2635)*(('warehouse config'!$H:$H&gt;=B2635)+ISBLANK('warehouse config'!$H:$H))),1)),0))"),0.0)</f>
        <v>0</v>
      </c>
      <c r="H2635" s="3">
        <f>IFERROR(__xludf.DUMMYFUNCTION("IFERROR(INDEX(FILTER('cost master'!$E:$E,('cost master'!$B:$B=C2635)*('cost master'!$D:$D=""Storage cost per pallet / week"")*('cost master'!$G:$G&lt;=B2635)*(('cost master'!$H:$H&gt;=B2635)+ISBLANK('cost master'!$H:$H))),1),0)"),0.0)</f>
        <v>0</v>
      </c>
      <c r="I2635" s="3">
        <f t="shared" si="4"/>
        <v>0</v>
      </c>
      <c r="J2635" s="27">
        <f t="shared" si="5"/>
        <v>693947</v>
      </c>
      <c r="K2635" s="27">
        <f t="shared" si="6"/>
        <v>693977</v>
      </c>
    </row>
    <row r="2636" hidden="1">
      <c r="A2636" s="3" t="str">
        <f t="shared" si="3"/>
        <v/>
      </c>
      <c r="B2636" s="2" t="str">
        <f t="array" ref="B2636">INDEX(helper!$A$3:$A3996,ROUNDUP((ROW()-1)/COUNTA(helper!$D$3:$D3996),0))</f>
        <v/>
      </c>
      <c r="C2636" s="5" t="str">
        <f t="array" ref="C2636">IF(B2636="","",INDEX(helper!$D$3:$D3996,MOD(ROW()-2,COUNTA(helper!$D$3:$D3996))+1))</f>
        <v/>
      </c>
      <c r="D2636" s="3" t="str">
        <f t="array" ref="D2636">IF(B2636="","",INDEX(helper!$E$3:$E3996,MOD(ROW()-2,COUNTA(helper!$D$3:$D3996))+1))</f>
        <v/>
      </c>
      <c r="E2636" s="3" t="str">
        <f t="array" ref="E2636">IF(B2636="","",INDEX(helper!$F$3:$F3996,MOD(ROW()-2,COUNTA(helper!$D$3:$D3996))+1))</f>
        <v/>
      </c>
      <c r="F2636" s="3" t="str">
        <f>IF(B2636="","",SUMIFS('inventory ledger'!$H:$H,'inventory ledger'!$C:$C,C2636,'inventory ledger'!$D:$D,D2636,'inventory ledger'!$E:$E,E2636,'inventory ledger'!$A:$A,"&lt;="&amp;B2636+TIME(23,59,59))-SUMIFS('inventory ledger'!$I:$I,'inventory ledger'!$C:$C,C2636,'inventory ledger'!$D:$D,D2636,'inventory ledger'!$E:$E,E2636,'inventory ledger'!$A:$A,"&lt;="&amp;B2636+TIME(23,59,59)))</f>
        <v/>
      </c>
      <c r="G2636" s="3">
        <f>IFERROR(__xludf.DUMMYFUNCTION("IF(F2636&lt;=0,0,IFERROR(ROUNDUP(F2636/INDEX(FILTER('warehouse config'!$D:$D,('warehouse config'!$B:$B=C2636)*('warehouse config'!$C:$C=D2636)*('warehouse config'!$G:$G&lt;=B2636)*(('warehouse config'!$H:$H&gt;=B2636)+ISBLANK('warehouse config'!$H:$H))),1)),0))"),0.0)</f>
        <v>0</v>
      </c>
      <c r="H2636" s="3">
        <f>IFERROR(__xludf.DUMMYFUNCTION("IFERROR(INDEX(FILTER('cost master'!$E:$E,('cost master'!$B:$B=C2636)*('cost master'!$D:$D=""Storage cost per pallet / week"")*('cost master'!$G:$G&lt;=B2636)*(('cost master'!$H:$H&gt;=B2636)+ISBLANK('cost master'!$H:$H))),1),0)"),0.0)</f>
        <v>0</v>
      </c>
      <c r="I2636" s="3">
        <f t="shared" si="4"/>
        <v>0</v>
      </c>
      <c r="J2636" s="27">
        <f t="shared" si="5"/>
        <v>693947</v>
      </c>
      <c r="K2636" s="27">
        <f t="shared" si="6"/>
        <v>693977</v>
      </c>
    </row>
    <row r="2637" hidden="1">
      <c r="A2637" s="3" t="str">
        <f t="shared" si="3"/>
        <v/>
      </c>
      <c r="B2637" s="2" t="str">
        <f t="array" ref="B2637">INDEX(helper!$A$3:$A3996,ROUNDUP((ROW()-1)/COUNTA(helper!$D$3:$D3996),0))</f>
        <v/>
      </c>
      <c r="C2637" s="5" t="str">
        <f t="array" ref="C2637">IF(B2637="","",INDEX(helper!$D$3:$D3996,MOD(ROW()-2,COUNTA(helper!$D$3:$D3996))+1))</f>
        <v/>
      </c>
      <c r="D2637" s="3" t="str">
        <f t="array" ref="D2637">IF(B2637="","",INDEX(helper!$E$3:$E3996,MOD(ROW()-2,COUNTA(helper!$D$3:$D3996))+1))</f>
        <v/>
      </c>
      <c r="E2637" s="3" t="str">
        <f t="array" ref="E2637">IF(B2637="","",INDEX(helper!$F$3:$F3996,MOD(ROW()-2,COUNTA(helper!$D$3:$D3996))+1))</f>
        <v/>
      </c>
      <c r="F2637" s="3" t="str">
        <f>IF(B2637="","",SUMIFS('inventory ledger'!$H:$H,'inventory ledger'!$C:$C,C2637,'inventory ledger'!$D:$D,D2637,'inventory ledger'!$E:$E,E2637,'inventory ledger'!$A:$A,"&lt;="&amp;B2637+TIME(23,59,59))-SUMIFS('inventory ledger'!$I:$I,'inventory ledger'!$C:$C,C2637,'inventory ledger'!$D:$D,D2637,'inventory ledger'!$E:$E,E2637,'inventory ledger'!$A:$A,"&lt;="&amp;B2637+TIME(23,59,59)))</f>
        <v/>
      </c>
      <c r="G2637" s="3">
        <f>IFERROR(__xludf.DUMMYFUNCTION("IF(F2637&lt;=0,0,IFERROR(ROUNDUP(F2637/INDEX(FILTER('warehouse config'!$D:$D,('warehouse config'!$B:$B=C2637)*('warehouse config'!$C:$C=D2637)*('warehouse config'!$G:$G&lt;=B2637)*(('warehouse config'!$H:$H&gt;=B2637)+ISBLANK('warehouse config'!$H:$H))),1)),0))"),0.0)</f>
        <v>0</v>
      </c>
      <c r="H2637" s="3">
        <f>IFERROR(__xludf.DUMMYFUNCTION("IFERROR(INDEX(FILTER('cost master'!$E:$E,('cost master'!$B:$B=C2637)*('cost master'!$D:$D=""Storage cost per pallet / week"")*('cost master'!$G:$G&lt;=B2637)*(('cost master'!$H:$H&gt;=B2637)+ISBLANK('cost master'!$H:$H))),1),0)"),0.0)</f>
        <v>0</v>
      </c>
      <c r="I2637" s="3">
        <f t="shared" si="4"/>
        <v>0</v>
      </c>
      <c r="J2637" s="27">
        <f t="shared" si="5"/>
        <v>693947</v>
      </c>
      <c r="K2637" s="27">
        <f t="shared" si="6"/>
        <v>693977</v>
      </c>
    </row>
    <row r="2638" hidden="1">
      <c r="A2638" s="3" t="str">
        <f t="shared" si="3"/>
        <v/>
      </c>
      <c r="B2638" s="2" t="str">
        <f t="array" ref="B2638">INDEX(helper!$A$3:$A3996,ROUNDUP((ROW()-1)/COUNTA(helper!$D$3:$D3996),0))</f>
        <v/>
      </c>
      <c r="C2638" s="5" t="str">
        <f t="array" ref="C2638">IF(B2638="","",INDEX(helper!$D$3:$D3996,MOD(ROW()-2,COUNTA(helper!$D$3:$D3996))+1))</f>
        <v/>
      </c>
      <c r="D2638" s="3" t="str">
        <f t="array" ref="D2638">IF(B2638="","",INDEX(helper!$E$3:$E3996,MOD(ROW()-2,COUNTA(helper!$D$3:$D3996))+1))</f>
        <v/>
      </c>
      <c r="E2638" s="3" t="str">
        <f t="array" ref="E2638">IF(B2638="","",INDEX(helper!$F$3:$F3996,MOD(ROW()-2,COUNTA(helper!$D$3:$D3996))+1))</f>
        <v/>
      </c>
      <c r="F2638" s="3" t="str">
        <f>IF(B2638="","",SUMIFS('inventory ledger'!$H:$H,'inventory ledger'!$C:$C,C2638,'inventory ledger'!$D:$D,D2638,'inventory ledger'!$E:$E,E2638,'inventory ledger'!$A:$A,"&lt;="&amp;B2638+TIME(23,59,59))-SUMIFS('inventory ledger'!$I:$I,'inventory ledger'!$C:$C,C2638,'inventory ledger'!$D:$D,D2638,'inventory ledger'!$E:$E,E2638,'inventory ledger'!$A:$A,"&lt;="&amp;B2638+TIME(23,59,59)))</f>
        <v/>
      </c>
      <c r="G2638" s="3">
        <f>IFERROR(__xludf.DUMMYFUNCTION("IF(F2638&lt;=0,0,IFERROR(ROUNDUP(F2638/INDEX(FILTER('warehouse config'!$D:$D,('warehouse config'!$B:$B=C2638)*('warehouse config'!$C:$C=D2638)*('warehouse config'!$G:$G&lt;=B2638)*(('warehouse config'!$H:$H&gt;=B2638)+ISBLANK('warehouse config'!$H:$H))),1)),0))"),0.0)</f>
        <v>0</v>
      </c>
      <c r="H2638" s="3">
        <f>IFERROR(__xludf.DUMMYFUNCTION("IFERROR(INDEX(FILTER('cost master'!$E:$E,('cost master'!$B:$B=C2638)*('cost master'!$D:$D=""Storage cost per pallet / week"")*('cost master'!$G:$G&lt;=B2638)*(('cost master'!$H:$H&gt;=B2638)+ISBLANK('cost master'!$H:$H))),1),0)"),0.0)</f>
        <v>0</v>
      </c>
      <c r="I2638" s="3">
        <f t="shared" si="4"/>
        <v>0</v>
      </c>
      <c r="J2638" s="27">
        <f t="shared" si="5"/>
        <v>693947</v>
      </c>
      <c r="K2638" s="27">
        <f t="shared" si="6"/>
        <v>693977</v>
      </c>
    </row>
    <row r="2639" hidden="1">
      <c r="A2639" s="3" t="str">
        <f t="shared" si="3"/>
        <v/>
      </c>
      <c r="B2639" s="2" t="str">
        <f t="array" ref="B2639">INDEX(helper!$A$3:$A3996,ROUNDUP((ROW()-1)/COUNTA(helper!$D$3:$D3996),0))</f>
        <v/>
      </c>
      <c r="C2639" s="5" t="str">
        <f t="array" ref="C2639">IF(B2639="","",INDEX(helper!$D$3:$D3996,MOD(ROW()-2,COUNTA(helper!$D$3:$D3996))+1))</f>
        <v/>
      </c>
      <c r="D2639" s="3" t="str">
        <f t="array" ref="D2639">IF(B2639="","",INDEX(helper!$E$3:$E3996,MOD(ROW()-2,COUNTA(helper!$D$3:$D3996))+1))</f>
        <v/>
      </c>
      <c r="E2639" s="3" t="str">
        <f t="array" ref="E2639">IF(B2639="","",INDEX(helper!$F$3:$F3996,MOD(ROW()-2,COUNTA(helper!$D$3:$D3996))+1))</f>
        <v/>
      </c>
      <c r="F2639" s="3" t="str">
        <f>IF(B2639="","",SUMIFS('inventory ledger'!$H:$H,'inventory ledger'!$C:$C,C2639,'inventory ledger'!$D:$D,D2639,'inventory ledger'!$E:$E,E2639,'inventory ledger'!$A:$A,"&lt;="&amp;B2639+TIME(23,59,59))-SUMIFS('inventory ledger'!$I:$I,'inventory ledger'!$C:$C,C2639,'inventory ledger'!$D:$D,D2639,'inventory ledger'!$E:$E,E2639,'inventory ledger'!$A:$A,"&lt;="&amp;B2639+TIME(23,59,59)))</f>
        <v/>
      </c>
      <c r="G2639" s="3">
        <f>IFERROR(__xludf.DUMMYFUNCTION("IF(F2639&lt;=0,0,IFERROR(ROUNDUP(F2639/INDEX(FILTER('warehouse config'!$D:$D,('warehouse config'!$B:$B=C2639)*('warehouse config'!$C:$C=D2639)*('warehouse config'!$G:$G&lt;=B2639)*(('warehouse config'!$H:$H&gt;=B2639)+ISBLANK('warehouse config'!$H:$H))),1)),0))"),0.0)</f>
        <v>0</v>
      </c>
      <c r="H2639" s="3">
        <f>IFERROR(__xludf.DUMMYFUNCTION("IFERROR(INDEX(FILTER('cost master'!$E:$E,('cost master'!$B:$B=C2639)*('cost master'!$D:$D=""Storage cost per pallet / week"")*('cost master'!$G:$G&lt;=B2639)*(('cost master'!$H:$H&gt;=B2639)+ISBLANK('cost master'!$H:$H))),1),0)"),0.0)</f>
        <v>0</v>
      </c>
      <c r="I2639" s="3">
        <f t="shared" si="4"/>
        <v>0</v>
      </c>
      <c r="J2639" s="27">
        <f t="shared" si="5"/>
        <v>693947</v>
      </c>
      <c r="K2639" s="27">
        <f t="shared" si="6"/>
        <v>693977</v>
      </c>
    </row>
    <row r="2640" hidden="1">
      <c r="A2640" s="3" t="str">
        <f t="shared" si="3"/>
        <v/>
      </c>
      <c r="B2640" s="2" t="str">
        <f t="array" ref="B2640">INDEX(helper!$A$3:$A3996,ROUNDUP((ROW()-1)/COUNTA(helper!$D$3:$D3996),0))</f>
        <v/>
      </c>
      <c r="C2640" s="5" t="str">
        <f t="array" ref="C2640">IF(B2640="","",INDEX(helper!$D$3:$D3996,MOD(ROW()-2,COUNTA(helper!$D$3:$D3996))+1))</f>
        <v/>
      </c>
      <c r="D2640" s="3" t="str">
        <f t="array" ref="D2640">IF(B2640="","",INDEX(helper!$E$3:$E3996,MOD(ROW()-2,COUNTA(helper!$D$3:$D3996))+1))</f>
        <v/>
      </c>
      <c r="E2640" s="3" t="str">
        <f t="array" ref="E2640">IF(B2640="","",INDEX(helper!$F$3:$F3996,MOD(ROW()-2,COUNTA(helper!$D$3:$D3996))+1))</f>
        <v/>
      </c>
      <c r="F2640" s="3" t="str">
        <f>IF(B2640="","",SUMIFS('inventory ledger'!$H:$H,'inventory ledger'!$C:$C,C2640,'inventory ledger'!$D:$D,D2640,'inventory ledger'!$E:$E,E2640,'inventory ledger'!$A:$A,"&lt;="&amp;B2640+TIME(23,59,59))-SUMIFS('inventory ledger'!$I:$I,'inventory ledger'!$C:$C,C2640,'inventory ledger'!$D:$D,D2640,'inventory ledger'!$E:$E,E2640,'inventory ledger'!$A:$A,"&lt;="&amp;B2640+TIME(23,59,59)))</f>
        <v/>
      </c>
      <c r="G2640" s="3">
        <f>IFERROR(__xludf.DUMMYFUNCTION("IF(F2640&lt;=0,0,IFERROR(ROUNDUP(F2640/INDEX(FILTER('warehouse config'!$D:$D,('warehouse config'!$B:$B=C2640)*('warehouse config'!$C:$C=D2640)*('warehouse config'!$G:$G&lt;=B2640)*(('warehouse config'!$H:$H&gt;=B2640)+ISBLANK('warehouse config'!$H:$H))),1)),0))"),0.0)</f>
        <v>0</v>
      </c>
      <c r="H2640" s="3">
        <f>IFERROR(__xludf.DUMMYFUNCTION("IFERROR(INDEX(FILTER('cost master'!$E:$E,('cost master'!$B:$B=C2640)*('cost master'!$D:$D=""Storage cost per pallet / week"")*('cost master'!$G:$G&lt;=B2640)*(('cost master'!$H:$H&gt;=B2640)+ISBLANK('cost master'!$H:$H))),1),0)"),0.0)</f>
        <v>0</v>
      </c>
      <c r="I2640" s="3">
        <f t="shared" si="4"/>
        <v>0</v>
      </c>
      <c r="J2640" s="27">
        <f t="shared" si="5"/>
        <v>693947</v>
      </c>
      <c r="K2640" s="27">
        <f t="shared" si="6"/>
        <v>693977</v>
      </c>
    </row>
    <row r="2641" hidden="1">
      <c r="A2641" s="3" t="str">
        <f t="shared" si="3"/>
        <v/>
      </c>
      <c r="B2641" s="2" t="str">
        <f t="array" ref="B2641">INDEX(helper!$A$3:$A3996,ROUNDUP((ROW()-1)/COUNTA(helper!$D$3:$D3996),0))</f>
        <v/>
      </c>
      <c r="C2641" s="5" t="str">
        <f t="array" ref="C2641">IF(B2641="","",INDEX(helper!$D$3:$D3996,MOD(ROW()-2,COUNTA(helper!$D$3:$D3996))+1))</f>
        <v/>
      </c>
      <c r="D2641" s="3" t="str">
        <f t="array" ref="D2641">IF(B2641="","",INDEX(helper!$E$3:$E3996,MOD(ROW()-2,COUNTA(helper!$D$3:$D3996))+1))</f>
        <v/>
      </c>
      <c r="E2641" s="3" t="str">
        <f t="array" ref="E2641">IF(B2641="","",INDEX(helper!$F$3:$F3996,MOD(ROW()-2,COUNTA(helper!$D$3:$D3996))+1))</f>
        <v/>
      </c>
      <c r="F2641" s="3" t="str">
        <f>IF(B2641="","",SUMIFS('inventory ledger'!$H:$H,'inventory ledger'!$C:$C,C2641,'inventory ledger'!$D:$D,D2641,'inventory ledger'!$E:$E,E2641,'inventory ledger'!$A:$A,"&lt;="&amp;B2641+TIME(23,59,59))-SUMIFS('inventory ledger'!$I:$I,'inventory ledger'!$C:$C,C2641,'inventory ledger'!$D:$D,D2641,'inventory ledger'!$E:$E,E2641,'inventory ledger'!$A:$A,"&lt;="&amp;B2641+TIME(23,59,59)))</f>
        <v/>
      </c>
      <c r="G2641" s="3">
        <f>IFERROR(__xludf.DUMMYFUNCTION("IF(F2641&lt;=0,0,IFERROR(ROUNDUP(F2641/INDEX(FILTER('warehouse config'!$D:$D,('warehouse config'!$B:$B=C2641)*('warehouse config'!$C:$C=D2641)*('warehouse config'!$G:$G&lt;=B2641)*(('warehouse config'!$H:$H&gt;=B2641)+ISBLANK('warehouse config'!$H:$H))),1)),0))"),0.0)</f>
        <v>0</v>
      </c>
      <c r="H2641" s="3">
        <f>IFERROR(__xludf.DUMMYFUNCTION("IFERROR(INDEX(FILTER('cost master'!$E:$E,('cost master'!$B:$B=C2641)*('cost master'!$D:$D=""Storage cost per pallet / week"")*('cost master'!$G:$G&lt;=B2641)*(('cost master'!$H:$H&gt;=B2641)+ISBLANK('cost master'!$H:$H))),1),0)"),0.0)</f>
        <v>0</v>
      </c>
      <c r="I2641" s="3">
        <f t="shared" si="4"/>
        <v>0</v>
      </c>
      <c r="J2641" s="27">
        <f t="shared" si="5"/>
        <v>693947</v>
      </c>
      <c r="K2641" s="27">
        <f t="shared" si="6"/>
        <v>693977</v>
      </c>
    </row>
    <row r="2642" hidden="1">
      <c r="A2642" s="3" t="str">
        <f t="shared" si="3"/>
        <v/>
      </c>
      <c r="B2642" s="2" t="str">
        <f t="array" ref="B2642">INDEX(helper!$A$3:$A3996,ROUNDUP((ROW()-1)/COUNTA(helper!$D$3:$D3996),0))</f>
        <v/>
      </c>
      <c r="C2642" s="5" t="str">
        <f t="array" ref="C2642">IF(B2642="","",INDEX(helper!$D$3:$D3996,MOD(ROW()-2,COUNTA(helper!$D$3:$D3996))+1))</f>
        <v/>
      </c>
      <c r="D2642" s="3" t="str">
        <f t="array" ref="D2642">IF(B2642="","",INDEX(helper!$E$3:$E3996,MOD(ROW()-2,COUNTA(helper!$D$3:$D3996))+1))</f>
        <v/>
      </c>
      <c r="E2642" s="3" t="str">
        <f t="array" ref="E2642">IF(B2642="","",INDEX(helper!$F$3:$F3996,MOD(ROW()-2,COUNTA(helper!$D$3:$D3996))+1))</f>
        <v/>
      </c>
      <c r="F2642" s="3" t="str">
        <f>IF(B2642="","",SUMIFS('inventory ledger'!$H:$H,'inventory ledger'!$C:$C,C2642,'inventory ledger'!$D:$D,D2642,'inventory ledger'!$E:$E,E2642,'inventory ledger'!$A:$A,"&lt;="&amp;B2642+TIME(23,59,59))-SUMIFS('inventory ledger'!$I:$I,'inventory ledger'!$C:$C,C2642,'inventory ledger'!$D:$D,D2642,'inventory ledger'!$E:$E,E2642,'inventory ledger'!$A:$A,"&lt;="&amp;B2642+TIME(23,59,59)))</f>
        <v/>
      </c>
      <c r="G2642" s="3">
        <f>IFERROR(__xludf.DUMMYFUNCTION("IF(F2642&lt;=0,0,IFERROR(ROUNDUP(F2642/INDEX(FILTER('warehouse config'!$D:$D,('warehouse config'!$B:$B=C2642)*('warehouse config'!$C:$C=D2642)*('warehouse config'!$G:$G&lt;=B2642)*(('warehouse config'!$H:$H&gt;=B2642)+ISBLANK('warehouse config'!$H:$H))),1)),0))"),0.0)</f>
        <v>0</v>
      </c>
      <c r="H2642" s="3">
        <f>IFERROR(__xludf.DUMMYFUNCTION("IFERROR(INDEX(FILTER('cost master'!$E:$E,('cost master'!$B:$B=C2642)*('cost master'!$D:$D=""Storage cost per pallet / week"")*('cost master'!$G:$G&lt;=B2642)*(('cost master'!$H:$H&gt;=B2642)+ISBLANK('cost master'!$H:$H))),1),0)"),0.0)</f>
        <v>0</v>
      </c>
      <c r="I2642" s="3">
        <f t="shared" si="4"/>
        <v>0</v>
      </c>
      <c r="J2642" s="27">
        <f t="shared" si="5"/>
        <v>693947</v>
      </c>
      <c r="K2642" s="27">
        <f t="shared" si="6"/>
        <v>693977</v>
      </c>
    </row>
    <row r="2643" hidden="1">
      <c r="A2643" s="3" t="str">
        <f t="shared" si="3"/>
        <v/>
      </c>
      <c r="B2643" s="2" t="str">
        <f t="array" ref="B2643">INDEX(helper!$A$3:$A3996,ROUNDUP((ROW()-1)/COUNTA(helper!$D$3:$D3996),0))</f>
        <v/>
      </c>
      <c r="C2643" s="5" t="str">
        <f t="array" ref="C2643">IF(B2643="","",INDEX(helper!$D$3:$D3996,MOD(ROW()-2,COUNTA(helper!$D$3:$D3996))+1))</f>
        <v/>
      </c>
      <c r="D2643" s="3" t="str">
        <f t="array" ref="D2643">IF(B2643="","",INDEX(helper!$E$3:$E3996,MOD(ROW()-2,COUNTA(helper!$D$3:$D3996))+1))</f>
        <v/>
      </c>
      <c r="E2643" s="3" t="str">
        <f t="array" ref="E2643">IF(B2643="","",INDEX(helper!$F$3:$F3996,MOD(ROW()-2,COUNTA(helper!$D$3:$D3996))+1))</f>
        <v/>
      </c>
      <c r="F2643" s="3" t="str">
        <f>IF(B2643="","",SUMIFS('inventory ledger'!$H:$H,'inventory ledger'!$C:$C,C2643,'inventory ledger'!$D:$D,D2643,'inventory ledger'!$E:$E,E2643,'inventory ledger'!$A:$A,"&lt;="&amp;B2643+TIME(23,59,59))-SUMIFS('inventory ledger'!$I:$I,'inventory ledger'!$C:$C,C2643,'inventory ledger'!$D:$D,D2643,'inventory ledger'!$E:$E,E2643,'inventory ledger'!$A:$A,"&lt;="&amp;B2643+TIME(23,59,59)))</f>
        <v/>
      </c>
      <c r="G2643" s="3">
        <f>IFERROR(__xludf.DUMMYFUNCTION("IF(F2643&lt;=0,0,IFERROR(ROUNDUP(F2643/INDEX(FILTER('warehouse config'!$D:$D,('warehouse config'!$B:$B=C2643)*('warehouse config'!$C:$C=D2643)*('warehouse config'!$G:$G&lt;=B2643)*(('warehouse config'!$H:$H&gt;=B2643)+ISBLANK('warehouse config'!$H:$H))),1)),0))"),0.0)</f>
        <v>0</v>
      </c>
      <c r="H2643" s="3">
        <f>IFERROR(__xludf.DUMMYFUNCTION("IFERROR(INDEX(FILTER('cost master'!$E:$E,('cost master'!$B:$B=C2643)*('cost master'!$D:$D=""Storage cost per pallet / week"")*('cost master'!$G:$G&lt;=B2643)*(('cost master'!$H:$H&gt;=B2643)+ISBLANK('cost master'!$H:$H))),1),0)"),0.0)</f>
        <v>0</v>
      </c>
      <c r="I2643" s="3">
        <f t="shared" si="4"/>
        <v>0</v>
      </c>
      <c r="J2643" s="27">
        <f t="shared" si="5"/>
        <v>693947</v>
      </c>
      <c r="K2643" s="27">
        <f t="shared" si="6"/>
        <v>693977</v>
      </c>
    </row>
    <row r="2644" hidden="1">
      <c r="A2644" s="3" t="str">
        <f t="shared" si="3"/>
        <v/>
      </c>
      <c r="B2644" s="2" t="str">
        <f t="array" ref="B2644">INDEX(helper!$A$3:$A3996,ROUNDUP((ROW()-1)/COUNTA(helper!$D$3:$D3996),0))</f>
        <v/>
      </c>
      <c r="C2644" s="5" t="str">
        <f t="array" ref="C2644">IF(B2644="","",INDEX(helper!$D$3:$D3996,MOD(ROW()-2,COUNTA(helper!$D$3:$D3996))+1))</f>
        <v/>
      </c>
      <c r="D2644" s="3" t="str">
        <f t="array" ref="D2644">IF(B2644="","",INDEX(helper!$E$3:$E3996,MOD(ROW()-2,COUNTA(helper!$D$3:$D3996))+1))</f>
        <v/>
      </c>
      <c r="E2644" s="3" t="str">
        <f t="array" ref="E2644">IF(B2644="","",INDEX(helper!$F$3:$F3996,MOD(ROW()-2,COUNTA(helper!$D$3:$D3996))+1))</f>
        <v/>
      </c>
      <c r="F2644" s="3" t="str">
        <f>IF(B2644="","",SUMIFS('inventory ledger'!$H:$H,'inventory ledger'!$C:$C,C2644,'inventory ledger'!$D:$D,D2644,'inventory ledger'!$E:$E,E2644,'inventory ledger'!$A:$A,"&lt;="&amp;B2644+TIME(23,59,59))-SUMIFS('inventory ledger'!$I:$I,'inventory ledger'!$C:$C,C2644,'inventory ledger'!$D:$D,D2644,'inventory ledger'!$E:$E,E2644,'inventory ledger'!$A:$A,"&lt;="&amp;B2644+TIME(23,59,59)))</f>
        <v/>
      </c>
      <c r="G2644" s="3">
        <f>IFERROR(__xludf.DUMMYFUNCTION("IF(F2644&lt;=0,0,IFERROR(ROUNDUP(F2644/INDEX(FILTER('warehouse config'!$D:$D,('warehouse config'!$B:$B=C2644)*('warehouse config'!$C:$C=D2644)*('warehouse config'!$G:$G&lt;=B2644)*(('warehouse config'!$H:$H&gt;=B2644)+ISBLANK('warehouse config'!$H:$H))),1)),0))"),0.0)</f>
        <v>0</v>
      </c>
      <c r="H2644" s="3">
        <f>IFERROR(__xludf.DUMMYFUNCTION("IFERROR(INDEX(FILTER('cost master'!$E:$E,('cost master'!$B:$B=C2644)*('cost master'!$D:$D=""Storage cost per pallet / week"")*('cost master'!$G:$G&lt;=B2644)*(('cost master'!$H:$H&gt;=B2644)+ISBLANK('cost master'!$H:$H))),1),0)"),0.0)</f>
        <v>0</v>
      </c>
      <c r="I2644" s="3">
        <f t="shared" si="4"/>
        <v>0</v>
      </c>
      <c r="J2644" s="27">
        <f t="shared" si="5"/>
        <v>693947</v>
      </c>
      <c r="K2644" s="27">
        <f t="shared" si="6"/>
        <v>693977</v>
      </c>
    </row>
    <row r="2645" hidden="1">
      <c r="A2645" s="3" t="str">
        <f t="shared" si="3"/>
        <v/>
      </c>
      <c r="B2645" s="2" t="str">
        <f t="array" ref="B2645">INDEX(helper!$A$3:$A3996,ROUNDUP((ROW()-1)/COUNTA(helper!$D$3:$D3996),0))</f>
        <v/>
      </c>
      <c r="C2645" s="5" t="str">
        <f t="array" ref="C2645">IF(B2645="","",INDEX(helper!$D$3:$D3996,MOD(ROW()-2,COUNTA(helper!$D$3:$D3996))+1))</f>
        <v/>
      </c>
      <c r="D2645" s="3" t="str">
        <f t="array" ref="D2645">IF(B2645="","",INDEX(helper!$E$3:$E3996,MOD(ROW()-2,COUNTA(helper!$D$3:$D3996))+1))</f>
        <v/>
      </c>
      <c r="E2645" s="3" t="str">
        <f t="array" ref="E2645">IF(B2645="","",INDEX(helper!$F$3:$F3996,MOD(ROW()-2,COUNTA(helper!$D$3:$D3996))+1))</f>
        <v/>
      </c>
      <c r="F2645" s="3" t="str">
        <f>IF(B2645="","",SUMIFS('inventory ledger'!$H:$H,'inventory ledger'!$C:$C,C2645,'inventory ledger'!$D:$D,D2645,'inventory ledger'!$E:$E,E2645,'inventory ledger'!$A:$A,"&lt;="&amp;B2645+TIME(23,59,59))-SUMIFS('inventory ledger'!$I:$I,'inventory ledger'!$C:$C,C2645,'inventory ledger'!$D:$D,D2645,'inventory ledger'!$E:$E,E2645,'inventory ledger'!$A:$A,"&lt;="&amp;B2645+TIME(23,59,59)))</f>
        <v/>
      </c>
      <c r="G2645" s="3">
        <f>IFERROR(__xludf.DUMMYFUNCTION("IF(F2645&lt;=0,0,IFERROR(ROUNDUP(F2645/INDEX(FILTER('warehouse config'!$D:$D,('warehouse config'!$B:$B=C2645)*('warehouse config'!$C:$C=D2645)*('warehouse config'!$G:$G&lt;=B2645)*(('warehouse config'!$H:$H&gt;=B2645)+ISBLANK('warehouse config'!$H:$H))),1)),0))"),0.0)</f>
        <v>0</v>
      </c>
      <c r="H2645" s="3">
        <f>IFERROR(__xludf.DUMMYFUNCTION("IFERROR(INDEX(FILTER('cost master'!$E:$E,('cost master'!$B:$B=C2645)*('cost master'!$D:$D=""Storage cost per pallet / week"")*('cost master'!$G:$G&lt;=B2645)*(('cost master'!$H:$H&gt;=B2645)+ISBLANK('cost master'!$H:$H))),1),0)"),0.0)</f>
        <v>0</v>
      </c>
      <c r="I2645" s="3">
        <f t="shared" si="4"/>
        <v>0</v>
      </c>
      <c r="J2645" s="27">
        <f t="shared" si="5"/>
        <v>693947</v>
      </c>
      <c r="K2645" s="27">
        <f t="shared" si="6"/>
        <v>693977</v>
      </c>
    </row>
    <row r="2646" hidden="1">
      <c r="A2646" s="3" t="str">
        <f t="shared" si="3"/>
        <v/>
      </c>
      <c r="B2646" s="2" t="str">
        <f t="array" ref="B2646">INDEX(helper!$A$3:$A3996,ROUNDUP((ROW()-1)/COUNTA(helper!$D$3:$D3996),0))</f>
        <v/>
      </c>
      <c r="C2646" s="5" t="str">
        <f t="array" ref="C2646">IF(B2646="","",INDEX(helper!$D$3:$D3996,MOD(ROW()-2,COUNTA(helper!$D$3:$D3996))+1))</f>
        <v/>
      </c>
      <c r="D2646" s="3" t="str">
        <f t="array" ref="D2646">IF(B2646="","",INDEX(helper!$E$3:$E3996,MOD(ROW()-2,COUNTA(helper!$D$3:$D3996))+1))</f>
        <v/>
      </c>
      <c r="E2646" s="3" t="str">
        <f t="array" ref="E2646">IF(B2646="","",INDEX(helper!$F$3:$F3996,MOD(ROW()-2,COUNTA(helper!$D$3:$D3996))+1))</f>
        <v/>
      </c>
      <c r="F2646" s="3" t="str">
        <f>IF(B2646="","",SUMIFS('inventory ledger'!$H:$H,'inventory ledger'!$C:$C,C2646,'inventory ledger'!$D:$D,D2646,'inventory ledger'!$E:$E,E2646,'inventory ledger'!$A:$A,"&lt;="&amp;B2646+TIME(23,59,59))-SUMIFS('inventory ledger'!$I:$I,'inventory ledger'!$C:$C,C2646,'inventory ledger'!$D:$D,D2646,'inventory ledger'!$E:$E,E2646,'inventory ledger'!$A:$A,"&lt;="&amp;B2646+TIME(23,59,59)))</f>
        <v/>
      </c>
      <c r="G2646" s="3">
        <f>IFERROR(__xludf.DUMMYFUNCTION("IF(F2646&lt;=0,0,IFERROR(ROUNDUP(F2646/INDEX(FILTER('warehouse config'!$D:$D,('warehouse config'!$B:$B=C2646)*('warehouse config'!$C:$C=D2646)*('warehouse config'!$G:$G&lt;=B2646)*(('warehouse config'!$H:$H&gt;=B2646)+ISBLANK('warehouse config'!$H:$H))),1)),0))"),0.0)</f>
        <v>0</v>
      </c>
      <c r="H2646" s="3">
        <f>IFERROR(__xludf.DUMMYFUNCTION("IFERROR(INDEX(FILTER('cost master'!$E:$E,('cost master'!$B:$B=C2646)*('cost master'!$D:$D=""Storage cost per pallet / week"")*('cost master'!$G:$G&lt;=B2646)*(('cost master'!$H:$H&gt;=B2646)+ISBLANK('cost master'!$H:$H))),1),0)"),0.0)</f>
        <v>0</v>
      </c>
      <c r="I2646" s="3">
        <f t="shared" si="4"/>
        <v>0</v>
      </c>
      <c r="J2646" s="27">
        <f t="shared" si="5"/>
        <v>693947</v>
      </c>
      <c r="K2646" s="27">
        <f t="shared" si="6"/>
        <v>693977</v>
      </c>
    </row>
    <row r="2647" hidden="1">
      <c r="A2647" s="3" t="str">
        <f t="shared" si="3"/>
        <v/>
      </c>
      <c r="B2647" s="2" t="str">
        <f t="array" ref="B2647">INDEX(helper!$A$3:$A3996,ROUNDUP((ROW()-1)/COUNTA(helper!$D$3:$D3996),0))</f>
        <v/>
      </c>
      <c r="C2647" s="5" t="str">
        <f t="array" ref="C2647">IF(B2647="","",INDEX(helper!$D$3:$D3996,MOD(ROW()-2,COUNTA(helper!$D$3:$D3996))+1))</f>
        <v/>
      </c>
      <c r="D2647" s="3" t="str">
        <f t="array" ref="D2647">IF(B2647="","",INDEX(helper!$E$3:$E3996,MOD(ROW()-2,COUNTA(helper!$D$3:$D3996))+1))</f>
        <v/>
      </c>
      <c r="E2647" s="3" t="str">
        <f t="array" ref="E2647">IF(B2647="","",INDEX(helper!$F$3:$F3996,MOD(ROW()-2,COUNTA(helper!$D$3:$D3996))+1))</f>
        <v/>
      </c>
      <c r="F2647" s="3" t="str">
        <f>IF(B2647="","",SUMIFS('inventory ledger'!$H:$H,'inventory ledger'!$C:$C,C2647,'inventory ledger'!$D:$D,D2647,'inventory ledger'!$E:$E,E2647,'inventory ledger'!$A:$A,"&lt;="&amp;B2647+TIME(23,59,59))-SUMIFS('inventory ledger'!$I:$I,'inventory ledger'!$C:$C,C2647,'inventory ledger'!$D:$D,D2647,'inventory ledger'!$E:$E,E2647,'inventory ledger'!$A:$A,"&lt;="&amp;B2647+TIME(23,59,59)))</f>
        <v/>
      </c>
      <c r="G2647" s="3">
        <f>IFERROR(__xludf.DUMMYFUNCTION("IF(F2647&lt;=0,0,IFERROR(ROUNDUP(F2647/INDEX(FILTER('warehouse config'!$D:$D,('warehouse config'!$B:$B=C2647)*('warehouse config'!$C:$C=D2647)*('warehouse config'!$G:$G&lt;=B2647)*(('warehouse config'!$H:$H&gt;=B2647)+ISBLANK('warehouse config'!$H:$H))),1)),0))"),0.0)</f>
        <v>0</v>
      </c>
      <c r="H2647" s="3">
        <f>IFERROR(__xludf.DUMMYFUNCTION("IFERROR(INDEX(FILTER('cost master'!$E:$E,('cost master'!$B:$B=C2647)*('cost master'!$D:$D=""Storage cost per pallet / week"")*('cost master'!$G:$G&lt;=B2647)*(('cost master'!$H:$H&gt;=B2647)+ISBLANK('cost master'!$H:$H))),1),0)"),0.0)</f>
        <v>0</v>
      </c>
      <c r="I2647" s="3">
        <f t="shared" si="4"/>
        <v>0</v>
      </c>
      <c r="J2647" s="27">
        <f t="shared" si="5"/>
        <v>693947</v>
      </c>
      <c r="K2647" s="27">
        <f t="shared" si="6"/>
        <v>693977</v>
      </c>
    </row>
    <row r="2648" hidden="1">
      <c r="A2648" s="3" t="str">
        <f t="shared" si="3"/>
        <v/>
      </c>
      <c r="B2648" s="2" t="str">
        <f t="array" ref="B2648">INDEX(helper!$A$3:$A3996,ROUNDUP((ROW()-1)/COUNTA(helper!$D$3:$D3996),0))</f>
        <v/>
      </c>
      <c r="C2648" s="5" t="str">
        <f t="array" ref="C2648">IF(B2648="","",INDEX(helper!$D$3:$D3996,MOD(ROW()-2,COUNTA(helper!$D$3:$D3996))+1))</f>
        <v/>
      </c>
      <c r="D2648" s="3" t="str">
        <f t="array" ref="D2648">IF(B2648="","",INDEX(helper!$E$3:$E3996,MOD(ROW()-2,COUNTA(helper!$D$3:$D3996))+1))</f>
        <v/>
      </c>
      <c r="E2648" s="3" t="str">
        <f t="array" ref="E2648">IF(B2648="","",INDEX(helper!$F$3:$F3996,MOD(ROW()-2,COUNTA(helper!$D$3:$D3996))+1))</f>
        <v/>
      </c>
      <c r="F2648" s="3" t="str">
        <f>IF(B2648="","",SUMIFS('inventory ledger'!$H:$H,'inventory ledger'!$C:$C,C2648,'inventory ledger'!$D:$D,D2648,'inventory ledger'!$E:$E,E2648,'inventory ledger'!$A:$A,"&lt;="&amp;B2648+TIME(23,59,59))-SUMIFS('inventory ledger'!$I:$I,'inventory ledger'!$C:$C,C2648,'inventory ledger'!$D:$D,D2648,'inventory ledger'!$E:$E,E2648,'inventory ledger'!$A:$A,"&lt;="&amp;B2648+TIME(23,59,59)))</f>
        <v/>
      </c>
      <c r="G2648" s="3">
        <f>IFERROR(__xludf.DUMMYFUNCTION("IF(F2648&lt;=0,0,IFERROR(ROUNDUP(F2648/INDEX(FILTER('warehouse config'!$D:$D,('warehouse config'!$B:$B=C2648)*('warehouse config'!$C:$C=D2648)*('warehouse config'!$G:$G&lt;=B2648)*(('warehouse config'!$H:$H&gt;=B2648)+ISBLANK('warehouse config'!$H:$H))),1)),0))"),0.0)</f>
        <v>0</v>
      </c>
      <c r="H2648" s="3">
        <f>IFERROR(__xludf.DUMMYFUNCTION("IFERROR(INDEX(FILTER('cost master'!$E:$E,('cost master'!$B:$B=C2648)*('cost master'!$D:$D=""Storage cost per pallet / week"")*('cost master'!$G:$G&lt;=B2648)*(('cost master'!$H:$H&gt;=B2648)+ISBLANK('cost master'!$H:$H))),1),0)"),0.0)</f>
        <v>0</v>
      </c>
      <c r="I2648" s="3">
        <f t="shared" si="4"/>
        <v>0</v>
      </c>
      <c r="J2648" s="27">
        <f t="shared" si="5"/>
        <v>693947</v>
      </c>
      <c r="K2648" s="27">
        <f t="shared" si="6"/>
        <v>693977</v>
      </c>
    </row>
    <row r="2649" hidden="1">
      <c r="A2649" s="3" t="str">
        <f t="shared" si="3"/>
        <v/>
      </c>
      <c r="B2649" s="2" t="str">
        <f t="array" ref="B2649">INDEX(helper!$A$3:$A3996,ROUNDUP((ROW()-1)/COUNTA(helper!$D$3:$D3996),0))</f>
        <v/>
      </c>
      <c r="C2649" s="5" t="str">
        <f t="array" ref="C2649">IF(B2649="","",INDEX(helper!$D$3:$D3996,MOD(ROW()-2,COUNTA(helper!$D$3:$D3996))+1))</f>
        <v/>
      </c>
      <c r="D2649" s="3" t="str">
        <f t="array" ref="D2649">IF(B2649="","",INDEX(helper!$E$3:$E3996,MOD(ROW()-2,COUNTA(helper!$D$3:$D3996))+1))</f>
        <v/>
      </c>
      <c r="E2649" s="3" t="str">
        <f t="array" ref="E2649">IF(B2649="","",INDEX(helper!$F$3:$F3996,MOD(ROW()-2,COUNTA(helper!$D$3:$D3996))+1))</f>
        <v/>
      </c>
      <c r="F2649" s="3" t="str">
        <f>IF(B2649="","",SUMIFS('inventory ledger'!$H:$H,'inventory ledger'!$C:$C,C2649,'inventory ledger'!$D:$D,D2649,'inventory ledger'!$E:$E,E2649,'inventory ledger'!$A:$A,"&lt;="&amp;B2649+TIME(23,59,59))-SUMIFS('inventory ledger'!$I:$I,'inventory ledger'!$C:$C,C2649,'inventory ledger'!$D:$D,D2649,'inventory ledger'!$E:$E,E2649,'inventory ledger'!$A:$A,"&lt;="&amp;B2649+TIME(23,59,59)))</f>
        <v/>
      </c>
      <c r="G2649" s="3">
        <f>IFERROR(__xludf.DUMMYFUNCTION("IF(F2649&lt;=0,0,IFERROR(ROUNDUP(F2649/INDEX(FILTER('warehouse config'!$D:$D,('warehouse config'!$B:$B=C2649)*('warehouse config'!$C:$C=D2649)*('warehouse config'!$G:$G&lt;=B2649)*(('warehouse config'!$H:$H&gt;=B2649)+ISBLANK('warehouse config'!$H:$H))),1)),0))"),0.0)</f>
        <v>0</v>
      </c>
      <c r="H2649" s="3">
        <f>IFERROR(__xludf.DUMMYFUNCTION("IFERROR(INDEX(FILTER('cost master'!$E:$E,('cost master'!$B:$B=C2649)*('cost master'!$D:$D=""Storage cost per pallet / week"")*('cost master'!$G:$G&lt;=B2649)*(('cost master'!$H:$H&gt;=B2649)+ISBLANK('cost master'!$H:$H))),1),0)"),0.0)</f>
        <v>0</v>
      </c>
      <c r="I2649" s="3">
        <f t="shared" si="4"/>
        <v>0</v>
      </c>
      <c r="J2649" s="27">
        <f t="shared" si="5"/>
        <v>693947</v>
      </c>
      <c r="K2649" s="27">
        <f t="shared" si="6"/>
        <v>693977</v>
      </c>
    </row>
    <row r="2650" hidden="1">
      <c r="A2650" s="3" t="str">
        <f t="shared" si="3"/>
        <v/>
      </c>
      <c r="B2650" s="2" t="str">
        <f t="array" ref="B2650">INDEX(helper!$A$3:$A3996,ROUNDUP((ROW()-1)/COUNTA(helper!$D$3:$D3996),0))</f>
        <v/>
      </c>
      <c r="C2650" s="5" t="str">
        <f t="array" ref="C2650">IF(B2650="","",INDEX(helper!$D$3:$D3996,MOD(ROW()-2,COUNTA(helper!$D$3:$D3996))+1))</f>
        <v/>
      </c>
      <c r="D2650" s="3" t="str">
        <f t="array" ref="D2650">IF(B2650="","",INDEX(helper!$E$3:$E3996,MOD(ROW()-2,COUNTA(helper!$D$3:$D3996))+1))</f>
        <v/>
      </c>
      <c r="E2650" s="3" t="str">
        <f t="array" ref="E2650">IF(B2650="","",INDEX(helper!$F$3:$F3996,MOD(ROW()-2,COUNTA(helper!$D$3:$D3996))+1))</f>
        <v/>
      </c>
      <c r="F2650" s="3" t="str">
        <f>IF(B2650="","",SUMIFS('inventory ledger'!$H:$H,'inventory ledger'!$C:$C,C2650,'inventory ledger'!$D:$D,D2650,'inventory ledger'!$E:$E,E2650,'inventory ledger'!$A:$A,"&lt;="&amp;B2650+TIME(23,59,59))-SUMIFS('inventory ledger'!$I:$I,'inventory ledger'!$C:$C,C2650,'inventory ledger'!$D:$D,D2650,'inventory ledger'!$E:$E,E2650,'inventory ledger'!$A:$A,"&lt;="&amp;B2650+TIME(23,59,59)))</f>
        <v/>
      </c>
      <c r="G2650" s="3">
        <f>IFERROR(__xludf.DUMMYFUNCTION("IF(F2650&lt;=0,0,IFERROR(ROUNDUP(F2650/INDEX(FILTER('warehouse config'!$D:$D,('warehouse config'!$B:$B=C2650)*('warehouse config'!$C:$C=D2650)*('warehouse config'!$G:$G&lt;=B2650)*(('warehouse config'!$H:$H&gt;=B2650)+ISBLANK('warehouse config'!$H:$H))),1)),0))"),0.0)</f>
        <v>0</v>
      </c>
      <c r="H2650" s="3">
        <f>IFERROR(__xludf.DUMMYFUNCTION("IFERROR(INDEX(FILTER('cost master'!$E:$E,('cost master'!$B:$B=C2650)*('cost master'!$D:$D=""Storage cost per pallet / week"")*('cost master'!$G:$G&lt;=B2650)*(('cost master'!$H:$H&gt;=B2650)+ISBLANK('cost master'!$H:$H))),1),0)"),0.0)</f>
        <v>0</v>
      </c>
      <c r="I2650" s="3">
        <f t="shared" si="4"/>
        <v>0</v>
      </c>
      <c r="J2650" s="27">
        <f t="shared" si="5"/>
        <v>693947</v>
      </c>
      <c r="K2650" s="27">
        <f t="shared" si="6"/>
        <v>693977</v>
      </c>
    </row>
    <row r="2651" hidden="1">
      <c r="A2651" s="3" t="str">
        <f t="shared" si="3"/>
        <v/>
      </c>
      <c r="B2651" s="2" t="str">
        <f t="array" ref="B2651">INDEX(helper!$A$3:$A3996,ROUNDUP((ROW()-1)/COUNTA(helper!$D$3:$D3996),0))</f>
        <v/>
      </c>
      <c r="C2651" s="5" t="str">
        <f t="array" ref="C2651">IF(B2651="","",INDEX(helper!$D$3:$D3996,MOD(ROW()-2,COUNTA(helper!$D$3:$D3996))+1))</f>
        <v/>
      </c>
      <c r="D2651" s="3" t="str">
        <f t="array" ref="D2651">IF(B2651="","",INDEX(helper!$E$3:$E3996,MOD(ROW()-2,COUNTA(helper!$D$3:$D3996))+1))</f>
        <v/>
      </c>
      <c r="E2651" s="3" t="str">
        <f t="array" ref="E2651">IF(B2651="","",INDEX(helper!$F$3:$F3996,MOD(ROW()-2,COUNTA(helper!$D$3:$D3996))+1))</f>
        <v/>
      </c>
      <c r="F2651" s="3" t="str">
        <f>IF(B2651="","",SUMIFS('inventory ledger'!$H:$H,'inventory ledger'!$C:$C,C2651,'inventory ledger'!$D:$D,D2651,'inventory ledger'!$E:$E,E2651,'inventory ledger'!$A:$A,"&lt;="&amp;B2651+TIME(23,59,59))-SUMIFS('inventory ledger'!$I:$I,'inventory ledger'!$C:$C,C2651,'inventory ledger'!$D:$D,D2651,'inventory ledger'!$E:$E,E2651,'inventory ledger'!$A:$A,"&lt;="&amp;B2651+TIME(23,59,59)))</f>
        <v/>
      </c>
      <c r="G2651" s="3">
        <f>IFERROR(__xludf.DUMMYFUNCTION("IF(F2651&lt;=0,0,IFERROR(ROUNDUP(F2651/INDEX(FILTER('warehouse config'!$D:$D,('warehouse config'!$B:$B=C2651)*('warehouse config'!$C:$C=D2651)*('warehouse config'!$G:$G&lt;=B2651)*(('warehouse config'!$H:$H&gt;=B2651)+ISBLANK('warehouse config'!$H:$H))),1)),0))"),0.0)</f>
        <v>0</v>
      </c>
      <c r="H2651" s="3">
        <f>IFERROR(__xludf.DUMMYFUNCTION("IFERROR(INDEX(FILTER('cost master'!$E:$E,('cost master'!$B:$B=C2651)*('cost master'!$D:$D=""Storage cost per pallet / week"")*('cost master'!$G:$G&lt;=B2651)*(('cost master'!$H:$H&gt;=B2651)+ISBLANK('cost master'!$H:$H))),1),0)"),0.0)</f>
        <v>0</v>
      </c>
      <c r="I2651" s="3">
        <f t="shared" si="4"/>
        <v>0</v>
      </c>
      <c r="J2651" s="27">
        <f t="shared" si="5"/>
        <v>693947</v>
      </c>
      <c r="K2651" s="27">
        <f t="shared" si="6"/>
        <v>693977</v>
      </c>
    </row>
    <row r="2652" hidden="1">
      <c r="A2652" s="3" t="str">
        <f t="shared" si="3"/>
        <v/>
      </c>
      <c r="B2652" s="2" t="str">
        <f t="array" ref="B2652">INDEX(helper!$A$3:$A3996,ROUNDUP((ROW()-1)/COUNTA(helper!$D$3:$D3996),0))</f>
        <v/>
      </c>
      <c r="C2652" s="5" t="str">
        <f t="array" ref="C2652">IF(B2652="","",INDEX(helper!$D$3:$D3996,MOD(ROW()-2,COUNTA(helper!$D$3:$D3996))+1))</f>
        <v/>
      </c>
      <c r="D2652" s="3" t="str">
        <f t="array" ref="D2652">IF(B2652="","",INDEX(helper!$E$3:$E3996,MOD(ROW()-2,COUNTA(helper!$D$3:$D3996))+1))</f>
        <v/>
      </c>
      <c r="E2652" s="3" t="str">
        <f t="array" ref="E2652">IF(B2652="","",INDEX(helper!$F$3:$F3996,MOD(ROW()-2,COUNTA(helper!$D$3:$D3996))+1))</f>
        <v/>
      </c>
      <c r="F2652" s="3" t="str">
        <f>IF(B2652="","",SUMIFS('inventory ledger'!$H:$H,'inventory ledger'!$C:$C,C2652,'inventory ledger'!$D:$D,D2652,'inventory ledger'!$E:$E,E2652,'inventory ledger'!$A:$A,"&lt;="&amp;B2652+TIME(23,59,59))-SUMIFS('inventory ledger'!$I:$I,'inventory ledger'!$C:$C,C2652,'inventory ledger'!$D:$D,D2652,'inventory ledger'!$E:$E,E2652,'inventory ledger'!$A:$A,"&lt;="&amp;B2652+TIME(23,59,59)))</f>
        <v/>
      </c>
      <c r="G2652" s="3">
        <f>IFERROR(__xludf.DUMMYFUNCTION("IF(F2652&lt;=0,0,IFERROR(ROUNDUP(F2652/INDEX(FILTER('warehouse config'!$D:$D,('warehouse config'!$B:$B=C2652)*('warehouse config'!$C:$C=D2652)*('warehouse config'!$G:$G&lt;=B2652)*(('warehouse config'!$H:$H&gt;=B2652)+ISBLANK('warehouse config'!$H:$H))),1)),0))"),0.0)</f>
        <v>0</v>
      </c>
      <c r="H2652" s="3">
        <f>IFERROR(__xludf.DUMMYFUNCTION("IFERROR(INDEX(FILTER('cost master'!$E:$E,('cost master'!$B:$B=C2652)*('cost master'!$D:$D=""Storage cost per pallet / week"")*('cost master'!$G:$G&lt;=B2652)*(('cost master'!$H:$H&gt;=B2652)+ISBLANK('cost master'!$H:$H))),1),0)"),0.0)</f>
        <v>0</v>
      </c>
      <c r="I2652" s="3">
        <f t="shared" si="4"/>
        <v>0</v>
      </c>
      <c r="J2652" s="27">
        <f t="shared" si="5"/>
        <v>693947</v>
      </c>
      <c r="K2652" s="27">
        <f t="shared" si="6"/>
        <v>693977</v>
      </c>
    </row>
    <row r="2653" hidden="1">
      <c r="A2653" s="3" t="str">
        <f t="shared" si="3"/>
        <v/>
      </c>
      <c r="B2653" s="2" t="str">
        <f t="array" ref="B2653">INDEX(helper!$A$3:$A3996,ROUNDUP((ROW()-1)/COUNTA(helper!$D$3:$D3996),0))</f>
        <v/>
      </c>
      <c r="C2653" s="5" t="str">
        <f t="array" ref="C2653">IF(B2653="","",INDEX(helper!$D$3:$D3996,MOD(ROW()-2,COUNTA(helper!$D$3:$D3996))+1))</f>
        <v/>
      </c>
      <c r="D2653" s="3" t="str">
        <f t="array" ref="D2653">IF(B2653="","",INDEX(helper!$E$3:$E3996,MOD(ROW()-2,COUNTA(helper!$D$3:$D3996))+1))</f>
        <v/>
      </c>
      <c r="E2653" s="3" t="str">
        <f t="array" ref="E2653">IF(B2653="","",INDEX(helper!$F$3:$F3996,MOD(ROW()-2,COUNTA(helper!$D$3:$D3996))+1))</f>
        <v/>
      </c>
      <c r="F2653" s="3" t="str">
        <f>IF(B2653="","",SUMIFS('inventory ledger'!$H:$H,'inventory ledger'!$C:$C,C2653,'inventory ledger'!$D:$D,D2653,'inventory ledger'!$E:$E,E2653,'inventory ledger'!$A:$A,"&lt;="&amp;B2653+TIME(23,59,59))-SUMIFS('inventory ledger'!$I:$I,'inventory ledger'!$C:$C,C2653,'inventory ledger'!$D:$D,D2653,'inventory ledger'!$E:$E,E2653,'inventory ledger'!$A:$A,"&lt;="&amp;B2653+TIME(23,59,59)))</f>
        <v/>
      </c>
      <c r="G2653" s="3">
        <f>IFERROR(__xludf.DUMMYFUNCTION("IF(F2653&lt;=0,0,IFERROR(ROUNDUP(F2653/INDEX(FILTER('warehouse config'!$D:$D,('warehouse config'!$B:$B=C2653)*('warehouse config'!$C:$C=D2653)*('warehouse config'!$G:$G&lt;=B2653)*(('warehouse config'!$H:$H&gt;=B2653)+ISBLANK('warehouse config'!$H:$H))),1)),0))"),0.0)</f>
        <v>0</v>
      </c>
      <c r="H2653" s="3">
        <f>IFERROR(__xludf.DUMMYFUNCTION("IFERROR(INDEX(FILTER('cost master'!$E:$E,('cost master'!$B:$B=C2653)*('cost master'!$D:$D=""Storage cost per pallet / week"")*('cost master'!$G:$G&lt;=B2653)*(('cost master'!$H:$H&gt;=B2653)+ISBLANK('cost master'!$H:$H))),1),0)"),0.0)</f>
        <v>0</v>
      </c>
      <c r="I2653" s="3">
        <f t="shared" si="4"/>
        <v>0</v>
      </c>
      <c r="J2653" s="27">
        <f t="shared" si="5"/>
        <v>693947</v>
      </c>
      <c r="K2653" s="27">
        <f t="shared" si="6"/>
        <v>693977</v>
      </c>
    </row>
    <row r="2654" hidden="1">
      <c r="A2654" s="3" t="str">
        <f t="shared" si="3"/>
        <v/>
      </c>
      <c r="B2654" s="2" t="str">
        <f t="array" ref="B2654">INDEX(helper!$A$3:$A3996,ROUNDUP((ROW()-1)/COUNTA(helper!$D$3:$D3996),0))</f>
        <v/>
      </c>
      <c r="C2654" s="5" t="str">
        <f t="array" ref="C2654">IF(B2654="","",INDEX(helper!$D$3:$D3996,MOD(ROW()-2,COUNTA(helper!$D$3:$D3996))+1))</f>
        <v/>
      </c>
      <c r="D2654" s="3" t="str">
        <f t="array" ref="D2654">IF(B2654="","",INDEX(helper!$E$3:$E3996,MOD(ROW()-2,COUNTA(helper!$D$3:$D3996))+1))</f>
        <v/>
      </c>
      <c r="E2654" s="3" t="str">
        <f t="array" ref="E2654">IF(B2654="","",INDEX(helper!$F$3:$F3996,MOD(ROW()-2,COUNTA(helper!$D$3:$D3996))+1))</f>
        <v/>
      </c>
      <c r="F2654" s="3" t="str">
        <f>IF(B2654="","",SUMIFS('inventory ledger'!$H:$H,'inventory ledger'!$C:$C,C2654,'inventory ledger'!$D:$D,D2654,'inventory ledger'!$E:$E,E2654,'inventory ledger'!$A:$A,"&lt;="&amp;B2654+TIME(23,59,59))-SUMIFS('inventory ledger'!$I:$I,'inventory ledger'!$C:$C,C2654,'inventory ledger'!$D:$D,D2654,'inventory ledger'!$E:$E,E2654,'inventory ledger'!$A:$A,"&lt;="&amp;B2654+TIME(23,59,59)))</f>
        <v/>
      </c>
      <c r="G2654" s="3">
        <f>IFERROR(__xludf.DUMMYFUNCTION("IF(F2654&lt;=0,0,IFERROR(ROUNDUP(F2654/INDEX(FILTER('warehouse config'!$D:$D,('warehouse config'!$B:$B=C2654)*('warehouse config'!$C:$C=D2654)*('warehouse config'!$G:$G&lt;=B2654)*(('warehouse config'!$H:$H&gt;=B2654)+ISBLANK('warehouse config'!$H:$H))),1)),0))"),0.0)</f>
        <v>0</v>
      </c>
      <c r="H2654" s="3">
        <f>IFERROR(__xludf.DUMMYFUNCTION("IFERROR(INDEX(FILTER('cost master'!$E:$E,('cost master'!$B:$B=C2654)*('cost master'!$D:$D=""Storage cost per pallet / week"")*('cost master'!$G:$G&lt;=B2654)*(('cost master'!$H:$H&gt;=B2654)+ISBLANK('cost master'!$H:$H))),1),0)"),0.0)</f>
        <v>0</v>
      </c>
      <c r="I2654" s="3">
        <f t="shared" si="4"/>
        <v>0</v>
      </c>
      <c r="J2654" s="27">
        <f t="shared" si="5"/>
        <v>693947</v>
      </c>
      <c r="K2654" s="27">
        <f t="shared" si="6"/>
        <v>693977</v>
      </c>
    </row>
    <row r="2655" hidden="1">
      <c r="A2655" s="3" t="str">
        <f t="shared" si="3"/>
        <v/>
      </c>
      <c r="B2655" s="2" t="str">
        <f t="array" ref="B2655">INDEX(helper!$A$3:$A3996,ROUNDUP((ROW()-1)/COUNTA(helper!$D$3:$D3996),0))</f>
        <v/>
      </c>
      <c r="C2655" s="5" t="str">
        <f t="array" ref="C2655">IF(B2655="","",INDEX(helper!$D$3:$D3996,MOD(ROW()-2,COUNTA(helper!$D$3:$D3996))+1))</f>
        <v/>
      </c>
      <c r="D2655" s="3" t="str">
        <f t="array" ref="D2655">IF(B2655="","",INDEX(helper!$E$3:$E3996,MOD(ROW()-2,COUNTA(helper!$D$3:$D3996))+1))</f>
        <v/>
      </c>
      <c r="E2655" s="3" t="str">
        <f t="array" ref="E2655">IF(B2655="","",INDEX(helper!$F$3:$F3996,MOD(ROW()-2,COUNTA(helper!$D$3:$D3996))+1))</f>
        <v/>
      </c>
      <c r="F2655" s="3" t="str">
        <f>IF(B2655="","",SUMIFS('inventory ledger'!$H:$H,'inventory ledger'!$C:$C,C2655,'inventory ledger'!$D:$D,D2655,'inventory ledger'!$E:$E,E2655,'inventory ledger'!$A:$A,"&lt;="&amp;B2655+TIME(23,59,59))-SUMIFS('inventory ledger'!$I:$I,'inventory ledger'!$C:$C,C2655,'inventory ledger'!$D:$D,D2655,'inventory ledger'!$E:$E,E2655,'inventory ledger'!$A:$A,"&lt;="&amp;B2655+TIME(23,59,59)))</f>
        <v/>
      </c>
      <c r="G2655" s="3">
        <f>IFERROR(__xludf.DUMMYFUNCTION("IF(F2655&lt;=0,0,IFERROR(ROUNDUP(F2655/INDEX(FILTER('warehouse config'!$D:$D,('warehouse config'!$B:$B=C2655)*('warehouse config'!$C:$C=D2655)*('warehouse config'!$G:$G&lt;=B2655)*(('warehouse config'!$H:$H&gt;=B2655)+ISBLANK('warehouse config'!$H:$H))),1)),0))"),0.0)</f>
        <v>0</v>
      </c>
      <c r="H2655" s="3">
        <f>IFERROR(__xludf.DUMMYFUNCTION("IFERROR(INDEX(FILTER('cost master'!$E:$E,('cost master'!$B:$B=C2655)*('cost master'!$D:$D=""Storage cost per pallet / week"")*('cost master'!$G:$G&lt;=B2655)*(('cost master'!$H:$H&gt;=B2655)+ISBLANK('cost master'!$H:$H))),1),0)"),0.0)</f>
        <v>0</v>
      </c>
      <c r="I2655" s="3">
        <f t="shared" si="4"/>
        <v>0</v>
      </c>
      <c r="J2655" s="27">
        <f t="shared" si="5"/>
        <v>693947</v>
      </c>
      <c r="K2655" s="27">
        <f t="shared" si="6"/>
        <v>693977</v>
      </c>
    </row>
    <row r="2656" hidden="1">
      <c r="A2656" s="3" t="str">
        <f t="shared" si="3"/>
        <v/>
      </c>
      <c r="B2656" s="2" t="str">
        <f t="array" ref="B2656">INDEX(helper!$A$3:$A3996,ROUNDUP((ROW()-1)/COUNTA(helper!$D$3:$D3996),0))</f>
        <v/>
      </c>
      <c r="C2656" s="5" t="str">
        <f t="array" ref="C2656">IF(B2656="","",INDEX(helper!$D$3:$D3996,MOD(ROW()-2,COUNTA(helper!$D$3:$D3996))+1))</f>
        <v/>
      </c>
      <c r="D2656" s="3" t="str">
        <f t="array" ref="D2656">IF(B2656="","",INDEX(helper!$E$3:$E3996,MOD(ROW()-2,COUNTA(helper!$D$3:$D3996))+1))</f>
        <v/>
      </c>
      <c r="E2656" s="3" t="str">
        <f t="array" ref="E2656">IF(B2656="","",INDEX(helper!$F$3:$F3996,MOD(ROW()-2,COUNTA(helper!$D$3:$D3996))+1))</f>
        <v/>
      </c>
      <c r="F2656" s="3" t="str">
        <f>IF(B2656="","",SUMIFS('inventory ledger'!$H:$H,'inventory ledger'!$C:$C,C2656,'inventory ledger'!$D:$D,D2656,'inventory ledger'!$E:$E,E2656,'inventory ledger'!$A:$A,"&lt;="&amp;B2656+TIME(23,59,59))-SUMIFS('inventory ledger'!$I:$I,'inventory ledger'!$C:$C,C2656,'inventory ledger'!$D:$D,D2656,'inventory ledger'!$E:$E,E2656,'inventory ledger'!$A:$A,"&lt;="&amp;B2656+TIME(23,59,59)))</f>
        <v/>
      </c>
      <c r="G2656" s="3">
        <f>IFERROR(__xludf.DUMMYFUNCTION("IF(F2656&lt;=0,0,IFERROR(ROUNDUP(F2656/INDEX(FILTER('warehouse config'!$D:$D,('warehouse config'!$B:$B=C2656)*('warehouse config'!$C:$C=D2656)*('warehouse config'!$G:$G&lt;=B2656)*(('warehouse config'!$H:$H&gt;=B2656)+ISBLANK('warehouse config'!$H:$H))),1)),0))"),0.0)</f>
        <v>0</v>
      </c>
      <c r="H2656" s="3">
        <f>IFERROR(__xludf.DUMMYFUNCTION("IFERROR(INDEX(FILTER('cost master'!$E:$E,('cost master'!$B:$B=C2656)*('cost master'!$D:$D=""Storage cost per pallet / week"")*('cost master'!$G:$G&lt;=B2656)*(('cost master'!$H:$H&gt;=B2656)+ISBLANK('cost master'!$H:$H))),1),0)"),0.0)</f>
        <v>0</v>
      </c>
      <c r="I2656" s="3">
        <f t="shared" si="4"/>
        <v>0</v>
      </c>
      <c r="J2656" s="27">
        <f t="shared" si="5"/>
        <v>693947</v>
      </c>
      <c r="K2656" s="27">
        <f t="shared" si="6"/>
        <v>693977</v>
      </c>
    </row>
    <row r="2657" hidden="1">
      <c r="A2657" s="3" t="str">
        <f t="shared" si="3"/>
        <v/>
      </c>
      <c r="B2657" s="2" t="str">
        <f t="array" ref="B2657">INDEX(helper!$A$3:$A3996,ROUNDUP((ROW()-1)/COUNTA(helper!$D$3:$D3996),0))</f>
        <v/>
      </c>
      <c r="C2657" s="5" t="str">
        <f t="array" ref="C2657">IF(B2657="","",INDEX(helper!$D$3:$D3996,MOD(ROW()-2,COUNTA(helper!$D$3:$D3996))+1))</f>
        <v/>
      </c>
      <c r="D2657" s="3" t="str">
        <f t="array" ref="D2657">IF(B2657="","",INDEX(helper!$E$3:$E3996,MOD(ROW()-2,COUNTA(helper!$D$3:$D3996))+1))</f>
        <v/>
      </c>
      <c r="E2657" s="3" t="str">
        <f t="array" ref="E2657">IF(B2657="","",INDEX(helper!$F$3:$F3996,MOD(ROW()-2,COUNTA(helper!$D$3:$D3996))+1))</f>
        <v/>
      </c>
      <c r="F2657" s="3" t="str">
        <f>IF(B2657="","",SUMIFS('inventory ledger'!$H:$H,'inventory ledger'!$C:$C,C2657,'inventory ledger'!$D:$D,D2657,'inventory ledger'!$E:$E,E2657,'inventory ledger'!$A:$A,"&lt;="&amp;B2657+TIME(23,59,59))-SUMIFS('inventory ledger'!$I:$I,'inventory ledger'!$C:$C,C2657,'inventory ledger'!$D:$D,D2657,'inventory ledger'!$E:$E,E2657,'inventory ledger'!$A:$A,"&lt;="&amp;B2657+TIME(23,59,59)))</f>
        <v/>
      </c>
      <c r="G2657" s="3">
        <f>IFERROR(__xludf.DUMMYFUNCTION("IF(F2657&lt;=0,0,IFERROR(ROUNDUP(F2657/INDEX(FILTER('warehouse config'!$D:$D,('warehouse config'!$B:$B=C2657)*('warehouse config'!$C:$C=D2657)*('warehouse config'!$G:$G&lt;=B2657)*(('warehouse config'!$H:$H&gt;=B2657)+ISBLANK('warehouse config'!$H:$H))),1)),0))"),0.0)</f>
        <v>0</v>
      </c>
      <c r="H2657" s="3">
        <f>IFERROR(__xludf.DUMMYFUNCTION("IFERROR(INDEX(FILTER('cost master'!$E:$E,('cost master'!$B:$B=C2657)*('cost master'!$D:$D=""Storage cost per pallet / week"")*('cost master'!$G:$G&lt;=B2657)*(('cost master'!$H:$H&gt;=B2657)+ISBLANK('cost master'!$H:$H))),1),0)"),0.0)</f>
        <v>0</v>
      </c>
      <c r="I2657" s="3">
        <f t="shared" si="4"/>
        <v>0</v>
      </c>
      <c r="J2657" s="27">
        <f t="shared" si="5"/>
        <v>693947</v>
      </c>
      <c r="K2657" s="27">
        <f t="shared" si="6"/>
        <v>693977</v>
      </c>
    </row>
    <row r="2658" hidden="1">
      <c r="A2658" s="3" t="str">
        <f t="shared" si="3"/>
        <v/>
      </c>
      <c r="B2658" s="2" t="str">
        <f t="array" ref="B2658">INDEX(helper!$A$3:$A3996,ROUNDUP((ROW()-1)/COUNTA(helper!$D$3:$D3996),0))</f>
        <v/>
      </c>
      <c r="C2658" s="5" t="str">
        <f t="array" ref="C2658">IF(B2658="","",INDEX(helper!$D$3:$D3996,MOD(ROW()-2,COUNTA(helper!$D$3:$D3996))+1))</f>
        <v/>
      </c>
      <c r="D2658" s="3" t="str">
        <f t="array" ref="D2658">IF(B2658="","",INDEX(helper!$E$3:$E3996,MOD(ROW()-2,COUNTA(helper!$D$3:$D3996))+1))</f>
        <v/>
      </c>
      <c r="E2658" s="3" t="str">
        <f t="array" ref="E2658">IF(B2658="","",INDEX(helper!$F$3:$F3996,MOD(ROW()-2,COUNTA(helper!$D$3:$D3996))+1))</f>
        <v/>
      </c>
      <c r="F2658" s="3" t="str">
        <f>IF(B2658="","",SUMIFS('inventory ledger'!$H:$H,'inventory ledger'!$C:$C,C2658,'inventory ledger'!$D:$D,D2658,'inventory ledger'!$E:$E,E2658,'inventory ledger'!$A:$A,"&lt;="&amp;B2658+TIME(23,59,59))-SUMIFS('inventory ledger'!$I:$I,'inventory ledger'!$C:$C,C2658,'inventory ledger'!$D:$D,D2658,'inventory ledger'!$E:$E,E2658,'inventory ledger'!$A:$A,"&lt;="&amp;B2658+TIME(23,59,59)))</f>
        <v/>
      </c>
      <c r="G2658" s="3">
        <f>IFERROR(__xludf.DUMMYFUNCTION("IF(F2658&lt;=0,0,IFERROR(ROUNDUP(F2658/INDEX(FILTER('warehouse config'!$D:$D,('warehouse config'!$B:$B=C2658)*('warehouse config'!$C:$C=D2658)*('warehouse config'!$G:$G&lt;=B2658)*(('warehouse config'!$H:$H&gt;=B2658)+ISBLANK('warehouse config'!$H:$H))),1)),0))"),0.0)</f>
        <v>0</v>
      </c>
      <c r="H2658" s="3">
        <f>IFERROR(__xludf.DUMMYFUNCTION("IFERROR(INDEX(FILTER('cost master'!$E:$E,('cost master'!$B:$B=C2658)*('cost master'!$D:$D=""Storage cost per pallet / week"")*('cost master'!$G:$G&lt;=B2658)*(('cost master'!$H:$H&gt;=B2658)+ISBLANK('cost master'!$H:$H))),1),0)"),0.0)</f>
        <v>0</v>
      </c>
      <c r="I2658" s="3">
        <f t="shared" si="4"/>
        <v>0</v>
      </c>
      <c r="J2658" s="27">
        <f t="shared" si="5"/>
        <v>693947</v>
      </c>
      <c r="K2658" s="27">
        <f t="shared" si="6"/>
        <v>693977</v>
      </c>
    </row>
    <row r="2659" hidden="1">
      <c r="A2659" s="3" t="str">
        <f t="shared" si="3"/>
        <v/>
      </c>
      <c r="B2659" s="2" t="str">
        <f t="array" ref="B2659">INDEX(helper!$A$3:$A3996,ROUNDUP((ROW()-1)/COUNTA(helper!$D$3:$D3996),0))</f>
        <v/>
      </c>
      <c r="C2659" s="5" t="str">
        <f t="array" ref="C2659">IF(B2659="","",INDEX(helper!$D$3:$D3996,MOD(ROW()-2,COUNTA(helper!$D$3:$D3996))+1))</f>
        <v/>
      </c>
      <c r="D2659" s="3" t="str">
        <f t="array" ref="D2659">IF(B2659="","",INDEX(helper!$E$3:$E3996,MOD(ROW()-2,COUNTA(helper!$D$3:$D3996))+1))</f>
        <v/>
      </c>
      <c r="E2659" s="3" t="str">
        <f t="array" ref="E2659">IF(B2659="","",INDEX(helper!$F$3:$F3996,MOD(ROW()-2,COUNTA(helper!$D$3:$D3996))+1))</f>
        <v/>
      </c>
      <c r="F2659" s="3" t="str">
        <f>IF(B2659="","",SUMIFS('inventory ledger'!$H:$H,'inventory ledger'!$C:$C,C2659,'inventory ledger'!$D:$D,D2659,'inventory ledger'!$E:$E,E2659,'inventory ledger'!$A:$A,"&lt;="&amp;B2659+TIME(23,59,59))-SUMIFS('inventory ledger'!$I:$I,'inventory ledger'!$C:$C,C2659,'inventory ledger'!$D:$D,D2659,'inventory ledger'!$E:$E,E2659,'inventory ledger'!$A:$A,"&lt;="&amp;B2659+TIME(23,59,59)))</f>
        <v/>
      </c>
      <c r="G2659" s="3">
        <f>IFERROR(__xludf.DUMMYFUNCTION("IF(F2659&lt;=0,0,IFERROR(ROUNDUP(F2659/INDEX(FILTER('warehouse config'!$D:$D,('warehouse config'!$B:$B=C2659)*('warehouse config'!$C:$C=D2659)*('warehouse config'!$G:$G&lt;=B2659)*(('warehouse config'!$H:$H&gt;=B2659)+ISBLANK('warehouse config'!$H:$H))),1)),0))"),0.0)</f>
        <v>0</v>
      </c>
      <c r="H2659" s="3">
        <f>IFERROR(__xludf.DUMMYFUNCTION("IFERROR(INDEX(FILTER('cost master'!$E:$E,('cost master'!$B:$B=C2659)*('cost master'!$D:$D=""Storage cost per pallet / week"")*('cost master'!$G:$G&lt;=B2659)*(('cost master'!$H:$H&gt;=B2659)+ISBLANK('cost master'!$H:$H))),1),0)"),0.0)</f>
        <v>0</v>
      </c>
      <c r="I2659" s="3">
        <f t="shared" si="4"/>
        <v>0</v>
      </c>
      <c r="J2659" s="27">
        <f t="shared" si="5"/>
        <v>693947</v>
      </c>
      <c r="K2659" s="27">
        <f t="shared" si="6"/>
        <v>693977</v>
      </c>
    </row>
    <row r="2660" hidden="1">
      <c r="A2660" s="3" t="str">
        <f t="shared" si="3"/>
        <v/>
      </c>
      <c r="B2660" s="2" t="str">
        <f t="array" ref="B2660">INDEX(helper!$A$3:$A3996,ROUNDUP((ROW()-1)/COUNTA(helper!$D$3:$D3996),0))</f>
        <v/>
      </c>
      <c r="C2660" s="5" t="str">
        <f t="array" ref="C2660">IF(B2660="","",INDEX(helper!$D$3:$D3996,MOD(ROW()-2,COUNTA(helper!$D$3:$D3996))+1))</f>
        <v/>
      </c>
      <c r="D2660" s="3" t="str">
        <f t="array" ref="D2660">IF(B2660="","",INDEX(helper!$E$3:$E3996,MOD(ROW()-2,COUNTA(helper!$D$3:$D3996))+1))</f>
        <v/>
      </c>
      <c r="E2660" s="3" t="str">
        <f t="array" ref="E2660">IF(B2660="","",INDEX(helper!$F$3:$F3996,MOD(ROW()-2,COUNTA(helper!$D$3:$D3996))+1))</f>
        <v/>
      </c>
      <c r="F2660" s="3" t="str">
        <f>IF(B2660="","",SUMIFS('inventory ledger'!$H:$H,'inventory ledger'!$C:$C,C2660,'inventory ledger'!$D:$D,D2660,'inventory ledger'!$E:$E,E2660,'inventory ledger'!$A:$A,"&lt;="&amp;B2660+TIME(23,59,59))-SUMIFS('inventory ledger'!$I:$I,'inventory ledger'!$C:$C,C2660,'inventory ledger'!$D:$D,D2660,'inventory ledger'!$E:$E,E2660,'inventory ledger'!$A:$A,"&lt;="&amp;B2660+TIME(23,59,59)))</f>
        <v/>
      </c>
      <c r="G2660" s="3">
        <f>IFERROR(__xludf.DUMMYFUNCTION("IF(F2660&lt;=0,0,IFERROR(ROUNDUP(F2660/INDEX(FILTER('warehouse config'!$D:$D,('warehouse config'!$B:$B=C2660)*('warehouse config'!$C:$C=D2660)*('warehouse config'!$G:$G&lt;=B2660)*(('warehouse config'!$H:$H&gt;=B2660)+ISBLANK('warehouse config'!$H:$H))),1)),0))"),0.0)</f>
        <v>0</v>
      </c>
      <c r="H2660" s="3">
        <f>IFERROR(__xludf.DUMMYFUNCTION("IFERROR(INDEX(FILTER('cost master'!$E:$E,('cost master'!$B:$B=C2660)*('cost master'!$D:$D=""Storage cost per pallet / week"")*('cost master'!$G:$G&lt;=B2660)*(('cost master'!$H:$H&gt;=B2660)+ISBLANK('cost master'!$H:$H))),1),0)"),0.0)</f>
        <v>0</v>
      </c>
      <c r="I2660" s="3">
        <f t="shared" si="4"/>
        <v>0</v>
      </c>
      <c r="J2660" s="27">
        <f t="shared" si="5"/>
        <v>693947</v>
      </c>
      <c r="K2660" s="27">
        <f t="shared" si="6"/>
        <v>693977</v>
      </c>
    </row>
    <row r="2661" hidden="1">
      <c r="A2661" s="3" t="str">
        <f t="shared" si="3"/>
        <v/>
      </c>
      <c r="B2661" s="2" t="str">
        <f t="array" ref="B2661">INDEX(helper!$A$3:$A3996,ROUNDUP((ROW()-1)/COUNTA(helper!$D$3:$D3996),0))</f>
        <v/>
      </c>
      <c r="C2661" s="5" t="str">
        <f t="array" ref="C2661">IF(B2661="","",INDEX(helper!$D$3:$D3996,MOD(ROW()-2,COUNTA(helper!$D$3:$D3996))+1))</f>
        <v/>
      </c>
      <c r="D2661" s="3" t="str">
        <f t="array" ref="D2661">IF(B2661="","",INDEX(helper!$E$3:$E3996,MOD(ROW()-2,COUNTA(helper!$D$3:$D3996))+1))</f>
        <v/>
      </c>
      <c r="E2661" s="3" t="str">
        <f t="array" ref="E2661">IF(B2661="","",INDEX(helper!$F$3:$F3996,MOD(ROW()-2,COUNTA(helper!$D$3:$D3996))+1))</f>
        <v/>
      </c>
      <c r="F2661" s="3" t="str">
        <f>IF(B2661="","",SUMIFS('inventory ledger'!$H:$H,'inventory ledger'!$C:$C,C2661,'inventory ledger'!$D:$D,D2661,'inventory ledger'!$E:$E,E2661,'inventory ledger'!$A:$A,"&lt;="&amp;B2661+TIME(23,59,59))-SUMIFS('inventory ledger'!$I:$I,'inventory ledger'!$C:$C,C2661,'inventory ledger'!$D:$D,D2661,'inventory ledger'!$E:$E,E2661,'inventory ledger'!$A:$A,"&lt;="&amp;B2661+TIME(23,59,59)))</f>
        <v/>
      </c>
      <c r="G2661" s="3">
        <f>IFERROR(__xludf.DUMMYFUNCTION("IF(F2661&lt;=0,0,IFERROR(ROUNDUP(F2661/INDEX(FILTER('warehouse config'!$D:$D,('warehouse config'!$B:$B=C2661)*('warehouse config'!$C:$C=D2661)*('warehouse config'!$G:$G&lt;=B2661)*(('warehouse config'!$H:$H&gt;=B2661)+ISBLANK('warehouse config'!$H:$H))),1)),0))"),0.0)</f>
        <v>0</v>
      </c>
      <c r="H2661" s="3">
        <f>IFERROR(__xludf.DUMMYFUNCTION("IFERROR(INDEX(FILTER('cost master'!$E:$E,('cost master'!$B:$B=C2661)*('cost master'!$D:$D=""Storage cost per pallet / week"")*('cost master'!$G:$G&lt;=B2661)*(('cost master'!$H:$H&gt;=B2661)+ISBLANK('cost master'!$H:$H))),1),0)"),0.0)</f>
        <v>0</v>
      </c>
      <c r="I2661" s="3">
        <f t="shared" si="4"/>
        <v>0</v>
      </c>
      <c r="J2661" s="27">
        <f t="shared" si="5"/>
        <v>693947</v>
      </c>
      <c r="K2661" s="27">
        <f t="shared" si="6"/>
        <v>693977</v>
      </c>
    </row>
    <row r="2662" hidden="1">
      <c r="A2662" s="3" t="str">
        <f t="shared" si="3"/>
        <v/>
      </c>
      <c r="B2662" s="2" t="str">
        <f t="array" ref="B2662">INDEX(helper!$A$3:$A3996,ROUNDUP((ROW()-1)/COUNTA(helper!$D$3:$D3996),0))</f>
        <v/>
      </c>
      <c r="C2662" s="5" t="str">
        <f t="array" ref="C2662">IF(B2662="","",INDEX(helper!$D$3:$D3996,MOD(ROW()-2,COUNTA(helper!$D$3:$D3996))+1))</f>
        <v/>
      </c>
      <c r="D2662" s="3" t="str">
        <f t="array" ref="D2662">IF(B2662="","",INDEX(helper!$E$3:$E3996,MOD(ROW()-2,COUNTA(helper!$D$3:$D3996))+1))</f>
        <v/>
      </c>
      <c r="E2662" s="3" t="str">
        <f t="array" ref="E2662">IF(B2662="","",INDEX(helper!$F$3:$F3996,MOD(ROW()-2,COUNTA(helper!$D$3:$D3996))+1))</f>
        <v/>
      </c>
      <c r="F2662" s="3" t="str">
        <f>IF(B2662="","",SUMIFS('inventory ledger'!$H:$H,'inventory ledger'!$C:$C,C2662,'inventory ledger'!$D:$D,D2662,'inventory ledger'!$E:$E,E2662,'inventory ledger'!$A:$A,"&lt;="&amp;B2662+TIME(23,59,59))-SUMIFS('inventory ledger'!$I:$I,'inventory ledger'!$C:$C,C2662,'inventory ledger'!$D:$D,D2662,'inventory ledger'!$E:$E,E2662,'inventory ledger'!$A:$A,"&lt;="&amp;B2662+TIME(23,59,59)))</f>
        <v/>
      </c>
      <c r="G2662" s="3">
        <f>IFERROR(__xludf.DUMMYFUNCTION("IF(F2662&lt;=0,0,IFERROR(ROUNDUP(F2662/INDEX(FILTER('warehouse config'!$D:$D,('warehouse config'!$B:$B=C2662)*('warehouse config'!$C:$C=D2662)*('warehouse config'!$G:$G&lt;=B2662)*(('warehouse config'!$H:$H&gt;=B2662)+ISBLANK('warehouse config'!$H:$H))),1)),0))"),0.0)</f>
        <v>0</v>
      </c>
      <c r="H2662" s="3">
        <f>IFERROR(__xludf.DUMMYFUNCTION("IFERROR(INDEX(FILTER('cost master'!$E:$E,('cost master'!$B:$B=C2662)*('cost master'!$D:$D=""Storage cost per pallet / week"")*('cost master'!$G:$G&lt;=B2662)*(('cost master'!$H:$H&gt;=B2662)+ISBLANK('cost master'!$H:$H))),1),0)"),0.0)</f>
        <v>0</v>
      </c>
      <c r="I2662" s="3">
        <f t="shared" si="4"/>
        <v>0</v>
      </c>
      <c r="J2662" s="27">
        <f t="shared" si="5"/>
        <v>693947</v>
      </c>
      <c r="K2662" s="27">
        <f t="shared" si="6"/>
        <v>693977</v>
      </c>
    </row>
    <row r="2663" hidden="1">
      <c r="A2663" s="3" t="str">
        <f t="shared" si="3"/>
        <v/>
      </c>
      <c r="B2663" s="2" t="str">
        <f t="array" ref="B2663">INDEX(helper!$A$3:$A3996,ROUNDUP((ROW()-1)/COUNTA(helper!$D$3:$D3996),0))</f>
        <v/>
      </c>
      <c r="C2663" s="5" t="str">
        <f t="array" ref="C2663">IF(B2663="","",INDEX(helper!$D$3:$D3996,MOD(ROW()-2,COUNTA(helper!$D$3:$D3996))+1))</f>
        <v/>
      </c>
      <c r="D2663" s="3" t="str">
        <f t="array" ref="D2663">IF(B2663="","",INDEX(helper!$E$3:$E3996,MOD(ROW()-2,COUNTA(helper!$D$3:$D3996))+1))</f>
        <v/>
      </c>
      <c r="E2663" s="3" t="str">
        <f t="array" ref="E2663">IF(B2663="","",INDEX(helper!$F$3:$F3996,MOD(ROW()-2,COUNTA(helper!$D$3:$D3996))+1))</f>
        <v/>
      </c>
      <c r="F2663" s="3" t="str">
        <f>IF(B2663="","",SUMIFS('inventory ledger'!$H:$H,'inventory ledger'!$C:$C,C2663,'inventory ledger'!$D:$D,D2663,'inventory ledger'!$E:$E,E2663,'inventory ledger'!$A:$A,"&lt;="&amp;B2663+TIME(23,59,59))-SUMIFS('inventory ledger'!$I:$I,'inventory ledger'!$C:$C,C2663,'inventory ledger'!$D:$D,D2663,'inventory ledger'!$E:$E,E2663,'inventory ledger'!$A:$A,"&lt;="&amp;B2663+TIME(23,59,59)))</f>
        <v/>
      </c>
      <c r="G2663" s="3">
        <f>IFERROR(__xludf.DUMMYFUNCTION("IF(F2663&lt;=0,0,IFERROR(ROUNDUP(F2663/INDEX(FILTER('warehouse config'!$D:$D,('warehouse config'!$B:$B=C2663)*('warehouse config'!$C:$C=D2663)*('warehouse config'!$G:$G&lt;=B2663)*(('warehouse config'!$H:$H&gt;=B2663)+ISBLANK('warehouse config'!$H:$H))),1)),0))"),0.0)</f>
        <v>0</v>
      </c>
      <c r="H2663" s="3">
        <f>IFERROR(__xludf.DUMMYFUNCTION("IFERROR(INDEX(FILTER('cost master'!$E:$E,('cost master'!$B:$B=C2663)*('cost master'!$D:$D=""Storage cost per pallet / week"")*('cost master'!$G:$G&lt;=B2663)*(('cost master'!$H:$H&gt;=B2663)+ISBLANK('cost master'!$H:$H))),1),0)"),0.0)</f>
        <v>0</v>
      </c>
      <c r="I2663" s="3">
        <f t="shared" si="4"/>
        <v>0</v>
      </c>
      <c r="J2663" s="27">
        <f t="shared" si="5"/>
        <v>693947</v>
      </c>
      <c r="K2663" s="27">
        <f t="shared" si="6"/>
        <v>693977</v>
      </c>
    </row>
    <row r="2664" hidden="1">
      <c r="A2664" s="3" t="str">
        <f t="shared" si="3"/>
        <v/>
      </c>
      <c r="B2664" s="2" t="str">
        <f t="array" ref="B2664">INDEX(helper!$A$3:$A3996,ROUNDUP((ROW()-1)/COUNTA(helper!$D$3:$D3996),0))</f>
        <v/>
      </c>
      <c r="C2664" s="5" t="str">
        <f t="array" ref="C2664">IF(B2664="","",INDEX(helper!$D$3:$D3996,MOD(ROW()-2,COUNTA(helper!$D$3:$D3996))+1))</f>
        <v/>
      </c>
      <c r="D2664" s="3" t="str">
        <f t="array" ref="D2664">IF(B2664="","",INDEX(helper!$E$3:$E3996,MOD(ROW()-2,COUNTA(helper!$D$3:$D3996))+1))</f>
        <v/>
      </c>
      <c r="E2664" s="3" t="str">
        <f t="array" ref="E2664">IF(B2664="","",INDEX(helper!$F$3:$F3996,MOD(ROW()-2,COUNTA(helper!$D$3:$D3996))+1))</f>
        <v/>
      </c>
      <c r="F2664" s="3" t="str">
        <f>IF(B2664="","",SUMIFS('inventory ledger'!$H:$H,'inventory ledger'!$C:$C,C2664,'inventory ledger'!$D:$D,D2664,'inventory ledger'!$E:$E,E2664,'inventory ledger'!$A:$A,"&lt;="&amp;B2664+TIME(23,59,59))-SUMIFS('inventory ledger'!$I:$I,'inventory ledger'!$C:$C,C2664,'inventory ledger'!$D:$D,D2664,'inventory ledger'!$E:$E,E2664,'inventory ledger'!$A:$A,"&lt;="&amp;B2664+TIME(23,59,59)))</f>
        <v/>
      </c>
      <c r="G2664" s="3">
        <f>IFERROR(__xludf.DUMMYFUNCTION("IF(F2664&lt;=0,0,IFERROR(ROUNDUP(F2664/INDEX(FILTER('warehouse config'!$D:$D,('warehouse config'!$B:$B=C2664)*('warehouse config'!$C:$C=D2664)*('warehouse config'!$G:$G&lt;=B2664)*(('warehouse config'!$H:$H&gt;=B2664)+ISBLANK('warehouse config'!$H:$H))),1)),0))"),0.0)</f>
        <v>0</v>
      </c>
      <c r="H2664" s="3">
        <f>IFERROR(__xludf.DUMMYFUNCTION("IFERROR(INDEX(FILTER('cost master'!$E:$E,('cost master'!$B:$B=C2664)*('cost master'!$D:$D=""Storage cost per pallet / week"")*('cost master'!$G:$G&lt;=B2664)*(('cost master'!$H:$H&gt;=B2664)+ISBLANK('cost master'!$H:$H))),1),0)"),0.0)</f>
        <v>0</v>
      </c>
      <c r="I2664" s="3">
        <f t="shared" si="4"/>
        <v>0</v>
      </c>
      <c r="J2664" s="27">
        <f t="shared" si="5"/>
        <v>693947</v>
      </c>
      <c r="K2664" s="27">
        <f t="shared" si="6"/>
        <v>693977</v>
      </c>
    </row>
    <row r="2665" hidden="1">
      <c r="A2665" s="3" t="str">
        <f t="shared" si="3"/>
        <v/>
      </c>
      <c r="B2665" s="2" t="str">
        <f t="array" ref="B2665">INDEX(helper!$A$3:$A3996,ROUNDUP((ROW()-1)/COUNTA(helper!$D$3:$D3996),0))</f>
        <v/>
      </c>
      <c r="C2665" s="5" t="str">
        <f t="array" ref="C2665">IF(B2665="","",INDEX(helper!$D$3:$D3996,MOD(ROW()-2,COUNTA(helper!$D$3:$D3996))+1))</f>
        <v/>
      </c>
      <c r="D2665" s="3" t="str">
        <f t="array" ref="D2665">IF(B2665="","",INDEX(helper!$E$3:$E3996,MOD(ROW()-2,COUNTA(helper!$D$3:$D3996))+1))</f>
        <v/>
      </c>
      <c r="E2665" s="3" t="str">
        <f t="array" ref="E2665">IF(B2665="","",INDEX(helper!$F$3:$F3996,MOD(ROW()-2,COUNTA(helper!$D$3:$D3996))+1))</f>
        <v/>
      </c>
      <c r="F2665" s="3" t="str">
        <f>IF(B2665="","",SUMIFS('inventory ledger'!$H:$H,'inventory ledger'!$C:$C,C2665,'inventory ledger'!$D:$D,D2665,'inventory ledger'!$E:$E,E2665,'inventory ledger'!$A:$A,"&lt;="&amp;B2665+TIME(23,59,59))-SUMIFS('inventory ledger'!$I:$I,'inventory ledger'!$C:$C,C2665,'inventory ledger'!$D:$D,D2665,'inventory ledger'!$E:$E,E2665,'inventory ledger'!$A:$A,"&lt;="&amp;B2665+TIME(23,59,59)))</f>
        <v/>
      </c>
      <c r="G2665" s="3">
        <f>IFERROR(__xludf.DUMMYFUNCTION("IF(F2665&lt;=0,0,IFERROR(ROUNDUP(F2665/INDEX(FILTER('warehouse config'!$D:$D,('warehouse config'!$B:$B=C2665)*('warehouse config'!$C:$C=D2665)*('warehouse config'!$G:$G&lt;=B2665)*(('warehouse config'!$H:$H&gt;=B2665)+ISBLANK('warehouse config'!$H:$H))),1)),0))"),0.0)</f>
        <v>0</v>
      </c>
      <c r="H2665" s="3">
        <f>IFERROR(__xludf.DUMMYFUNCTION("IFERROR(INDEX(FILTER('cost master'!$E:$E,('cost master'!$B:$B=C2665)*('cost master'!$D:$D=""Storage cost per pallet / week"")*('cost master'!$G:$G&lt;=B2665)*(('cost master'!$H:$H&gt;=B2665)+ISBLANK('cost master'!$H:$H))),1),0)"),0.0)</f>
        <v>0</v>
      </c>
      <c r="I2665" s="3">
        <f t="shared" si="4"/>
        <v>0</v>
      </c>
      <c r="J2665" s="27">
        <f t="shared" si="5"/>
        <v>693947</v>
      </c>
      <c r="K2665" s="27">
        <f t="shared" si="6"/>
        <v>693977</v>
      </c>
    </row>
    <row r="2666" hidden="1">
      <c r="A2666" s="3" t="str">
        <f t="shared" si="3"/>
        <v/>
      </c>
      <c r="B2666" s="2" t="str">
        <f t="array" ref="B2666">INDEX(helper!$A$3:$A3996,ROUNDUP((ROW()-1)/COUNTA(helper!$D$3:$D3996),0))</f>
        <v/>
      </c>
      <c r="C2666" s="5" t="str">
        <f t="array" ref="C2666">IF(B2666="","",INDEX(helper!$D$3:$D3996,MOD(ROW()-2,COUNTA(helper!$D$3:$D3996))+1))</f>
        <v/>
      </c>
      <c r="D2666" s="3" t="str">
        <f t="array" ref="D2666">IF(B2666="","",INDEX(helper!$E$3:$E3996,MOD(ROW()-2,COUNTA(helper!$D$3:$D3996))+1))</f>
        <v/>
      </c>
      <c r="E2666" s="3" t="str">
        <f t="array" ref="E2666">IF(B2666="","",INDEX(helper!$F$3:$F3996,MOD(ROW()-2,COUNTA(helper!$D$3:$D3996))+1))</f>
        <v/>
      </c>
      <c r="F2666" s="3" t="str">
        <f>IF(B2666="","",SUMIFS('inventory ledger'!$H:$H,'inventory ledger'!$C:$C,C2666,'inventory ledger'!$D:$D,D2666,'inventory ledger'!$E:$E,E2666,'inventory ledger'!$A:$A,"&lt;="&amp;B2666+TIME(23,59,59))-SUMIFS('inventory ledger'!$I:$I,'inventory ledger'!$C:$C,C2666,'inventory ledger'!$D:$D,D2666,'inventory ledger'!$E:$E,E2666,'inventory ledger'!$A:$A,"&lt;="&amp;B2666+TIME(23,59,59)))</f>
        <v/>
      </c>
      <c r="G2666" s="3">
        <f>IFERROR(__xludf.DUMMYFUNCTION("IF(F2666&lt;=0,0,IFERROR(ROUNDUP(F2666/INDEX(FILTER('warehouse config'!$D:$D,('warehouse config'!$B:$B=C2666)*('warehouse config'!$C:$C=D2666)*('warehouse config'!$G:$G&lt;=B2666)*(('warehouse config'!$H:$H&gt;=B2666)+ISBLANK('warehouse config'!$H:$H))),1)),0))"),0.0)</f>
        <v>0</v>
      </c>
      <c r="H2666" s="3">
        <f>IFERROR(__xludf.DUMMYFUNCTION("IFERROR(INDEX(FILTER('cost master'!$E:$E,('cost master'!$B:$B=C2666)*('cost master'!$D:$D=""Storage cost per pallet / week"")*('cost master'!$G:$G&lt;=B2666)*(('cost master'!$H:$H&gt;=B2666)+ISBLANK('cost master'!$H:$H))),1),0)"),0.0)</f>
        <v>0</v>
      </c>
      <c r="I2666" s="3">
        <f t="shared" si="4"/>
        <v>0</v>
      </c>
      <c r="J2666" s="27">
        <f t="shared" si="5"/>
        <v>693947</v>
      </c>
      <c r="K2666" s="27">
        <f t="shared" si="6"/>
        <v>693977</v>
      </c>
    </row>
    <row r="2667" hidden="1">
      <c r="A2667" s="3" t="str">
        <f t="shared" si="3"/>
        <v/>
      </c>
      <c r="B2667" s="2" t="str">
        <f t="array" ref="B2667">INDEX(helper!$A$3:$A3996,ROUNDUP((ROW()-1)/COUNTA(helper!$D$3:$D3996),0))</f>
        <v/>
      </c>
      <c r="C2667" s="5" t="str">
        <f t="array" ref="C2667">IF(B2667="","",INDEX(helper!$D$3:$D3996,MOD(ROW()-2,COUNTA(helper!$D$3:$D3996))+1))</f>
        <v/>
      </c>
      <c r="D2667" s="3" t="str">
        <f t="array" ref="D2667">IF(B2667="","",INDEX(helper!$E$3:$E3996,MOD(ROW()-2,COUNTA(helper!$D$3:$D3996))+1))</f>
        <v/>
      </c>
      <c r="E2667" s="3" t="str">
        <f t="array" ref="E2667">IF(B2667="","",INDEX(helper!$F$3:$F3996,MOD(ROW()-2,COUNTA(helper!$D$3:$D3996))+1))</f>
        <v/>
      </c>
      <c r="F2667" s="3" t="str">
        <f>IF(B2667="","",SUMIFS('inventory ledger'!$H:$H,'inventory ledger'!$C:$C,C2667,'inventory ledger'!$D:$D,D2667,'inventory ledger'!$E:$E,E2667,'inventory ledger'!$A:$A,"&lt;="&amp;B2667+TIME(23,59,59))-SUMIFS('inventory ledger'!$I:$I,'inventory ledger'!$C:$C,C2667,'inventory ledger'!$D:$D,D2667,'inventory ledger'!$E:$E,E2667,'inventory ledger'!$A:$A,"&lt;="&amp;B2667+TIME(23,59,59)))</f>
        <v/>
      </c>
      <c r="G2667" s="3">
        <f>IFERROR(__xludf.DUMMYFUNCTION("IF(F2667&lt;=0,0,IFERROR(ROUNDUP(F2667/INDEX(FILTER('warehouse config'!$D:$D,('warehouse config'!$B:$B=C2667)*('warehouse config'!$C:$C=D2667)*('warehouse config'!$G:$G&lt;=B2667)*(('warehouse config'!$H:$H&gt;=B2667)+ISBLANK('warehouse config'!$H:$H))),1)),0))"),0.0)</f>
        <v>0</v>
      </c>
      <c r="H2667" s="3">
        <f>IFERROR(__xludf.DUMMYFUNCTION("IFERROR(INDEX(FILTER('cost master'!$E:$E,('cost master'!$B:$B=C2667)*('cost master'!$D:$D=""Storage cost per pallet / week"")*('cost master'!$G:$G&lt;=B2667)*(('cost master'!$H:$H&gt;=B2667)+ISBLANK('cost master'!$H:$H))),1),0)"),0.0)</f>
        <v>0</v>
      </c>
      <c r="I2667" s="3">
        <f t="shared" si="4"/>
        <v>0</v>
      </c>
      <c r="J2667" s="27">
        <f t="shared" si="5"/>
        <v>693947</v>
      </c>
      <c r="K2667" s="27">
        <f t="shared" si="6"/>
        <v>693977</v>
      </c>
    </row>
    <row r="2668" hidden="1">
      <c r="A2668" s="3" t="str">
        <f t="shared" si="3"/>
        <v/>
      </c>
      <c r="B2668" s="2" t="str">
        <f t="array" ref="B2668">INDEX(helper!$A$3:$A3996,ROUNDUP((ROW()-1)/COUNTA(helper!$D$3:$D3996),0))</f>
        <v/>
      </c>
      <c r="C2668" s="5" t="str">
        <f t="array" ref="C2668">IF(B2668="","",INDEX(helper!$D$3:$D3996,MOD(ROW()-2,COUNTA(helper!$D$3:$D3996))+1))</f>
        <v/>
      </c>
      <c r="D2668" s="3" t="str">
        <f t="array" ref="D2668">IF(B2668="","",INDEX(helper!$E$3:$E3996,MOD(ROW()-2,COUNTA(helper!$D$3:$D3996))+1))</f>
        <v/>
      </c>
      <c r="E2668" s="3" t="str">
        <f t="array" ref="E2668">IF(B2668="","",INDEX(helper!$F$3:$F3996,MOD(ROW()-2,COUNTA(helper!$D$3:$D3996))+1))</f>
        <v/>
      </c>
      <c r="F2668" s="3" t="str">
        <f>IF(B2668="","",SUMIFS('inventory ledger'!$H:$H,'inventory ledger'!$C:$C,C2668,'inventory ledger'!$D:$D,D2668,'inventory ledger'!$E:$E,E2668,'inventory ledger'!$A:$A,"&lt;="&amp;B2668+TIME(23,59,59))-SUMIFS('inventory ledger'!$I:$I,'inventory ledger'!$C:$C,C2668,'inventory ledger'!$D:$D,D2668,'inventory ledger'!$E:$E,E2668,'inventory ledger'!$A:$A,"&lt;="&amp;B2668+TIME(23,59,59)))</f>
        <v/>
      </c>
      <c r="G2668" s="3">
        <f>IFERROR(__xludf.DUMMYFUNCTION("IF(F2668&lt;=0,0,IFERROR(ROUNDUP(F2668/INDEX(FILTER('warehouse config'!$D:$D,('warehouse config'!$B:$B=C2668)*('warehouse config'!$C:$C=D2668)*('warehouse config'!$G:$G&lt;=B2668)*(('warehouse config'!$H:$H&gt;=B2668)+ISBLANK('warehouse config'!$H:$H))),1)),0))"),0.0)</f>
        <v>0</v>
      </c>
      <c r="H2668" s="3">
        <f>IFERROR(__xludf.DUMMYFUNCTION("IFERROR(INDEX(FILTER('cost master'!$E:$E,('cost master'!$B:$B=C2668)*('cost master'!$D:$D=""Storage cost per pallet / week"")*('cost master'!$G:$G&lt;=B2668)*(('cost master'!$H:$H&gt;=B2668)+ISBLANK('cost master'!$H:$H))),1),0)"),0.0)</f>
        <v>0</v>
      </c>
      <c r="I2668" s="3">
        <f t="shared" si="4"/>
        <v>0</v>
      </c>
      <c r="J2668" s="27">
        <f t="shared" si="5"/>
        <v>693947</v>
      </c>
      <c r="K2668" s="27">
        <f t="shared" si="6"/>
        <v>693977</v>
      </c>
    </row>
    <row r="2669" hidden="1">
      <c r="A2669" s="3" t="str">
        <f t="shared" si="3"/>
        <v/>
      </c>
      <c r="B2669" s="2" t="str">
        <f t="array" ref="B2669">INDEX(helper!$A$3:$A3996,ROUNDUP((ROW()-1)/COUNTA(helper!$D$3:$D3996),0))</f>
        <v/>
      </c>
      <c r="C2669" s="5" t="str">
        <f t="array" ref="C2669">IF(B2669="","",INDEX(helper!$D$3:$D3996,MOD(ROW()-2,COUNTA(helper!$D$3:$D3996))+1))</f>
        <v/>
      </c>
      <c r="D2669" s="3" t="str">
        <f t="array" ref="D2669">IF(B2669="","",INDEX(helper!$E$3:$E3996,MOD(ROW()-2,COUNTA(helper!$D$3:$D3996))+1))</f>
        <v/>
      </c>
      <c r="E2669" s="3" t="str">
        <f t="array" ref="E2669">IF(B2669="","",INDEX(helper!$F$3:$F3996,MOD(ROW()-2,COUNTA(helper!$D$3:$D3996))+1))</f>
        <v/>
      </c>
      <c r="F2669" s="3" t="str">
        <f>IF(B2669="","",SUMIFS('inventory ledger'!$H:$H,'inventory ledger'!$C:$C,C2669,'inventory ledger'!$D:$D,D2669,'inventory ledger'!$E:$E,E2669,'inventory ledger'!$A:$A,"&lt;="&amp;B2669+TIME(23,59,59))-SUMIFS('inventory ledger'!$I:$I,'inventory ledger'!$C:$C,C2669,'inventory ledger'!$D:$D,D2669,'inventory ledger'!$E:$E,E2669,'inventory ledger'!$A:$A,"&lt;="&amp;B2669+TIME(23,59,59)))</f>
        <v/>
      </c>
      <c r="G2669" s="3">
        <f>IFERROR(__xludf.DUMMYFUNCTION("IF(F2669&lt;=0,0,IFERROR(ROUNDUP(F2669/INDEX(FILTER('warehouse config'!$D:$D,('warehouse config'!$B:$B=C2669)*('warehouse config'!$C:$C=D2669)*('warehouse config'!$G:$G&lt;=B2669)*(('warehouse config'!$H:$H&gt;=B2669)+ISBLANK('warehouse config'!$H:$H))),1)),0))"),0.0)</f>
        <v>0</v>
      </c>
      <c r="H2669" s="3">
        <f>IFERROR(__xludf.DUMMYFUNCTION("IFERROR(INDEX(FILTER('cost master'!$E:$E,('cost master'!$B:$B=C2669)*('cost master'!$D:$D=""Storage cost per pallet / week"")*('cost master'!$G:$G&lt;=B2669)*(('cost master'!$H:$H&gt;=B2669)+ISBLANK('cost master'!$H:$H))),1),0)"),0.0)</f>
        <v>0</v>
      </c>
      <c r="I2669" s="3">
        <f t="shared" si="4"/>
        <v>0</v>
      </c>
      <c r="J2669" s="27">
        <f t="shared" si="5"/>
        <v>693947</v>
      </c>
      <c r="K2669" s="27">
        <f t="shared" si="6"/>
        <v>693977</v>
      </c>
    </row>
    <row r="2670" hidden="1">
      <c r="A2670" s="3" t="str">
        <f t="shared" si="3"/>
        <v/>
      </c>
      <c r="B2670" s="2" t="str">
        <f t="array" ref="B2670">INDEX(helper!$A$3:$A3996,ROUNDUP((ROW()-1)/COUNTA(helper!$D$3:$D3996),0))</f>
        <v/>
      </c>
      <c r="C2670" s="5" t="str">
        <f t="array" ref="C2670">IF(B2670="","",INDEX(helper!$D$3:$D3996,MOD(ROW()-2,COUNTA(helper!$D$3:$D3996))+1))</f>
        <v/>
      </c>
      <c r="D2670" s="3" t="str">
        <f t="array" ref="D2670">IF(B2670="","",INDEX(helper!$E$3:$E3996,MOD(ROW()-2,COUNTA(helper!$D$3:$D3996))+1))</f>
        <v/>
      </c>
      <c r="E2670" s="3" t="str">
        <f t="array" ref="E2670">IF(B2670="","",INDEX(helper!$F$3:$F3996,MOD(ROW()-2,COUNTA(helper!$D$3:$D3996))+1))</f>
        <v/>
      </c>
      <c r="F2670" s="3" t="str">
        <f>IF(B2670="","",SUMIFS('inventory ledger'!$H:$H,'inventory ledger'!$C:$C,C2670,'inventory ledger'!$D:$D,D2670,'inventory ledger'!$E:$E,E2670,'inventory ledger'!$A:$A,"&lt;="&amp;B2670+TIME(23,59,59))-SUMIFS('inventory ledger'!$I:$I,'inventory ledger'!$C:$C,C2670,'inventory ledger'!$D:$D,D2670,'inventory ledger'!$E:$E,E2670,'inventory ledger'!$A:$A,"&lt;="&amp;B2670+TIME(23,59,59)))</f>
        <v/>
      </c>
      <c r="G2670" s="3">
        <f>IFERROR(__xludf.DUMMYFUNCTION("IF(F2670&lt;=0,0,IFERROR(ROUNDUP(F2670/INDEX(FILTER('warehouse config'!$D:$D,('warehouse config'!$B:$B=C2670)*('warehouse config'!$C:$C=D2670)*('warehouse config'!$G:$G&lt;=B2670)*(('warehouse config'!$H:$H&gt;=B2670)+ISBLANK('warehouse config'!$H:$H))),1)),0))"),0.0)</f>
        <v>0</v>
      </c>
      <c r="H2670" s="3">
        <f>IFERROR(__xludf.DUMMYFUNCTION("IFERROR(INDEX(FILTER('cost master'!$E:$E,('cost master'!$B:$B=C2670)*('cost master'!$D:$D=""Storage cost per pallet / week"")*('cost master'!$G:$G&lt;=B2670)*(('cost master'!$H:$H&gt;=B2670)+ISBLANK('cost master'!$H:$H))),1),0)"),0.0)</f>
        <v>0</v>
      </c>
      <c r="I2670" s="3">
        <f t="shared" si="4"/>
        <v>0</v>
      </c>
      <c r="J2670" s="27">
        <f t="shared" si="5"/>
        <v>693947</v>
      </c>
      <c r="K2670" s="27">
        <f t="shared" si="6"/>
        <v>693977</v>
      </c>
    </row>
    <row r="2671" hidden="1">
      <c r="A2671" s="3" t="str">
        <f t="shared" si="3"/>
        <v/>
      </c>
      <c r="B2671" s="2" t="str">
        <f t="array" ref="B2671">INDEX(helper!$A$3:$A3996,ROUNDUP((ROW()-1)/COUNTA(helper!$D$3:$D3996),0))</f>
        <v/>
      </c>
      <c r="C2671" s="5" t="str">
        <f t="array" ref="C2671">IF(B2671="","",INDEX(helper!$D$3:$D3996,MOD(ROW()-2,COUNTA(helper!$D$3:$D3996))+1))</f>
        <v/>
      </c>
      <c r="D2671" s="3" t="str">
        <f t="array" ref="D2671">IF(B2671="","",INDEX(helper!$E$3:$E3996,MOD(ROW()-2,COUNTA(helper!$D$3:$D3996))+1))</f>
        <v/>
      </c>
      <c r="E2671" s="3" t="str">
        <f t="array" ref="E2671">IF(B2671="","",INDEX(helper!$F$3:$F3996,MOD(ROW()-2,COUNTA(helper!$D$3:$D3996))+1))</f>
        <v/>
      </c>
      <c r="F2671" s="3" t="str">
        <f>IF(B2671="","",SUMIFS('inventory ledger'!$H:$H,'inventory ledger'!$C:$C,C2671,'inventory ledger'!$D:$D,D2671,'inventory ledger'!$E:$E,E2671,'inventory ledger'!$A:$A,"&lt;="&amp;B2671+TIME(23,59,59))-SUMIFS('inventory ledger'!$I:$I,'inventory ledger'!$C:$C,C2671,'inventory ledger'!$D:$D,D2671,'inventory ledger'!$E:$E,E2671,'inventory ledger'!$A:$A,"&lt;="&amp;B2671+TIME(23,59,59)))</f>
        <v/>
      </c>
      <c r="G2671" s="3">
        <f>IFERROR(__xludf.DUMMYFUNCTION("IF(F2671&lt;=0,0,IFERROR(ROUNDUP(F2671/INDEX(FILTER('warehouse config'!$D:$D,('warehouse config'!$B:$B=C2671)*('warehouse config'!$C:$C=D2671)*('warehouse config'!$G:$G&lt;=B2671)*(('warehouse config'!$H:$H&gt;=B2671)+ISBLANK('warehouse config'!$H:$H))),1)),0))"),0.0)</f>
        <v>0</v>
      </c>
      <c r="H2671" s="3">
        <f>IFERROR(__xludf.DUMMYFUNCTION("IFERROR(INDEX(FILTER('cost master'!$E:$E,('cost master'!$B:$B=C2671)*('cost master'!$D:$D=""Storage cost per pallet / week"")*('cost master'!$G:$G&lt;=B2671)*(('cost master'!$H:$H&gt;=B2671)+ISBLANK('cost master'!$H:$H))),1),0)"),0.0)</f>
        <v>0</v>
      </c>
      <c r="I2671" s="3">
        <f t="shared" si="4"/>
        <v>0</v>
      </c>
      <c r="J2671" s="27">
        <f t="shared" si="5"/>
        <v>693947</v>
      </c>
      <c r="K2671" s="27">
        <f t="shared" si="6"/>
        <v>693977</v>
      </c>
    </row>
    <row r="2672" hidden="1">
      <c r="A2672" s="3" t="str">
        <f t="shared" si="3"/>
        <v/>
      </c>
      <c r="B2672" s="2" t="str">
        <f t="array" ref="B2672">INDEX(helper!$A$3:$A3996,ROUNDUP((ROW()-1)/COUNTA(helper!$D$3:$D3996),0))</f>
        <v/>
      </c>
      <c r="C2672" s="5" t="str">
        <f t="array" ref="C2672">IF(B2672="","",INDEX(helper!$D$3:$D3996,MOD(ROW()-2,COUNTA(helper!$D$3:$D3996))+1))</f>
        <v/>
      </c>
      <c r="D2672" s="3" t="str">
        <f t="array" ref="D2672">IF(B2672="","",INDEX(helper!$E$3:$E3996,MOD(ROW()-2,COUNTA(helper!$D$3:$D3996))+1))</f>
        <v/>
      </c>
      <c r="E2672" s="3" t="str">
        <f t="array" ref="E2672">IF(B2672="","",INDEX(helper!$F$3:$F3996,MOD(ROW()-2,COUNTA(helper!$D$3:$D3996))+1))</f>
        <v/>
      </c>
      <c r="F2672" s="3" t="str">
        <f>IF(B2672="","",SUMIFS('inventory ledger'!$H:$H,'inventory ledger'!$C:$C,C2672,'inventory ledger'!$D:$D,D2672,'inventory ledger'!$E:$E,E2672,'inventory ledger'!$A:$A,"&lt;="&amp;B2672+TIME(23,59,59))-SUMIFS('inventory ledger'!$I:$I,'inventory ledger'!$C:$C,C2672,'inventory ledger'!$D:$D,D2672,'inventory ledger'!$E:$E,E2672,'inventory ledger'!$A:$A,"&lt;="&amp;B2672+TIME(23,59,59)))</f>
        <v/>
      </c>
      <c r="G2672" s="3">
        <f>IFERROR(__xludf.DUMMYFUNCTION("IF(F2672&lt;=0,0,IFERROR(ROUNDUP(F2672/INDEX(FILTER('warehouse config'!$D:$D,('warehouse config'!$B:$B=C2672)*('warehouse config'!$C:$C=D2672)*('warehouse config'!$G:$G&lt;=B2672)*(('warehouse config'!$H:$H&gt;=B2672)+ISBLANK('warehouse config'!$H:$H))),1)),0))"),0.0)</f>
        <v>0</v>
      </c>
      <c r="H2672" s="3">
        <f>IFERROR(__xludf.DUMMYFUNCTION("IFERROR(INDEX(FILTER('cost master'!$E:$E,('cost master'!$B:$B=C2672)*('cost master'!$D:$D=""Storage cost per pallet / week"")*('cost master'!$G:$G&lt;=B2672)*(('cost master'!$H:$H&gt;=B2672)+ISBLANK('cost master'!$H:$H))),1),0)"),0.0)</f>
        <v>0</v>
      </c>
      <c r="I2672" s="3">
        <f t="shared" si="4"/>
        <v>0</v>
      </c>
      <c r="J2672" s="27">
        <f t="shared" si="5"/>
        <v>693947</v>
      </c>
      <c r="K2672" s="27">
        <f t="shared" si="6"/>
        <v>693977</v>
      </c>
    </row>
    <row r="2673" hidden="1">
      <c r="A2673" s="3" t="str">
        <f t="shared" si="3"/>
        <v/>
      </c>
      <c r="B2673" s="2" t="str">
        <f t="array" ref="B2673">INDEX(helper!$A$3:$A3996,ROUNDUP((ROW()-1)/COUNTA(helper!$D$3:$D3996),0))</f>
        <v/>
      </c>
      <c r="C2673" s="5" t="str">
        <f t="array" ref="C2673">IF(B2673="","",INDEX(helper!$D$3:$D3996,MOD(ROW()-2,COUNTA(helper!$D$3:$D3996))+1))</f>
        <v/>
      </c>
      <c r="D2673" s="3" t="str">
        <f t="array" ref="D2673">IF(B2673="","",INDEX(helper!$E$3:$E3996,MOD(ROW()-2,COUNTA(helper!$D$3:$D3996))+1))</f>
        <v/>
      </c>
      <c r="E2673" s="3" t="str">
        <f t="array" ref="E2673">IF(B2673="","",INDEX(helper!$F$3:$F3996,MOD(ROW()-2,COUNTA(helper!$D$3:$D3996))+1))</f>
        <v/>
      </c>
      <c r="F2673" s="3" t="str">
        <f>IF(B2673="","",SUMIFS('inventory ledger'!$H:$H,'inventory ledger'!$C:$C,C2673,'inventory ledger'!$D:$D,D2673,'inventory ledger'!$E:$E,E2673,'inventory ledger'!$A:$A,"&lt;="&amp;B2673+TIME(23,59,59))-SUMIFS('inventory ledger'!$I:$I,'inventory ledger'!$C:$C,C2673,'inventory ledger'!$D:$D,D2673,'inventory ledger'!$E:$E,E2673,'inventory ledger'!$A:$A,"&lt;="&amp;B2673+TIME(23,59,59)))</f>
        <v/>
      </c>
      <c r="G2673" s="3">
        <f>IFERROR(__xludf.DUMMYFUNCTION("IF(F2673&lt;=0,0,IFERROR(ROUNDUP(F2673/INDEX(FILTER('warehouse config'!$D:$D,('warehouse config'!$B:$B=C2673)*('warehouse config'!$C:$C=D2673)*('warehouse config'!$G:$G&lt;=B2673)*(('warehouse config'!$H:$H&gt;=B2673)+ISBLANK('warehouse config'!$H:$H))),1)),0))"),0.0)</f>
        <v>0</v>
      </c>
      <c r="H2673" s="3">
        <f>IFERROR(__xludf.DUMMYFUNCTION("IFERROR(INDEX(FILTER('cost master'!$E:$E,('cost master'!$B:$B=C2673)*('cost master'!$D:$D=""Storage cost per pallet / week"")*('cost master'!$G:$G&lt;=B2673)*(('cost master'!$H:$H&gt;=B2673)+ISBLANK('cost master'!$H:$H))),1),0)"),0.0)</f>
        <v>0</v>
      </c>
      <c r="I2673" s="3">
        <f t="shared" si="4"/>
        <v>0</v>
      </c>
      <c r="J2673" s="27">
        <f t="shared" si="5"/>
        <v>693947</v>
      </c>
      <c r="K2673" s="27">
        <f t="shared" si="6"/>
        <v>693977</v>
      </c>
    </row>
    <row r="2674" hidden="1">
      <c r="A2674" s="3" t="str">
        <f t="shared" si="3"/>
        <v/>
      </c>
      <c r="B2674" s="2" t="str">
        <f t="array" ref="B2674">INDEX(helper!$A$3:$A3996,ROUNDUP((ROW()-1)/COUNTA(helper!$D$3:$D3996),0))</f>
        <v/>
      </c>
      <c r="C2674" s="5" t="str">
        <f t="array" ref="C2674">IF(B2674="","",INDEX(helper!$D$3:$D3996,MOD(ROW()-2,COUNTA(helper!$D$3:$D3996))+1))</f>
        <v/>
      </c>
      <c r="D2674" s="3" t="str">
        <f t="array" ref="D2674">IF(B2674="","",INDEX(helper!$E$3:$E3996,MOD(ROW()-2,COUNTA(helper!$D$3:$D3996))+1))</f>
        <v/>
      </c>
      <c r="E2674" s="3" t="str">
        <f t="array" ref="E2674">IF(B2674="","",INDEX(helper!$F$3:$F3996,MOD(ROW()-2,COUNTA(helper!$D$3:$D3996))+1))</f>
        <v/>
      </c>
      <c r="F2674" s="3" t="str">
        <f>IF(B2674="","",SUMIFS('inventory ledger'!$H:$H,'inventory ledger'!$C:$C,C2674,'inventory ledger'!$D:$D,D2674,'inventory ledger'!$E:$E,E2674,'inventory ledger'!$A:$A,"&lt;="&amp;B2674+TIME(23,59,59))-SUMIFS('inventory ledger'!$I:$I,'inventory ledger'!$C:$C,C2674,'inventory ledger'!$D:$D,D2674,'inventory ledger'!$E:$E,E2674,'inventory ledger'!$A:$A,"&lt;="&amp;B2674+TIME(23,59,59)))</f>
        <v/>
      </c>
      <c r="G2674" s="3">
        <f>IFERROR(__xludf.DUMMYFUNCTION("IF(F2674&lt;=0,0,IFERROR(ROUNDUP(F2674/INDEX(FILTER('warehouse config'!$D:$D,('warehouse config'!$B:$B=C2674)*('warehouse config'!$C:$C=D2674)*('warehouse config'!$G:$G&lt;=B2674)*(('warehouse config'!$H:$H&gt;=B2674)+ISBLANK('warehouse config'!$H:$H))),1)),0))"),0.0)</f>
        <v>0</v>
      </c>
      <c r="H2674" s="3">
        <f>IFERROR(__xludf.DUMMYFUNCTION("IFERROR(INDEX(FILTER('cost master'!$E:$E,('cost master'!$B:$B=C2674)*('cost master'!$D:$D=""Storage cost per pallet / week"")*('cost master'!$G:$G&lt;=B2674)*(('cost master'!$H:$H&gt;=B2674)+ISBLANK('cost master'!$H:$H))),1),0)"),0.0)</f>
        <v>0</v>
      </c>
      <c r="I2674" s="3">
        <f t="shared" si="4"/>
        <v>0</v>
      </c>
      <c r="J2674" s="27">
        <f t="shared" si="5"/>
        <v>693947</v>
      </c>
      <c r="K2674" s="27">
        <f t="shared" si="6"/>
        <v>693977</v>
      </c>
    </row>
    <row r="2675" hidden="1">
      <c r="A2675" s="3" t="str">
        <f t="shared" si="3"/>
        <v/>
      </c>
      <c r="B2675" s="2" t="str">
        <f t="array" ref="B2675">INDEX(helper!$A$3:$A3996,ROUNDUP((ROW()-1)/COUNTA(helper!$D$3:$D3996),0))</f>
        <v/>
      </c>
      <c r="C2675" s="5" t="str">
        <f t="array" ref="C2675">IF(B2675="","",INDEX(helper!$D$3:$D3996,MOD(ROW()-2,COUNTA(helper!$D$3:$D3996))+1))</f>
        <v/>
      </c>
      <c r="D2675" s="3" t="str">
        <f t="array" ref="D2675">IF(B2675="","",INDEX(helper!$E$3:$E3996,MOD(ROW()-2,COUNTA(helper!$D$3:$D3996))+1))</f>
        <v/>
      </c>
      <c r="E2675" s="3" t="str">
        <f t="array" ref="E2675">IF(B2675="","",INDEX(helper!$F$3:$F3996,MOD(ROW()-2,COUNTA(helper!$D$3:$D3996))+1))</f>
        <v/>
      </c>
      <c r="F2675" s="3" t="str">
        <f>IF(B2675="","",SUMIFS('inventory ledger'!$H:$H,'inventory ledger'!$C:$C,C2675,'inventory ledger'!$D:$D,D2675,'inventory ledger'!$E:$E,E2675,'inventory ledger'!$A:$A,"&lt;="&amp;B2675+TIME(23,59,59))-SUMIFS('inventory ledger'!$I:$I,'inventory ledger'!$C:$C,C2675,'inventory ledger'!$D:$D,D2675,'inventory ledger'!$E:$E,E2675,'inventory ledger'!$A:$A,"&lt;="&amp;B2675+TIME(23,59,59)))</f>
        <v/>
      </c>
      <c r="G2675" s="3">
        <f>IFERROR(__xludf.DUMMYFUNCTION("IF(F2675&lt;=0,0,IFERROR(ROUNDUP(F2675/INDEX(FILTER('warehouse config'!$D:$D,('warehouse config'!$B:$B=C2675)*('warehouse config'!$C:$C=D2675)*('warehouse config'!$G:$G&lt;=B2675)*(('warehouse config'!$H:$H&gt;=B2675)+ISBLANK('warehouse config'!$H:$H))),1)),0))"),0.0)</f>
        <v>0</v>
      </c>
      <c r="H2675" s="3">
        <f>IFERROR(__xludf.DUMMYFUNCTION("IFERROR(INDEX(FILTER('cost master'!$E:$E,('cost master'!$B:$B=C2675)*('cost master'!$D:$D=""Storage cost per pallet / week"")*('cost master'!$G:$G&lt;=B2675)*(('cost master'!$H:$H&gt;=B2675)+ISBLANK('cost master'!$H:$H))),1),0)"),0.0)</f>
        <v>0</v>
      </c>
      <c r="I2675" s="3">
        <f t="shared" si="4"/>
        <v>0</v>
      </c>
      <c r="J2675" s="27">
        <f t="shared" si="5"/>
        <v>693947</v>
      </c>
      <c r="K2675" s="27">
        <f t="shared" si="6"/>
        <v>693977</v>
      </c>
    </row>
    <row r="2676" hidden="1">
      <c r="A2676" s="3" t="str">
        <f t="shared" si="3"/>
        <v/>
      </c>
      <c r="B2676" s="2" t="str">
        <f t="array" ref="B2676">INDEX(helper!$A$3:$A3996,ROUNDUP((ROW()-1)/COUNTA(helper!$D$3:$D3996),0))</f>
        <v/>
      </c>
      <c r="C2676" s="5" t="str">
        <f t="array" ref="C2676">IF(B2676="","",INDEX(helper!$D$3:$D3996,MOD(ROW()-2,COUNTA(helper!$D$3:$D3996))+1))</f>
        <v/>
      </c>
      <c r="D2676" s="3" t="str">
        <f t="array" ref="D2676">IF(B2676="","",INDEX(helper!$E$3:$E3996,MOD(ROW()-2,COUNTA(helper!$D$3:$D3996))+1))</f>
        <v/>
      </c>
      <c r="E2676" s="3" t="str">
        <f t="array" ref="E2676">IF(B2676="","",INDEX(helper!$F$3:$F3996,MOD(ROW()-2,COUNTA(helper!$D$3:$D3996))+1))</f>
        <v/>
      </c>
      <c r="F2676" s="3" t="str">
        <f>IF(B2676="","",SUMIFS('inventory ledger'!$H:$H,'inventory ledger'!$C:$C,C2676,'inventory ledger'!$D:$D,D2676,'inventory ledger'!$E:$E,E2676,'inventory ledger'!$A:$A,"&lt;="&amp;B2676+TIME(23,59,59))-SUMIFS('inventory ledger'!$I:$I,'inventory ledger'!$C:$C,C2676,'inventory ledger'!$D:$D,D2676,'inventory ledger'!$E:$E,E2676,'inventory ledger'!$A:$A,"&lt;="&amp;B2676+TIME(23,59,59)))</f>
        <v/>
      </c>
      <c r="G2676" s="3">
        <f>IFERROR(__xludf.DUMMYFUNCTION("IF(F2676&lt;=0,0,IFERROR(ROUNDUP(F2676/INDEX(FILTER('warehouse config'!$D:$D,('warehouse config'!$B:$B=C2676)*('warehouse config'!$C:$C=D2676)*('warehouse config'!$G:$G&lt;=B2676)*(('warehouse config'!$H:$H&gt;=B2676)+ISBLANK('warehouse config'!$H:$H))),1)),0))"),0.0)</f>
        <v>0</v>
      </c>
      <c r="H2676" s="3">
        <f>IFERROR(__xludf.DUMMYFUNCTION("IFERROR(INDEX(FILTER('cost master'!$E:$E,('cost master'!$B:$B=C2676)*('cost master'!$D:$D=""Storage cost per pallet / week"")*('cost master'!$G:$G&lt;=B2676)*(('cost master'!$H:$H&gt;=B2676)+ISBLANK('cost master'!$H:$H))),1),0)"),0.0)</f>
        <v>0</v>
      </c>
      <c r="I2676" s="3">
        <f t="shared" si="4"/>
        <v>0</v>
      </c>
      <c r="J2676" s="27">
        <f t="shared" si="5"/>
        <v>693947</v>
      </c>
      <c r="K2676" s="27">
        <f t="shared" si="6"/>
        <v>693977</v>
      </c>
    </row>
    <row r="2677" hidden="1">
      <c r="A2677" s="3" t="str">
        <f t="shared" si="3"/>
        <v/>
      </c>
      <c r="B2677" s="2" t="str">
        <f t="array" ref="B2677">INDEX(helper!$A$3:$A3996,ROUNDUP((ROW()-1)/COUNTA(helper!$D$3:$D3996),0))</f>
        <v/>
      </c>
      <c r="C2677" s="5" t="str">
        <f t="array" ref="C2677">IF(B2677="","",INDEX(helper!$D$3:$D3996,MOD(ROW()-2,COUNTA(helper!$D$3:$D3996))+1))</f>
        <v/>
      </c>
      <c r="D2677" s="3" t="str">
        <f t="array" ref="D2677">IF(B2677="","",INDEX(helper!$E$3:$E3996,MOD(ROW()-2,COUNTA(helper!$D$3:$D3996))+1))</f>
        <v/>
      </c>
      <c r="E2677" s="3" t="str">
        <f t="array" ref="E2677">IF(B2677="","",INDEX(helper!$F$3:$F3996,MOD(ROW()-2,COUNTA(helper!$D$3:$D3996))+1))</f>
        <v/>
      </c>
      <c r="F2677" s="3" t="str">
        <f>IF(B2677="","",SUMIFS('inventory ledger'!$H:$H,'inventory ledger'!$C:$C,C2677,'inventory ledger'!$D:$D,D2677,'inventory ledger'!$E:$E,E2677,'inventory ledger'!$A:$A,"&lt;="&amp;B2677+TIME(23,59,59))-SUMIFS('inventory ledger'!$I:$I,'inventory ledger'!$C:$C,C2677,'inventory ledger'!$D:$D,D2677,'inventory ledger'!$E:$E,E2677,'inventory ledger'!$A:$A,"&lt;="&amp;B2677+TIME(23,59,59)))</f>
        <v/>
      </c>
      <c r="G2677" s="3">
        <f>IFERROR(__xludf.DUMMYFUNCTION("IF(F2677&lt;=0,0,IFERROR(ROUNDUP(F2677/INDEX(FILTER('warehouse config'!$D:$D,('warehouse config'!$B:$B=C2677)*('warehouse config'!$C:$C=D2677)*('warehouse config'!$G:$G&lt;=B2677)*(('warehouse config'!$H:$H&gt;=B2677)+ISBLANK('warehouse config'!$H:$H))),1)),0))"),0.0)</f>
        <v>0</v>
      </c>
      <c r="H2677" s="3">
        <f>IFERROR(__xludf.DUMMYFUNCTION("IFERROR(INDEX(FILTER('cost master'!$E:$E,('cost master'!$B:$B=C2677)*('cost master'!$D:$D=""Storage cost per pallet / week"")*('cost master'!$G:$G&lt;=B2677)*(('cost master'!$H:$H&gt;=B2677)+ISBLANK('cost master'!$H:$H))),1),0)"),0.0)</f>
        <v>0</v>
      </c>
      <c r="I2677" s="3">
        <f t="shared" si="4"/>
        <v>0</v>
      </c>
      <c r="J2677" s="27">
        <f t="shared" si="5"/>
        <v>693947</v>
      </c>
      <c r="K2677" s="27">
        <f t="shared" si="6"/>
        <v>693977</v>
      </c>
    </row>
    <row r="2678" hidden="1">
      <c r="A2678" s="3" t="str">
        <f t="shared" si="3"/>
        <v/>
      </c>
      <c r="B2678" s="2" t="str">
        <f t="array" ref="B2678">INDEX(helper!$A$3:$A3996,ROUNDUP((ROW()-1)/COUNTA(helper!$D$3:$D3996),0))</f>
        <v/>
      </c>
      <c r="C2678" s="5" t="str">
        <f t="array" ref="C2678">IF(B2678="","",INDEX(helper!$D$3:$D3996,MOD(ROW()-2,COUNTA(helper!$D$3:$D3996))+1))</f>
        <v/>
      </c>
      <c r="D2678" s="3" t="str">
        <f t="array" ref="D2678">IF(B2678="","",INDEX(helper!$E$3:$E3996,MOD(ROW()-2,COUNTA(helper!$D$3:$D3996))+1))</f>
        <v/>
      </c>
      <c r="E2678" s="3" t="str">
        <f t="array" ref="E2678">IF(B2678="","",INDEX(helper!$F$3:$F3996,MOD(ROW()-2,COUNTA(helper!$D$3:$D3996))+1))</f>
        <v/>
      </c>
      <c r="F2678" s="3" t="str">
        <f>IF(B2678="","",SUMIFS('inventory ledger'!$H:$H,'inventory ledger'!$C:$C,C2678,'inventory ledger'!$D:$D,D2678,'inventory ledger'!$E:$E,E2678,'inventory ledger'!$A:$A,"&lt;="&amp;B2678+TIME(23,59,59))-SUMIFS('inventory ledger'!$I:$I,'inventory ledger'!$C:$C,C2678,'inventory ledger'!$D:$D,D2678,'inventory ledger'!$E:$E,E2678,'inventory ledger'!$A:$A,"&lt;="&amp;B2678+TIME(23,59,59)))</f>
        <v/>
      </c>
      <c r="G2678" s="3">
        <f>IFERROR(__xludf.DUMMYFUNCTION("IF(F2678&lt;=0,0,IFERROR(ROUNDUP(F2678/INDEX(FILTER('warehouse config'!$D:$D,('warehouse config'!$B:$B=C2678)*('warehouse config'!$C:$C=D2678)*('warehouse config'!$G:$G&lt;=B2678)*(('warehouse config'!$H:$H&gt;=B2678)+ISBLANK('warehouse config'!$H:$H))),1)),0))"),0.0)</f>
        <v>0</v>
      </c>
      <c r="H2678" s="3">
        <f>IFERROR(__xludf.DUMMYFUNCTION("IFERROR(INDEX(FILTER('cost master'!$E:$E,('cost master'!$B:$B=C2678)*('cost master'!$D:$D=""Storage cost per pallet / week"")*('cost master'!$G:$G&lt;=B2678)*(('cost master'!$H:$H&gt;=B2678)+ISBLANK('cost master'!$H:$H))),1),0)"),0.0)</f>
        <v>0</v>
      </c>
      <c r="I2678" s="3">
        <f t="shared" si="4"/>
        <v>0</v>
      </c>
      <c r="J2678" s="27">
        <f t="shared" si="5"/>
        <v>693947</v>
      </c>
      <c r="K2678" s="27">
        <f t="shared" si="6"/>
        <v>693977</v>
      </c>
    </row>
    <row r="2679" hidden="1">
      <c r="A2679" s="3" t="str">
        <f t="shared" si="3"/>
        <v/>
      </c>
      <c r="B2679" s="2" t="str">
        <f t="array" ref="B2679">INDEX(helper!$A$3:$A3996,ROUNDUP((ROW()-1)/COUNTA(helper!$D$3:$D3996),0))</f>
        <v/>
      </c>
      <c r="C2679" s="5" t="str">
        <f t="array" ref="C2679">IF(B2679="","",INDEX(helper!$D$3:$D3996,MOD(ROW()-2,COUNTA(helper!$D$3:$D3996))+1))</f>
        <v/>
      </c>
      <c r="D2679" s="3" t="str">
        <f t="array" ref="D2679">IF(B2679="","",INDEX(helper!$E$3:$E3996,MOD(ROW()-2,COUNTA(helper!$D$3:$D3996))+1))</f>
        <v/>
      </c>
      <c r="E2679" s="3" t="str">
        <f t="array" ref="E2679">IF(B2679="","",INDEX(helper!$F$3:$F3996,MOD(ROW()-2,COUNTA(helper!$D$3:$D3996))+1))</f>
        <v/>
      </c>
      <c r="F2679" s="3" t="str">
        <f>IF(B2679="","",SUMIFS('inventory ledger'!$H:$H,'inventory ledger'!$C:$C,C2679,'inventory ledger'!$D:$D,D2679,'inventory ledger'!$E:$E,E2679,'inventory ledger'!$A:$A,"&lt;="&amp;B2679+TIME(23,59,59))-SUMIFS('inventory ledger'!$I:$I,'inventory ledger'!$C:$C,C2679,'inventory ledger'!$D:$D,D2679,'inventory ledger'!$E:$E,E2679,'inventory ledger'!$A:$A,"&lt;="&amp;B2679+TIME(23,59,59)))</f>
        <v/>
      </c>
      <c r="G2679" s="3">
        <f>IFERROR(__xludf.DUMMYFUNCTION("IF(F2679&lt;=0,0,IFERROR(ROUNDUP(F2679/INDEX(FILTER('warehouse config'!$D:$D,('warehouse config'!$B:$B=C2679)*('warehouse config'!$C:$C=D2679)*('warehouse config'!$G:$G&lt;=B2679)*(('warehouse config'!$H:$H&gt;=B2679)+ISBLANK('warehouse config'!$H:$H))),1)),0))"),0.0)</f>
        <v>0</v>
      </c>
      <c r="H2679" s="3">
        <f>IFERROR(__xludf.DUMMYFUNCTION("IFERROR(INDEX(FILTER('cost master'!$E:$E,('cost master'!$B:$B=C2679)*('cost master'!$D:$D=""Storage cost per pallet / week"")*('cost master'!$G:$G&lt;=B2679)*(('cost master'!$H:$H&gt;=B2679)+ISBLANK('cost master'!$H:$H))),1),0)"),0.0)</f>
        <v>0</v>
      </c>
      <c r="I2679" s="3">
        <f t="shared" si="4"/>
        <v>0</v>
      </c>
      <c r="J2679" s="27">
        <f t="shared" si="5"/>
        <v>693947</v>
      </c>
      <c r="K2679" s="27">
        <f t="shared" si="6"/>
        <v>693977</v>
      </c>
    </row>
    <row r="2680" hidden="1">
      <c r="A2680" s="3" t="str">
        <f t="shared" si="3"/>
        <v/>
      </c>
      <c r="B2680" s="2" t="str">
        <f t="array" ref="B2680">INDEX(helper!$A$3:$A3996,ROUNDUP((ROW()-1)/COUNTA(helper!$D$3:$D3996),0))</f>
        <v/>
      </c>
      <c r="C2680" s="5" t="str">
        <f t="array" ref="C2680">IF(B2680="","",INDEX(helper!$D$3:$D3996,MOD(ROW()-2,COUNTA(helper!$D$3:$D3996))+1))</f>
        <v/>
      </c>
      <c r="D2680" s="3" t="str">
        <f t="array" ref="D2680">IF(B2680="","",INDEX(helper!$E$3:$E3996,MOD(ROW()-2,COUNTA(helper!$D$3:$D3996))+1))</f>
        <v/>
      </c>
      <c r="E2680" s="3" t="str">
        <f t="array" ref="E2680">IF(B2680="","",INDEX(helper!$F$3:$F3996,MOD(ROW()-2,COUNTA(helper!$D$3:$D3996))+1))</f>
        <v/>
      </c>
      <c r="F2680" s="3" t="str">
        <f>IF(B2680="","",SUMIFS('inventory ledger'!$H:$H,'inventory ledger'!$C:$C,C2680,'inventory ledger'!$D:$D,D2680,'inventory ledger'!$E:$E,E2680,'inventory ledger'!$A:$A,"&lt;="&amp;B2680+TIME(23,59,59))-SUMIFS('inventory ledger'!$I:$I,'inventory ledger'!$C:$C,C2680,'inventory ledger'!$D:$D,D2680,'inventory ledger'!$E:$E,E2680,'inventory ledger'!$A:$A,"&lt;="&amp;B2680+TIME(23,59,59)))</f>
        <v/>
      </c>
      <c r="G2680" s="3">
        <f>IFERROR(__xludf.DUMMYFUNCTION("IF(F2680&lt;=0,0,IFERROR(ROUNDUP(F2680/INDEX(FILTER('warehouse config'!$D:$D,('warehouse config'!$B:$B=C2680)*('warehouse config'!$C:$C=D2680)*('warehouse config'!$G:$G&lt;=B2680)*(('warehouse config'!$H:$H&gt;=B2680)+ISBLANK('warehouse config'!$H:$H))),1)),0))"),0.0)</f>
        <v>0</v>
      </c>
      <c r="H2680" s="3">
        <f>IFERROR(__xludf.DUMMYFUNCTION("IFERROR(INDEX(FILTER('cost master'!$E:$E,('cost master'!$B:$B=C2680)*('cost master'!$D:$D=""Storage cost per pallet / week"")*('cost master'!$G:$G&lt;=B2680)*(('cost master'!$H:$H&gt;=B2680)+ISBLANK('cost master'!$H:$H))),1),0)"),0.0)</f>
        <v>0</v>
      </c>
      <c r="I2680" s="3">
        <f t="shared" si="4"/>
        <v>0</v>
      </c>
      <c r="J2680" s="27">
        <f t="shared" si="5"/>
        <v>693947</v>
      </c>
      <c r="K2680" s="27">
        <f t="shared" si="6"/>
        <v>693977</v>
      </c>
    </row>
    <row r="2681" hidden="1">
      <c r="A2681" s="3" t="str">
        <f t="shared" si="3"/>
        <v/>
      </c>
      <c r="B2681" s="2" t="str">
        <f t="array" ref="B2681">INDEX(helper!$A$3:$A3996,ROUNDUP((ROW()-1)/COUNTA(helper!$D$3:$D3996),0))</f>
        <v/>
      </c>
      <c r="C2681" s="5" t="str">
        <f t="array" ref="C2681">IF(B2681="","",INDEX(helper!$D$3:$D3996,MOD(ROW()-2,COUNTA(helper!$D$3:$D3996))+1))</f>
        <v/>
      </c>
      <c r="D2681" s="3" t="str">
        <f t="array" ref="D2681">IF(B2681="","",INDEX(helper!$E$3:$E3996,MOD(ROW()-2,COUNTA(helper!$D$3:$D3996))+1))</f>
        <v/>
      </c>
      <c r="E2681" s="3" t="str">
        <f t="array" ref="E2681">IF(B2681="","",INDEX(helper!$F$3:$F3996,MOD(ROW()-2,COUNTA(helper!$D$3:$D3996))+1))</f>
        <v/>
      </c>
      <c r="F2681" s="3" t="str">
        <f>IF(B2681="","",SUMIFS('inventory ledger'!$H:$H,'inventory ledger'!$C:$C,C2681,'inventory ledger'!$D:$D,D2681,'inventory ledger'!$E:$E,E2681,'inventory ledger'!$A:$A,"&lt;="&amp;B2681+TIME(23,59,59))-SUMIFS('inventory ledger'!$I:$I,'inventory ledger'!$C:$C,C2681,'inventory ledger'!$D:$D,D2681,'inventory ledger'!$E:$E,E2681,'inventory ledger'!$A:$A,"&lt;="&amp;B2681+TIME(23,59,59)))</f>
        <v/>
      </c>
      <c r="G2681" s="3">
        <f>IFERROR(__xludf.DUMMYFUNCTION("IF(F2681&lt;=0,0,IFERROR(ROUNDUP(F2681/INDEX(FILTER('warehouse config'!$D:$D,('warehouse config'!$B:$B=C2681)*('warehouse config'!$C:$C=D2681)*('warehouse config'!$G:$G&lt;=B2681)*(('warehouse config'!$H:$H&gt;=B2681)+ISBLANK('warehouse config'!$H:$H))),1)),0))"),0.0)</f>
        <v>0</v>
      </c>
      <c r="H2681" s="3">
        <f>IFERROR(__xludf.DUMMYFUNCTION("IFERROR(INDEX(FILTER('cost master'!$E:$E,('cost master'!$B:$B=C2681)*('cost master'!$D:$D=""Storage cost per pallet / week"")*('cost master'!$G:$G&lt;=B2681)*(('cost master'!$H:$H&gt;=B2681)+ISBLANK('cost master'!$H:$H))),1),0)"),0.0)</f>
        <v>0</v>
      </c>
      <c r="I2681" s="3">
        <f t="shared" si="4"/>
        <v>0</v>
      </c>
      <c r="J2681" s="27">
        <f t="shared" si="5"/>
        <v>693947</v>
      </c>
      <c r="K2681" s="27">
        <f t="shared" si="6"/>
        <v>693977</v>
      </c>
    </row>
    <row r="2682" hidden="1">
      <c r="A2682" s="3" t="str">
        <f t="shared" si="3"/>
        <v/>
      </c>
      <c r="B2682" s="2" t="str">
        <f t="array" ref="B2682">INDEX(helper!$A$3:$A3996,ROUNDUP((ROW()-1)/COUNTA(helper!$D$3:$D3996),0))</f>
        <v/>
      </c>
      <c r="C2682" s="5" t="str">
        <f t="array" ref="C2682">IF(B2682="","",INDEX(helper!$D$3:$D3996,MOD(ROW()-2,COUNTA(helper!$D$3:$D3996))+1))</f>
        <v/>
      </c>
      <c r="D2682" s="3" t="str">
        <f t="array" ref="D2682">IF(B2682="","",INDEX(helper!$E$3:$E3996,MOD(ROW()-2,COUNTA(helper!$D$3:$D3996))+1))</f>
        <v/>
      </c>
      <c r="E2682" s="3" t="str">
        <f t="array" ref="E2682">IF(B2682="","",INDEX(helper!$F$3:$F3996,MOD(ROW()-2,COUNTA(helper!$D$3:$D3996))+1))</f>
        <v/>
      </c>
      <c r="F2682" s="3" t="str">
        <f>IF(B2682="","",SUMIFS('inventory ledger'!$H:$H,'inventory ledger'!$C:$C,C2682,'inventory ledger'!$D:$D,D2682,'inventory ledger'!$E:$E,E2682,'inventory ledger'!$A:$A,"&lt;="&amp;B2682+TIME(23,59,59))-SUMIFS('inventory ledger'!$I:$I,'inventory ledger'!$C:$C,C2682,'inventory ledger'!$D:$D,D2682,'inventory ledger'!$E:$E,E2682,'inventory ledger'!$A:$A,"&lt;="&amp;B2682+TIME(23,59,59)))</f>
        <v/>
      </c>
      <c r="G2682" s="3">
        <f>IFERROR(__xludf.DUMMYFUNCTION("IF(F2682&lt;=0,0,IFERROR(ROUNDUP(F2682/INDEX(FILTER('warehouse config'!$D:$D,('warehouse config'!$B:$B=C2682)*('warehouse config'!$C:$C=D2682)*('warehouse config'!$G:$G&lt;=B2682)*(('warehouse config'!$H:$H&gt;=B2682)+ISBLANK('warehouse config'!$H:$H))),1)),0))"),0.0)</f>
        <v>0</v>
      </c>
      <c r="H2682" s="3">
        <f>IFERROR(__xludf.DUMMYFUNCTION("IFERROR(INDEX(FILTER('cost master'!$E:$E,('cost master'!$B:$B=C2682)*('cost master'!$D:$D=""Storage cost per pallet / week"")*('cost master'!$G:$G&lt;=B2682)*(('cost master'!$H:$H&gt;=B2682)+ISBLANK('cost master'!$H:$H))),1),0)"),0.0)</f>
        <v>0</v>
      </c>
      <c r="I2682" s="3">
        <f t="shared" si="4"/>
        <v>0</v>
      </c>
      <c r="J2682" s="27">
        <f t="shared" si="5"/>
        <v>693947</v>
      </c>
      <c r="K2682" s="27">
        <f t="shared" si="6"/>
        <v>693977</v>
      </c>
    </row>
    <row r="2683" hidden="1">
      <c r="A2683" s="3" t="str">
        <f t="shared" si="3"/>
        <v/>
      </c>
      <c r="B2683" s="2" t="str">
        <f t="array" ref="B2683">INDEX(helper!$A$3:$A3996,ROUNDUP((ROW()-1)/COUNTA(helper!$D$3:$D3996),0))</f>
        <v/>
      </c>
      <c r="C2683" s="5" t="str">
        <f t="array" ref="C2683">IF(B2683="","",INDEX(helper!$D$3:$D3996,MOD(ROW()-2,COUNTA(helper!$D$3:$D3996))+1))</f>
        <v/>
      </c>
      <c r="D2683" s="3" t="str">
        <f t="array" ref="D2683">IF(B2683="","",INDEX(helper!$E$3:$E3996,MOD(ROW()-2,COUNTA(helper!$D$3:$D3996))+1))</f>
        <v/>
      </c>
      <c r="E2683" s="3" t="str">
        <f t="array" ref="E2683">IF(B2683="","",INDEX(helper!$F$3:$F3996,MOD(ROW()-2,COUNTA(helper!$D$3:$D3996))+1))</f>
        <v/>
      </c>
      <c r="F2683" s="3" t="str">
        <f>IF(B2683="","",SUMIFS('inventory ledger'!$H:$H,'inventory ledger'!$C:$C,C2683,'inventory ledger'!$D:$D,D2683,'inventory ledger'!$E:$E,E2683,'inventory ledger'!$A:$A,"&lt;="&amp;B2683+TIME(23,59,59))-SUMIFS('inventory ledger'!$I:$I,'inventory ledger'!$C:$C,C2683,'inventory ledger'!$D:$D,D2683,'inventory ledger'!$E:$E,E2683,'inventory ledger'!$A:$A,"&lt;="&amp;B2683+TIME(23,59,59)))</f>
        <v/>
      </c>
      <c r="G2683" s="3">
        <f>IFERROR(__xludf.DUMMYFUNCTION("IF(F2683&lt;=0,0,IFERROR(ROUNDUP(F2683/INDEX(FILTER('warehouse config'!$D:$D,('warehouse config'!$B:$B=C2683)*('warehouse config'!$C:$C=D2683)*('warehouse config'!$G:$G&lt;=B2683)*(('warehouse config'!$H:$H&gt;=B2683)+ISBLANK('warehouse config'!$H:$H))),1)),0))"),0.0)</f>
        <v>0</v>
      </c>
      <c r="H2683" s="3">
        <f>IFERROR(__xludf.DUMMYFUNCTION("IFERROR(INDEX(FILTER('cost master'!$E:$E,('cost master'!$B:$B=C2683)*('cost master'!$D:$D=""Storage cost per pallet / week"")*('cost master'!$G:$G&lt;=B2683)*(('cost master'!$H:$H&gt;=B2683)+ISBLANK('cost master'!$H:$H))),1),0)"),0.0)</f>
        <v>0</v>
      </c>
      <c r="I2683" s="3">
        <f t="shared" si="4"/>
        <v>0</v>
      </c>
      <c r="J2683" s="27">
        <f t="shared" si="5"/>
        <v>693947</v>
      </c>
      <c r="K2683" s="27">
        <f t="shared" si="6"/>
        <v>693977</v>
      </c>
    </row>
    <row r="2684" hidden="1">
      <c r="A2684" s="3" t="str">
        <f t="shared" si="3"/>
        <v/>
      </c>
      <c r="B2684" s="2" t="str">
        <f t="array" ref="B2684">INDEX(helper!$A$3:$A3996,ROUNDUP((ROW()-1)/COUNTA(helper!$D$3:$D3996),0))</f>
        <v/>
      </c>
      <c r="C2684" s="5" t="str">
        <f t="array" ref="C2684">IF(B2684="","",INDEX(helper!$D$3:$D3996,MOD(ROW()-2,COUNTA(helper!$D$3:$D3996))+1))</f>
        <v/>
      </c>
      <c r="D2684" s="3" t="str">
        <f t="array" ref="D2684">IF(B2684="","",INDEX(helper!$E$3:$E3996,MOD(ROW()-2,COUNTA(helper!$D$3:$D3996))+1))</f>
        <v/>
      </c>
      <c r="E2684" s="3" t="str">
        <f t="array" ref="E2684">IF(B2684="","",INDEX(helper!$F$3:$F3996,MOD(ROW()-2,COUNTA(helper!$D$3:$D3996))+1))</f>
        <v/>
      </c>
      <c r="F2684" s="3" t="str">
        <f>IF(B2684="","",SUMIFS('inventory ledger'!$H:$H,'inventory ledger'!$C:$C,C2684,'inventory ledger'!$D:$D,D2684,'inventory ledger'!$E:$E,E2684,'inventory ledger'!$A:$A,"&lt;="&amp;B2684+TIME(23,59,59))-SUMIFS('inventory ledger'!$I:$I,'inventory ledger'!$C:$C,C2684,'inventory ledger'!$D:$D,D2684,'inventory ledger'!$E:$E,E2684,'inventory ledger'!$A:$A,"&lt;="&amp;B2684+TIME(23,59,59)))</f>
        <v/>
      </c>
      <c r="G2684" s="3">
        <f>IFERROR(__xludf.DUMMYFUNCTION("IF(F2684&lt;=0,0,IFERROR(ROUNDUP(F2684/INDEX(FILTER('warehouse config'!$D:$D,('warehouse config'!$B:$B=C2684)*('warehouse config'!$C:$C=D2684)*('warehouse config'!$G:$G&lt;=B2684)*(('warehouse config'!$H:$H&gt;=B2684)+ISBLANK('warehouse config'!$H:$H))),1)),0))"),0.0)</f>
        <v>0</v>
      </c>
      <c r="H2684" s="3">
        <f>IFERROR(__xludf.DUMMYFUNCTION("IFERROR(INDEX(FILTER('cost master'!$E:$E,('cost master'!$B:$B=C2684)*('cost master'!$D:$D=""Storage cost per pallet / week"")*('cost master'!$G:$G&lt;=B2684)*(('cost master'!$H:$H&gt;=B2684)+ISBLANK('cost master'!$H:$H))),1),0)"),0.0)</f>
        <v>0</v>
      </c>
      <c r="I2684" s="3">
        <f t="shared" si="4"/>
        <v>0</v>
      </c>
      <c r="J2684" s="27">
        <f t="shared" si="5"/>
        <v>693947</v>
      </c>
      <c r="K2684" s="27">
        <f t="shared" si="6"/>
        <v>693977</v>
      </c>
    </row>
    <row r="2685" hidden="1">
      <c r="A2685" s="3" t="str">
        <f t="shared" si="3"/>
        <v/>
      </c>
      <c r="B2685" s="2" t="str">
        <f t="array" ref="B2685">INDEX(helper!$A$3:$A3996,ROUNDUP((ROW()-1)/COUNTA(helper!$D$3:$D3996),0))</f>
        <v/>
      </c>
      <c r="C2685" s="5" t="str">
        <f t="array" ref="C2685">IF(B2685="","",INDEX(helper!$D$3:$D3996,MOD(ROW()-2,COUNTA(helper!$D$3:$D3996))+1))</f>
        <v/>
      </c>
      <c r="D2685" s="3" t="str">
        <f t="array" ref="D2685">IF(B2685="","",INDEX(helper!$E$3:$E3996,MOD(ROW()-2,COUNTA(helper!$D$3:$D3996))+1))</f>
        <v/>
      </c>
      <c r="E2685" s="3" t="str">
        <f t="array" ref="E2685">IF(B2685="","",INDEX(helper!$F$3:$F3996,MOD(ROW()-2,COUNTA(helper!$D$3:$D3996))+1))</f>
        <v/>
      </c>
      <c r="F2685" s="3" t="str">
        <f>IF(B2685="","",SUMIFS('inventory ledger'!$H:$H,'inventory ledger'!$C:$C,C2685,'inventory ledger'!$D:$D,D2685,'inventory ledger'!$E:$E,E2685,'inventory ledger'!$A:$A,"&lt;="&amp;B2685+TIME(23,59,59))-SUMIFS('inventory ledger'!$I:$I,'inventory ledger'!$C:$C,C2685,'inventory ledger'!$D:$D,D2685,'inventory ledger'!$E:$E,E2685,'inventory ledger'!$A:$A,"&lt;="&amp;B2685+TIME(23,59,59)))</f>
        <v/>
      </c>
      <c r="G2685" s="3">
        <f>IFERROR(__xludf.DUMMYFUNCTION("IF(F2685&lt;=0,0,IFERROR(ROUNDUP(F2685/INDEX(FILTER('warehouse config'!$D:$D,('warehouse config'!$B:$B=C2685)*('warehouse config'!$C:$C=D2685)*('warehouse config'!$G:$G&lt;=B2685)*(('warehouse config'!$H:$H&gt;=B2685)+ISBLANK('warehouse config'!$H:$H))),1)),0))"),0.0)</f>
        <v>0</v>
      </c>
      <c r="H2685" s="3">
        <f>IFERROR(__xludf.DUMMYFUNCTION("IFERROR(INDEX(FILTER('cost master'!$E:$E,('cost master'!$B:$B=C2685)*('cost master'!$D:$D=""Storage cost per pallet / week"")*('cost master'!$G:$G&lt;=B2685)*(('cost master'!$H:$H&gt;=B2685)+ISBLANK('cost master'!$H:$H))),1),0)"),0.0)</f>
        <v>0</v>
      </c>
      <c r="I2685" s="3">
        <f t="shared" si="4"/>
        <v>0</v>
      </c>
      <c r="J2685" s="27">
        <f t="shared" si="5"/>
        <v>693947</v>
      </c>
      <c r="K2685" s="27">
        <f t="shared" si="6"/>
        <v>693977</v>
      </c>
    </row>
    <row r="2686" hidden="1">
      <c r="A2686" s="3" t="str">
        <f t="shared" si="3"/>
        <v/>
      </c>
      <c r="B2686" s="2" t="str">
        <f t="array" ref="B2686">INDEX(helper!$A$3:$A3996,ROUNDUP((ROW()-1)/COUNTA(helper!$D$3:$D3996),0))</f>
        <v/>
      </c>
      <c r="C2686" s="5" t="str">
        <f t="array" ref="C2686">IF(B2686="","",INDEX(helper!$D$3:$D3996,MOD(ROW()-2,COUNTA(helper!$D$3:$D3996))+1))</f>
        <v/>
      </c>
      <c r="D2686" s="3" t="str">
        <f t="array" ref="D2686">IF(B2686="","",INDEX(helper!$E$3:$E3996,MOD(ROW()-2,COUNTA(helper!$D$3:$D3996))+1))</f>
        <v/>
      </c>
      <c r="E2686" s="3" t="str">
        <f t="array" ref="E2686">IF(B2686="","",INDEX(helper!$F$3:$F3996,MOD(ROW()-2,COUNTA(helper!$D$3:$D3996))+1))</f>
        <v/>
      </c>
      <c r="F2686" s="3" t="str">
        <f>IF(B2686="","",SUMIFS('inventory ledger'!$H:$H,'inventory ledger'!$C:$C,C2686,'inventory ledger'!$D:$D,D2686,'inventory ledger'!$E:$E,E2686,'inventory ledger'!$A:$A,"&lt;="&amp;B2686+TIME(23,59,59))-SUMIFS('inventory ledger'!$I:$I,'inventory ledger'!$C:$C,C2686,'inventory ledger'!$D:$D,D2686,'inventory ledger'!$E:$E,E2686,'inventory ledger'!$A:$A,"&lt;="&amp;B2686+TIME(23,59,59)))</f>
        <v/>
      </c>
      <c r="G2686" s="3">
        <f>IFERROR(__xludf.DUMMYFUNCTION("IF(F2686&lt;=0,0,IFERROR(ROUNDUP(F2686/INDEX(FILTER('warehouse config'!$D:$D,('warehouse config'!$B:$B=C2686)*('warehouse config'!$C:$C=D2686)*('warehouse config'!$G:$G&lt;=B2686)*(('warehouse config'!$H:$H&gt;=B2686)+ISBLANK('warehouse config'!$H:$H))),1)),0))"),0.0)</f>
        <v>0</v>
      </c>
      <c r="H2686" s="3">
        <f>IFERROR(__xludf.DUMMYFUNCTION("IFERROR(INDEX(FILTER('cost master'!$E:$E,('cost master'!$B:$B=C2686)*('cost master'!$D:$D=""Storage cost per pallet / week"")*('cost master'!$G:$G&lt;=B2686)*(('cost master'!$H:$H&gt;=B2686)+ISBLANK('cost master'!$H:$H))),1),0)"),0.0)</f>
        <v>0</v>
      </c>
      <c r="I2686" s="3">
        <f t="shared" si="4"/>
        <v>0</v>
      </c>
      <c r="J2686" s="27">
        <f t="shared" si="5"/>
        <v>693947</v>
      </c>
      <c r="K2686" s="27">
        <f t="shared" si="6"/>
        <v>693977</v>
      </c>
    </row>
    <row r="2687" hidden="1">
      <c r="A2687" s="3" t="str">
        <f t="shared" si="3"/>
        <v/>
      </c>
      <c r="B2687" s="2" t="str">
        <f t="array" ref="B2687">INDEX(helper!$A$3:$A3996,ROUNDUP((ROW()-1)/COUNTA(helper!$D$3:$D3996),0))</f>
        <v/>
      </c>
      <c r="C2687" s="5" t="str">
        <f t="array" ref="C2687">IF(B2687="","",INDEX(helper!$D$3:$D3996,MOD(ROW()-2,COUNTA(helper!$D$3:$D3996))+1))</f>
        <v/>
      </c>
      <c r="D2687" s="3" t="str">
        <f t="array" ref="D2687">IF(B2687="","",INDEX(helper!$E$3:$E3996,MOD(ROW()-2,COUNTA(helper!$D$3:$D3996))+1))</f>
        <v/>
      </c>
      <c r="E2687" s="3" t="str">
        <f t="array" ref="E2687">IF(B2687="","",INDEX(helper!$F$3:$F3996,MOD(ROW()-2,COUNTA(helper!$D$3:$D3996))+1))</f>
        <v/>
      </c>
      <c r="F2687" s="3" t="str">
        <f>IF(B2687="","",SUMIFS('inventory ledger'!$H:$H,'inventory ledger'!$C:$C,C2687,'inventory ledger'!$D:$D,D2687,'inventory ledger'!$E:$E,E2687,'inventory ledger'!$A:$A,"&lt;="&amp;B2687+TIME(23,59,59))-SUMIFS('inventory ledger'!$I:$I,'inventory ledger'!$C:$C,C2687,'inventory ledger'!$D:$D,D2687,'inventory ledger'!$E:$E,E2687,'inventory ledger'!$A:$A,"&lt;="&amp;B2687+TIME(23,59,59)))</f>
        <v/>
      </c>
      <c r="G2687" s="3">
        <f>IFERROR(__xludf.DUMMYFUNCTION("IF(F2687&lt;=0,0,IFERROR(ROUNDUP(F2687/INDEX(FILTER('warehouse config'!$D:$D,('warehouse config'!$B:$B=C2687)*('warehouse config'!$C:$C=D2687)*('warehouse config'!$G:$G&lt;=B2687)*(('warehouse config'!$H:$H&gt;=B2687)+ISBLANK('warehouse config'!$H:$H))),1)),0))"),0.0)</f>
        <v>0</v>
      </c>
      <c r="H2687" s="3">
        <f>IFERROR(__xludf.DUMMYFUNCTION("IFERROR(INDEX(FILTER('cost master'!$E:$E,('cost master'!$B:$B=C2687)*('cost master'!$D:$D=""Storage cost per pallet / week"")*('cost master'!$G:$G&lt;=B2687)*(('cost master'!$H:$H&gt;=B2687)+ISBLANK('cost master'!$H:$H))),1),0)"),0.0)</f>
        <v>0</v>
      </c>
      <c r="I2687" s="3">
        <f t="shared" si="4"/>
        <v>0</v>
      </c>
      <c r="J2687" s="27">
        <f t="shared" si="5"/>
        <v>693947</v>
      </c>
      <c r="K2687" s="27">
        <f t="shared" si="6"/>
        <v>693977</v>
      </c>
    </row>
    <row r="2688" hidden="1">
      <c r="A2688" s="3" t="str">
        <f t="shared" si="3"/>
        <v/>
      </c>
      <c r="B2688" s="2" t="str">
        <f t="array" ref="B2688">INDEX(helper!$A$3:$A3996,ROUNDUP((ROW()-1)/COUNTA(helper!$D$3:$D3996),0))</f>
        <v/>
      </c>
      <c r="C2688" s="5" t="str">
        <f t="array" ref="C2688">IF(B2688="","",INDEX(helper!$D$3:$D3996,MOD(ROW()-2,COUNTA(helper!$D$3:$D3996))+1))</f>
        <v/>
      </c>
      <c r="D2688" s="3" t="str">
        <f t="array" ref="D2688">IF(B2688="","",INDEX(helper!$E$3:$E3996,MOD(ROW()-2,COUNTA(helper!$D$3:$D3996))+1))</f>
        <v/>
      </c>
      <c r="E2688" s="3" t="str">
        <f t="array" ref="E2688">IF(B2688="","",INDEX(helper!$F$3:$F3996,MOD(ROW()-2,COUNTA(helper!$D$3:$D3996))+1))</f>
        <v/>
      </c>
      <c r="F2688" s="3" t="str">
        <f>IF(B2688="","",SUMIFS('inventory ledger'!$H:$H,'inventory ledger'!$C:$C,C2688,'inventory ledger'!$D:$D,D2688,'inventory ledger'!$E:$E,E2688,'inventory ledger'!$A:$A,"&lt;="&amp;B2688+TIME(23,59,59))-SUMIFS('inventory ledger'!$I:$I,'inventory ledger'!$C:$C,C2688,'inventory ledger'!$D:$D,D2688,'inventory ledger'!$E:$E,E2688,'inventory ledger'!$A:$A,"&lt;="&amp;B2688+TIME(23,59,59)))</f>
        <v/>
      </c>
      <c r="G2688" s="3">
        <f>IFERROR(__xludf.DUMMYFUNCTION("IF(F2688&lt;=0,0,IFERROR(ROUNDUP(F2688/INDEX(FILTER('warehouse config'!$D:$D,('warehouse config'!$B:$B=C2688)*('warehouse config'!$C:$C=D2688)*('warehouse config'!$G:$G&lt;=B2688)*(('warehouse config'!$H:$H&gt;=B2688)+ISBLANK('warehouse config'!$H:$H))),1)),0))"),0.0)</f>
        <v>0</v>
      </c>
      <c r="H2688" s="3">
        <f>IFERROR(__xludf.DUMMYFUNCTION("IFERROR(INDEX(FILTER('cost master'!$E:$E,('cost master'!$B:$B=C2688)*('cost master'!$D:$D=""Storage cost per pallet / week"")*('cost master'!$G:$G&lt;=B2688)*(('cost master'!$H:$H&gt;=B2688)+ISBLANK('cost master'!$H:$H))),1),0)"),0.0)</f>
        <v>0</v>
      </c>
      <c r="I2688" s="3">
        <f t="shared" si="4"/>
        <v>0</v>
      </c>
      <c r="J2688" s="27">
        <f t="shared" si="5"/>
        <v>693947</v>
      </c>
      <c r="K2688" s="27">
        <f t="shared" si="6"/>
        <v>693977</v>
      </c>
    </row>
    <row r="2689" hidden="1">
      <c r="A2689" s="3" t="str">
        <f t="shared" si="3"/>
        <v/>
      </c>
      <c r="B2689" s="2" t="str">
        <f t="array" ref="B2689">INDEX(helper!$A$3:$A3996,ROUNDUP((ROW()-1)/COUNTA(helper!$D$3:$D3996),0))</f>
        <v/>
      </c>
      <c r="C2689" s="5" t="str">
        <f t="array" ref="C2689">IF(B2689="","",INDEX(helper!$D$3:$D3996,MOD(ROW()-2,COUNTA(helper!$D$3:$D3996))+1))</f>
        <v/>
      </c>
      <c r="D2689" s="3" t="str">
        <f t="array" ref="D2689">IF(B2689="","",INDEX(helper!$E$3:$E3996,MOD(ROW()-2,COUNTA(helper!$D$3:$D3996))+1))</f>
        <v/>
      </c>
      <c r="E2689" s="3" t="str">
        <f t="array" ref="E2689">IF(B2689="","",INDEX(helper!$F$3:$F3996,MOD(ROW()-2,COUNTA(helper!$D$3:$D3996))+1))</f>
        <v/>
      </c>
      <c r="F2689" s="3" t="str">
        <f>IF(B2689="","",SUMIFS('inventory ledger'!$H:$H,'inventory ledger'!$C:$C,C2689,'inventory ledger'!$D:$D,D2689,'inventory ledger'!$E:$E,E2689,'inventory ledger'!$A:$A,"&lt;="&amp;B2689+TIME(23,59,59))-SUMIFS('inventory ledger'!$I:$I,'inventory ledger'!$C:$C,C2689,'inventory ledger'!$D:$D,D2689,'inventory ledger'!$E:$E,E2689,'inventory ledger'!$A:$A,"&lt;="&amp;B2689+TIME(23,59,59)))</f>
        <v/>
      </c>
      <c r="G2689" s="3">
        <f>IFERROR(__xludf.DUMMYFUNCTION("IF(F2689&lt;=0,0,IFERROR(ROUNDUP(F2689/INDEX(FILTER('warehouse config'!$D:$D,('warehouse config'!$B:$B=C2689)*('warehouse config'!$C:$C=D2689)*('warehouse config'!$G:$G&lt;=B2689)*(('warehouse config'!$H:$H&gt;=B2689)+ISBLANK('warehouse config'!$H:$H))),1)),0))"),0.0)</f>
        <v>0</v>
      </c>
      <c r="H2689" s="3">
        <f>IFERROR(__xludf.DUMMYFUNCTION("IFERROR(INDEX(FILTER('cost master'!$E:$E,('cost master'!$B:$B=C2689)*('cost master'!$D:$D=""Storage cost per pallet / week"")*('cost master'!$G:$G&lt;=B2689)*(('cost master'!$H:$H&gt;=B2689)+ISBLANK('cost master'!$H:$H))),1),0)"),0.0)</f>
        <v>0</v>
      </c>
      <c r="I2689" s="3">
        <f t="shared" si="4"/>
        <v>0</v>
      </c>
      <c r="J2689" s="27">
        <f t="shared" si="5"/>
        <v>693947</v>
      </c>
      <c r="K2689" s="27">
        <f t="shared" si="6"/>
        <v>693977</v>
      </c>
    </row>
    <row r="2690" hidden="1">
      <c r="A2690" s="3" t="str">
        <f t="shared" si="3"/>
        <v/>
      </c>
      <c r="B2690" s="2" t="str">
        <f t="array" ref="B2690">INDEX(helper!$A$3:$A3996,ROUNDUP((ROW()-1)/COUNTA(helper!$D$3:$D3996),0))</f>
        <v/>
      </c>
      <c r="C2690" s="5" t="str">
        <f t="array" ref="C2690">IF(B2690="","",INDEX(helper!$D$3:$D3996,MOD(ROW()-2,COUNTA(helper!$D$3:$D3996))+1))</f>
        <v/>
      </c>
      <c r="D2690" s="3" t="str">
        <f t="array" ref="D2690">IF(B2690="","",INDEX(helper!$E$3:$E3996,MOD(ROW()-2,COUNTA(helper!$D$3:$D3996))+1))</f>
        <v/>
      </c>
      <c r="E2690" s="3" t="str">
        <f t="array" ref="E2690">IF(B2690="","",INDEX(helper!$F$3:$F3996,MOD(ROW()-2,COUNTA(helper!$D$3:$D3996))+1))</f>
        <v/>
      </c>
      <c r="F2690" s="3" t="str">
        <f>IF(B2690="","",SUMIFS('inventory ledger'!$H:$H,'inventory ledger'!$C:$C,C2690,'inventory ledger'!$D:$D,D2690,'inventory ledger'!$E:$E,E2690,'inventory ledger'!$A:$A,"&lt;="&amp;B2690+TIME(23,59,59))-SUMIFS('inventory ledger'!$I:$I,'inventory ledger'!$C:$C,C2690,'inventory ledger'!$D:$D,D2690,'inventory ledger'!$E:$E,E2690,'inventory ledger'!$A:$A,"&lt;="&amp;B2690+TIME(23,59,59)))</f>
        <v/>
      </c>
      <c r="G2690" s="3">
        <f>IFERROR(__xludf.DUMMYFUNCTION("IF(F2690&lt;=0,0,IFERROR(ROUNDUP(F2690/INDEX(FILTER('warehouse config'!$D:$D,('warehouse config'!$B:$B=C2690)*('warehouse config'!$C:$C=D2690)*('warehouse config'!$G:$G&lt;=B2690)*(('warehouse config'!$H:$H&gt;=B2690)+ISBLANK('warehouse config'!$H:$H))),1)),0))"),0.0)</f>
        <v>0</v>
      </c>
      <c r="H2690" s="3">
        <f>IFERROR(__xludf.DUMMYFUNCTION("IFERROR(INDEX(FILTER('cost master'!$E:$E,('cost master'!$B:$B=C2690)*('cost master'!$D:$D=""Storage cost per pallet / week"")*('cost master'!$G:$G&lt;=B2690)*(('cost master'!$H:$H&gt;=B2690)+ISBLANK('cost master'!$H:$H))),1),0)"),0.0)</f>
        <v>0</v>
      </c>
      <c r="I2690" s="3">
        <f t="shared" si="4"/>
        <v>0</v>
      </c>
      <c r="J2690" s="27">
        <f t="shared" si="5"/>
        <v>693947</v>
      </c>
      <c r="K2690" s="27">
        <f t="shared" si="6"/>
        <v>693977</v>
      </c>
    </row>
    <row r="2691" hidden="1">
      <c r="A2691" s="3" t="str">
        <f t="shared" si="3"/>
        <v/>
      </c>
      <c r="B2691" s="2" t="str">
        <f t="array" ref="B2691">INDEX(helper!$A$3:$A3996,ROUNDUP((ROW()-1)/COUNTA(helper!$D$3:$D3996),0))</f>
        <v/>
      </c>
      <c r="C2691" s="5" t="str">
        <f t="array" ref="C2691">IF(B2691="","",INDEX(helper!$D$3:$D3996,MOD(ROW()-2,COUNTA(helper!$D$3:$D3996))+1))</f>
        <v/>
      </c>
      <c r="D2691" s="3" t="str">
        <f t="array" ref="D2691">IF(B2691="","",INDEX(helper!$E$3:$E3996,MOD(ROW()-2,COUNTA(helper!$D$3:$D3996))+1))</f>
        <v/>
      </c>
      <c r="E2691" s="3" t="str">
        <f t="array" ref="E2691">IF(B2691="","",INDEX(helper!$F$3:$F3996,MOD(ROW()-2,COUNTA(helper!$D$3:$D3996))+1))</f>
        <v/>
      </c>
      <c r="F2691" s="3" t="str">
        <f>IF(B2691="","",SUMIFS('inventory ledger'!$H:$H,'inventory ledger'!$C:$C,C2691,'inventory ledger'!$D:$D,D2691,'inventory ledger'!$E:$E,E2691,'inventory ledger'!$A:$A,"&lt;="&amp;B2691+TIME(23,59,59))-SUMIFS('inventory ledger'!$I:$I,'inventory ledger'!$C:$C,C2691,'inventory ledger'!$D:$D,D2691,'inventory ledger'!$E:$E,E2691,'inventory ledger'!$A:$A,"&lt;="&amp;B2691+TIME(23,59,59)))</f>
        <v/>
      </c>
      <c r="G2691" s="3">
        <f>IFERROR(__xludf.DUMMYFUNCTION("IF(F2691&lt;=0,0,IFERROR(ROUNDUP(F2691/INDEX(FILTER('warehouse config'!$D:$D,('warehouse config'!$B:$B=C2691)*('warehouse config'!$C:$C=D2691)*('warehouse config'!$G:$G&lt;=B2691)*(('warehouse config'!$H:$H&gt;=B2691)+ISBLANK('warehouse config'!$H:$H))),1)),0))"),0.0)</f>
        <v>0</v>
      </c>
      <c r="H2691" s="3">
        <f>IFERROR(__xludf.DUMMYFUNCTION("IFERROR(INDEX(FILTER('cost master'!$E:$E,('cost master'!$B:$B=C2691)*('cost master'!$D:$D=""Storage cost per pallet / week"")*('cost master'!$G:$G&lt;=B2691)*(('cost master'!$H:$H&gt;=B2691)+ISBLANK('cost master'!$H:$H))),1),0)"),0.0)</f>
        <v>0</v>
      </c>
      <c r="I2691" s="3">
        <f t="shared" si="4"/>
        <v>0</v>
      </c>
      <c r="J2691" s="27">
        <f t="shared" si="5"/>
        <v>693947</v>
      </c>
      <c r="K2691" s="27">
        <f t="shared" si="6"/>
        <v>693977</v>
      </c>
    </row>
    <row r="2692" hidden="1">
      <c r="A2692" s="3" t="str">
        <f t="shared" si="3"/>
        <v/>
      </c>
      <c r="B2692" s="2" t="str">
        <f t="array" ref="B2692">INDEX(helper!$A$3:$A3996,ROUNDUP((ROW()-1)/COUNTA(helper!$D$3:$D3996),0))</f>
        <v/>
      </c>
      <c r="C2692" s="5" t="str">
        <f t="array" ref="C2692">IF(B2692="","",INDEX(helper!$D$3:$D3996,MOD(ROW()-2,COUNTA(helper!$D$3:$D3996))+1))</f>
        <v/>
      </c>
      <c r="D2692" s="3" t="str">
        <f t="array" ref="D2692">IF(B2692="","",INDEX(helper!$E$3:$E3996,MOD(ROW()-2,COUNTA(helper!$D$3:$D3996))+1))</f>
        <v/>
      </c>
      <c r="E2692" s="3" t="str">
        <f t="array" ref="E2692">IF(B2692="","",INDEX(helper!$F$3:$F3996,MOD(ROW()-2,COUNTA(helper!$D$3:$D3996))+1))</f>
        <v/>
      </c>
      <c r="F2692" s="3" t="str">
        <f>IF(B2692="","",SUMIFS('inventory ledger'!$H:$H,'inventory ledger'!$C:$C,C2692,'inventory ledger'!$D:$D,D2692,'inventory ledger'!$E:$E,E2692,'inventory ledger'!$A:$A,"&lt;="&amp;B2692+TIME(23,59,59))-SUMIFS('inventory ledger'!$I:$I,'inventory ledger'!$C:$C,C2692,'inventory ledger'!$D:$D,D2692,'inventory ledger'!$E:$E,E2692,'inventory ledger'!$A:$A,"&lt;="&amp;B2692+TIME(23,59,59)))</f>
        <v/>
      </c>
      <c r="G2692" s="3">
        <f>IFERROR(__xludf.DUMMYFUNCTION("IF(F2692&lt;=0,0,IFERROR(ROUNDUP(F2692/INDEX(FILTER('warehouse config'!$D:$D,('warehouse config'!$B:$B=C2692)*('warehouse config'!$C:$C=D2692)*('warehouse config'!$G:$G&lt;=B2692)*(('warehouse config'!$H:$H&gt;=B2692)+ISBLANK('warehouse config'!$H:$H))),1)),0))"),0.0)</f>
        <v>0</v>
      </c>
      <c r="H2692" s="3">
        <f>IFERROR(__xludf.DUMMYFUNCTION("IFERROR(INDEX(FILTER('cost master'!$E:$E,('cost master'!$B:$B=C2692)*('cost master'!$D:$D=""Storage cost per pallet / week"")*('cost master'!$G:$G&lt;=B2692)*(('cost master'!$H:$H&gt;=B2692)+ISBLANK('cost master'!$H:$H))),1),0)"),0.0)</f>
        <v>0</v>
      </c>
      <c r="I2692" s="3">
        <f t="shared" si="4"/>
        <v>0</v>
      </c>
      <c r="J2692" s="27">
        <f t="shared" si="5"/>
        <v>693947</v>
      </c>
      <c r="K2692" s="27">
        <f t="shared" si="6"/>
        <v>693977</v>
      </c>
    </row>
    <row r="2693" hidden="1">
      <c r="A2693" s="3" t="str">
        <f t="shared" si="3"/>
        <v/>
      </c>
      <c r="B2693" s="2" t="str">
        <f t="array" ref="B2693">INDEX(helper!$A$3:$A3996,ROUNDUP((ROW()-1)/COUNTA(helper!$D$3:$D3996),0))</f>
        <v/>
      </c>
      <c r="C2693" s="5" t="str">
        <f t="array" ref="C2693">IF(B2693="","",INDEX(helper!$D$3:$D3996,MOD(ROW()-2,COUNTA(helper!$D$3:$D3996))+1))</f>
        <v/>
      </c>
      <c r="D2693" s="3" t="str">
        <f t="array" ref="D2693">IF(B2693="","",INDEX(helper!$E$3:$E3996,MOD(ROW()-2,COUNTA(helper!$D$3:$D3996))+1))</f>
        <v/>
      </c>
      <c r="E2693" s="3" t="str">
        <f t="array" ref="E2693">IF(B2693="","",INDEX(helper!$F$3:$F3996,MOD(ROW()-2,COUNTA(helper!$D$3:$D3996))+1))</f>
        <v/>
      </c>
      <c r="F2693" s="3" t="str">
        <f>IF(B2693="","",SUMIFS('inventory ledger'!$H:$H,'inventory ledger'!$C:$C,C2693,'inventory ledger'!$D:$D,D2693,'inventory ledger'!$E:$E,E2693,'inventory ledger'!$A:$A,"&lt;="&amp;B2693+TIME(23,59,59))-SUMIFS('inventory ledger'!$I:$I,'inventory ledger'!$C:$C,C2693,'inventory ledger'!$D:$D,D2693,'inventory ledger'!$E:$E,E2693,'inventory ledger'!$A:$A,"&lt;="&amp;B2693+TIME(23,59,59)))</f>
        <v/>
      </c>
      <c r="G2693" s="3">
        <f>IFERROR(__xludf.DUMMYFUNCTION("IF(F2693&lt;=0,0,IFERROR(ROUNDUP(F2693/INDEX(FILTER('warehouse config'!$D:$D,('warehouse config'!$B:$B=C2693)*('warehouse config'!$C:$C=D2693)*('warehouse config'!$G:$G&lt;=B2693)*(('warehouse config'!$H:$H&gt;=B2693)+ISBLANK('warehouse config'!$H:$H))),1)),0))"),0.0)</f>
        <v>0</v>
      </c>
      <c r="H2693" s="3">
        <f>IFERROR(__xludf.DUMMYFUNCTION("IFERROR(INDEX(FILTER('cost master'!$E:$E,('cost master'!$B:$B=C2693)*('cost master'!$D:$D=""Storage cost per pallet / week"")*('cost master'!$G:$G&lt;=B2693)*(('cost master'!$H:$H&gt;=B2693)+ISBLANK('cost master'!$H:$H))),1),0)"),0.0)</f>
        <v>0</v>
      </c>
      <c r="I2693" s="3">
        <f t="shared" si="4"/>
        <v>0</v>
      </c>
      <c r="J2693" s="27">
        <f t="shared" si="5"/>
        <v>693947</v>
      </c>
      <c r="K2693" s="27">
        <f t="shared" si="6"/>
        <v>693977</v>
      </c>
    </row>
    <row r="2694" hidden="1">
      <c r="A2694" s="3" t="str">
        <f t="shared" si="3"/>
        <v/>
      </c>
      <c r="B2694" s="2" t="str">
        <f t="array" ref="B2694">INDEX(helper!$A$3:$A3996,ROUNDUP((ROW()-1)/COUNTA(helper!$D$3:$D3996),0))</f>
        <v/>
      </c>
      <c r="C2694" s="5" t="str">
        <f t="array" ref="C2694">IF(B2694="","",INDEX(helper!$D$3:$D3996,MOD(ROW()-2,COUNTA(helper!$D$3:$D3996))+1))</f>
        <v/>
      </c>
      <c r="D2694" s="3" t="str">
        <f t="array" ref="D2694">IF(B2694="","",INDEX(helper!$E$3:$E3996,MOD(ROW()-2,COUNTA(helper!$D$3:$D3996))+1))</f>
        <v/>
      </c>
      <c r="E2694" s="3" t="str">
        <f t="array" ref="E2694">IF(B2694="","",INDEX(helper!$F$3:$F3996,MOD(ROW()-2,COUNTA(helper!$D$3:$D3996))+1))</f>
        <v/>
      </c>
      <c r="F2694" s="3" t="str">
        <f>IF(B2694="","",SUMIFS('inventory ledger'!$H:$H,'inventory ledger'!$C:$C,C2694,'inventory ledger'!$D:$D,D2694,'inventory ledger'!$E:$E,E2694,'inventory ledger'!$A:$A,"&lt;="&amp;B2694+TIME(23,59,59))-SUMIFS('inventory ledger'!$I:$I,'inventory ledger'!$C:$C,C2694,'inventory ledger'!$D:$D,D2694,'inventory ledger'!$E:$E,E2694,'inventory ledger'!$A:$A,"&lt;="&amp;B2694+TIME(23,59,59)))</f>
        <v/>
      </c>
      <c r="G2694" s="3">
        <f>IFERROR(__xludf.DUMMYFUNCTION("IF(F2694&lt;=0,0,IFERROR(ROUNDUP(F2694/INDEX(FILTER('warehouse config'!$D:$D,('warehouse config'!$B:$B=C2694)*('warehouse config'!$C:$C=D2694)*('warehouse config'!$G:$G&lt;=B2694)*(('warehouse config'!$H:$H&gt;=B2694)+ISBLANK('warehouse config'!$H:$H))),1)),0))"),0.0)</f>
        <v>0</v>
      </c>
      <c r="H2694" s="3">
        <f>IFERROR(__xludf.DUMMYFUNCTION("IFERROR(INDEX(FILTER('cost master'!$E:$E,('cost master'!$B:$B=C2694)*('cost master'!$D:$D=""Storage cost per pallet / week"")*('cost master'!$G:$G&lt;=B2694)*(('cost master'!$H:$H&gt;=B2694)+ISBLANK('cost master'!$H:$H))),1),0)"),0.0)</f>
        <v>0</v>
      </c>
      <c r="I2694" s="3">
        <f t="shared" si="4"/>
        <v>0</v>
      </c>
      <c r="J2694" s="27">
        <f t="shared" si="5"/>
        <v>693947</v>
      </c>
      <c r="K2694" s="27">
        <f t="shared" si="6"/>
        <v>693977</v>
      </c>
    </row>
    <row r="2695" hidden="1">
      <c r="A2695" s="3" t="str">
        <f t="shared" si="3"/>
        <v/>
      </c>
      <c r="B2695" s="2" t="str">
        <f t="array" ref="B2695">INDEX(helper!$A$3:$A3996,ROUNDUP((ROW()-1)/COUNTA(helper!$D$3:$D3996),0))</f>
        <v/>
      </c>
      <c r="C2695" s="5" t="str">
        <f t="array" ref="C2695">IF(B2695="","",INDEX(helper!$D$3:$D3996,MOD(ROW()-2,COUNTA(helper!$D$3:$D3996))+1))</f>
        <v/>
      </c>
      <c r="D2695" s="3" t="str">
        <f t="array" ref="D2695">IF(B2695="","",INDEX(helper!$E$3:$E3996,MOD(ROW()-2,COUNTA(helper!$D$3:$D3996))+1))</f>
        <v/>
      </c>
      <c r="E2695" s="3" t="str">
        <f t="array" ref="E2695">IF(B2695="","",INDEX(helper!$F$3:$F3996,MOD(ROW()-2,COUNTA(helper!$D$3:$D3996))+1))</f>
        <v/>
      </c>
      <c r="F2695" s="3" t="str">
        <f>IF(B2695="","",SUMIFS('inventory ledger'!$H:$H,'inventory ledger'!$C:$C,C2695,'inventory ledger'!$D:$D,D2695,'inventory ledger'!$E:$E,E2695,'inventory ledger'!$A:$A,"&lt;="&amp;B2695+TIME(23,59,59))-SUMIFS('inventory ledger'!$I:$I,'inventory ledger'!$C:$C,C2695,'inventory ledger'!$D:$D,D2695,'inventory ledger'!$E:$E,E2695,'inventory ledger'!$A:$A,"&lt;="&amp;B2695+TIME(23,59,59)))</f>
        <v/>
      </c>
      <c r="G2695" s="3">
        <f>IFERROR(__xludf.DUMMYFUNCTION("IF(F2695&lt;=0,0,IFERROR(ROUNDUP(F2695/INDEX(FILTER('warehouse config'!$D:$D,('warehouse config'!$B:$B=C2695)*('warehouse config'!$C:$C=D2695)*('warehouse config'!$G:$G&lt;=B2695)*(('warehouse config'!$H:$H&gt;=B2695)+ISBLANK('warehouse config'!$H:$H))),1)),0))"),0.0)</f>
        <v>0</v>
      </c>
      <c r="H2695" s="3">
        <f>IFERROR(__xludf.DUMMYFUNCTION("IFERROR(INDEX(FILTER('cost master'!$E:$E,('cost master'!$B:$B=C2695)*('cost master'!$D:$D=""Storage cost per pallet / week"")*('cost master'!$G:$G&lt;=B2695)*(('cost master'!$H:$H&gt;=B2695)+ISBLANK('cost master'!$H:$H))),1),0)"),0.0)</f>
        <v>0</v>
      </c>
      <c r="I2695" s="3">
        <f t="shared" si="4"/>
        <v>0</v>
      </c>
      <c r="J2695" s="27">
        <f t="shared" si="5"/>
        <v>693947</v>
      </c>
      <c r="K2695" s="27">
        <f t="shared" si="6"/>
        <v>693977</v>
      </c>
    </row>
    <row r="2696" hidden="1">
      <c r="A2696" s="3" t="str">
        <f t="shared" si="3"/>
        <v/>
      </c>
      <c r="B2696" s="2" t="str">
        <f t="array" ref="B2696">INDEX(helper!$A$3:$A3996,ROUNDUP((ROW()-1)/COUNTA(helper!$D$3:$D3996),0))</f>
        <v/>
      </c>
      <c r="C2696" s="5" t="str">
        <f t="array" ref="C2696">IF(B2696="","",INDEX(helper!$D$3:$D3996,MOD(ROW()-2,COUNTA(helper!$D$3:$D3996))+1))</f>
        <v/>
      </c>
      <c r="D2696" s="3" t="str">
        <f t="array" ref="D2696">IF(B2696="","",INDEX(helper!$E$3:$E3996,MOD(ROW()-2,COUNTA(helper!$D$3:$D3996))+1))</f>
        <v/>
      </c>
      <c r="E2696" s="3" t="str">
        <f t="array" ref="E2696">IF(B2696="","",INDEX(helper!$F$3:$F3996,MOD(ROW()-2,COUNTA(helper!$D$3:$D3996))+1))</f>
        <v/>
      </c>
      <c r="F2696" s="3" t="str">
        <f>IF(B2696="","",SUMIFS('inventory ledger'!$H:$H,'inventory ledger'!$C:$C,C2696,'inventory ledger'!$D:$D,D2696,'inventory ledger'!$E:$E,E2696,'inventory ledger'!$A:$A,"&lt;="&amp;B2696+TIME(23,59,59))-SUMIFS('inventory ledger'!$I:$I,'inventory ledger'!$C:$C,C2696,'inventory ledger'!$D:$D,D2696,'inventory ledger'!$E:$E,E2696,'inventory ledger'!$A:$A,"&lt;="&amp;B2696+TIME(23,59,59)))</f>
        <v/>
      </c>
      <c r="G2696" s="3">
        <f>IFERROR(__xludf.DUMMYFUNCTION("IF(F2696&lt;=0,0,IFERROR(ROUNDUP(F2696/INDEX(FILTER('warehouse config'!$D:$D,('warehouse config'!$B:$B=C2696)*('warehouse config'!$C:$C=D2696)*('warehouse config'!$G:$G&lt;=B2696)*(('warehouse config'!$H:$H&gt;=B2696)+ISBLANK('warehouse config'!$H:$H))),1)),0))"),0.0)</f>
        <v>0</v>
      </c>
      <c r="H2696" s="3">
        <f>IFERROR(__xludf.DUMMYFUNCTION("IFERROR(INDEX(FILTER('cost master'!$E:$E,('cost master'!$B:$B=C2696)*('cost master'!$D:$D=""Storage cost per pallet / week"")*('cost master'!$G:$G&lt;=B2696)*(('cost master'!$H:$H&gt;=B2696)+ISBLANK('cost master'!$H:$H))),1),0)"),0.0)</f>
        <v>0</v>
      </c>
      <c r="I2696" s="3">
        <f t="shared" si="4"/>
        <v>0</v>
      </c>
      <c r="J2696" s="27">
        <f t="shared" si="5"/>
        <v>693947</v>
      </c>
      <c r="K2696" s="27">
        <f t="shared" si="6"/>
        <v>693977</v>
      </c>
    </row>
    <row r="2697" hidden="1">
      <c r="A2697" s="3" t="str">
        <f t="shared" si="3"/>
        <v/>
      </c>
      <c r="B2697" s="2" t="str">
        <f t="array" ref="B2697">INDEX(helper!$A$3:$A3996,ROUNDUP((ROW()-1)/COUNTA(helper!$D$3:$D3996),0))</f>
        <v/>
      </c>
      <c r="C2697" s="5" t="str">
        <f t="array" ref="C2697">IF(B2697="","",INDEX(helper!$D$3:$D3996,MOD(ROW()-2,COUNTA(helper!$D$3:$D3996))+1))</f>
        <v/>
      </c>
      <c r="D2697" s="3" t="str">
        <f t="array" ref="D2697">IF(B2697="","",INDEX(helper!$E$3:$E3996,MOD(ROW()-2,COUNTA(helper!$D$3:$D3996))+1))</f>
        <v/>
      </c>
      <c r="E2697" s="3" t="str">
        <f t="array" ref="E2697">IF(B2697="","",INDEX(helper!$F$3:$F3996,MOD(ROW()-2,COUNTA(helper!$D$3:$D3996))+1))</f>
        <v/>
      </c>
      <c r="F2697" s="3" t="str">
        <f>IF(B2697="","",SUMIFS('inventory ledger'!$H:$H,'inventory ledger'!$C:$C,C2697,'inventory ledger'!$D:$D,D2697,'inventory ledger'!$E:$E,E2697,'inventory ledger'!$A:$A,"&lt;="&amp;B2697+TIME(23,59,59))-SUMIFS('inventory ledger'!$I:$I,'inventory ledger'!$C:$C,C2697,'inventory ledger'!$D:$D,D2697,'inventory ledger'!$E:$E,E2697,'inventory ledger'!$A:$A,"&lt;="&amp;B2697+TIME(23,59,59)))</f>
        <v/>
      </c>
      <c r="G2697" s="3">
        <f>IFERROR(__xludf.DUMMYFUNCTION("IF(F2697&lt;=0,0,IFERROR(ROUNDUP(F2697/INDEX(FILTER('warehouse config'!$D:$D,('warehouse config'!$B:$B=C2697)*('warehouse config'!$C:$C=D2697)*('warehouse config'!$G:$G&lt;=B2697)*(('warehouse config'!$H:$H&gt;=B2697)+ISBLANK('warehouse config'!$H:$H))),1)),0))"),0.0)</f>
        <v>0</v>
      </c>
      <c r="H2697" s="3">
        <f>IFERROR(__xludf.DUMMYFUNCTION("IFERROR(INDEX(FILTER('cost master'!$E:$E,('cost master'!$B:$B=C2697)*('cost master'!$D:$D=""Storage cost per pallet / week"")*('cost master'!$G:$G&lt;=B2697)*(('cost master'!$H:$H&gt;=B2697)+ISBLANK('cost master'!$H:$H))),1),0)"),0.0)</f>
        <v>0</v>
      </c>
      <c r="I2697" s="3">
        <f t="shared" si="4"/>
        <v>0</v>
      </c>
      <c r="J2697" s="27">
        <f t="shared" si="5"/>
        <v>693947</v>
      </c>
      <c r="K2697" s="27">
        <f t="shared" si="6"/>
        <v>693977</v>
      </c>
    </row>
    <row r="2698" hidden="1">
      <c r="A2698" s="3" t="str">
        <f t="shared" si="3"/>
        <v/>
      </c>
      <c r="B2698" s="2" t="str">
        <f t="array" ref="B2698">INDEX(helper!$A$3:$A3996,ROUNDUP((ROW()-1)/COUNTA(helper!$D$3:$D3996),0))</f>
        <v/>
      </c>
      <c r="C2698" s="5" t="str">
        <f t="array" ref="C2698">IF(B2698="","",INDEX(helper!$D$3:$D3996,MOD(ROW()-2,COUNTA(helper!$D$3:$D3996))+1))</f>
        <v/>
      </c>
      <c r="D2698" s="3" t="str">
        <f t="array" ref="D2698">IF(B2698="","",INDEX(helper!$E$3:$E3996,MOD(ROW()-2,COUNTA(helper!$D$3:$D3996))+1))</f>
        <v/>
      </c>
      <c r="E2698" s="3" t="str">
        <f t="array" ref="E2698">IF(B2698="","",INDEX(helper!$F$3:$F3996,MOD(ROW()-2,COUNTA(helper!$D$3:$D3996))+1))</f>
        <v/>
      </c>
      <c r="F2698" s="3" t="str">
        <f>IF(B2698="","",SUMIFS('inventory ledger'!$H:$H,'inventory ledger'!$C:$C,C2698,'inventory ledger'!$D:$D,D2698,'inventory ledger'!$E:$E,E2698,'inventory ledger'!$A:$A,"&lt;="&amp;B2698+TIME(23,59,59))-SUMIFS('inventory ledger'!$I:$I,'inventory ledger'!$C:$C,C2698,'inventory ledger'!$D:$D,D2698,'inventory ledger'!$E:$E,E2698,'inventory ledger'!$A:$A,"&lt;="&amp;B2698+TIME(23,59,59)))</f>
        <v/>
      </c>
      <c r="G2698" s="3">
        <f>IFERROR(__xludf.DUMMYFUNCTION("IF(F2698&lt;=0,0,IFERROR(ROUNDUP(F2698/INDEX(FILTER('warehouse config'!$D:$D,('warehouse config'!$B:$B=C2698)*('warehouse config'!$C:$C=D2698)*('warehouse config'!$G:$G&lt;=B2698)*(('warehouse config'!$H:$H&gt;=B2698)+ISBLANK('warehouse config'!$H:$H))),1)),0))"),0.0)</f>
        <v>0</v>
      </c>
      <c r="H2698" s="3">
        <f>IFERROR(__xludf.DUMMYFUNCTION("IFERROR(INDEX(FILTER('cost master'!$E:$E,('cost master'!$B:$B=C2698)*('cost master'!$D:$D=""Storage cost per pallet / week"")*('cost master'!$G:$G&lt;=B2698)*(('cost master'!$H:$H&gt;=B2698)+ISBLANK('cost master'!$H:$H))),1),0)"),0.0)</f>
        <v>0</v>
      </c>
      <c r="I2698" s="3">
        <f t="shared" si="4"/>
        <v>0</v>
      </c>
      <c r="J2698" s="27">
        <f t="shared" si="5"/>
        <v>693947</v>
      </c>
      <c r="K2698" s="27">
        <f t="shared" si="6"/>
        <v>693977</v>
      </c>
    </row>
    <row r="2699" hidden="1">
      <c r="A2699" s="3" t="str">
        <f t="shared" si="3"/>
        <v/>
      </c>
      <c r="B2699" s="2" t="str">
        <f t="array" ref="B2699">INDEX(helper!$A$3:$A3996,ROUNDUP((ROW()-1)/COUNTA(helper!$D$3:$D3996),0))</f>
        <v/>
      </c>
      <c r="C2699" s="5" t="str">
        <f t="array" ref="C2699">IF(B2699="","",INDEX(helper!$D$3:$D3996,MOD(ROW()-2,COUNTA(helper!$D$3:$D3996))+1))</f>
        <v/>
      </c>
      <c r="D2699" s="3" t="str">
        <f t="array" ref="D2699">IF(B2699="","",INDEX(helper!$E$3:$E3996,MOD(ROW()-2,COUNTA(helper!$D$3:$D3996))+1))</f>
        <v/>
      </c>
      <c r="E2699" s="3" t="str">
        <f t="array" ref="E2699">IF(B2699="","",INDEX(helper!$F$3:$F3996,MOD(ROW()-2,COUNTA(helper!$D$3:$D3996))+1))</f>
        <v/>
      </c>
      <c r="F2699" s="3" t="str">
        <f>IF(B2699="","",SUMIFS('inventory ledger'!$H:$H,'inventory ledger'!$C:$C,C2699,'inventory ledger'!$D:$D,D2699,'inventory ledger'!$E:$E,E2699,'inventory ledger'!$A:$A,"&lt;="&amp;B2699+TIME(23,59,59))-SUMIFS('inventory ledger'!$I:$I,'inventory ledger'!$C:$C,C2699,'inventory ledger'!$D:$D,D2699,'inventory ledger'!$E:$E,E2699,'inventory ledger'!$A:$A,"&lt;="&amp;B2699+TIME(23,59,59)))</f>
        <v/>
      </c>
      <c r="G2699" s="3">
        <f>IFERROR(__xludf.DUMMYFUNCTION("IF(F2699&lt;=0,0,IFERROR(ROUNDUP(F2699/INDEX(FILTER('warehouse config'!$D:$D,('warehouse config'!$B:$B=C2699)*('warehouse config'!$C:$C=D2699)*('warehouse config'!$G:$G&lt;=B2699)*(('warehouse config'!$H:$H&gt;=B2699)+ISBLANK('warehouse config'!$H:$H))),1)),0))"),0.0)</f>
        <v>0</v>
      </c>
      <c r="H2699" s="3">
        <f>IFERROR(__xludf.DUMMYFUNCTION("IFERROR(INDEX(FILTER('cost master'!$E:$E,('cost master'!$B:$B=C2699)*('cost master'!$D:$D=""Storage cost per pallet / week"")*('cost master'!$G:$G&lt;=B2699)*(('cost master'!$H:$H&gt;=B2699)+ISBLANK('cost master'!$H:$H))),1),0)"),0.0)</f>
        <v>0</v>
      </c>
      <c r="I2699" s="3">
        <f t="shared" si="4"/>
        <v>0</v>
      </c>
      <c r="J2699" s="27">
        <f t="shared" si="5"/>
        <v>693947</v>
      </c>
      <c r="K2699" s="27">
        <f t="shared" si="6"/>
        <v>693977</v>
      </c>
    </row>
    <row r="2700" hidden="1">
      <c r="A2700" s="3" t="str">
        <f t="shared" si="3"/>
        <v/>
      </c>
      <c r="B2700" s="2" t="str">
        <f t="array" ref="B2700">INDEX(helper!$A$3:$A3996,ROUNDUP((ROW()-1)/COUNTA(helper!$D$3:$D3996),0))</f>
        <v/>
      </c>
      <c r="C2700" s="5" t="str">
        <f t="array" ref="C2700">IF(B2700="","",INDEX(helper!$D$3:$D3996,MOD(ROW()-2,COUNTA(helper!$D$3:$D3996))+1))</f>
        <v/>
      </c>
      <c r="D2700" s="3" t="str">
        <f t="array" ref="D2700">IF(B2700="","",INDEX(helper!$E$3:$E3996,MOD(ROW()-2,COUNTA(helper!$D$3:$D3996))+1))</f>
        <v/>
      </c>
      <c r="E2700" s="3" t="str">
        <f t="array" ref="E2700">IF(B2700="","",INDEX(helper!$F$3:$F3996,MOD(ROW()-2,COUNTA(helper!$D$3:$D3996))+1))</f>
        <v/>
      </c>
      <c r="F2700" s="3" t="str">
        <f>IF(B2700="","",SUMIFS('inventory ledger'!$H:$H,'inventory ledger'!$C:$C,C2700,'inventory ledger'!$D:$D,D2700,'inventory ledger'!$E:$E,E2700,'inventory ledger'!$A:$A,"&lt;="&amp;B2700+TIME(23,59,59))-SUMIFS('inventory ledger'!$I:$I,'inventory ledger'!$C:$C,C2700,'inventory ledger'!$D:$D,D2700,'inventory ledger'!$E:$E,E2700,'inventory ledger'!$A:$A,"&lt;="&amp;B2700+TIME(23,59,59)))</f>
        <v/>
      </c>
      <c r="G2700" s="3">
        <f>IFERROR(__xludf.DUMMYFUNCTION("IF(F2700&lt;=0,0,IFERROR(ROUNDUP(F2700/INDEX(FILTER('warehouse config'!$D:$D,('warehouse config'!$B:$B=C2700)*('warehouse config'!$C:$C=D2700)*('warehouse config'!$G:$G&lt;=B2700)*(('warehouse config'!$H:$H&gt;=B2700)+ISBLANK('warehouse config'!$H:$H))),1)),0))"),0.0)</f>
        <v>0</v>
      </c>
      <c r="H2700" s="3">
        <f>IFERROR(__xludf.DUMMYFUNCTION("IFERROR(INDEX(FILTER('cost master'!$E:$E,('cost master'!$B:$B=C2700)*('cost master'!$D:$D=""Storage cost per pallet / week"")*('cost master'!$G:$G&lt;=B2700)*(('cost master'!$H:$H&gt;=B2700)+ISBLANK('cost master'!$H:$H))),1),0)"),0.0)</f>
        <v>0</v>
      </c>
      <c r="I2700" s="3">
        <f t="shared" si="4"/>
        <v>0</v>
      </c>
      <c r="J2700" s="27">
        <f t="shared" si="5"/>
        <v>693947</v>
      </c>
      <c r="K2700" s="27">
        <f t="shared" si="6"/>
        <v>693977</v>
      </c>
    </row>
    <row r="2701" hidden="1">
      <c r="A2701" s="3" t="str">
        <f t="shared" si="3"/>
        <v/>
      </c>
      <c r="B2701" s="2" t="str">
        <f t="array" ref="B2701">INDEX(helper!$A$3:$A3996,ROUNDUP((ROW()-1)/COUNTA(helper!$D$3:$D3996),0))</f>
        <v/>
      </c>
      <c r="C2701" s="5" t="str">
        <f t="array" ref="C2701">IF(B2701="","",INDEX(helper!$D$3:$D3996,MOD(ROW()-2,COUNTA(helper!$D$3:$D3996))+1))</f>
        <v/>
      </c>
      <c r="D2701" s="3" t="str">
        <f t="array" ref="D2701">IF(B2701="","",INDEX(helper!$E$3:$E3996,MOD(ROW()-2,COUNTA(helper!$D$3:$D3996))+1))</f>
        <v/>
      </c>
      <c r="E2701" s="3" t="str">
        <f t="array" ref="E2701">IF(B2701="","",INDEX(helper!$F$3:$F3996,MOD(ROW()-2,COUNTA(helper!$D$3:$D3996))+1))</f>
        <v/>
      </c>
      <c r="F2701" s="3" t="str">
        <f>IF(B2701="","",SUMIFS('inventory ledger'!$H:$H,'inventory ledger'!$C:$C,C2701,'inventory ledger'!$D:$D,D2701,'inventory ledger'!$E:$E,E2701,'inventory ledger'!$A:$A,"&lt;="&amp;B2701+TIME(23,59,59))-SUMIFS('inventory ledger'!$I:$I,'inventory ledger'!$C:$C,C2701,'inventory ledger'!$D:$D,D2701,'inventory ledger'!$E:$E,E2701,'inventory ledger'!$A:$A,"&lt;="&amp;B2701+TIME(23,59,59)))</f>
        <v/>
      </c>
      <c r="G2701" s="3">
        <f>IFERROR(__xludf.DUMMYFUNCTION("IF(F2701&lt;=0,0,IFERROR(ROUNDUP(F2701/INDEX(FILTER('warehouse config'!$D:$D,('warehouse config'!$B:$B=C2701)*('warehouse config'!$C:$C=D2701)*('warehouse config'!$G:$G&lt;=B2701)*(('warehouse config'!$H:$H&gt;=B2701)+ISBLANK('warehouse config'!$H:$H))),1)),0))"),0.0)</f>
        <v>0</v>
      </c>
      <c r="H2701" s="3">
        <f>IFERROR(__xludf.DUMMYFUNCTION("IFERROR(INDEX(FILTER('cost master'!$E:$E,('cost master'!$B:$B=C2701)*('cost master'!$D:$D=""Storage cost per pallet / week"")*('cost master'!$G:$G&lt;=B2701)*(('cost master'!$H:$H&gt;=B2701)+ISBLANK('cost master'!$H:$H))),1),0)"),0.0)</f>
        <v>0</v>
      </c>
      <c r="I2701" s="3">
        <f t="shared" si="4"/>
        <v>0</v>
      </c>
      <c r="J2701" s="27">
        <f t="shared" si="5"/>
        <v>693947</v>
      </c>
      <c r="K2701" s="27">
        <f t="shared" si="6"/>
        <v>693977</v>
      </c>
    </row>
    <row r="2702" hidden="1">
      <c r="A2702" s="3" t="str">
        <f t="shared" si="3"/>
        <v/>
      </c>
      <c r="B2702" s="2" t="str">
        <f t="array" ref="B2702">INDEX(helper!$A$3:$A3996,ROUNDUP((ROW()-1)/COUNTA(helper!$D$3:$D3996),0))</f>
        <v/>
      </c>
      <c r="C2702" s="5" t="str">
        <f t="array" ref="C2702">IF(B2702="","",INDEX(helper!$D$3:$D3996,MOD(ROW()-2,COUNTA(helper!$D$3:$D3996))+1))</f>
        <v/>
      </c>
      <c r="D2702" s="3" t="str">
        <f t="array" ref="D2702">IF(B2702="","",INDEX(helper!$E$3:$E3996,MOD(ROW()-2,COUNTA(helper!$D$3:$D3996))+1))</f>
        <v/>
      </c>
      <c r="E2702" s="3" t="str">
        <f t="array" ref="E2702">IF(B2702="","",INDEX(helper!$F$3:$F3996,MOD(ROW()-2,COUNTA(helper!$D$3:$D3996))+1))</f>
        <v/>
      </c>
      <c r="F2702" s="3" t="str">
        <f>IF(B2702="","",SUMIFS('inventory ledger'!$H:$H,'inventory ledger'!$C:$C,C2702,'inventory ledger'!$D:$D,D2702,'inventory ledger'!$E:$E,E2702,'inventory ledger'!$A:$A,"&lt;="&amp;B2702+TIME(23,59,59))-SUMIFS('inventory ledger'!$I:$I,'inventory ledger'!$C:$C,C2702,'inventory ledger'!$D:$D,D2702,'inventory ledger'!$E:$E,E2702,'inventory ledger'!$A:$A,"&lt;="&amp;B2702+TIME(23,59,59)))</f>
        <v/>
      </c>
      <c r="G2702" s="3">
        <f>IFERROR(__xludf.DUMMYFUNCTION("IF(F2702&lt;=0,0,IFERROR(ROUNDUP(F2702/INDEX(FILTER('warehouse config'!$D:$D,('warehouse config'!$B:$B=C2702)*('warehouse config'!$C:$C=D2702)*('warehouse config'!$G:$G&lt;=B2702)*(('warehouse config'!$H:$H&gt;=B2702)+ISBLANK('warehouse config'!$H:$H))),1)),0))"),0.0)</f>
        <v>0</v>
      </c>
      <c r="H2702" s="3">
        <f>IFERROR(__xludf.DUMMYFUNCTION("IFERROR(INDEX(FILTER('cost master'!$E:$E,('cost master'!$B:$B=C2702)*('cost master'!$D:$D=""Storage cost per pallet / week"")*('cost master'!$G:$G&lt;=B2702)*(('cost master'!$H:$H&gt;=B2702)+ISBLANK('cost master'!$H:$H))),1),0)"),0.0)</f>
        <v>0</v>
      </c>
      <c r="I2702" s="3">
        <f t="shared" si="4"/>
        <v>0</v>
      </c>
      <c r="J2702" s="27">
        <f t="shared" si="5"/>
        <v>693947</v>
      </c>
      <c r="K2702" s="27">
        <f t="shared" si="6"/>
        <v>693977</v>
      </c>
    </row>
    <row r="2703" hidden="1">
      <c r="A2703" s="3" t="str">
        <f t="shared" si="3"/>
        <v/>
      </c>
      <c r="B2703" s="2" t="str">
        <f t="array" ref="B2703">INDEX(helper!$A$3:$A3996,ROUNDUP((ROW()-1)/COUNTA(helper!$D$3:$D3996),0))</f>
        <v/>
      </c>
      <c r="C2703" s="5" t="str">
        <f t="array" ref="C2703">IF(B2703="","",INDEX(helper!$D$3:$D3996,MOD(ROW()-2,COUNTA(helper!$D$3:$D3996))+1))</f>
        <v/>
      </c>
      <c r="D2703" s="3" t="str">
        <f t="array" ref="D2703">IF(B2703="","",INDEX(helper!$E$3:$E3996,MOD(ROW()-2,COUNTA(helper!$D$3:$D3996))+1))</f>
        <v/>
      </c>
      <c r="E2703" s="3" t="str">
        <f t="array" ref="E2703">IF(B2703="","",INDEX(helper!$F$3:$F3996,MOD(ROW()-2,COUNTA(helper!$D$3:$D3996))+1))</f>
        <v/>
      </c>
      <c r="F2703" s="3" t="str">
        <f>IF(B2703="","",SUMIFS('inventory ledger'!$H:$H,'inventory ledger'!$C:$C,C2703,'inventory ledger'!$D:$D,D2703,'inventory ledger'!$E:$E,E2703,'inventory ledger'!$A:$A,"&lt;="&amp;B2703+TIME(23,59,59))-SUMIFS('inventory ledger'!$I:$I,'inventory ledger'!$C:$C,C2703,'inventory ledger'!$D:$D,D2703,'inventory ledger'!$E:$E,E2703,'inventory ledger'!$A:$A,"&lt;="&amp;B2703+TIME(23,59,59)))</f>
        <v/>
      </c>
      <c r="G2703" s="3">
        <f>IFERROR(__xludf.DUMMYFUNCTION("IF(F2703&lt;=0,0,IFERROR(ROUNDUP(F2703/INDEX(FILTER('warehouse config'!$D:$D,('warehouse config'!$B:$B=C2703)*('warehouse config'!$C:$C=D2703)*('warehouse config'!$G:$G&lt;=B2703)*(('warehouse config'!$H:$H&gt;=B2703)+ISBLANK('warehouse config'!$H:$H))),1)),0))"),0.0)</f>
        <v>0</v>
      </c>
      <c r="H2703" s="3">
        <f>IFERROR(__xludf.DUMMYFUNCTION("IFERROR(INDEX(FILTER('cost master'!$E:$E,('cost master'!$B:$B=C2703)*('cost master'!$D:$D=""Storage cost per pallet / week"")*('cost master'!$G:$G&lt;=B2703)*(('cost master'!$H:$H&gt;=B2703)+ISBLANK('cost master'!$H:$H))),1),0)"),0.0)</f>
        <v>0</v>
      </c>
      <c r="I2703" s="3">
        <f t="shared" si="4"/>
        <v>0</v>
      </c>
      <c r="J2703" s="27">
        <f t="shared" si="5"/>
        <v>693947</v>
      </c>
      <c r="K2703" s="27">
        <f t="shared" si="6"/>
        <v>693977</v>
      </c>
    </row>
    <row r="2704" hidden="1">
      <c r="A2704" s="3" t="str">
        <f t="shared" si="3"/>
        <v/>
      </c>
      <c r="B2704" s="2" t="str">
        <f t="array" ref="B2704">INDEX(helper!$A$3:$A3996,ROUNDUP((ROW()-1)/COUNTA(helper!$D$3:$D3996),0))</f>
        <v/>
      </c>
      <c r="C2704" s="5" t="str">
        <f t="array" ref="C2704">IF(B2704="","",INDEX(helper!$D$3:$D3996,MOD(ROW()-2,COUNTA(helper!$D$3:$D3996))+1))</f>
        <v/>
      </c>
      <c r="D2704" s="3" t="str">
        <f t="array" ref="D2704">IF(B2704="","",INDEX(helper!$E$3:$E3996,MOD(ROW()-2,COUNTA(helper!$D$3:$D3996))+1))</f>
        <v/>
      </c>
      <c r="E2704" s="3" t="str">
        <f t="array" ref="E2704">IF(B2704="","",INDEX(helper!$F$3:$F3996,MOD(ROW()-2,COUNTA(helper!$D$3:$D3996))+1))</f>
        <v/>
      </c>
      <c r="F2704" s="3" t="str">
        <f>IF(B2704="","",SUMIFS('inventory ledger'!$H:$H,'inventory ledger'!$C:$C,C2704,'inventory ledger'!$D:$D,D2704,'inventory ledger'!$E:$E,E2704,'inventory ledger'!$A:$A,"&lt;="&amp;B2704+TIME(23,59,59))-SUMIFS('inventory ledger'!$I:$I,'inventory ledger'!$C:$C,C2704,'inventory ledger'!$D:$D,D2704,'inventory ledger'!$E:$E,E2704,'inventory ledger'!$A:$A,"&lt;="&amp;B2704+TIME(23,59,59)))</f>
        <v/>
      </c>
      <c r="G2704" s="3">
        <f>IFERROR(__xludf.DUMMYFUNCTION("IF(F2704&lt;=0,0,IFERROR(ROUNDUP(F2704/INDEX(FILTER('warehouse config'!$D:$D,('warehouse config'!$B:$B=C2704)*('warehouse config'!$C:$C=D2704)*('warehouse config'!$G:$G&lt;=B2704)*(('warehouse config'!$H:$H&gt;=B2704)+ISBLANK('warehouse config'!$H:$H))),1)),0))"),0.0)</f>
        <v>0</v>
      </c>
      <c r="H2704" s="3">
        <f>IFERROR(__xludf.DUMMYFUNCTION("IFERROR(INDEX(FILTER('cost master'!$E:$E,('cost master'!$B:$B=C2704)*('cost master'!$D:$D=""Storage cost per pallet / week"")*('cost master'!$G:$G&lt;=B2704)*(('cost master'!$H:$H&gt;=B2704)+ISBLANK('cost master'!$H:$H))),1),0)"),0.0)</f>
        <v>0</v>
      </c>
      <c r="I2704" s="3">
        <f t="shared" si="4"/>
        <v>0</v>
      </c>
      <c r="J2704" s="27">
        <f t="shared" si="5"/>
        <v>693947</v>
      </c>
      <c r="K2704" s="27">
        <f t="shared" si="6"/>
        <v>693977</v>
      </c>
    </row>
    <row r="2705" hidden="1">
      <c r="A2705" s="3" t="str">
        <f t="shared" si="3"/>
        <v/>
      </c>
      <c r="B2705" s="2" t="str">
        <f t="array" ref="B2705">INDEX(helper!$A$3:$A3996,ROUNDUP((ROW()-1)/COUNTA(helper!$D$3:$D3996),0))</f>
        <v/>
      </c>
      <c r="C2705" s="5" t="str">
        <f t="array" ref="C2705">IF(B2705="","",INDEX(helper!$D$3:$D3996,MOD(ROW()-2,COUNTA(helper!$D$3:$D3996))+1))</f>
        <v/>
      </c>
      <c r="D2705" s="3" t="str">
        <f t="array" ref="D2705">IF(B2705="","",INDEX(helper!$E$3:$E3996,MOD(ROW()-2,COUNTA(helper!$D$3:$D3996))+1))</f>
        <v/>
      </c>
      <c r="E2705" s="3" t="str">
        <f t="array" ref="E2705">IF(B2705="","",INDEX(helper!$F$3:$F3996,MOD(ROW()-2,COUNTA(helper!$D$3:$D3996))+1))</f>
        <v/>
      </c>
      <c r="F2705" s="3" t="str">
        <f>IF(B2705="","",SUMIFS('inventory ledger'!$H:$H,'inventory ledger'!$C:$C,C2705,'inventory ledger'!$D:$D,D2705,'inventory ledger'!$E:$E,E2705,'inventory ledger'!$A:$A,"&lt;="&amp;B2705+TIME(23,59,59))-SUMIFS('inventory ledger'!$I:$I,'inventory ledger'!$C:$C,C2705,'inventory ledger'!$D:$D,D2705,'inventory ledger'!$E:$E,E2705,'inventory ledger'!$A:$A,"&lt;="&amp;B2705+TIME(23,59,59)))</f>
        <v/>
      </c>
      <c r="G2705" s="3">
        <f>IFERROR(__xludf.DUMMYFUNCTION("IF(F2705&lt;=0,0,IFERROR(ROUNDUP(F2705/INDEX(FILTER('warehouse config'!$D:$D,('warehouse config'!$B:$B=C2705)*('warehouse config'!$C:$C=D2705)*('warehouse config'!$G:$G&lt;=B2705)*(('warehouse config'!$H:$H&gt;=B2705)+ISBLANK('warehouse config'!$H:$H))),1)),0))"),0.0)</f>
        <v>0</v>
      </c>
      <c r="H2705" s="3">
        <f>IFERROR(__xludf.DUMMYFUNCTION("IFERROR(INDEX(FILTER('cost master'!$E:$E,('cost master'!$B:$B=C2705)*('cost master'!$D:$D=""Storage cost per pallet / week"")*('cost master'!$G:$G&lt;=B2705)*(('cost master'!$H:$H&gt;=B2705)+ISBLANK('cost master'!$H:$H))),1),0)"),0.0)</f>
        <v>0</v>
      </c>
      <c r="I2705" s="3">
        <f t="shared" si="4"/>
        <v>0</v>
      </c>
      <c r="J2705" s="27">
        <f t="shared" si="5"/>
        <v>693947</v>
      </c>
      <c r="K2705" s="27">
        <f t="shared" si="6"/>
        <v>693977</v>
      </c>
    </row>
    <row r="2706" hidden="1">
      <c r="A2706" s="3" t="str">
        <f t="shared" si="3"/>
        <v/>
      </c>
      <c r="B2706" s="2" t="str">
        <f t="array" ref="B2706">INDEX(helper!$A$3:$A3996,ROUNDUP((ROW()-1)/COUNTA(helper!$D$3:$D3996),0))</f>
        <v/>
      </c>
      <c r="C2706" s="5" t="str">
        <f t="array" ref="C2706">IF(B2706="","",INDEX(helper!$D$3:$D3996,MOD(ROW()-2,COUNTA(helper!$D$3:$D3996))+1))</f>
        <v/>
      </c>
      <c r="D2706" s="3" t="str">
        <f t="array" ref="D2706">IF(B2706="","",INDEX(helper!$E$3:$E3996,MOD(ROW()-2,COUNTA(helper!$D$3:$D3996))+1))</f>
        <v/>
      </c>
      <c r="E2706" s="3" t="str">
        <f t="array" ref="E2706">IF(B2706="","",INDEX(helper!$F$3:$F3996,MOD(ROW()-2,COUNTA(helper!$D$3:$D3996))+1))</f>
        <v/>
      </c>
      <c r="F2706" s="3" t="str">
        <f>IF(B2706="","",SUMIFS('inventory ledger'!$H:$H,'inventory ledger'!$C:$C,C2706,'inventory ledger'!$D:$D,D2706,'inventory ledger'!$E:$E,E2706,'inventory ledger'!$A:$A,"&lt;="&amp;B2706+TIME(23,59,59))-SUMIFS('inventory ledger'!$I:$I,'inventory ledger'!$C:$C,C2706,'inventory ledger'!$D:$D,D2706,'inventory ledger'!$E:$E,E2706,'inventory ledger'!$A:$A,"&lt;="&amp;B2706+TIME(23,59,59)))</f>
        <v/>
      </c>
      <c r="G2706" s="3">
        <f>IFERROR(__xludf.DUMMYFUNCTION("IF(F2706&lt;=0,0,IFERROR(ROUNDUP(F2706/INDEX(FILTER('warehouse config'!$D:$D,('warehouse config'!$B:$B=C2706)*('warehouse config'!$C:$C=D2706)*('warehouse config'!$G:$G&lt;=B2706)*(('warehouse config'!$H:$H&gt;=B2706)+ISBLANK('warehouse config'!$H:$H))),1)),0))"),0.0)</f>
        <v>0</v>
      </c>
      <c r="H2706" s="3">
        <f>IFERROR(__xludf.DUMMYFUNCTION("IFERROR(INDEX(FILTER('cost master'!$E:$E,('cost master'!$B:$B=C2706)*('cost master'!$D:$D=""Storage cost per pallet / week"")*('cost master'!$G:$G&lt;=B2706)*(('cost master'!$H:$H&gt;=B2706)+ISBLANK('cost master'!$H:$H))),1),0)"),0.0)</f>
        <v>0</v>
      </c>
      <c r="I2706" s="3">
        <f t="shared" si="4"/>
        <v>0</v>
      </c>
      <c r="J2706" s="27">
        <f t="shared" si="5"/>
        <v>693947</v>
      </c>
      <c r="K2706" s="27">
        <f t="shared" si="6"/>
        <v>693977</v>
      </c>
    </row>
    <row r="2707" hidden="1">
      <c r="A2707" s="3" t="str">
        <f t="shared" si="3"/>
        <v/>
      </c>
      <c r="B2707" s="2" t="str">
        <f t="array" ref="B2707">INDEX(helper!$A$3:$A3996,ROUNDUP((ROW()-1)/COUNTA(helper!$D$3:$D3996),0))</f>
        <v/>
      </c>
      <c r="C2707" s="5" t="str">
        <f t="array" ref="C2707">IF(B2707="","",INDEX(helper!$D$3:$D3996,MOD(ROW()-2,COUNTA(helper!$D$3:$D3996))+1))</f>
        <v/>
      </c>
      <c r="D2707" s="3" t="str">
        <f t="array" ref="D2707">IF(B2707="","",INDEX(helper!$E$3:$E3996,MOD(ROW()-2,COUNTA(helper!$D$3:$D3996))+1))</f>
        <v/>
      </c>
      <c r="E2707" s="3" t="str">
        <f t="array" ref="E2707">IF(B2707="","",INDEX(helper!$F$3:$F3996,MOD(ROW()-2,COUNTA(helper!$D$3:$D3996))+1))</f>
        <v/>
      </c>
      <c r="F2707" s="3" t="str">
        <f>IF(B2707="","",SUMIFS('inventory ledger'!$H:$H,'inventory ledger'!$C:$C,C2707,'inventory ledger'!$D:$D,D2707,'inventory ledger'!$E:$E,E2707,'inventory ledger'!$A:$A,"&lt;="&amp;B2707+TIME(23,59,59))-SUMIFS('inventory ledger'!$I:$I,'inventory ledger'!$C:$C,C2707,'inventory ledger'!$D:$D,D2707,'inventory ledger'!$E:$E,E2707,'inventory ledger'!$A:$A,"&lt;="&amp;B2707+TIME(23,59,59)))</f>
        <v/>
      </c>
      <c r="G2707" s="3">
        <f>IFERROR(__xludf.DUMMYFUNCTION("IF(F2707&lt;=0,0,IFERROR(ROUNDUP(F2707/INDEX(FILTER('warehouse config'!$D:$D,('warehouse config'!$B:$B=C2707)*('warehouse config'!$C:$C=D2707)*('warehouse config'!$G:$G&lt;=B2707)*(('warehouse config'!$H:$H&gt;=B2707)+ISBLANK('warehouse config'!$H:$H))),1)),0))"),0.0)</f>
        <v>0</v>
      </c>
      <c r="H2707" s="3">
        <f>IFERROR(__xludf.DUMMYFUNCTION("IFERROR(INDEX(FILTER('cost master'!$E:$E,('cost master'!$B:$B=C2707)*('cost master'!$D:$D=""Storage cost per pallet / week"")*('cost master'!$G:$G&lt;=B2707)*(('cost master'!$H:$H&gt;=B2707)+ISBLANK('cost master'!$H:$H))),1),0)"),0.0)</f>
        <v>0</v>
      </c>
      <c r="I2707" s="3">
        <f t="shared" si="4"/>
        <v>0</v>
      </c>
      <c r="J2707" s="27">
        <f t="shared" si="5"/>
        <v>693947</v>
      </c>
      <c r="K2707" s="27">
        <f t="shared" si="6"/>
        <v>693977</v>
      </c>
    </row>
    <row r="2708" hidden="1">
      <c r="A2708" s="3" t="str">
        <f t="shared" si="3"/>
        <v/>
      </c>
      <c r="B2708" s="2" t="str">
        <f t="array" ref="B2708">INDEX(helper!$A$3:$A3996,ROUNDUP((ROW()-1)/COUNTA(helper!$D$3:$D3996),0))</f>
        <v/>
      </c>
      <c r="C2708" s="5" t="str">
        <f t="array" ref="C2708">IF(B2708="","",INDEX(helper!$D$3:$D3996,MOD(ROW()-2,COUNTA(helper!$D$3:$D3996))+1))</f>
        <v/>
      </c>
      <c r="D2708" s="3" t="str">
        <f t="array" ref="D2708">IF(B2708="","",INDEX(helper!$E$3:$E3996,MOD(ROW()-2,COUNTA(helper!$D$3:$D3996))+1))</f>
        <v/>
      </c>
      <c r="E2708" s="3" t="str">
        <f t="array" ref="E2708">IF(B2708="","",INDEX(helper!$F$3:$F3996,MOD(ROW()-2,COUNTA(helper!$D$3:$D3996))+1))</f>
        <v/>
      </c>
      <c r="F2708" s="3" t="str">
        <f>IF(B2708="","",SUMIFS('inventory ledger'!$H:$H,'inventory ledger'!$C:$C,C2708,'inventory ledger'!$D:$D,D2708,'inventory ledger'!$E:$E,E2708,'inventory ledger'!$A:$A,"&lt;="&amp;B2708+TIME(23,59,59))-SUMIFS('inventory ledger'!$I:$I,'inventory ledger'!$C:$C,C2708,'inventory ledger'!$D:$D,D2708,'inventory ledger'!$E:$E,E2708,'inventory ledger'!$A:$A,"&lt;="&amp;B2708+TIME(23,59,59)))</f>
        <v/>
      </c>
      <c r="G2708" s="3">
        <f>IFERROR(__xludf.DUMMYFUNCTION("IF(F2708&lt;=0,0,IFERROR(ROUNDUP(F2708/INDEX(FILTER('warehouse config'!$D:$D,('warehouse config'!$B:$B=C2708)*('warehouse config'!$C:$C=D2708)*('warehouse config'!$G:$G&lt;=B2708)*(('warehouse config'!$H:$H&gt;=B2708)+ISBLANK('warehouse config'!$H:$H))),1)),0))"),0.0)</f>
        <v>0</v>
      </c>
      <c r="H2708" s="3">
        <f>IFERROR(__xludf.DUMMYFUNCTION("IFERROR(INDEX(FILTER('cost master'!$E:$E,('cost master'!$B:$B=C2708)*('cost master'!$D:$D=""Storage cost per pallet / week"")*('cost master'!$G:$G&lt;=B2708)*(('cost master'!$H:$H&gt;=B2708)+ISBLANK('cost master'!$H:$H))),1),0)"),0.0)</f>
        <v>0</v>
      </c>
      <c r="I2708" s="3">
        <f t="shared" si="4"/>
        <v>0</v>
      </c>
      <c r="J2708" s="27">
        <f t="shared" si="5"/>
        <v>693947</v>
      </c>
      <c r="K2708" s="27">
        <f t="shared" si="6"/>
        <v>693977</v>
      </c>
    </row>
    <row r="2709" hidden="1">
      <c r="A2709" s="3" t="str">
        <f t="shared" si="3"/>
        <v/>
      </c>
      <c r="B2709" s="2" t="str">
        <f t="array" ref="B2709">INDEX(helper!$A$3:$A3996,ROUNDUP((ROW()-1)/COUNTA(helper!$D$3:$D3996),0))</f>
        <v/>
      </c>
      <c r="C2709" s="5" t="str">
        <f t="array" ref="C2709">IF(B2709="","",INDEX(helper!$D$3:$D3996,MOD(ROW()-2,COUNTA(helper!$D$3:$D3996))+1))</f>
        <v/>
      </c>
      <c r="D2709" s="3" t="str">
        <f t="array" ref="D2709">IF(B2709="","",INDEX(helper!$E$3:$E3996,MOD(ROW()-2,COUNTA(helper!$D$3:$D3996))+1))</f>
        <v/>
      </c>
      <c r="E2709" s="3" t="str">
        <f t="array" ref="E2709">IF(B2709="","",INDEX(helper!$F$3:$F3996,MOD(ROW()-2,COUNTA(helper!$D$3:$D3996))+1))</f>
        <v/>
      </c>
      <c r="F2709" s="3" t="str">
        <f>IF(B2709="","",SUMIFS('inventory ledger'!$H:$H,'inventory ledger'!$C:$C,C2709,'inventory ledger'!$D:$D,D2709,'inventory ledger'!$E:$E,E2709,'inventory ledger'!$A:$A,"&lt;="&amp;B2709+TIME(23,59,59))-SUMIFS('inventory ledger'!$I:$I,'inventory ledger'!$C:$C,C2709,'inventory ledger'!$D:$D,D2709,'inventory ledger'!$E:$E,E2709,'inventory ledger'!$A:$A,"&lt;="&amp;B2709+TIME(23,59,59)))</f>
        <v/>
      </c>
      <c r="G2709" s="3">
        <f>IFERROR(__xludf.DUMMYFUNCTION("IF(F2709&lt;=0,0,IFERROR(ROUNDUP(F2709/INDEX(FILTER('warehouse config'!$D:$D,('warehouse config'!$B:$B=C2709)*('warehouse config'!$C:$C=D2709)*('warehouse config'!$G:$G&lt;=B2709)*(('warehouse config'!$H:$H&gt;=B2709)+ISBLANK('warehouse config'!$H:$H))),1)),0))"),0.0)</f>
        <v>0</v>
      </c>
      <c r="H2709" s="3">
        <f>IFERROR(__xludf.DUMMYFUNCTION("IFERROR(INDEX(FILTER('cost master'!$E:$E,('cost master'!$B:$B=C2709)*('cost master'!$D:$D=""Storage cost per pallet / week"")*('cost master'!$G:$G&lt;=B2709)*(('cost master'!$H:$H&gt;=B2709)+ISBLANK('cost master'!$H:$H))),1),0)"),0.0)</f>
        <v>0</v>
      </c>
      <c r="I2709" s="3">
        <f t="shared" si="4"/>
        <v>0</v>
      </c>
      <c r="J2709" s="27">
        <f t="shared" si="5"/>
        <v>693947</v>
      </c>
      <c r="K2709" s="27">
        <f t="shared" si="6"/>
        <v>693977</v>
      </c>
    </row>
    <row r="2710" hidden="1">
      <c r="A2710" s="3" t="str">
        <f t="shared" si="3"/>
        <v/>
      </c>
      <c r="B2710" s="2" t="str">
        <f t="array" ref="B2710">INDEX(helper!$A$3:$A3996,ROUNDUP((ROW()-1)/COUNTA(helper!$D$3:$D3996),0))</f>
        <v/>
      </c>
      <c r="C2710" s="5" t="str">
        <f t="array" ref="C2710">IF(B2710="","",INDEX(helper!$D$3:$D3996,MOD(ROW()-2,COUNTA(helper!$D$3:$D3996))+1))</f>
        <v/>
      </c>
      <c r="D2710" s="3" t="str">
        <f t="array" ref="D2710">IF(B2710="","",INDEX(helper!$E$3:$E3996,MOD(ROW()-2,COUNTA(helper!$D$3:$D3996))+1))</f>
        <v/>
      </c>
      <c r="E2710" s="3" t="str">
        <f t="array" ref="E2710">IF(B2710="","",INDEX(helper!$F$3:$F3996,MOD(ROW()-2,COUNTA(helper!$D$3:$D3996))+1))</f>
        <v/>
      </c>
      <c r="F2710" s="3" t="str">
        <f>IF(B2710="","",SUMIFS('inventory ledger'!$H:$H,'inventory ledger'!$C:$C,C2710,'inventory ledger'!$D:$D,D2710,'inventory ledger'!$E:$E,E2710,'inventory ledger'!$A:$A,"&lt;="&amp;B2710+TIME(23,59,59))-SUMIFS('inventory ledger'!$I:$I,'inventory ledger'!$C:$C,C2710,'inventory ledger'!$D:$D,D2710,'inventory ledger'!$E:$E,E2710,'inventory ledger'!$A:$A,"&lt;="&amp;B2710+TIME(23,59,59)))</f>
        <v/>
      </c>
      <c r="G2710" s="3">
        <f>IFERROR(__xludf.DUMMYFUNCTION("IF(F2710&lt;=0,0,IFERROR(ROUNDUP(F2710/INDEX(FILTER('warehouse config'!$D:$D,('warehouse config'!$B:$B=C2710)*('warehouse config'!$C:$C=D2710)*('warehouse config'!$G:$G&lt;=B2710)*(('warehouse config'!$H:$H&gt;=B2710)+ISBLANK('warehouse config'!$H:$H))),1)),0))"),0.0)</f>
        <v>0</v>
      </c>
      <c r="H2710" s="3">
        <f>IFERROR(__xludf.DUMMYFUNCTION("IFERROR(INDEX(FILTER('cost master'!$E:$E,('cost master'!$B:$B=C2710)*('cost master'!$D:$D=""Storage cost per pallet / week"")*('cost master'!$G:$G&lt;=B2710)*(('cost master'!$H:$H&gt;=B2710)+ISBLANK('cost master'!$H:$H))),1),0)"),0.0)</f>
        <v>0</v>
      </c>
      <c r="I2710" s="3">
        <f t="shared" si="4"/>
        <v>0</v>
      </c>
      <c r="J2710" s="27">
        <f t="shared" si="5"/>
        <v>693947</v>
      </c>
      <c r="K2710" s="27">
        <f t="shared" si="6"/>
        <v>693977</v>
      </c>
    </row>
    <row r="2711" hidden="1">
      <c r="A2711" s="3" t="str">
        <f t="shared" si="3"/>
        <v/>
      </c>
      <c r="B2711" s="2" t="str">
        <f t="array" ref="B2711">INDEX(helper!$A$3:$A3996,ROUNDUP((ROW()-1)/COUNTA(helper!$D$3:$D3996),0))</f>
        <v/>
      </c>
      <c r="C2711" s="5" t="str">
        <f t="array" ref="C2711">IF(B2711="","",INDEX(helper!$D$3:$D3996,MOD(ROW()-2,COUNTA(helper!$D$3:$D3996))+1))</f>
        <v/>
      </c>
      <c r="D2711" s="3" t="str">
        <f t="array" ref="D2711">IF(B2711="","",INDEX(helper!$E$3:$E3996,MOD(ROW()-2,COUNTA(helper!$D$3:$D3996))+1))</f>
        <v/>
      </c>
      <c r="E2711" s="3" t="str">
        <f t="array" ref="E2711">IF(B2711="","",INDEX(helper!$F$3:$F3996,MOD(ROW()-2,COUNTA(helper!$D$3:$D3996))+1))</f>
        <v/>
      </c>
      <c r="F2711" s="3" t="str">
        <f>IF(B2711="","",SUMIFS('inventory ledger'!$H:$H,'inventory ledger'!$C:$C,C2711,'inventory ledger'!$D:$D,D2711,'inventory ledger'!$E:$E,E2711,'inventory ledger'!$A:$A,"&lt;="&amp;B2711+TIME(23,59,59))-SUMIFS('inventory ledger'!$I:$I,'inventory ledger'!$C:$C,C2711,'inventory ledger'!$D:$D,D2711,'inventory ledger'!$E:$E,E2711,'inventory ledger'!$A:$A,"&lt;="&amp;B2711+TIME(23,59,59)))</f>
        <v/>
      </c>
      <c r="G2711" s="3">
        <f>IFERROR(__xludf.DUMMYFUNCTION("IF(F2711&lt;=0,0,IFERROR(ROUNDUP(F2711/INDEX(FILTER('warehouse config'!$D:$D,('warehouse config'!$B:$B=C2711)*('warehouse config'!$C:$C=D2711)*('warehouse config'!$G:$G&lt;=B2711)*(('warehouse config'!$H:$H&gt;=B2711)+ISBLANK('warehouse config'!$H:$H))),1)),0))"),0.0)</f>
        <v>0</v>
      </c>
      <c r="H2711" s="3">
        <f>IFERROR(__xludf.DUMMYFUNCTION("IFERROR(INDEX(FILTER('cost master'!$E:$E,('cost master'!$B:$B=C2711)*('cost master'!$D:$D=""Storage cost per pallet / week"")*('cost master'!$G:$G&lt;=B2711)*(('cost master'!$H:$H&gt;=B2711)+ISBLANK('cost master'!$H:$H))),1),0)"),0.0)</f>
        <v>0</v>
      </c>
      <c r="I2711" s="3">
        <f t="shared" si="4"/>
        <v>0</v>
      </c>
      <c r="J2711" s="27">
        <f t="shared" si="5"/>
        <v>693947</v>
      </c>
      <c r="K2711" s="27">
        <f t="shared" si="6"/>
        <v>693977</v>
      </c>
    </row>
    <row r="2712" hidden="1">
      <c r="A2712" s="3" t="str">
        <f t="shared" si="3"/>
        <v/>
      </c>
      <c r="B2712" s="2" t="str">
        <f t="array" ref="B2712">INDEX(helper!$A$3:$A3996,ROUNDUP((ROW()-1)/COUNTA(helper!$D$3:$D3996),0))</f>
        <v/>
      </c>
      <c r="C2712" s="5" t="str">
        <f t="array" ref="C2712">IF(B2712="","",INDEX(helper!$D$3:$D3996,MOD(ROW()-2,COUNTA(helper!$D$3:$D3996))+1))</f>
        <v/>
      </c>
      <c r="D2712" s="3" t="str">
        <f t="array" ref="D2712">IF(B2712="","",INDEX(helper!$E$3:$E3996,MOD(ROW()-2,COUNTA(helper!$D$3:$D3996))+1))</f>
        <v/>
      </c>
      <c r="E2712" s="3" t="str">
        <f t="array" ref="E2712">IF(B2712="","",INDEX(helper!$F$3:$F3996,MOD(ROW()-2,COUNTA(helper!$D$3:$D3996))+1))</f>
        <v/>
      </c>
      <c r="F2712" s="3" t="str">
        <f>IF(B2712="","",SUMIFS('inventory ledger'!$H:$H,'inventory ledger'!$C:$C,C2712,'inventory ledger'!$D:$D,D2712,'inventory ledger'!$E:$E,E2712,'inventory ledger'!$A:$A,"&lt;="&amp;B2712+TIME(23,59,59))-SUMIFS('inventory ledger'!$I:$I,'inventory ledger'!$C:$C,C2712,'inventory ledger'!$D:$D,D2712,'inventory ledger'!$E:$E,E2712,'inventory ledger'!$A:$A,"&lt;="&amp;B2712+TIME(23,59,59)))</f>
        <v/>
      </c>
      <c r="G2712" s="3">
        <f>IFERROR(__xludf.DUMMYFUNCTION("IF(F2712&lt;=0,0,IFERROR(ROUNDUP(F2712/INDEX(FILTER('warehouse config'!$D:$D,('warehouse config'!$B:$B=C2712)*('warehouse config'!$C:$C=D2712)*('warehouse config'!$G:$G&lt;=B2712)*(('warehouse config'!$H:$H&gt;=B2712)+ISBLANK('warehouse config'!$H:$H))),1)),0))"),0.0)</f>
        <v>0</v>
      </c>
      <c r="H2712" s="3">
        <f>IFERROR(__xludf.DUMMYFUNCTION("IFERROR(INDEX(FILTER('cost master'!$E:$E,('cost master'!$B:$B=C2712)*('cost master'!$D:$D=""Storage cost per pallet / week"")*('cost master'!$G:$G&lt;=B2712)*(('cost master'!$H:$H&gt;=B2712)+ISBLANK('cost master'!$H:$H))),1),0)"),0.0)</f>
        <v>0</v>
      </c>
      <c r="I2712" s="3">
        <f t="shared" si="4"/>
        <v>0</v>
      </c>
      <c r="J2712" s="27">
        <f t="shared" si="5"/>
        <v>693947</v>
      </c>
      <c r="K2712" s="27">
        <f t="shared" si="6"/>
        <v>693977</v>
      </c>
    </row>
    <row r="2713" hidden="1">
      <c r="A2713" s="3" t="str">
        <f t="shared" si="3"/>
        <v/>
      </c>
      <c r="B2713" s="2" t="str">
        <f t="array" ref="B2713">INDEX(helper!$A$3:$A3996,ROUNDUP((ROW()-1)/COUNTA(helper!$D$3:$D3996),0))</f>
        <v/>
      </c>
      <c r="C2713" s="5" t="str">
        <f t="array" ref="C2713">IF(B2713="","",INDEX(helper!$D$3:$D3996,MOD(ROW()-2,COUNTA(helper!$D$3:$D3996))+1))</f>
        <v/>
      </c>
      <c r="D2713" s="3" t="str">
        <f t="array" ref="D2713">IF(B2713="","",INDEX(helper!$E$3:$E3996,MOD(ROW()-2,COUNTA(helper!$D$3:$D3996))+1))</f>
        <v/>
      </c>
      <c r="E2713" s="3" t="str">
        <f t="array" ref="E2713">IF(B2713="","",INDEX(helper!$F$3:$F3996,MOD(ROW()-2,COUNTA(helper!$D$3:$D3996))+1))</f>
        <v/>
      </c>
      <c r="F2713" s="3" t="str">
        <f>IF(B2713="","",SUMIFS('inventory ledger'!$H:$H,'inventory ledger'!$C:$C,C2713,'inventory ledger'!$D:$D,D2713,'inventory ledger'!$E:$E,E2713,'inventory ledger'!$A:$A,"&lt;="&amp;B2713+TIME(23,59,59))-SUMIFS('inventory ledger'!$I:$I,'inventory ledger'!$C:$C,C2713,'inventory ledger'!$D:$D,D2713,'inventory ledger'!$E:$E,E2713,'inventory ledger'!$A:$A,"&lt;="&amp;B2713+TIME(23,59,59)))</f>
        <v/>
      </c>
      <c r="G2713" s="3">
        <f>IFERROR(__xludf.DUMMYFUNCTION("IF(F2713&lt;=0,0,IFERROR(ROUNDUP(F2713/INDEX(FILTER('warehouse config'!$D:$D,('warehouse config'!$B:$B=C2713)*('warehouse config'!$C:$C=D2713)*('warehouse config'!$G:$G&lt;=B2713)*(('warehouse config'!$H:$H&gt;=B2713)+ISBLANK('warehouse config'!$H:$H))),1)),0))"),0.0)</f>
        <v>0</v>
      </c>
      <c r="H2713" s="3">
        <f>IFERROR(__xludf.DUMMYFUNCTION("IFERROR(INDEX(FILTER('cost master'!$E:$E,('cost master'!$B:$B=C2713)*('cost master'!$D:$D=""Storage cost per pallet / week"")*('cost master'!$G:$G&lt;=B2713)*(('cost master'!$H:$H&gt;=B2713)+ISBLANK('cost master'!$H:$H))),1),0)"),0.0)</f>
        <v>0</v>
      </c>
      <c r="I2713" s="3">
        <f t="shared" si="4"/>
        <v>0</v>
      </c>
      <c r="J2713" s="27">
        <f t="shared" si="5"/>
        <v>693947</v>
      </c>
      <c r="K2713" s="27">
        <f t="shared" si="6"/>
        <v>693977</v>
      </c>
    </row>
    <row r="2714" hidden="1">
      <c r="A2714" s="3" t="str">
        <f t="shared" si="3"/>
        <v/>
      </c>
      <c r="B2714" s="2" t="str">
        <f t="array" ref="B2714">INDEX(helper!$A$3:$A3996,ROUNDUP((ROW()-1)/COUNTA(helper!$D$3:$D3996),0))</f>
        <v/>
      </c>
      <c r="C2714" s="5" t="str">
        <f t="array" ref="C2714">IF(B2714="","",INDEX(helper!$D$3:$D3996,MOD(ROW()-2,COUNTA(helper!$D$3:$D3996))+1))</f>
        <v/>
      </c>
      <c r="D2714" s="3" t="str">
        <f t="array" ref="D2714">IF(B2714="","",INDEX(helper!$E$3:$E3996,MOD(ROW()-2,COUNTA(helper!$D$3:$D3996))+1))</f>
        <v/>
      </c>
      <c r="E2714" s="3" t="str">
        <f t="array" ref="E2714">IF(B2714="","",INDEX(helper!$F$3:$F3996,MOD(ROW()-2,COUNTA(helper!$D$3:$D3996))+1))</f>
        <v/>
      </c>
      <c r="F2714" s="3" t="str">
        <f>IF(B2714="","",SUMIFS('inventory ledger'!$H:$H,'inventory ledger'!$C:$C,C2714,'inventory ledger'!$D:$D,D2714,'inventory ledger'!$E:$E,E2714,'inventory ledger'!$A:$A,"&lt;="&amp;B2714+TIME(23,59,59))-SUMIFS('inventory ledger'!$I:$I,'inventory ledger'!$C:$C,C2714,'inventory ledger'!$D:$D,D2714,'inventory ledger'!$E:$E,E2714,'inventory ledger'!$A:$A,"&lt;="&amp;B2714+TIME(23,59,59)))</f>
        <v/>
      </c>
      <c r="G2714" s="3">
        <f>IFERROR(__xludf.DUMMYFUNCTION("IF(F2714&lt;=0,0,IFERROR(ROUNDUP(F2714/INDEX(FILTER('warehouse config'!$D:$D,('warehouse config'!$B:$B=C2714)*('warehouse config'!$C:$C=D2714)*('warehouse config'!$G:$G&lt;=B2714)*(('warehouse config'!$H:$H&gt;=B2714)+ISBLANK('warehouse config'!$H:$H))),1)),0))"),0.0)</f>
        <v>0</v>
      </c>
      <c r="H2714" s="3">
        <f>IFERROR(__xludf.DUMMYFUNCTION("IFERROR(INDEX(FILTER('cost master'!$E:$E,('cost master'!$B:$B=C2714)*('cost master'!$D:$D=""Storage cost per pallet / week"")*('cost master'!$G:$G&lt;=B2714)*(('cost master'!$H:$H&gt;=B2714)+ISBLANK('cost master'!$H:$H))),1),0)"),0.0)</f>
        <v>0</v>
      </c>
      <c r="I2714" s="3">
        <f t="shared" si="4"/>
        <v>0</v>
      </c>
      <c r="J2714" s="27">
        <f t="shared" si="5"/>
        <v>693947</v>
      </c>
      <c r="K2714" s="27">
        <f t="shared" si="6"/>
        <v>693977</v>
      </c>
    </row>
    <row r="2715" hidden="1">
      <c r="A2715" s="3" t="str">
        <f t="shared" si="3"/>
        <v/>
      </c>
      <c r="B2715" s="2" t="str">
        <f t="array" ref="B2715">INDEX(helper!$A$3:$A3996,ROUNDUP((ROW()-1)/COUNTA(helper!$D$3:$D3996),0))</f>
        <v/>
      </c>
      <c r="C2715" s="5" t="str">
        <f t="array" ref="C2715">IF(B2715="","",INDEX(helper!$D$3:$D3996,MOD(ROW()-2,COUNTA(helper!$D$3:$D3996))+1))</f>
        <v/>
      </c>
      <c r="D2715" s="3" t="str">
        <f t="array" ref="D2715">IF(B2715="","",INDEX(helper!$E$3:$E3996,MOD(ROW()-2,COUNTA(helper!$D$3:$D3996))+1))</f>
        <v/>
      </c>
      <c r="E2715" s="3" t="str">
        <f t="array" ref="E2715">IF(B2715="","",INDEX(helper!$F$3:$F3996,MOD(ROW()-2,COUNTA(helper!$D$3:$D3996))+1))</f>
        <v/>
      </c>
      <c r="F2715" s="3" t="str">
        <f>IF(B2715="","",SUMIFS('inventory ledger'!$H:$H,'inventory ledger'!$C:$C,C2715,'inventory ledger'!$D:$D,D2715,'inventory ledger'!$E:$E,E2715,'inventory ledger'!$A:$A,"&lt;="&amp;B2715+TIME(23,59,59))-SUMIFS('inventory ledger'!$I:$I,'inventory ledger'!$C:$C,C2715,'inventory ledger'!$D:$D,D2715,'inventory ledger'!$E:$E,E2715,'inventory ledger'!$A:$A,"&lt;="&amp;B2715+TIME(23,59,59)))</f>
        <v/>
      </c>
      <c r="G2715" s="3">
        <f>IFERROR(__xludf.DUMMYFUNCTION("IF(F2715&lt;=0,0,IFERROR(ROUNDUP(F2715/INDEX(FILTER('warehouse config'!$D:$D,('warehouse config'!$B:$B=C2715)*('warehouse config'!$C:$C=D2715)*('warehouse config'!$G:$G&lt;=B2715)*(('warehouse config'!$H:$H&gt;=B2715)+ISBLANK('warehouse config'!$H:$H))),1)),0))"),0.0)</f>
        <v>0</v>
      </c>
      <c r="H2715" s="3">
        <f>IFERROR(__xludf.DUMMYFUNCTION("IFERROR(INDEX(FILTER('cost master'!$E:$E,('cost master'!$B:$B=C2715)*('cost master'!$D:$D=""Storage cost per pallet / week"")*('cost master'!$G:$G&lt;=B2715)*(('cost master'!$H:$H&gt;=B2715)+ISBLANK('cost master'!$H:$H))),1),0)"),0.0)</f>
        <v>0</v>
      </c>
      <c r="I2715" s="3">
        <f t="shared" si="4"/>
        <v>0</v>
      </c>
      <c r="J2715" s="27">
        <f t="shared" si="5"/>
        <v>693947</v>
      </c>
      <c r="K2715" s="27">
        <f t="shared" si="6"/>
        <v>693977</v>
      </c>
    </row>
    <row r="2716" hidden="1">
      <c r="A2716" s="3" t="str">
        <f t="shared" si="3"/>
        <v/>
      </c>
      <c r="B2716" s="2" t="str">
        <f t="array" ref="B2716">INDEX(helper!$A$3:$A3996,ROUNDUP((ROW()-1)/COUNTA(helper!$D$3:$D3996),0))</f>
        <v/>
      </c>
      <c r="C2716" s="5" t="str">
        <f t="array" ref="C2716">IF(B2716="","",INDEX(helper!$D$3:$D3996,MOD(ROW()-2,COUNTA(helper!$D$3:$D3996))+1))</f>
        <v/>
      </c>
      <c r="D2716" s="3" t="str">
        <f t="array" ref="D2716">IF(B2716="","",INDEX(helper!$E$3:$E3996,MOD(ROW()-2,COUNTA(helper!$D$3:$D3996))+1))</f>
        <v/>
      </c>
      <c r="E2716" s="3" t="str">
        <f t="array" ref="E2716">IF(B2716="","",INDEX(helper!$F$3:$F3996,MOD(ROW()-2,COUNTA(helper!$D$3:$D3996))+1))</f>
        <v/>
      </c>
      <c r="F2716" s="3" t="str">
        <f>IF(B2716="","",SUMIFS('inventory ledger'!$H:$H,'inventory ledger'!$C:$C,C2716,'inventory ledger'!$D:$D,D2716,'inventory ledger'!$E:$E,E2716,'inventory ledger'!$A:$A,"&lt;="&amp;B2716+TIME(23,59,59))-SUMIFS('inventory ledger'!$I:$I,'inventory ledger'!$C:$C,C2716,'inventory ledger'!$D:$D,D2716,'inventory ledger'!$E:$E,E2716,'inventory ledger'!$A:$A,"&lt;="&amp;B2716+TIME(23,59,59)))</f>
        <v/>
      </c>
      <c r="G2716" s="3">
        <f>IFERROR(__xludf.DUMMYFUNCTION("IF(F2716&lt;=0,0,IFERROR(ROUNDUP(F2716/INDEX(FILTER('warehouse config'!$D:$D,('warehouse config'!$B:$B=C2716)*('warehouse config'!$C:$C=D2716)*('warehouse config'!$G:$G&lt;=B2716)*(('warehouse config'!$H:$H&gt;=B2716)+ISBLANK('warehouse config'!$H:$H))),1)),0))"),0.0)</f>
        <v>0</v>
      </c>
      <c r="H2716" s="3">
        <f>IFERROR(__xludf.DUMMYFUNCTION("IFERROR(INDEX(FILTER('cost master'!$E:$E,('cost master'!$B:$B=C2716)*('cost master'!$D:$D=""Storage cost per pallet / week"")*('cost master'!$G:$G&lt;=B2716)*(('cost master'!$H:$H&gt;=B2716)+ISBLANK('cost master'!$H:$H))),1),0)"),0.0)</f>
        <v>0</v>
      </c>
      <c r="I2716" s="3">
        <f t="shared" si="4"/>
        <v>0</v>
      </c>
      <c r="J2716" s="27">
        <f t="shared" si="5"/>
        <v>693947</v>
      </c>
      <c r="K2716" s="27">
        <f t="shared" si="6"/>
        <v>693977</v>
      </c>
    </row>
    <row r="2717" hidden="1">
      <c r="A2717" s="3" t="str">
        <f t="shared" si="3"/>
        <v/>
      </c>
      <c r="B2717" s="2" t="str">
        <f t="array" ref="B2717">INDEX(helper!$A$3:$A3996,ROUNDUP((ROW()-1)/COUNTA(helper!$D$3:$D3996),0))</f>
        <v/>
      </c>
      <c r="C2717" s="5" t="str">
        <f t="array" ref="C2717">IF(B2717="","",INDEX(helper!$D$3:$D3996,MOD(ROW()-2,COUNTA(helper!$D$3:$D3996))+1))</f>
        <v/>
      </c>
      <c r="D2717" s="3" t="str">
        <f t="array" ref="D2717">IF(B2717="","",INDEX(helper!$E$3:$E3996,MOD(ROW()-2,COUNTA(helper!$D$3:$D3996))+1))</f>
        <v/>
      </c>
      <c r="E2717" s="3" t="str">
        <f t="array" ref="E2717">IF(B2717="","",INDEX(helper!$F$3:$F3996,MOD(ROW()-2,COUNTA(helper!$D$3:$D3996))+1))</f>
        <v/>
      </c>
      <c r="F2717" s="3" t="str">
        <f>IF(B2717="","",SUMIFS('inventory ledger'!$H:$H,'inventory ledger'!$C:$C,C2717,'inventory ledger'!$D:$D,D2717,'inventory ledger'!$E:$E,E2717,'inventory ledger'!$A:$A,"&lt;="&amp;B2717+TIME(23,59,59))-SUMIFS('inventory ledger'!$I:$I,'inventory ledger'!$C:$C,C2717,'inventory ledger'!$D:$D,D2717,'inventory ledger'!$E:$E,E2717,'inventory ledger'!$A:$A,"&lt;="&amp;B2717+TIME(23,59,59)))</f>
        <v/>
      </c>
      <c r="G2717" s="3">
        <f>IFERROR(__xludf.DUMMYFUNCTION("IF(F2717&lt;=0,0,IFERROR(ROUNDUP(F2717/INDEX(FILTER('warehouse config'!$D:$D,('warehouse config'!$B:$B=C2717)*('warehouse config'!$C:$C=D2717)*('warehouse config'!$G:$G&lt;=B2717)*(('warehouse config'!$H:$H&gt;=B2717)+ISBLANK('warehouse config'!$H:$H))),1)),0))"),0.0)</f>
        <v>0</v>
      </c>
      <c r="H2717" s="3">
        <f>IFERROR(__xludf.DUMMYFUNCTION("IFERROR(INDEX(FILTER('cost master'!$E:$E,('cost master'!$B:$B=C2717)*('cost master'!$D:$D=""Storage cost per pallet / week"")*('cost master'!$G:$G&lt;=B2717)*(('cost master'!$H:$H&gt;=B2717)+ISBLANK('cost master'!$H:$H))),1),0)"),0.0)</f>
        <v>0</v>
      </c>
      <c r="I2717" s="3">
        <f t="shared" si="4"/>
        <v>0</v>
      </c>
      <c r="J2717" s="27">
        <f t="shared" si="5"/>
        <v>693947</v>
      </c>
      <c r="K2717" s="27">
        <f t="shared" si="6"/>
        <v>693977</v>
      </c>
    </row>
    <row r="2718" hidden="1">
      <c r="A2718" s="3" t="str">
        <f t="shared" si="3"/>
        <v/>
      </c>
      <c r="B2718" s="2" t="str">
        <f t="array" ref="B2718">INDEX(helper!$A$3:$A3996,ROUNDUP((ROW()-1)/COUNTA(helper!$D$3:$D3996),0))</f>
        <v/>
      </c>
      <c r="C2718" s="5" t="str">
        <f t="array" ref="C2718">IF(B2718="","",INDEX(helper!$D$3:$D3996,MOD(ROW()-2,COUNTA(helper!$D$3:$D3996))+1))</f>
        <v/>
      </c>
      <c r="D2718" s="3" t="str">
        <f t="array" ref="D2718">IF(B2718="","",INDEX(helper!$E$3:$E3996,MOD(ROW()-2,COUNTA(helper!$D$3:$D3996))+1))</f>
        <v/>
      </c>
      <c r="E2718" s="3" t="str">
        <f t="array" ref="E2718">IF(B2718="","",INDEX(helper!$F$3:$F3996,MOD(ROW()-2,COUNTA(helper!$D$3:$D3996))+1))</f>
        <v/>
      </c>
      <c r="F2718" s="3" t="str">
        <f>IF(B2718="","",SUMIFS('inventory ledger'!$H:$H,'inventory ledger'!$C:$C,C2718,'inventory ledger'!$D:$D,D2718,'inventory ledger'!$E:$E,E2718,'inventory ledger'!$A:$A,"&lt;="&amp;B2718+TIME(23,59,59))-SUMIFS('inventory ledger'!$I:$I,'inventory ledger'!$C:$C,C2718,'inventory ledger'!$D:$D,D2718,'inventory ledger'!$E:$E,E2718,'inventory ledger'!$A:$A,"&lt;="&amp;B2718+TIME(23,59,59)))</f>
        <v/>
      </c>
      <c r="G2718" s="3">
        <f>IFERROR(__xludf.DUMMYFUNCTION("IF(F2718&lt;=0,0,IFERROR(ROUNDUP(F2718/INDEX(FILTER('warehouse config'!$D:$D,('warehouse config'!$B:$B=C2718)*('warehouse config'!$C:$C=D2718)*('warehouse config'!$G:$G&lt;=B2718)*(('warehouse config'!$H:$H&gt;=B2718)+ISBLANK('warehouse config'!$H:$H))),1)),0))"),0.0)</f>
        <v>0</v>
      </c>
      <c r="H2718" s="3">
        <f>IFERROR(__xludf.DUMMYFUNCTION("IFERROR(INDEX(FILTER('cost master'!$E:$E,('cost master'!$B:$B=C2718)*('cost master'!$D:$D=""Storage cost per pallet / week"")*('cost master'!$G:$G&lt;=B2718)*(('cost master'!$H:$H&gt;=B2718)+ISBLANK('cost master'!$H:$H))),1),0)"),0.0)</f>
        <v>0</v>
      </c>
      <c r="I2718" s="3">
        <f t="shared" si="4"/>
        <v>0</v>
      </c>
      <c r="J2718" s="27">
        <f t="shared" si="5"/>
        <v>693947</v>
      </c>
      <c r="K2718" s="27">
        <f t="shared" si="6"/>
        <v>693977</v>
      </c>
    </row>
    <row r="2719" hidden="1">
      <c r="A2719" s="3" t="str">
        <f t="shared" si="3"/>
        <v/>
      </c>
      <c r="B2719" s="2" t="str">
        <f t="array" ref="B2719">INDEX(helper!$A$3:$A3996,ROUNDUP((ROW()-1)/COUNTA(helper!$D$3:$D3996),0))</f>
        <v/>
      </c>
      <c r="C2719" s="5" t="str">
        <f t="array" ref="C2719">IF(B2719="","",INDEX(helper!$D$3:$D3996,MOD(ROW()-2,COUNTA(helper!$D$3:$D3996))+1))</f>
        <v/>
      </c>
      <c r="D2719" s="3" t="str">
        <f t="array" ref="D2719">IF(B2719="","",INDEX(helper!$E$3:$E3996,MOD(ROW()-2,COUNTA(helper!$D$3:$D3996))+1))</f>
        <v/>
      </c>
      <c r="E2719" s="3" t="str">
        <f t="array" ref="E2719">IF(B2719="","",INDEX(helper!$F$3:$F3996,MOD(ROW()-2,COUNTA(helper!$D$3:$D3996))+1))</f>
        <v/>
      </c>
      <c r="F2719" s="3" t="str">
        <f>IF(B2719="","",SUMIFS('inventory ledger'!$H:$H,'inventory ledger'!$C:$C,C2719,'inventory ledger'!$D:$D,D2719,'inventory ledger'!$E:$E,E2719,'inventory ledger'!$A:$A,"&lt;="&amp;B2719+TIME(23,59,59))-SUMIFS('inventory ledger'!$I:$I,'inventory ledger'!$C:$C,C2719,'inventory ledger'!$D:$D,D2719,'inventory ledger'!$E:$E,E2719,'inventory ledger'!$A:$A,"&lt;="&amp;B2719+TIME(23,59,59)))</f>
        <v/>
      </c>
      <c r="G2719" s="3">
        <f>IFERROR(__xludf.DUMMYFUNCTION("IF(F2719&lt;=0,0,IFERROR(ROUNDUP(F2719/INDEX(FILTER('warehouse config'!$D:$D,('warehouse config'!$B:$B=C2719)*('warehouse config'!$C:$C=D2719)*('warehouse config'!$G:$G&lt;=B2719)*(('warehouse config'!$H:$H&gt;=B2719)+ISBLANK('warehouse config'!$H:$H))),1)),0))"),0.0)</f>
        <v>0</v>
      </c>
      <c r="H2719" s="3">
        <f>IFERROR(__xludf.DUMMYFUNCTION("IFERROR(INDEX(FILTER('cost master'!$E:$E,('cost master'!$B:$B=C2719)*('cost master'!$D:$D=""Storage cost per pallet / week"")*('cost master'!$G:$G&lt;=B2719)*(('cost master'!$H:$H&gt;=B2719)+ISBLANK('cost master'!$H:$H))),1),0)"),0.0)</f>
        <v>0</v>
      </c>
      <c r="I2719" s="3">
        <f t="shared" si="4"/>
        <v>0</v>
      </c>
      <c r="J2719" s="27">
        <f t="shared" si="5"/>
        <v>693947</v>
      </c>
      <c r="K2719" s="27">
        <f t="shared" si="6"/>
        <v>693977</v>
      </c>
    </row>
    <row r="2720" hidden="1">
      <c r="A2720" s="3" t="str">
        <f t="shared" si="3"/>
        <v/>
      </c>
      <c r="B2720" s="2" t="str">
        <f t="array" ref="B2720">INDEX(helper!$A$3:$A3996,ROUNDUP((ROW()-1)/COUNTA(helper!$D$3:$D3996),0))</f>
        <v/>
      </c>
      <c r="C2720" s="5" t="str">
        <f t="array" ref="C2720">IF(B2720="","",INDEX(helper!$D$3:$D3996,MOD(ROW()-2,COUNTA(helper!$D$3:$D3996))+1))</f>
        <v/>
      </c>
      <c r="D2720" s="3" t="str">
        <f t="array" ref="D2720">IF(B2720="","",INDEX(helper!$E$3:$E3996,MOD(ROW()-2,COUNTA(helper!$D$3:$D3996))+1))</f>
        <v/>
      </c>
      <c r="E2720" s="3" t="str">
        <f t="array" ref="E2720">IF(B2720="","",INDEX(helper!$F$3:$F3996,MOD(ROW()-2,COUNTA(helper!$D$3:$D3996))+1))</f>
        <v/>
      </c>
      <c r="F2720" s="3" t="str">
        <f>IF(B2720="","",SUMIFS('inventory ledger'!$H:$H,'inventory ledger'!$C:$C,C2720,'inventory ledger'!$D:$D,D2720,'inventory ledger'!$E:$E,E2720,'inventory ledger'!$A:$A,"&lt;="&amp;B2720+TIME(23,59,59))-SUMIFS('inventory ledger'!$I:$I,'inventory ledger'!$C:$C,C2720,'inventory ledger'!$D:$D,D2720,'inventory ledger'!$E:$E,E2720,'inventory ledger'!$A:$A,"&lt;="&amp;B2720+TIME(23,59,59)))</f>
        <v/>
      </c>
      <c r="G2720" s="3">
        <f>IFERROR(__xludf.DUMMYFUNCTION("IF(F2720&lt;=0,0,IFERROR(ROUNDUP(F2720/INDEX(FILTER('warehouse config'!$D:$D,('warehouse config'!$B:$B=C2720)*('warehouse config'!$C:$C=D2720)*('warehouse config'!$G:$G&lt;=B2720)*(('warehouse config'!$H:$H&gt;=B2720)+ISBLANK('warehouse config'!$H:$H))),1)),0))"),0.0)</f>
        <v>0</v>
      </c>
      <c r="H2720" s="3">
        <f>IFERROR(__xludf.DUMMYFUNCTION("IFERROR(INDEX(FILTER('cost master'!$E:$E,('cost master'!$B:$B=C2720)*('cost master'!$D:$D=""Storage cost per pallet / week"")*('cost master'!$G:$G&lt;=B2720)*(('cost master'!$H:$H&gt;=B2720)+ISBLANK('cost master'!$H:$H))),1),0)"),0.0)</f>
        <v>0</v>
      </c>
      <c r="I2720" s="3">
        <f t="shared" si="4"/>
        <v>0</v>
      </c>
      <c r="J2720" s="27">
        <f t="shared" si="5"/>
        <v>693947</v>
      </c>
      <c r="K2720" s="27">
        <f t="shared" si="6"/>
        <v>693977</v>
      </c>
    </row>
    <row r="2721" hidden="1">
      <c r="A2721" s="3" t="str">
        <f t="shared" si="3"/>
        <v/>
      </c>
      <c r="B2721" s="2" t="str">
        <f t="array" ref="B2721">INDEX(helper!$A$3:$A3996,ROUNDUP((ROW()-1)/COUNTA(helper!$D$3:$D3996),0))</f>
        <v/>
      </c>
      <c r="C2721" s="5" t="str">
        <f t="array" ref="C2721">IF(B2721="","",INDEX(helper!$D$3:$D3996,MOD(ROW()-2,COUNTA(helper!$D$3:$D3996))+1))</f>
        <v/>
      </c>
      <c r="D2721" s="3" t="str">
        <f t="array" ref="D2721">IF(B2721="","",INDEX(helper!$E$3:$E3996,MOD(ROW()-2,COUNTA(helper!$D$3:$D3996))+1))</f>
        <v/>
      </c>
      <c r="E2721" s="3" t="str">
        <f t="array" ref="E2721">IF(B2721="","",INDEX(helper!$F$3:$F3996,MOD(ROW()-2,COUNTA(helper!$D$3:$D3996))+1))</f>
        <v/>
      </c>
      <c r="F2721" s="3" t="str">
        <f>IF(B2721="","",SUMIFS('inventory ledger'!$H:$H,'inventory ledger'!$C:$C,C2721,'inventory ledger'!$D:$D,D2721,'inventory ledger'!$E:$E,E2721,'inventory ledger'!$A:$A,"&lt;="&amp;B2721+TIME(23,59,59))-SUMIFS('inventory ledger'!$I:$I,'inventory ledger'!$C:$C,C2721,'inventory ledger'!$D:$D,D2721,'inventory ledger'!$E:$E,E2721,'inventory ledger'!$A:$A,"&lt;="&amp;B2721+TIME(23,59,59)))</f>
        <v/>
      </c>
      <c r="G2721" s="3">
        <f>IFERROR(__xludf.DUMMYFUNCTION("IF(F2721&lt;=0,0,IFERROR(ROUNDUP(F2721/INDEX(FILTER('warehouse config'!$D:$D,('warehouse config'!$B:$B=C2721)*('warehouse config'!$C:$C=D2721)*('warehouse config'!$G:$G&lt;=B2721)*(('warehouse config'!$H:$H&gt;=B2721)+ISBLANK('warehouse config'!$H:$H))),1)),0))"),0.0)</f>
        <v>0</v>
      </c>
      <c r="H2721" s="3">
        <f>IFERROR(__xludf.DUMMYFUNCTION("IFERROR(INDEX(FILTER('cost master'!$E:$E,('cost master'!$B:$B=C2721)*('cost master'!$D:$D=""Storage cost per pallet / week"")*('cost master'!$G:$G&lt;=B2721)*(('cost master'!$H:$H&gt;=B2721)+ISBLANK('cost master'!$H:$H))),1),0)"),0.0)</f>
        <v>0</v>
      </c>
      <c r="I2721" s="3">
        <f t="shared" si="4"/>
        <v>0</v>
      </c>
      <c r="J2721" s="27">
        <f t="shared" si="5"/>
        <v>693947</v>
      </c>
      <c r="K2721" s="27">
        <f t="shared" si="6"/>
        <v>693977</v>
      </c>
    </row>
    <row r="2722" hidden="1">
      <c r="A2722" s="3" t="str">
        <f t="shared" si="3"/>
        <v/>
      </c>
      <c r="B2722" s="2" t="str">
        <f t="array" ref="B2722">INDEX(helper!$A$3:$A3996,ROUNDUP((ROW()-1)/COUNTA(helper!$D$3:$D3996),0))</f>
        <v/>
      </c>
      <c r="C2722" s="5" t="str">
        <f t="array" ref="C2722">IF(B2722="","",INDEX(helper!$D$3:$D3996,MOD(ROW()-2,COUNTA(helper!$D$3:$D3996))+1))</f>
        <v/>
      </c>
      <c r="D2722" s="3" t="str">
        <f t="array" ref="D2722">IF(B2722="","",INDEX(helper!$E$3:$E3996,MOD(ROW()-2,COUNTA(helper!$D$3:$D3996))+1))</f>
        <v/>
      </c>
      <c r="E2722" s="3" t="str">
        <f t="array" ref="E2722">IF(B2722="","",INDEX(helper!$F$3:$F3996,MOD(ROW()-2,COUNTA(helper!$D$3:$D3996))+1))</f>
        <v/>
      </c>
      <c r="F2722" s="3" t="str">
        <f>IF(B2722="","",SUMIFS('inventory ledger'!$H:$H,'inventory ledger'!$C:$C,C2722,'inventory ledger'!$D:$D,D2722,'inventory ledger'!$E:$E,E2722,'inventory ledger'!$A:$A,"&lt;="&amp;B2722+TIME(23,59,59))-SUMIFS('inventory ledger'!$I:$I,'inventory ledger'!$C:$C,C2722,'inventory ledger'!$D:$D,D2722,'inventory ledger'!$E:$E,E2722,'inventory ledger'!$A:$A,"&lt;="&amp;B2722+TIME(23,59,59)))</f>
        <v/>
      </c>
      <c r="G2722" s="3">
        <f>IFERROR(__xludf.DUMMYFUNCTION("IF(F2722&lt;=0,0,IFERROR(ROUNDUP(F2722/INDEX(FILTER('warehouse config'!$D:$D,('warehouse config'!$B:$B=C2722)*('warehouse config'!$C:$C=D2722)*('warehouse config'!$G:$G&lt;=B2722)*(('warehouse config'!$H:$H&gt;=B2722)+ISBLANK('warehouse config'!$H:$H))),1)),0))"),0.0)</f>
        <v>0</v>
      </c>
      <c r="H2722" s="3">
        <f>IFERROR(__xludf.DUMMYFUNCTION("IFERROR(INDEX(FILTER('cost master'!$E:$E,('cost master'!$B:$B=C2722)*('cost master'!$D:$D=""Storage cost per pallet / week"")*('cost master'!$G:$G&lt;=B2722)*(('cost master'!$H:$H&gt;=B2722)+ISBLANK('cost master'!$H:$H))),1),0)"),0.0)</f>
        <v>0</v>
      </c>
      <c r="I2722" s="3">
        <f t="shared" si="4"/>
        <v>0</v>
      </c>
      <c r="J2722" s="27">
        <f t="shared" si="5"/>
        <v>693947</v>
      </c>
      <c r="K2722" s="27">
        <f t="shared" si="6"/>
        <v>693977</v>
      </c>
    </row>
    <row r="2723" hidden="1">
      <c r="A2723" s="3" t="str">
        <f t="shared" si="3"/>
        <v/>
      </c>
      <c r="B2723" s="2" t="str">
        <f t="array" ref="B2723">INDEX(helper!$A$3:$A3996,ROUNDUP((ROW()-1)/COUNTA(helper!$D$3:$D3996),0))</f>
        <v/>
      </c>
      <c r="C2723" s="5" t="str">
        <f t="array" ref="C2723">IF(B2723="","",INDEX(helper!$D$3:$D3996,MOD(ROW()-2,COUNTA(helper!$D$3:$D3996))+1))</f>
        <v/>
      </c>
      <c r="D2723" s="3" t="str">
        <f t="array" ref="D2723">IF(B2723="","",INDEX(helper!$E$3:$E3996,MOD(ROW()-2,COUNTA(helper!$D$3:$D3996))+1))</f>
        <v/>
      </c>
      <c r="E2723" s="3" t="str">
        <f t="array" ref="E2723">IF(B2723="","",INDEX(helper!$F$3:$F3996,MOD(ROW()-2,COUNTA(helper!$D$3:$D3996))+1))</f>
        <v/>
      </c>
      <c r="F2723" s="3" t="str">
        <f>IF(B2723="","",SUMIFS('inventory ledger'!$H:$H,'inventory ledger'!$C:$C,C2723,'inventory ledger'!$D:$D,D2723,'inventory ledger'!$E:$E,E2723,'inventory ledger'!$A:$A,"&lt;="&amp;B2723+TIME(23,59,59))-SUMIFS('inventory ledger'!$I:$I,'inventory ledger'!$C:$C,C2723,'inventory ledger'!$D:$D,D2723,'inventory ledger'!$E:$E,E2723,'inventory ledger'!$A:$A,"&lt;="&amp;B2723+TIME(23,59,59)))</f>
        <v/>
      </c>
      <c r="G2723" s="3">
        <f>IFERROR(__xludf.DUMMYFUNCTION("IF(F2723&lt;=0,0,IFERROR(ROUNDUP(F2723/INDEX(FILTER('warehouse config'!$D:$D,('warehouse config'!$B:$B=C2723)*('warehouse config'!$C:$C=D2723)*('warehouse config'!$G:$G&lt;=B2723)*(('warehouse config'!$H:$H&gt;=B2723)+ISBLANK('warehouse config'!$H:$H))),1)),0))"),0.0)</f>
        <v>0</v>
      </c>
      <c r="H2723" s="3">
        <f>IFERROR(__xludf.DUMMYFUNCTION("IFERROR(INDEX(FILTER('cost master'!$E:$E,('cost master'!$B:$B=C2723)*('cost master'!$D:$D=""Storage cost per pallet / week"")*('cost master'!$G:$G&lt;=B2723)*(('cost master'!$H:$H&gt;=B2723)+ISBLANK('cost master'!$H:$H))),1),0)"),0.0)</f>
        <v>0</v>
      </c>
      <c r="I2723" s="3">
        <f t="shared" si="4"/>
        <v>0</v>
      </c>
      <c r="J2723" s="27">
        <f t="shared" si="5"/>
        <v>693947</v>
      </c>
      <c r="K2723" s="27">
        <f t="shared" si="6"/>
        <v>693977</v>
      </c>
    </row>
    <row r="2724" hidden="1">
      <c r="A2724" s="3" t="str">
        <f t="shared" si="3"/>
        <v/>
      </c>
      <c r="B2724" s="2" t="str">
        <f t="array" ref="B2724">INDEX(helper!$A$3:$A3996,ROUNDUP((ROW()-1)/COUNTA(helper!$D$3:$D3996),0))</f>
        <v/>
      </c>
      <c r="C2724" s="5" t="str">
        <f t="array" ref="C2724">IF(B2724="","",INDEX(helper!$D$3:$D3996,MOD(ROW()-2,COUNTA(helper!$D$3:$D3996))+1))</f>
        <v/>
      </c>
      <c r="D2724" s="3" t="str">
        <f t="array" ref="D2724">IF(B2724="","",INDEX(helper!$E$3:$E3996,MOD(ROW()-2,COUNTA(helper!$D$3:$D3996))+1))</f>
        <v/>
      </c>
      <c r="E2724" s="3" t="str">
        <f t="array" ref="E2724">IF(B2724="","",INDEX(helper!$F$3:$F3996,MOD(ROW()-2,COUNTA(helper!$D$3:$D3996))+1))</f>
        <v/>
      </c>
      <c r="F2724" s="3" t="str">
        <f>IF(B2724="","",SUMIFS('inventory ledger'!$H:$H,'inventory ledger'!$C:$C,C2724,'inventory ledger'!$D:$D,D2724,'inventory ledger'!$E:$E,E2724,'inventory ledger'!$A:$A,"&lt;="&amp;B2724+TIME(23,59,59))-SUMIFS('inventory ledger'!$I:$I,'inventory ledger'!$C:$C,C2724,'inventory ledger'!$D:$D,D2724,'inventory ledger'!$E:$E,E2724,'inventory ledger'!$A:$A,"&lt;="&amp;B2724+TIME(23,59,59)))</f>
        <v/>
      </c>
      <c r="G2724" s="3">
        <f>IFERROR(__xludf.DUMMYFUNCTION("IF(F2724&lt;=0,0,IFERROR(ROUNDUP(F2724/INDEX(FILTER('warehouse config'!$D:$D,('warehouse config'!$B:$B=C2724)*('warehouse config'!$C:$C=D2724)*('warehouse config'!$G:$G&lt;=B2724)*(('warehouse config'!$H:$H&gt;=B2724)+ISBLANK('warehouse config'!$H:$H))),1)),0))"),0.0)</f>
        <v>0</v>
      </c>
      <c r="H2724" s="3">
        <f>IFERROR(__xludf.DUMMYFUNCTION("IFERROR(INDEX(FILTER('cost master'!$E:$E,('cost master'!$B:$B=C2724)*('cost master'!$D:$D=""Storage cost per pallet / week"")*('cost master'!$G:$G&lt;=B2724)*(('cost master'!$H:$H&gt;=B2724)+ISBLANK('cost master'!$H:$H))),1),0)"),0.0)</f>
        <v>0</v>
      </c>
      <c r="I2724" s="3">
        <f t="shared" si="4"/>
        <v>0</v>
      </c>
      <c r="J2724" s="27">
        <f t="shared" si="5"/>
        <v>693947</v>
      </c>
      <c r="K2724" s="27">
        <f t="shared" si="6"/>
        <v>693977</v>
      </c>
    </row>
    <row r="2725" hidden="1">
      <c r="A2725" s="3" t="str">
        <f t="shared" si="3"/>
        <v/>
      </c>
      <c r="B2725" s="2" t="str">
        <f t="array" ref="B2725">INDEX(helper!$A$3:$A3996,ROUNDUP((ROW()-1)/COUNTA(helper!$D$3:$D3996),0))</f>
        <v/>
      </c>
      <c r="C2725" s="5" t="str">
        <f t="array" ref="C2725">IF(B2725="","",INDEX(helper!$D$3:$D3996,MOD(ROW()-2,COUNTA(helper!$D$3:$D3996))+1))</f>
        <v/>
      </c>
      <c r="D2725" s="3" t="str">
        <f t="array" ref="D2725">IF(B2725="","",INDEX(helper!$E$3:$E3996,MOD(ROW()-2,COUNTA(helper!$D$3:$D3996))+1))</f>
        <v/>
      </c>
      <c r="E2725" s="3" t="str">
        <f t="array" ref="E2725">IF(B2725="","",INDEX(helper!$F$3:$F3996,MOD(ROW()-2,COUNTA(helper!$D$3:$D3996))+1))</f>
        <v/>
      </c>
      <c r="F2725" s="3" t="str">
        <f>IF(B2725="","",SUMIFS('inventory ledger'!$H:$H,'inventory ledger'!$C:$C,C2725,'inventory ledger'!$D:$D,D2725,'inventory ledger'!$E:$E,E2725,'inventory ledger'!$A:$A,"&lt;="&amp;B2725+TIME(23,59,59))-SUMIFS('inventory ledger'!$I:$I,'inventory ledger'!$C:$C,C2725,'inventory ledger'!$D:$D,D2725,'inventory ledger'!$E:$E,E2725,'inventory ledger'!$A:$A,"&lt;="&amp;B2725+TIME(23,59,59)))</f>
        <v/>
      </c>
      <c r="G2725" s="3">
        <f>IFERROR(__xludf.DUMMYFUNCTION("IF(F2725&lt;=0,0,IFERROR(ROUNDUP(F2725/INDEX(FILTER('warehouse config'!$D:$D,('warehouse config'!$B:$B=C2725)*('warehouse config'!$C:$C=D2725)*('warehouse config'!$G:$G&lt;=B2725)*(('warehouse config'!$H:$H&gt;=B2725)+ISBLANK('warehouse config'!$H:$H))),1)),0))"),0.0)</f>
        <v>0</v>
      </c>
      <c r="H2725" s="3">
        <f>IFERROR(__xludf.DUMMYFUNCTION("IFERROR(INDEX(FILTER('cost master'!$E:$E,('cost master'!$B:$B=C2725)*('cost master'!$D:$D=""Storage cost per pallet / week"")*('cost master'!$G:$G&lt;=B2725)*(('cost master'!$H:$H&gt;=B2725)+ISBLANK('cost master'!$H:$H))),1),0)"),0.0)</f>
        <v>0</v>
      </c>
      <c r="I2725" s="3">
        <f t="shared" si="4"/>
        <v>0</v>
      </c>
      <c r="J2725" s="27">
        <f t="shared" si="5"/>
        <v>693947</v>
      </c>
      <c r="K2725" s="27">
        <f t="shared" si="6"/>
        <v>693977</v>
      </c>
    </row>
    <row r="2726" hidden="1">
      <c r="A2726" s="3" t="str">
        <f t="shared" si="3"/>
        <v/>
      </c>
      <c r="B2726" s="2" t="str">
        <f t="array" ref="B2726">INDEX(helper!$A$3:$A3996,ROUNDUP((ROW()-1)/COUNTA(helper!$D$3:$D3996),0))</f>
        <v/>
      </c>
      <c r="C2726" s="5" t="str">
        <f t="array" ref="C2726">IF(B2726="","",INDEX(helper!$D$3:$D3996,MOD(ROW()-2,COUNTA(helper!$D$3:$D3996))+1))</f>
        <v/>
      </c>
      <c r="D2726" s="3" t="str">
        <f t="array" ref="D2726">IF(B2726="","",INDEX(helper!$E$3:$E3996,MOD(ROW()-2,COUNTA(helper!$D$3:$D3996))+1))</f>
        <v/>
      </c>
      <c r="E2726" s="3" t="str">
        <f t="array" ref="E2726">IF(B2726="","",INDEX(helper!$F$3:$F3996,MOD(ROW()-2,COUNTA(helper!$D$3:$D3996))+1))</f>
        <v/>
      </c>
      <c r="F2726" s="3" t="str">
        <f>IF(B2726="","",SUMIFS('inventory ledger'!$H:$H,'inventory ledger'!$C:$C,C2726,'inventory ledger'!$D:$D,D2726,'inventory ledger'!$E:$E,E2726,'inventory ledger'!$A:$A,"&lt;="&amp;B2726+TIME(23,59,59))-SUMIFS('inventory ledger'!$I:$I,'inventory ledger'!$C:$C,C2726,'inventory ledger'!$D:$D,D2726,'inventory ledger'!$E:$E,E2726,'inventory ledger'!$A:$A,"&lt;="&amp;B2726+TIME(23,59,59)))</f>
        <v/>
      </c>
      <c r="G2726" s="3">
        <f>IFERROR(__xludf.DUMMYFUNCTION("IF(F2726&lt;=0,0,IFERROR(ROUNDUP(F2726/INDEX(FILTER('warehouse config'!$D:$D,('warehouse config'!$B:$B=C2726)*('warehouse config'!$C:$C=D2726)*('warehouse config'!$G:$G&lt;=B2726)*(('warehouse config'!$H:$H&gt;=B2726)+ISBLANK('warehouse config'!$H:$H))),1)),0))"),0.0)</f>
        <v>0</v>
      </c>
      <c r="H2726" s="3">
        <f>IFERROR(__xludf.DUMMYFUNCTION("IFERROR(INDEX(FILTER('cost master'!$E:$E,('cost master'!$B:$B=C2726)*('cost master'!$D:$D=""Storage cost per pallet / week"")*('cost master'!$G:$G&lt;=B2726)*(('cost master'!$H:$H&gt;=B2726)+ISBLANK('cost master'!$H:$H))),1),0)"),0.0)</f>
        <v>0</v>
      </c>
      <c r="I2726" s="3">
        <f t="shared" si="4"/>
        <v>0</v>
      </c>
      <c r="J2726" s="27">
        <f t="shared" si="5"/>
        <v>693947</v>
      </c>
      <c r="K2726" s="27">
        <f t="shared" si="6"/>
        <v>693977</v>
      </c>
    </row>
    <row r="2727" hidden="1">
      <c r="A2727" s="3" t="str">
        <f t="shared" si="3"/>
        <v/>
      </c>
      <c r="B2727" s="2" t="str">
        <f t="array" ref="B2727">INDEX(helper!$A$3:$A3996,ROUNDUP((ROW()-1)/COUNTA(helper!$D$3:$D3996),0))</f>
        <v/>
      </c>
      <c r="C2727" s="5" t="str">
        <f t="array" ref="C2727">IF(B2727="","",INDEX(helper!$D$3:$D3996,MOD(ROW()-2,COUNTA(helper!$D$3:$D3996))+1))</f>
        <v/>
      </c>
      <c r="D2727" s="3" t="str">
        <f t="array" ref="D2727">IF(B2727="","",INDEX(helper!$E$3:$E3996,MOD(ROW()-2,COUNTA(helper!$D$3:$D3996))+1))</f>
        <v/>
      </c>
      <c r="E2727" s="3" t="str">
        <f t="array" ref="E2727">IF(B2727="","",INDEX(helper!$F$3:$F3996,MOD(ROW()-2,COUNTA(helper!$D$3:$D3996))+1))</f>
        <v/>
      </c>
      <c r="F2727" s="3" t="str">
        <f>IF(B2727="","",SUMIFS('inventory ledger'!$H:$H,'inventory ledger'!$C:$C,C2727,'inventory ledger'!$D:$D,D2727,'inventory ledger'!$E:$E,E2727,'inventory ledger'!$A:$A,"&lt;="&amp;B2727+TIME(23,59,59))-SUMIFS('inventory ledger'!$I:$I,'inventory ledger'!$C:$C,C2727,'inventory ledger'!$D:$D,D2727,'inventory ledger'!$E:$E,E2727,'inventory ledger'!$A:$A,"&lt;="&amp;B2727+TIME(23,59,59)))</f>
        <v/>
      </c>
      <c r="G2727" s="3">
        <f>IFERROR(__xludf.DUMMYFUNCTION("IF(F2727&lt;=0,0,IFERROR(ROUNDUP(F2727/INDEX(FILTER('warehouse config'!$D:$D,('warehouse config'!$B:$B=C2727)*('warehouse config'!$C:$C=D2727)*('warehouse config'!$G:$G&lt;=B2727)*(('warehouse config'!$H:$H&gt;=B2727)+ISBLANK('warehouse config'!$H:$H))),1)),0))"),0.0)</f>
        <v>0</v>
      </c>
      <c r="H2727" s="3">
        <f>IFERROR(__xludf.DUMMYFUNCTION("IFERROR(INDEX(FILTER('cost master'!$E:$E,('cost master'!$B:$B=C2727)*('cost master'!$D:$D=""Storage cost per pallet / week"")*('cost master'!$G:$G&lt;=B2727)*(('cost master'!$H:$H&gt;=B2727)+ISBLANK('cost master'!$H:$H))),1),0)"),0.0)</f>
        <v>0</v>
      </c>
      <c r="I2727" s="3">
        <f t="shared" si="4"/>
        <v>0</v>
      </c>
      <c r="J2727" s="27">
        <f t="shared" si="5"/>
        <v>693947</v>
      </c>
      <c r="K2727" s="27">
        <f t="shared" si="6"/>
        <v>693977</v>
      </c>
    </row>
    <row r="2728" hidden="1">
      <c r="A2728" s="3" t="str">
        <f t="shared" si="3"/>
        <v/>
      </c>
      <c r="B2728" s="2" t="str">
        <f t="array" ref="B2728">INDEX(helper!$A$3:$A3996,ROUNDUP((ROW()-1)/COUNTA(helper!$D$3:$D3996),0))</f>
        <v/>
      </c>
      <c r="C2728" s="5" t="str">
        <f t="array" ref="C2728">IF(B2728="","",INDEX(helper!$D$3:$D3996,MOD(ROW()-2,COUNTA(helper!$D$3:$D3996))+1))</f>
        <v/>
      </c>
      <c r="D2728" s="3" t="str">
        <f t="array" ref="D2728">IF(B2728="","",INDEX(helper!$E$3:$E3996,MOD(ROW()-2,COUNTA(helper!$D$3:$D3996))+1))</f>
        <v/>
      </c>
      <c r="E2728" s="3" t="str">
        <f t="array" ref="E2728">IF(B2728="","",INDEX(helper!$F$3:$F3996,MOD(ROW()-2,COUNTA(helper!$D$3:$D3996))+1))</f>
        <v/>
      </c>
      <c r="F2728" s="3" t="str">
        <f>IF(B2728="","",SUMIFS('inventory ledger'!$H:$H,'inventory ledger'!$C:$C,C2728,'inventory ledger'!$D:$D,D2728,'inventory ledger'!$E:$E,E2728,'inventory ledger'!$A:$A,"&lt;="&amp;B2728+TIME(23,59,59))-SUMIFS('inventory ledger'!$I:$I,'inventory ledger'!$C:$C,C2728,'inventory ledger'!$D:$D,D2728,'inventory ledger'!$E:$E,E2728,'inventory ledger'!$A:$A,"&lt;="&amp;B2728+TIME(23,59,59)))</f>
        <v/>
      </c>
      <c r="G2728" s="3">
        <f>IFERROR(__xludf.DUMMYFUNCTION("IF(F2728&lt;=0,0,IFERROR(ROUNDUP(F2728/INDEX(FILTER('warehouse config'!$D:$D,('warehouse config'!$B:$B=C2728)*('warehouse config'!$C:$C=D2728)*('warehouse config'!$G:$G&lt;=B2728)*(('warehouse config'!$H:$H&gt;=B2728)+ISBLANK('warehouse config'!$H:$H))),1)),0))"),0.0)</f>
        <v>0</v>
      </c>
      <c r="H2728" s="3">
        <f>IFERROR(__xludf.DUMMYFUNCTION("IFERROR(INDEX(FILTER('cost master'!$E:$E,('cost master'!$B:$B=C2728)*('cost master'!$D:$D=""Storage cost per pallet / week"")*('cost master'!$G:$G&lt;=B2728)*(('cost master'!$H:$H&gt;=B2728)+ISBLANK('cost master'!$H:$H))),1),0)"),0.0)</f>
        <v>0</v>
      </c>
      <c r="I2728" s="3">
        <f t="shared" si="4"/>
        <v>0</v>
      </c>
      <c r="J2728" s="27">
        <f t="shared" si="5"/>
        <v>693947</v>
      </c>
      <c r="K2728" s="27">
        <f t="shared" si="6"/>
        <v>693977</v>
      </c>
    </row>
    <row r="2729" hidden="1">
      <c r="A2729" s="3" t="str">
        <f t="shared" si="3"/>
        <v/>
      </c>
      <c r="B2729" s="2" t="str">
        <f t="array" ref="B2729">INDEX(helper!$A$3:$A3996,ROUNDUP((ROW()-1)/COUNTA(helper!$D$3:$D3996),0))</f>
        <v/>
      </c>
      <c r="C2729" s="5" t="str">
        <f t="array" ref="C2729">IF(B2729="","",INDEX(helper!$D$3:$D3996,MOD(ROW()-2,COUNTA(helper!$D$3:$D3996))+1))</f>
        <v/>
      </c>
      <c r="D2729" s="3" t="str">
        <f t="array" ref="D2729">IF(B2729="","",INDEX(helper!$E$3:$E3996,MOD(ROW()-2,COUNTA(helper!$D$3:$D3996))+1))</f>
        <v/>
      </c>
      <c r="E2729" s="3" t="str">
        <f t="array" ref="E2729">IF(B2729="","",INDEX(helper!$F$3:$F3996,MOD(ROW()-2,COUNTA(helper!$D$3:$D3996))+1))</f>
        <v/>
      </c>
      <c r="F2729" s="3" t="str">
        <f>IF(B2729="","",SUMIFS('inventory ledger'!$H:$H,'inventory ledger'!$C:$C,C2729,'inventory ledger'!$D:$D,D2729,'inventory ledger'!$E:$E,E2729,'inventory ledger'!$A:$A,"&lt;="&amp;B2729+TIME(23,59,59))-SUMIFS('inventory ledger'!$I:$I,'inventory ledger'!$C:$C,C2729,'inventory ledger'!$D:$D,D2729,'inventory ledger'!$E:$E,E2729,'inventory ledger'!$A:$A,"&lt;="&amp;B2729+TIME(23,59,59)))</f>
        <v/>
      </c>
      <c r="G2729" s="3">
        <f>IFERROR(__xludf.DUMMYFUNCTION("IF(F2729&lt;=0,0,IFERROR(ROUNDUP(F2729/INDEX(FILTER('warehouse config'!$D:$D,('warehouse config'!$B:$B=C2729)*('warehouse config'!$C:$C=D2729)*('warehouse config'!$G:$G&lt;=B2729)*(('warehouse config'!$H:$H&gt;=B2729)+ISBLANK('warehouse config'!$H:$H))),1)),0))"),0.0)</f>
        <v>0</v>
      </c>
      <c r="H2729" s="3">
        <f>IFERROR(__xludf.DUMMYFUNCTION("IFERROR(INDEX(FILTER('cost master'!$E:$E,('cost master'!$B:$B=C2729)*('cost master'!$D:$D=""Storage cost per pallet / week"")*('cost master'!$G:$G&lt;=B2729)*(('cost master'!$H:$H&gt;=B2729)+ISBLANK('cost master'!$H:$H))),1),0)"),0.0)</f>
        <v>0</v>
      </c>
      <c r="I2729" s="3">
        <f t="shared" si="4"/>
        <v>0</v>
      </c>
      <c r="J2729" s="27">
        <f t="shared" si="5"/>
        <v>693947</v>
      </c>
      <c r="K2729" s="27">
        <f t="shared" si="6"/>
        <v>693977</v>
      </c>
    </row>
    <row r="2730" hidden="1">
      <c r="A2730" s="3" t="str">
        <f t="shared" si="3"/>
        <v/>
      </c>
      <c r="B2730" s="2" t="str">
        <f t="array" ref="B2730">INDEX(helper!$A$3:$A3996,ROUNDUP((ROW()-1)/COUNTA(helper!$D$3:$D3996),0))</f>
        <v/>
      </c>
      <c r="C2730" s="5" t="str">
        <f t="array" ref="C2730">IF(B2730="","",INDEX(helper!$D$3:$D3996,MOD(ROW()-2,COUNTA(helper!$D$3:$D3996))+1))</f>
        <v/>
      </c>
      <c r="D2730" s="3" t="str">
        <f t="array" ref="D2730">IF(B2730="","",INDEX(helper!$E$3:$E3996,MOD(ROW()-2,COUNTA(helper!$D$3:$D3996))+1))</f>
        <v/>
      </c>
      <c r="E2730" s="3" t="str">
        <f t="array" ref="E2730">IF(B2730="","",INDEX(helper!$F$3:$F3996,MOD(ROW()-2,COUNTA(helper!$D$3:$D3996))+1))</f>
        <v/>
      </c>
      <c r="F2730" s="3" t="str">
        <f>IF(B2730="","",SUMIFS('inventory ledger'!$H:$H,'inventory ledger'!$C:$C,C2730,'inventory ledger'!$D:$D,D2730,'inventory ledger'!$E:$E,E2730,'inventory ledger'!$A:$A,"&lt;="&amp;B2730+TIME(23,59,59))-SUMIFS('inventory ledger'!$I:$I,'inventory ledger'!$C:$C,C2730,'inventory ledger'!$D:$D,D2730,'inventory ledger'!$E:$E,E2730,'inventory ledger'!$A:$A,"&lt;="&amp;B2730+TIME(23,59,59)))</f>
        <v/>
      </c>
      <c r="G2730" s="3">
        <f>IFERROR(__xludf.DUMMYFUNCTION("IF(F2730&lt;=0,0,IFERROR(ROUNDUP(F2730/INDEX(FILTER('warehouse config'!$D:$D,('warehouse config'!$B:$B=C2730)*('warehouse config'!$C:$C=D2730)*('warehouse config'!$G:$G&lt;=B2730)*(('warehouse config'!$H:$H&gt;=B2730)+ISBLANK('warehouse config'!$H:$H))),1)),0))"),0.0)</f>
        <v>0</v>
      </c>
      <c r="H2730" s="3">
        <f>IFERROR(__xludf.DUMMYFUNCTION("IFERROR(INDEX(FILTER('cost master'!$E:$E,('cost master'!$B:$B=C2730)*('cost master'!$D:$D=""Storage cost per pallet / week"")*('cost master'!$G:$G&lt;=B2730)*(('cost master'!$H:$H&gt;=B2730)+ISBLANK('cost master'!$H:$H))),1),0)"),0.0)</f>
        <v>0</v>
      </c>
      <c r="I2730" s="3">
        <f t="shared" si="4"/>
        <v>0</v>
      </c>
      <c r="J2730" s="27">
        <f t="shared" si="5"/>
        <v>693947</v>
      </c>
      <c r="K2730" s="27">
        <f t="shared" si="6"/>
        <v>693977</v>
      </c>
    </row>
    <row r="2731" hidden="1">
      <c r="A2731" s="3" t="str">
        <f t="shared" si="3"/>
        <v/>
      </c>
      <c r="B2731" s="2" t="str">
        <f t="array" ref="B2731">INDEX(helper!$A$3:$A3996,ROUNDUP((ROW()-1)/COUNTA(helper!$D$3:$D3996),0))</f>
        <v/>
      </c>
      <c r="C2731" s="5" t="str">
        <f t="array" ref="C2731">IF(B2731="","",INDEX(helper!$D$3:$D3996,MOD(ROW()-2,COUNTA(helper!$D$3:$D3996))+1))</f>
        <v/>
      </c>
      <c r="D2731" s="3" t="str">
        <f t="array" ref="D2731">IF(B2731="","",INDEX(helper!$E$3:$E3996,MOD(ROW()-2,COUNTA(helper!$D$3:$D3996))+1))</f>
        <v/>
      </c>
      <c r="E2731" s="3" t="str">
        <f t="array" ref="E2731">IF(B2731="","",INDEX(helper!$F$3:$F3996,MOD(ROW()-2,COUNTA(helper!$D$3:$D3996))+1))</f>
        <v/>
      </c>
      <c r="F2731" s="3" t="str">
        <f>IF(B2731="","",SUMIFS('inventory ledger'!$H:$H,'inventory ledger'!$C:$C,C2731,'inventory ledger'!$D:$D,D2731,'inventory ledger'!$E:$E,E2731,'inventory ledger'!$A:$A,"&lt;="&amp;B2731+TIME(23,59,59))-SUMIFS('inventory ledger'!$I:$I,'inventory ledger'!$C:$C,C2731,'inventory ledger'!$D:$D,D2731,'inventory ledger'!$E:$E,E2731,'inventory ledger'!$A:$A,"&lt;="&amp;B2731+TIME(23,59,59)))</f>
        <v/>
      </c>
      <c r="G2731" s="3">
        <f>IFERROR(__xludf.DUMMYFUNCTION("IF(F2731&lt;=0,0,IFERROR(ROUNDUP(F2731/INDEX(FILTER('warehouse config'!$D:$D,('warehouse config'!$B:$B=C2731)*('warehouse config'!$C:$C=D2731)*('warehouse config'!$G:$G&lt;=B2731)*(('warehouse config'!$H:$H&gt;=B2731)+ISBLANK('warehouse config'!$H:$H))),1)),0))"),0.0)</f>
        <v>0</v>
      </c>
      <c r="H2731" s="3">
        <f>IFERROR(__xludf.DUMMYFUNCTION("IFERROR(INDEX(FILTER('cost master'!$E:$E,('cost master'!$B:$B=C2731)*('cost master'!$D:$D=""Storage cost per pallet / week"")*('cost master'!$G:$G&lt;=B2731)*(('cost master'!$H:$H&gt;=B2731)+ISBLANK('cost master'!$H:$H))),1),0)"),0.0)</f>
        <v>0</v>
      </c>
      <c r="I2731" s="3">
        <f t="shared" si="4"/>
        <v>0</v>
      </c>
      <c r="J2731" s="27">
        <f t="shared" si="5"/>
        <v>693947</v>
      </c>
      <c r="K2731" s="27">
        <f t="shared" si="6"/>
        <v>693977</v>
      </c>
    </row>
    <row r="2732" hidden="1">
      <c r="A2732" s="3" t="str">
        <f t="shared" si="3"/>
        <v/>
      </c>
      <c r="B2732" s="2" t="str">
        <f t="array" ref="B2732">INDEX(helper!$A$3:$A3996,ROUNDUP((ROW()-1)/COUNTA(helper!$D$3:$D3996),0))</f>
        <v/>
      </c>
      <c r="C2732" s="5" t="str">
        <f t="array" ref="C2732">IF(B2732="","",INDEX(helper!$D$3:$D3996,MOD(ROW()-2,COUNTA(helper!$D$3:$D3996))+1))</f>
        <v/>
      </c>
      <c r="D2732" s="3" t="str">
        <f t="array" ref="D2732">IF(B2732="","",INDEX(helper!$E$3:$E3996,MOD(ROW()-2,COUNTA(helper!$D$3:$D3996))+1))</f>
        <v/>
      </c>
      <c r="E2732" s="3" t="str">
        <f t="array" ref="E2732">IF(B2732="","",INDEX(helper!$F$3:$F3996,MOD(ROW()-2,COUNTA(helper!$D$3:$D3996))+1))</f>
        <v/>
      </c>
      <c r="F2732" s="3" t="str">
        <f>IF(B2732="","",SUMIFS('inventory ledger'!$H:$H,'inventory ledger'!$C:$C,C2732,'inventory ledger'!$D:$D,D2732,'inventory ledger'!$E:$E,E2732,'inventory ledger'!$A:$A,"&lt;="&amp;B2732+TIME(23,59,59))-SUMIFS('inventory ledger'!$I:$I,'inventory ledger'!$C:$C,C2732,'inventory ledger'!$D:$D,D2732,'inventory ledger'!$E:$E,E2732,'inventory ledger'!$A:$A,"&lt;="&amp;B2732+TIME(23,59,59)))</f>
        <v/>
      </c>
      <c r="G2732" s="3">
        <f>IFERROR(__xludf.DUMMYFUNCTION("IF(F2732&lt;=0,0,IFERROR(ROUNDUP(F2732/INDEX(FILTER('warehouse config'!$D:$D,('warehouse config'!$B:$B=C2732)*('warehouse config'!$C:$C=D2732)*('warehouse config'!$G:$G&lt;=B2732)*(('warehouse config'!$H:$H&gt;=B2732)+ISBLANK('warehouse config'!$H:$H))),1)),0))"),0.0)</f>
        <v>0</v>
      </c>
      <c r="H2732" s="3">
        <f>IFERROR(__xludf.DUMMYFUNCTION("IFERROR(INDEX(FILTER('cost master'!$E:$E,('cost master'!$B:$B=C2732)*('cost master'!$D:$D=""Storage cost per pallet / week"")*('cost master'!$G:$G&lt;=B2732)*(('cost master'!$H:$H&gt;=B2732)+ISBLANK('cost master'!$H:$H))),1),0)"),0.0)</f>
        <v>0</v>
      </c>
      <c r="I2732" s="3">
        <f t="shared" si="4"/>
        <v>0</v>
      </c>
      <c r="J2732" s="27">
        <f t="shared" si="5"/>
        <v>693947</v>
      </c>
      <c r="K2732" s="27">
        <f t="shared" si="6"/>
        <v>693977</v>
      </c>
    </row>
    <row r="2733" hidden="1">
      <c r="A2733" s="3" t="str">
        <f t="shared" si="3"/>
        <v/>
      </c>
      <c r="B2733" s="2" t="str">
        <f t="array" ref="B2733">INDEX(helper!$A$3:$A3996,ROUNDUP((ROW()-1)/COUNTA(helper!$D$3:$D3996),0))</f>
        <v/>
      </c>
      <c r="C2733" s="5" t="str">
        <f t="array" ref="C2733">IF(B2733="","",INDEX(helper!$D$3:$D3996,MOD(ROW()-2,COUNTA(helper!$D$3:$D3996))+1))</f>
        <v/>
      </c>
      <c r="D2733" s="3" t="str">
        <f t="array" ref="D2733">IF(B2733="","",INDEX(helper!$E$3:$E3996,MOD(ROW()-2,COUNTA(helper!$D$3:$D3996))+1))</f>
        <v/>
      </c>
      <c r="E2733" s="3" t="str">
        <f t="array" ref="E2733">IF(B2733="","",INDEX(helper!$F$3:$F3996,MOD(ROW()-2,COUNTA(helper!$D$3:$D3996))+1))</f>
        <v/>
      </c>
      <c r="F2733" s="3" t="str">
        <f>IF(B2733="","",SUMIFS('inventory ledger'!$H:$H,'inventory ledger'!$C:$C,C2733,'inventory ledger'!$D:$D,D2733,'inventory ledger'!$E:$E,E2733,'inventory ledger'!$A:$A,"&lt;="&amp;B2733+TIME(23,59,59))-SUMIFS('inventory ledger'!$I:$I,'inventory ledger'!$C:$C,C2733,'inventory ledger'!$D:$D,D2733,'inventory ledger'!$E:$E,E2733,'inventory ledger'!$A:$A,"&lt;="&amp;B2733+TIME(23,59,59)))</f>
        <v/>
      </c>
      <c r="G2733" s="3">
        <f>IFERROR(__xludf.DUMMYFUNCTION("IF(F2733&lt;=0,0,IFERROR(ROUNDUP(F2733/INDEX(FILTER('warehouse config'!$D:$D,('warehouse config'!$B:$B=C2733)*('warehouse config'!$C:$C=D2733)*('warehouse config'!$G:$G&lt;=B2733)*(('warehouse config'!$H:$H&gt;=B2733)+ISBLANK('warehouse config'!$H:$H))),1)),0))"),0.0)</f>
        <v>0</v>
      </c>
      <c r="H2733" s="3">
        <f>IFERROR(__xludf.DUMMYFUNCTION("IFERROR(INDEX(FILTER('cost master'!$E:$E,('cost master'!$B:$B=C2733)*('cost master'!$D:$D=""Storage cost per pallet / week"")*('cost master'!$G:$G&lt;=B2733)*(('cost master'!$H:$H&gt;=B2733)+ISBLANK('cost master'!$H:$H))),1),0)"),0.0)</f>
        <v>0</v>
      </c>
      <c r="I2733" s="3">
        <f t="shared" si="4"/>
        <v>0</v>
      </c>
      <c r="J2733" s="27">
        <f t="shared" si="5"/>
        <v>693947</v>
      </c>
      <c r="K2733" s="27">
        <f t="shared" si="6"/>
        <v>693977</v>
      </c>
    </row>
    <row r="2734" hidden="1">
      <c r="A2734" s="3" t="str">
        <f t="shared" si="3"/>
        <v/>
      </c>
      <c r="B2734" s="2" t="str">
        <f t="array" ref="B2734">INDEX(helper!$A$3:$A3996,ROUNDUP((ROW()-1)/COUNTA(helper!$D$3:$D3996),0))</f>
        <v/>
      </c>
      <c r="C2734" s="5" t="str">
        <f t="array" ref="C2734">IF(B2734="","",INDEX(helper!$D$3:$D3996,MOD(ROW()-2,COUNTA(helper!$D$3:$D3996))+1))</f>
        <v/>
      </c>
      <c r="D2734" s="3" t="str">
        <f t="array" ref="D2734">IF(B2734="","",INDEX(helper!$E$3:$E3996,MOD(ROW()-2,COUNTA(helper!$D$3:$D3996))+1))</f>
        <v/>
      </c>
      <c r="E2734" s="3" t="str">
        <f t="array" ref="E2734">IF(B2734="","",INDEX(helper!$F$3:$F3996,MOD(ROW()-2,COUNTA(helper!$D$3:$D3996))+1))</f>
        <v/>
      </c>
      <c r="F2734" s="3" t="str">
        <f>IF(B2734="","",SUMIFS('inventory ledger'!$H:$H,'inventory ledger'!$C:$C,C2734,'inventory ledger'!$D:$D,D2734,'inventory ledger'!$E:$E,E2734,'inventory ledger'!$A:$A,"&lt;="&amp;B2734+TIME(23,59,59))-SUMIFS('inventory ledger'!$I:$I,'inventory ledger'!$C:$C,C2734,'inventory ledger'!$D:$D,D2734,'inventory ledger'!$E:$E,E2734,'inventory ledger'!$A:$A,"&lt;="&amp;B2734+TIME(23,59,59)))</f>
        <v/>
      </c>
      <c r="G2734" s="3">
        <f>IFERROR(__xludf.DUMMYFUNCTION("IF(F2734&lt;=0,0,IFERROR(ROUNDUP(F2734/INDEX(FILTER('warehouse config'!$D:$D,('warehouse config'!$B:$B=C2734)*('warehouse config'!$C:$C=D2734)*('warehouse config'!$G:$G&lt;=B2734)*(('warehouse config'!$H:$H&gt;=B2734)+ISBLANK('warehouse config'!$H:$H))),1)),0))"),0.0)</f>
        <v>0</v>
      </c>
      <c r="H2734" s="3">
        <f>IFERROR(__xludf.DUMMYFUNCTION("IFERROR(INDEX(FILTER('cost master'!$E:$E,('cost master'!$B:$B=C2734)*('cost master'!$D:$D=""Storage cost per pallet / week"")*('cost master'!$G:$G&lt;=B2734)*(('cost master'!$H:$H&gt;=B2734)+ISBLANK('cost master'!$H:$H))),1),0)"),0.0)</f>
        <v>0</v>
      </c>
      <c r="I2734" s="3">
        <f t="shared" si="4"/>
        <v>0</v>
      </c>
      <c r="J2734" s="27">
        <f t="shared" si="5"/>
        <v>693947</v>
      </c>
      <c r="K2734" s="27">
        <f t="shared" si="6"/>
        <v>693977</v>
      </c>
    </row>
    <row r="2735" hidden="1">
      <c r="A2735" s="3" t="str">
        <f t="shared" si="3"/>
        <v/>
      </c>
      <c r="B2735" s="2" t="str">
        <f t="array" ref="B2735">INDEX(helper!$A$3:$A3996,ROUNDUP((ROW()-1)/COUNTA(helper!$D$3:$D3996),0))</f>
        <v/>
      </c>
      <c r="C2735" s="5" t="str">
        <f t="array" ref="C2735">IF(B2735="","",INDEX(helper!$D$3:$D3996,MOD(ROW()-2,COUNTA(helper!$D$3:$D3996))+1))</f>
        <v/>
      </c>
      <c r="D2735" s="3" t="str">
        <f t="array" ref="D2735">IF(B2735="","",INDEX(helper!$E$3:$E3996,MOD(ROW()-2,COUNTA(helper!$D$3:$D3996))+1))</f>
        <v/>
      </c>
      <c r="E2735" s="3" t="str">
        <f t="array" ref="E2735">IF(B2735="","",INDEX(helper!$F$3:$F3996,MOD(ROW()-2,COUNTA(helper!$D$3:$D3996))+1))</f>
        <v/>
      </c>
      <c r="F2735" s="3" t="str">
        <f>IF(B2735="","",SUMIFS('inventory ledger'!$H:$H,'inventory ledger'!$C:$C,C2735,'inventory ledger'!$D:$D,D2735,'inventory ledger'!$E:$E,E2735,'inventory ledger'!$A:$A,"&lt;="&amp;B2735+TIME(23,59,59))-SUMIFS('inventory ledger'!$I:$I,'inventory ledger'!$C:$C,C2735,'inventory ledger'!$D:$D,D2735,'inventory ledger'!$E:$E,E2735,'inventory ledger'!$A:$A,"&lt;="&amp;B2735+TIME(23,59,59)))</f>
        <v/>
      </c>
      <c r="G2735" s="3">
        <f>IFERROR(__xludf.DUMMYFUNCTION("IF(F2735&lt;=0,0,IFERROR(ROUNDUP(F2735/INDEX(FILTER('warehouse config'!$D:$D,('warehouse config'!$B:$B=C2735)*('warehouse config'!$C:$C=D2735)*('warehouse config'!$G:$G&lt;=B2735)*(('warehouse config'!$H:$H&gt;=B2735)+ISBLANK('warehouse config'!$H:$H))),1)),0))"),0.0)</f>
        <v>0</v>
      </c>
      <c r="H2735" s="3">
        <f>IFERROR(__xludf.DUMMYFUNCTION("IFERROR(INDEX(FILTER('cost master'!$E:$E,('cost master'!$B:$B=C2735)*('cost master'!$D:$D=""Storage cost per pallet / week"")*('cost master'!$G:$G&lt;=B2735)*(('cost master'!$H:$H&gt;=B2735)+ISBLANK('cost master'!$H:$H))),1),0)"),0.0)</f>
        <v>0</v>
      </c>
      <c r="I2735" s="3">
        <f t="shared" si="4"/>
        <v>0</v>
      </c>
      <c r="J2735" s="27">
        <f t="shared" si="5"/>
        <v>693947</v>
      </c>
      <c r="K2735" s="27">
        <f t="shared" si="6"/>
        <v>693977</v>
      </c>
    </row>
    <row r="2736" hidden="1">
      <c r="A2736" s="3" t="str">
        <f t="shared" si="3"/>
        <v/>
      </c>
      <c r="B2736" s="2" t="str">
        <f t="array" ref="B2736">INDEX(helper!$A$3:$A3996,ROUNDUP((ROW()-1)/COUNTA(helper!$D$3:$D3996),0))</f>
        <v/>
      </c>
      <c r="C2736" s="5" t="str">
        <f t="array" ref="C2736">IF(B2736="","",INDEX(helper!$D$3:$D3996,MOD(ROW()-2,COUNTA(helper!$D$3:$D3996))+1))</f>
        <v/>
      </c>
      <c r="D2736" s="3" t="str">
        <f t="array" ref="D2736">IF(B2736="","",INDEX(helper!$E$3:$E3996,MOD(ROW()-2,COUNTA(helper!$D$3:$D3996))+1))</f>
        <v/>
      </c>
      <c r="E2736" s="3" t="str">
        <f t="array" ref="E2736">IF(B2736="","",INDEX(helper!$F$3:$F3996,MOD(ROW()-2,COUNTA(helper!$D$3:$D3996))+1))</f>
        <v/>
      </c>
      <c r="F2736" s="3" t="str">
        <f>IF(B2736="","",SUMIFS('inventory ledger'!$H:$H,'inventory ledger'!$C:$C,C2736,'inventory ledger'!$D:$D,D2736,'inventory ledger'!$E:$E,E2736,'inventory ledger'!$A:$A,"&lt;="&amp;B2736+TIME(23,59,59))-SUMIFS('inventory ledger'!$I:$I,'inventory ledger'!$C:$C,C2736,'inventory ledger'!$D:$D,D2736,'inventory ledger'!$E:$E,E2736,'inventory ledger'!$A:$A,"&lt;="&amp;B2736+TIME(23,59,59)))</f>
        <v/>
      </c>
      <c r="G2736" s="3">
        <f>IFERROR(__xludf.DUMMYFUNCTION("IF(F2736&lt;=0,0,IFERROR(ROUNDUP(F2736/INDEX(FILTER('warehouse config'!$D:$D,('warehouse config'!$B:$B=C2736)*('warehouse config'!$C:$C=D2736)*('warehouse config'!$G:$G&lt;=B2736)*(('warehouse config'!$H:$H&gt;=B2736)+ISBLANK('warehouse config'!$H:$H))),1)),0))"),0.0)</f>
        <v>0</v>
      </c>
      <c r="H2736" s="3">
        <f>IFERROR(__xludf.DUMMYFUNCTION("IFERROR(INDEX(FILTER('cost master'!$E:$E,('cost master'!$B:$B=C2736)*('cost master'!$D:$D=""Storage cost per pallet / week"")*('cost master'!$G:$G&lt;=B2736)*(('cost master'!$H:$H&gt;=B2736)+ISBLANK('cost master'!$H:$H))),1),0)"),0.0)</f>
        <v>0</v>
      </c>
      <c r="I2736" s="3">
        <f t="shared" si="4"/>
        <v>0</v>
      </c>
      <c r="J2736" s="27">
        <f t="shared" si="5"/>
        <v>693947</v>
      </c>
      <c r="K2736" s="27">
        <f t="shared" si="6"/>
        <v>693977</v>
      </c>
    </row>
    <row r="2737" hidden="1">
      <c r="A2737" s="3" t="str">
        <f t="shared" si="3"/>
        <v/>
      </c>
      <c r="B2737" s="2" t="str">
        <f t="array" ref="B2737">INDEX(helper!$A$3:$A3996,ROUNDUP((ROW()-1)/COUNTA(helper!$D$3:$D3996),0))</f>
        <v/>
      </c>
      <c r="C2737" s="5" t="str">
        <f t="array" ref="C2737">IF(B2737="","",INDEX(helper!$D$3:$D3996,MOD(ROW()-2,COUNTA(helper!$D$3:$D3996))+1))</f>
        <v/>
      </c>
      <c r="D2737" s="3" t="str">
        <f t="array" ref="D2737">IF(B2737="","",INDEX(helper!$E$3:$E3996,MOD(ROW()-2,COUNTA(helper!$D$3:$D3996))+1))</f>
        <v/>
      </c>
      <c r="E2737" s="3" t="str">
        <f t="array" ref="E2737">IF(B2737="","",INDEX(helper!$F$3:$F3996,MOD(ROW()-2,COUNTA(helper!$D$3:$D3996))+1))</f>
        <v/>
      </c>
      <c r="F2737" s="3" t="str">
        <f>IF(B2737="","",SUMIFS('inventory ledger'!$H:$H,'inventory ledger'!$C:$C,C2737,'inventory ledger'!$D:$D,D2737,'inventory ledger'!$E:$E,E2737,'inventory ledger'!$A:$A,"&lt;="&amp;B2737+TIME(23,59,59))-SUMIFS('inventory ledger'!$I:$I,'inventory ledger'!$C:$C,C2737,'inventory ledger'!$D:$D,D2737,'inventory ledger'!$E:$E,E2737,'inventory ledger'!$A:$A,"&lt;="&amp;B2737+TIME(23,59,59)))</f>
        <v/>
      </c>
      <c r="G2737" s="3">
        <f>IFERROR(__xludf.DUMMYFUNCTION("IF(F2737&lt;=0,0,IFERROR(ROUNDUP(F2737/INDEX(FILTER('warehouse config'!$D:$D,('warehouse config'!$B:$B=C2737)*('warehouse config'!$C:$C=D2737)*('warehouse config'!$G:$G&lt;=B2737)*(('warehouse config'!$H:$H&gt;=B2737)+ISBLANK('warehouse config'!$H:$H))),1)),0))"),0.0)</f>
        <v>0</v>
      </c>
      <c r="H2737" s="3">
        <f>IFERROR(__xludf.DUMMYFUNCTION("IFERROR(INDEX(FILTER('cost master'!$E:$E,('cost master'!$B:$B=C2737)*('cost master'!$D:$D=""Storage cost per pallet / week"")*('cost master'!$G:$G&lt;=B2737)*(('cost master'!$H:$H&gt;=B2737)+ISBLANK('cost master'!$H:$H))),1),0)"),0.0)</f>
        <v>0</v>
      </c>
      <c r="I2737" s="3">
        <f t="shared" si="4"/>
        <v>0</v>
      </c>
      <c r="J2737" s="27">
        <f t="shared" si="5"/>
        <v>693947</v>
      </c>
      <c r="K2737" s="27">
        <f t="shared" si="6"/>
        <v>693977</v>
      </c>
    </row>
    <row r="2738" hidden="1">
      <c r="A2738" s="3" t="str">
        <f t="shared" si="3"/>
        <v/>
      </c>
      <c r="B2738" s="2" t="str">
        <f t="array" ref="B2738">INDEX(helper!$A$3:$A3996,ROUNDUP((ROW()-1)/COUNTA(helper!$D$3:$D3996),0))</f>
        <v/>
      </c>
      <c r="C2738" s="5" t="str">
        <f t="array" ref="C2738">IF(B2738="","",INDEX(helper!$D$3:$D3996,MOD(ROW()-2,COUNTA(helper!$D$3:$D3996))+1))</f>
        <v/>
      </c>
      <c r="D2738" s="3" t="str">
        <f t="array" ref="D2738">IF(B2738="","",INDEX(helper!$E$3:$E3996,MOD(ROW()-2,COUNTA(helper!$D$3:$D3996))+1))</f>
        <v/>
      </c>
      <c r="E2738" s="3" t="str">
        <f t="array" ref="E2738">IF(B2738="","",INDEX(helper!$F$3:$F3996,MOD(ROW()-2,COUNTA(helper!$D$3:$D3996))+1))</f>
        <v/>
      </c>
      <c r="F2738" s="3" t="str">
        <f>IF(B2738="","",SUMIFS('inventory ledger'!$H:$H,'inventory ledger'!$C:$C,C2738,'inventory ledger'!$D:$D,D2738,'inventory ledger'!$E:$E,E2738,'inventory ledger'!$A:$A,"&lt;="&amp;B2738+TIME(23,59,59))-SUMIFS('inventory ledger'!$I:$I,'inventory ledger'!$C:$C,C2738,'inventory ledger'!$D:$D,D2738,'inventory ledger'!$E:$E,E2738,'inventory ledger'!$A:$A,"&lt;="&amp;B2738+TIME(23,59,59)))</f>
        <v/>
      </c>
      <c r="G2738" s="3">
        <f>IFERROR(__xludf.DUMMYFUNCTION("IF(F2738&lt;=0,0,IFERROR(ROUNDUP(F2738/INDEX(FILTER('warehouse config'!$D:$D,('warehouse config'!$B:$B=C2738)*('warehouse config'!$C:$C=D2738)*('warehouse config'!$G:$G&lt;=B2738)*(('warehouse config'!$H:$H&gt;=B2738)+ISBLANK('warehouse config'!$H:$H))),1)),0))"),0.0)</f>
        <v>0</v>
      </c>
      <c r="H2738" s="3">
        <f>IFERROR(__xludf.DUMMYFUNCTION("IFERROR(INDEX(FILTER('cost master'!$E:$E,('cost master'!$B:$B=C2738)*('cost master'!$D:$D=""Storage cost per pallet / week"")*('cost master'!$G:$G&lt;=B2738)*(('cost master'!$H:$H&gt;=B2738)+ISBLANK('cost master'!$H:$H))),1),0)"),0.0)</f>
        <v>0</v>
      </c>
      <c r="I2738" s="3">
        <f t="shared" si="4"/>
        <v>0</v>
      </c>
      <c r="J2738" s="27">
        <f t="shared" si="5"/>
        <v>693947</v>
      </c>
      <c r="K2738" s="27">
        <f t="shared" si="6"/>
        <v>693977</v>
      </c>
    </row>
    <row r="2739" hidden="1">
      <c r="A2739" s="3" t="str">
        <f t="shared" si="3"/>
        <v/>
      </c>
      <c r="B2739" s="2" t="str">
        <f t="array" ref="B2739">INDEX(helper!$A$3:$A3996,ROUNDUP((ROW()-1)/COUNTA(helper!$D$3:$D3996),0))</f>
        <v/>
      </c>
      <c r="C2739" s="5" t="str">
        <f t="array" ref="C2739">IF(B2739="","",INDEX(helper!$D$3:$D3996,MOD(ROW()-2,COUNTA(helper!$D$3:$D3996))+1))</f>
        <v/>
      </c>
      <c r="D2739" s="3" t="str">
        <f t="array" ref="D2739">IF(B2739="","",INDEX(helper!$E$3:$E3996,MOD(ROW()-2,COUNTA(helper!$D$3:$D3996))+1))</f>
        <v/>
      </c>
      <c r="E2739" s="3" t="str">
        <f t="array" ref="E2739">IF(B2739="","",INDEX(helper!$F$3:$F3996,MOD(ROW()-2,COUNTA(helper!$D$3:$D3996))+1))</f>
        <v/>
      </c>
      <c r="F2739" s="3" t="str">
        <f>IF(B2739="","",SUMIFS('inventory ledger'!$H:$H,'inventory ledger'!$C:$C,C2739,'inventory ledger'!$D:$D,D2739,'inventory ledger'!$E:$E,E2739,'inventory ledger'!$A:$A,"&lt;="&amp;B2739+TIME(23,59,59))-SUMIFS('inventory ledger'!$I:$I,'inventory ledger'!$C:$C,C2739,'inventory ledger'!$D:$D,D2739,'inventory ledger'!$E:$E,E2739,'inventory ledger'!$A:$A,"&lt;="&amp;B2739+TIME(23,59,59)))</f>
        <v/>
      </c>
      <c r="G2739" s="3">
        <f>IFERROR(__xludf.DUMMYFUNCTION("IF(F2739&lt;=0,0,IFERROR(ROUNDUP(F2739/INDEX(FILTER('warehouse config'!$D:$D,('warehouse config'!$B:$B=C2739)*('warehouse config'!$C:$C=D2739)*('warehouse config'!$G:$G&lt;=B2739)*(('warehouse config'!$H:$H&gt;=B2739)+ISBLANK('warehouse config'!$H:$H))),1)),0))"),0.0)</f>
        <v>0</v>
      </c>
      <c r="H2739" s="3">
        <f>IFERROR(__xludf.DUMMYFUNCTION("IFERROR(INDEX(FILTER('cost master'!$E:$E,('cost master'!$B:$B=C2739)*('cost master'!$D:$D=""Storage cost per pallet / week"")*('cost master'!$G:$G&lt;=B2739)*(('cost master'!$H:$H&gt;=B2739)+ISBLANK('cost master'!$H:$H))),1),0)"),0.0)</f>
        <v>0</v>
      </c>
      <c r="I2739" s="3">
        <f t="shared" si="4"/>
        <v>0</v>
      </c>
      <c r="J2739" s="27">
        <f t="shared" si="5"/>
        <v>693947</v>
      </c>
      <c r="K2739" s="27">
        <f t="shared" si="6"/>
        <v>693977</v>
      </c>
    </row>
    <row r="2740" hidden="1">
      <c r="A2740" s="3" t="str">
        <f t="shared" si="3"/>
        <v/>
      </c>
      <c r="B2740" s="2" t="str">
        <f t="array" ref="B2740">INDEX(helper!$A$3:$A3996,ROUNDUP((ROW()-1)/COUNTA(helper!$D$3:$D3996),0))</f>
        <v/>
      </c>
      <c r="C2740" s="5" t="str">
        <f t="array" ref="C2740">IF(B2740="","",INDEX(helper!$D$3:$D3996,MOD(ROW()-2,COUNTA(helper!$D$3:$D3996))+1))</f>
        <v/>
      </c>
      <c r="D2740" s="3" t="str">
        <f t="array" ref="D2740">IF(B2740="","",INDEX(helper!$E$3:$E3996,MOD(ROW()-2,COUNTA(helper!$D$3:$D3996))+1))</f>
        <v/>
      </c>
      <c r="E2740" s="3" t="str">
        <f t="array" ref="E2740">IF(B2740="","",INDEX(helper!$F$3:$F3996,MOD(ROW()-2,COUNTA(helper!$D$3:$D3996))+1))</f>
        <v/>
      </c>
      <c r="F2740" s="3" t="str">
        <f>IF(B2740="","",SUMIFS('inventory ledger'!$H:$H,'inventory ledger'!$C:$C,C2740,'inventory ledger'!$D:$D,D2740,'inventory ledger'!$E:$E,E2740,'inventory ledger'!$A:$A,"&lt;="&amp;B2740+TIME(23,59,59))-SUMIFS('inventory ledger'!$I:$I,'inventory ledger'!$C:$C,C2740,'inventory ledger'!$D:$D,D2740,'inventory ledger'!$E:$E,E2740,'inventory ledger'!$A:$A,"&lt;="&amp;B2740+TIME(23,59,59)))</f>
        <v/>
      </c>
      <c r="G2740" s="3">
        <f>IFERROR(__xludf.DUMMYFUNCTION("IF(F2740&lt;=0,0,IFERROR(ROUNDUP(F2740/INDEX(FILTER('warehouse config'!$D:$D,('warehouse config'!$B:$B=C2740)*('warehouse config'!$C:$C=D2740)*('warehouse config'!$G:$G&lt;=B2740)*(('warehouse config'!$H:$H&gt;=B2740)+ISBLANK('warehouse config'!$H:$H))),1)),0))"),0.0)</f>
        <v>0</v>
      </c>
      <c r="H2740" s="3">
        <f>IFERROR(__xludf.DUMMYFUNCTION("IFERROR(INDEX(FILTER('cost master'!$E:$E,('cost master'!$B:$B=C2740)*('cost master'!$D:$D=""Storage cost per pallet / week"")*('cost master'!$G:$G&lt;=B2740)*(('cost master'!$H:$H&gt;=B2740)+ISBLANK('cost master'!$H:$H))),1),0)"),0.0)</f>
        <v>0</v>
      </c>
      <c r="I2740" s="3">
        <f t="shared" si="4"/>
        <v>0</v>
      </c>
      <c r="J2740" s="27">
        <f t="shared" si="5"/>
        <v>693947</v>
      </c>
      <c r="K2740" s="27">
        <f t="shared" si="6"/>
        <v>693977</v>
      </c>
    </row>
    <row r="2741" hidden="1">
      <c r="A2741" s="3" t="str">
        <f t="shared" si="3"/>
        <v/>
      </c>
      <c r="B2741" s="2" t="str">
        <f t="array" ref="B2741">INDEX(helper!$A$3:$A3996,ROUNDUP((ROW()-1)/COUNTA(helper!$D$3:$D3996),0))</f>
        <v/>
      </c>
      <c r="C2741" s="5" t="str">
        <f t="array" ref="C2741">IF(B2741="","",INDEX(helper!$D$3:$D3996,MOD(ROW()-2,COUNTA(helper!$D$3:$D3996))+1))</f>
        <v/>
      </c>
      <c r="D2741" s="3" t="str">
        <f t="array" ref="D2741">IF(B2741="","",INDEX(helper!$E$3:$E3996,MOD(ROW()-2,COUNTA(helper!$D$3:$D3996))+1))</f>
        <v/>
      </c>
      <c r="E2741" s="3" t="str">
        <f t="array" ref="E2741">IF(B2741="","",INDEX(helper!$F$3:$F3996,MOD(ROW()-2,COUNTA(helper!$D$3:$D3996))+1))</f>
        <v/>
      </c>
      <c r="F2741" s="3" t="str">
        <f>IF(B2741="","",SUMIFS('inventory ledger'!$H:$H,'inventory ledger'!$C:$C,C2741,'inventory ledger'!$D:$D,D2741,'inventory ledger'!$E:$E,E2741,'inventory ledger'!$A:$A,"&lt;="&amp;B2741+TIME(23,59,59))-SUMIFS('inventory ledger'!$I:$I,'inventory ledger'!$C:$C,C2741,'inventory ledger'!$D:$D,D2741,'inventory ledger'!$E:$E,E2741,'inventory ledger'!$A:$A,"&lt;="&amp;B2741+TIME(23,59,59)))</f>
        <v/>
      </c>
      <c r="G2741" s="3">
        <f>IFERROR(__xludf.DUMMYFUNCTION("IF(F2741&lt;=0,0,IFERROR(ROUNDUP(F2741/INDEX(FILTER('warehouse config'!$D:$D,('warehouse config'!$B:$B=C2741)*('warehouse config'!$C:$C=D2741)*('warehouse config'!$G:$G&lt;=B2741)*(('warehouse config'!$H:$H&gt;=B2741)+ISBLANK('warehouse config'!$H:$H))),1)),0))"),0.0)</f>
        <v>0</v>
      </c>
      <c r="H2741" s="3">
        <f>IFERROR(__xludf.DUMMYFUNCTION("IFERROR(INDEX(FILTER('cost master'!$E:$E,('cost master'!$B:$B=C2741)*('cost master'!$D:$D=""Storage cost per pallet / week"")*('cost master'!$G:$G&lt;=B2741)*(('cost master'!$H:$H&gt;=B2741)+ISBLANK('cost master'!$H:$H))),1),0)"),0.0)</f>
        <v>0</v>
      </c>
      <c r="I2741" s="3">
        <f t="shared" si="4"/>
        <v>0</v>
      </c>
      <c r="J2741" s="27">
        <f t="shared" si="5"/>
        <v>693947</v>
      </c>
      <c r="K2741" s="27">
        <f t="shared" si="6"/>
        <v>693977</v>
      </c>
    </row>
    <row r="2742" hidden="1">
      <c r="A2742" s="3" t="str">
        <f t="shared" si="3"/>
        <v/>
      </c>
      <c r="B2742" s="2" t="str">
        <f t="array" ref="B2742">INDEX(helper!$A$3:$A3996,ROUNDUP((ROW()-1)/COUNTA(helper!$D$3:$D3996),0))</f>
        <v/>
      </c>
      <c r="C2742" s="5" t="str">
        <f t="array" ref="C2742">IF(B2742="","",INDEX(helper!$D$3:$D3996,MOD(ROW()-2,COUNTA(helper!$D$3:$D3996))+1))</f>
        <v/>
      </c>
      <c r="D2742" s="3" t="str">
        <f t="array" ref="D2742">IF(B2742="","",INDEX(helper!$E$3:$E3996,MOD(ROW()-2,COUNTA(helper!$D$3:$D3996))+1))</f>
        <v/>
      </c>
      <c r="E2742" s="3" t="str">
        <f t="array" ref="E2742">IF(B2742="","",INDEX(helper!$F$3:$F3996,MOD(ROW()-2,COUNTA(helper!$D$3:$D3996))+1))</f>
        <v/>
      </c>
      <c r="F2742" s="3" t="str">
        <f>IF(B2742="","",SUMIFS('inventory ledger'!$H:$H,'inventory ledger'!$C:$C,C2742,'inventory ledger'!$D:$D,D2742,'inventory ledger'!$E:$E,E2742,'inventory ledger'!$A:$A,"&lt;="&amp;B2742+TIME(23,59,59))-SUMIFS('inventory ledger'!$I:$I,'inventory ledger'!$C:$C,C2742,'inventory ledger'!$D:$D,D2742,'inventory ledger'!$E:$E,E2742,'inventory ledger'!$A:$A,"&lt;="&amp;B2742+TIME(23,59,59)))</f>
        <v/>
      </c>
      <c r="G2742" s="3">
        <f>IFERROR(__xludf.DUMMYFUNCTION("IF(F2742&lt;=0,0,IFERROR(ROUNDUP(F2742/INDEX(FILTER('warehouse config'!$D:$D,('warehouse config'!$B:$B=C2742)*('warehouse config'!$C:$C=D2742)*('warehouse config'!$G:$G&lt;=B2742)*(('warehouse config'!$H:$H&gt;=B2742)+ISBLANK('warehouse config'!$H:$H))),1)),0))"),0.0)</f>
        <v>0</v>
      </c>
      <c r="H2742" s="3">
        <f>IFERROR(__xludf.DUMMYFUNCTION("IFERROR(INDEX(FILTER('cost master'!$E:$E,('cost master'!$B:$B=C2742)*('cost master'!$D:$D=""Storage cost per pallet / week"")*('cost master'!$G:$G&lt;=B2742)*(('cost master'!$H:$H&gt;=B2742)+ISBLANK('cost master'!$H:$H))),1),0)"),0.0)</f>
        <v>0</v>
      </c>
      <c r="I2742" s="3">
        <f t="shared" si="4"/>
        <v>0</v>
      </c>
      <c r="J2742" s="27">
        <f t="shared" si="5"/>
        <v>693947</v>
      </c>
      <c r="K2742" s="27">
        <f t="shared" si="6"/>
        <v>693977</v>
      </c>
    </row>
    <row r="2743" hidden="1">
      <c r="A2743" s="3" t="str">
        <f t="shared" si="3"/>
        <v/>
      </c>
      <c r="B2743" s="2" t="str">
        <f t="array" ref="B2743">INDEX(helper!$A$3:$A3996,ROUNDUP((ROW()-1)/COUNTA(helper!$D$3:$D3996),0))</f>
        <v/>
      </c>
      <c r="C2743" s="5" t="str">
        <f t="array" ref="C2743">IF(B2743="","",INDEX(helper!$D$3:$D3996,MOD(ROW()-2,COUNTA(helper!$D$3:$D3996))+1))</f>
        <v/>
      </c>
      <c r="D2743" s="3" t="str">
        <f t="array" ref="D2743">IF(B2743="","",INDEX(helper!$E$3:$E3996,MOD(ROW()-2,COUNTA(helper!$D$3:$D3996))+1))</f>
        <v/>
      </c>
      <c r="E2743" s="3" t="str">
        <f t="array" ref="E2743">IF(B2743="","",INDEX(helper!$F$3:$F3996,MOD(ROW()-2,COUNTA(helper!$D$3:$D3996))+1))</f>
        <v/>
      </c>
      <c r="F2743" s="3" t="str">
        <f>IF(B2743="","",SUMIFS('inventory ledger'!$H:$H,'inventory ledger'!$C:$C,C2743,'inventory ledger'!$D:$D,D2743,'inventory ledger'!$E:$E,E2743,'inventory ledger'!$A:$A,"&lt;="&amp;B2743+TIME(23,59,59))-SUMIFS('inventory ledger'!$I:$I,'inventory ledger'!$C:$C,C2743,'inventory ledger'!$D:$D,D2743,'inventory ledger'!$E:$E,E2743,'inventory ledger'!$A:$A,"&lt;="&amp;B2743+TIME(23,59,59)))</f>
        <v/>
      </c>
      <c r="G2743" s="3">
        <f>IFERROR(__xludf.DUMMYFUNCTION("IF(F2743&lt;=0,0,IFERROR(ROUNDUP(F2743/INDEX(FILTER('warehouse config'!$D:$D,('warehouse config'!$B:$B=C2743)*('warehouse config'!$C:$C=D2743)*('warehouse config'!$G:$G&lt;=B2743)*(('warehouse config'!$H:$H&gt;=B2743)+ISBLANK('warehouse config'!$H:$H))),1)),0))"),0.0)</f>
        <v>0</v>
      </c>
      <c r="H2743" s="3">
        <f>IFERROR(__xludf.DUMMYFUNCTION("IFERROR(INDEX(FILTER('cost master'!$E:$E,('cost master'!$B:$B=C2743)*('cost master'!$D:$D=""Storage cost per pallet / week"")*('cost master'!$G:$G&lt;=B2743)*(('cost master'!$H:$H&gt;=B2743)+ISBLANK('cost master'!$H:$H))),1),0)"),0.0)</f>
        <v>0</v>
      </c>
      <c r="I2743" s="3">
        <f t="shared" si="4"/>
        <v>0</v>
      </c>
      <c r="J2743" s="27">
        <f t="shared" si="5"/>
        <v>693947</v>
      </c>
      <c r="K2743" s="27">
        <f t="shared" si="6"/>
        <v>693977</v>
      </c>
    </row>
    <row r="2744" hidden="1">
      <c r="A2744" s="3" t="str">
        <f t="shared" si="3"/>
        <v/>
      </c>
      <c r="B2744" s="2" t="str">
        <f t="array" ref="B2744">INDEX(helper!$A$3:$A3996,ROUNDUP((ROW()-1)/COUNTA(helper!$D$3:$D3996),0))</f>
        <v/>
      </c>
      <c r="C2744" s="5" t="str">
        <f t="array" ref="C2744">IF(B2744="","",INDEX(helper!$D$3:$D3996,MOD(ROW()-2,COUNTA(helper!$D$3:$D3996))+1))</f>
        <v/>
      </c>
      <c r="D2744" s="3" t="str">
        <f t="array" ref="D2744">IF(B2744="","",INDEX(helper!$E$3:$E3996,MOD(ROW()-2,COUNTA(helper!$D$3:$D3996))+1))</f>
        <v/>
      </c>
      <c r="E2744" s="3" t="str">
        <f t="array" ref="E2744">IF(B2744="","",INDEX(helper!$F$3:$F3996,MOD(ROW()-2,COUNTA(helper!$D$3:$D3996))+1))</f>
        <v/>
      </c>
      <c r="F2744" s="3" t="str">
        <f>IF(B2744="","",SUMIFS('inventory ledger'!$H:$H,'inventory ledger'!$C:$C,C2744,'inventory ledger'!$D:$D,D2744,'inventory ledger'!$E:$E,E2744,'inventory ledger'!$A:$A,"&lt;="&amp;B2744+TIME(23,59,59))-SUMIFS('inventory ledger'!$I:$I,'inventory ledger'!$C:$C,C2744,'inventory ledger'!$D:$D,D2744,'inventory ledger'!$E:$E,E2744,'inventory ledger'!$A:$A,"&lt;="&amp;B2744+TIME(23,59,59)))</f>
        <v/>
      </c>
      <c r="G2744" s="3">
        <f>IFERROR(__xludf.DUMMYFUNCTION("IF(F2744&lt;=0,0,IFERROR(ROUNDUP(F2744/INDEX(FILTER('warehouse config'!$D:$D,('warehouse config'!$B:$B=C2744)*('warehouse config'!$C:$C=D2744)*('warehouse config'!$G:$G&lt;=B2744)*(('warehouse config'!$H:$H&gt;=B2744)+ISBLANK('warehouse config'!$H:$H))),1)),0))"),0.0)</f>
        <v>0</v>
      </c>
      <c r="H2744" s="3">
        <f>IFERROR(__xludf.DUMMYFUNCTION("IFERROR(INDEX(FILTER('cost master'!$E:$E,('cost master'!$B:$B=C2744)*('cost master'!$D:$D=""Storage cost per pallet / week"")*('cost master'!$G:$G&lt;=B2744)*(('cost master'!$H:$H&gt;=B2744)+ISBLANK('cost master'!$H:$H))),1),0)"),0.0)</f>
        <v>0</v>
      </c>
      <c r="I2744" s="3">
        <f t="shared" si="4"/>
        <v>0</v>
      </c>
      <c r="J2744" s="27">
        <f t="shared" si="5"/>
        <v>693947</v>
      </c>
      <c r="K2744" s="27">
        <f t="shared" si="6"/>
        <v>693977</v>
      </c>
    </row>
    <row r="2745" hidden="1">
      <c r="A2745" s="3" t="str">
        <f t="shared" si="3"/>
        <v/>
      </c>
      <c r="B2745" s="2" t="str">
        <f t="array" ref="B2745">INDEX(helper!$A$3:$A3996,ROUNDUP((ROW()-1)/COUNTA(helper!$D$3:$D3996),0))</f>
        <v/>
      </c>
      <c r="C2745" s="5" t="str">
        <f t="array" ref="C2745">IF(B2745="","",INDEX(helper!$D$3:$D3996,MOD(ROW()-2,COUNTA(helper!$D$3:$D3996))+1))</f>
        <v/>
      </c>
      <c r="D2745" s="3" t="str">
        <f t="array" ref="D2745">IF(B2745="","",INDEX(helper!$E$3:$E3996,MOD(ROW()-2,COUNTA(helper!$D$3:$D3996))+1))</f>
        <v/>
      </c>
      <c r="E2745" s="3" t="str">
        <f t="array" ref="E2745">IF(B2745="","",INDEX(helper!$F$3:$F3996,MOD(ROW()-2,COUNTA(helper!$D$3:$D3996))+1))</f>
        <v/>
      </c>
      <c r="F2745" s="3" t="str">
        <f>IF(B2745="","",SUMIFS('inventory ledger'!$H:$H,'inventory ledger'!$C:$C,C2745,'inventory ledger'!$D:$D,D2745,'inventory ledger'!$E:$E,E2745,'inventory ledger'!$A:$A,"&lt;="&amp;B2745+TIME(23,59,59))-SUMIFS('inventory ledger'!$I:$I,'inventory ledger'!$C:$C,C2745,'inventory ledger'!$D:$D,D2745,'inventory ledger'!$E:$E,E2745,'inventory ledger'!$A:$A,"&lt;="&amp;B2745+TIME(23,59,59)))</f>
        <v/>
      </c>
      <c r="G2745" s="3">
        <f>IFERROR(__xludf.DUMMYFUNCTION("IF(F2745&lt;=0,0,IFERROR(ROUNDUP(F2745/INDEX(FILTER('warehouse config'!$D:$D,('warehouse config'!$B:$B=C2745)*('warehouse config'!$C:$C=D2745)*('warehouse config'!$G:$G&lt;=B2745)*(('warehouse config'!$H:$H&gt;=B2745)+ISBLANK('warehouse config'!$H:$H))),1)),0))"),0.0)</f>
        <v>0</v>
      </c>
      <c r="H2745" s="3">
        <f>IFERROR(__xludf.DUMMYFUNCTION("IFERROR(INDEX(FILTER('cost master'!$E:$E,('cost master'!$B:$B=C2745)*('cost master'!$D:$D=""Storage cost per pallet / week"")*('cost master'!$G:$G&lt;=B2745)*(('cost master'!$H:$H&gt;=B2745)+ISBLANK('cost master'!$H:$H))),1),0)"),0.0)</f>
        <v>0</v>
      </c>
      <c r="I2745" s="3">
        <f t="shared" si="4"/>
        <v>0</v>
      </c>
      <c r="J2745" s="27">
        <f t="shared" si="5"/>
        <v>693947</v>
      </c>
      <c r="K2745" s="27">
        <f t="shared" si="6"/>
        <v>693977</v>
      </c>
    </row>
    <row r="2746" hidden="1">
      <c r="A2746" s="3" t="str">
        <f t="shared" si="3"/>
        <v/>
      </c>
      <c r="B2746" s="2" t="str">
        <f t="array" ref="B2746">INDEX(helper!$A$3:$A3996,ROUNDUP((ROW()-1)/COUNTA(helper!$D$3:$D3996),0))</f>
        <v/>
      </c>
      <c r="C2746" s="5" t="str">
        <f t="array" ref="C2746">IF(B2746="","",INDEX(helper!$D$3:$D3996,MOD(ROW()-2,COUNTA(helper!$D$3:$D3996))+1))</f>
        <v/>
      </c>
      <c r="D2746" s="3" t="str">
        <f t="array" ref="D2746">IF(B2746="","",INDEX(helper!$E$3:$E3996,MOD(ROW()-2,COUNTA(helper!$D$3:$D3996))+1))</f>
        <v/>
      </c>
      <c r="E2746" s="3" t="str">
        <f t="array" ref="E2746">IF(B2746="","",INDEX(helper!$F$3:$F3996,MOD(ROW()-2,COUNTA(helper!$D$3:$D3996))+1))</f>
        <v/>
      </c>
      <c r="F2746" s="3" t="str">
        <f>IF(B2746="","",SUMIFS('inventory ledger'!$H:$H,'inventory ledger'!$C:$C,C2746,'inventory ledger'!$D:$D,D2746,'inventory ledger'!$E:$E,E2746,'inventory ledger'!$A:$A,"&lt;="&amp;B2746+TIME(23,59,59))-SUMIFS('inventory ledger'!$I:$I,'inventory ledger'!$C:$C,C2746,'inventory ledger'!$D:$D,D2746,'inventory ledger'!$E:$E,E2746,'inventory ledger'!$A:$A,"&lt;="&amp;B2746+TIME(23,59,59)))</f>
        <v/>
      </c>
      <c r="G2746" s="3">
        <f>IFERROR(__xludf.DUMMYFUNCTION("IF(F2746&lt;=0,0,IFERROR(ROUNDUP(F2746/INDEX(FILTER('warehouse config'!$D:$D,('warehouse config'!$B:$B=C2746)*('warehouse config'!$C:$C=D2746)*('warehouse config'!$G:$G&lt;=B2746)*(('warehouse config'!$H:$H&gt;=B2746)+ISBLANK('warehouse config'!$H:$H))),1)),0))"),0.0)</f>
        <v>0</v>
      </c>
      <c r="H2746" s="3">
        <f>IFERROR(__xludf.DUMMYFUNCTION("IFERROR(INDEX(FILTER('cost master'!$E:$E,('cost master'!$B:$B=C2746)*('cost master'!$D:$D=""Storage cost per pallet / week"")*('cost master'!$G:$G&lt;=B2746)*(('cost master'!$H:$H&gt;=B2746)+ISBLANK('cost master'!$H:$H))),1),0)"),0.0)</f>
        <v>0</v>
      </c>
      <c r="I2746" s="3">
        <f t="shared" si="4"/>
        <v>0</v>
      </c>
      <c r="J2746" s="27">
        <f t="shared" si="5"/>
        <v>693947</v>
      </c>
      <c r="K2746" s="27">
        <f t="shared" si="6"/>
        <v>693977</v>
      </c>
    </row>
    <row r="2747" hidden="1">
      <c r="A2747" s="3" t="str">
        <f t="shared" si="3"/>
        <v/>
      </c>
      <c r="B2747" s="2" t="str">
        <f t="array" ref="B2747">INDEX(helper!$A$3:$A3996,ROUNDUP((ROW()-1)/COUNTA(helper!$D$3:$D3996),0))</f>
        <v/>
      </c>
      <c r="C2747" s="5" t="str">
        <f t="array" ref="C2747">IF(B2747="","",INDEX(helper!$D$3:$D3996,MOD(ROW()-2,COUNTA(helper!$D$3:$D3996))+1))</f>
        <v/>
      </c>
      <c r="D2747" s="3" t="str">
        <f t="array" ref="D2747">IF(B2747="","",INDEX(helper!$E$3:$E3996,MOD(ROW()-2,COUNTA(helper!$D$3:$D3996))+1))</f>
        <v/>
      </c>
      <c r="E2747" s="3" t="str">
        <f t="array" ref="E2747">IF(B2747="","",INDEX(helper!$F$3:$F3996,MOD(ROW()-2,COUNTA(helper!$D$3:$D3996))+1))</f>
        <v/>
      </c>
      <c r="F2747" s="3" t="str">
        <f>IF(B2747="","",SUMIFS('inventory ledger'!$H:$H,'inventory ledger'!$C:$C,C2747,'inventory ledger'!$D:$D,D2747,'inventory ledger'!$E:$E,E2747,'inventory ledger'!$A:$A,"&lt;="&amp;B2747+TIME(23,59,59))-SUMIFS('inventory ledger'!$I:$I,'inventory ledger'!$C:$C,C2747,'inventory ledger'!$D:$D,D2747,'inventory ledger'!$E:$E,E2747,'inventory ledger'!$A:$A,"&lt;="&amp;B2747+TIME(23,59,59)))</f>
        <v/>
      </c>
      <c r="G2747" s="3">
        <f>IFERROR(__xludf.DUMMYFUNCTION("IF(F2747&lt;=0,0,IFERROR(ROUNDUP(F2747/INDEX(FILTER('warehouse config'!$D:$D,('warehouse config'!$B:$B=C2747)*('warehouse config'!$C:$C=D2747)*('warehouse config'!$G:$G&lt;=B2747)*(('warehouse config'!$H:$H&gt;=B2747)+ISBLANK('warehouse config'!$H:$H))),1)),0))"),0.0)</f>
        <v>0</v>
      </c>
      <c r="H2747" s="3">
        <f>IFERROR(__xludf.DUMMYFUNCTION("IFERROR(INDEX(FILTER('cost master'!$E:$E,('cost master'!$B:$B=C2747)*('cost master'!$D:$D=""Storage cost per pallet / week"")*('cost master'!$G:$G&lt;=B2747)*(('cost master'!$H:$H&gt;=B2747)+ISBLANK('cost master'!$H:$H))),1),0)"),0.0)</f>
        <v>0</v>
      </c>
      <c r="I2747" s="3">
        <f t="shared" si="4"/>
        <v>0</v>
      </c>
      <c r="J2747" s="27">
        <f t="shared" si="5"/>
        <v>693947</v>
      </c>
      <c r="K2747" s="27">
        <f t="shared" si="6"/>
        <v>693977</v>
      </c>
    </row>
    <row r="2748" hidden="1">
      <c r="A2748" s="3" t="str">
        <f t="shared" si="3"/>
        <v/>
      </c>
      <c r="B2748" s="2" t="str">
        <f t="array" ref="B2748">INDEX(helper!$A$3:$A3996,ROUNDUP((ROW()-1)/COUNTA(helper!$D$3:$D3996),0))</f>
        <v/>
      </c>
      <c r="C2748" s="5" t="str">
        <f t="array" ref="C2748">IF(B2748="","",INDEX(helper!$D$3:$D3996,MOD(ROW()-2,COUNTA(helper!$D$3:$D3996))+1))</f>
        <v/>
      </c>
      <c r="D2748" s="3" t="str">
        <f t="array" ref="D2748">IF(B2748="","",INDEX(helper!$E$3:$E3996,MOD(ROW()-2,COUNTA(helper!$D$3:$D3996))+1))</f>
        <v/>
      </c>
      <c r="E2748" s="3" t="str">
        <f t="array" ref="E2748">IF(B2748="","",INDEX(helper!$F$3:$F3996,MOD(ROW()-2,COUNTA(helper!$D$3:$D3996))+1))</f>
        <v/>
      </c>
      <c r="F2748" s="3" t="str">
        <f>IF(B2748="","",SUMIFS('inventory ledger'!$H:$H,'inventory ledger'!$C:$C,C2748,'inventory ledger'!$D:$D,D2748,'inventory ledger'!$E:$E,E2748,'inventory ledger'!$A:$A,"&lt;="&amp;B2748+TIME(23,59,59))-SUMIFS('inventory ledger'!$I:$I,'inventory ledger'!$C:$C,C2748,'inventory ledger'!$D:$D,D2748,'inventory ledger'!$E:$E,E2748,'inventory ledger'!$A:$A,"&lt;="&amp;B2748+TIME(23,59,59)))</f>
        <v/>
      </c>
      <c r="G2748" s="3">
        <f>IFERROR(__xludf.DUMMYFUNCTION("IF(F2748&lt;=0,0,IFERROR(ROUNDUP(F2748/INDEX(FILTER('warehouse config'!$D:$D,('warehouse config'!$B:$B=C2748)*('warehouse config'!$C:$C=D2748)*('warehouse config'!$G:$G&lt;=B2748)*(('warehouse config'!$H:$H&gt;=B2748)+ISBLANK('warehouse config'!$H:$H))),1)),0))"),0.0)</f>
        <v>0</v>
      </c>
      <c r="H2748" s="3">
        <f>IFERROR(__xludf.DUMMYFUNCTION("IFERROR(INDEX(FILTER('cost master'!$E:$E,('cost master'!$B:$B=C2748)*('cost master'!$D:$D=""Storage cost per pallet / week"")*('cost master'!$G:$G&lt;=B2748)*(('cost master'!$H:$H&gt;=B2748)+ISBLANK('cost master'!$H:$H))),1),0)"),0.0)</f>
        <v>0</v>
      </c>
      <c r="I2748" s="3">
        <f t="shared" si="4"/>
        <v>0</v>
      </c>
      <c r="J2748" s="27">
        <f t="shared" si="5"/>
        <v>693947</v>
      </c>
      <c r="K2748" s="27">
        <f t="shared" si="6"/>
        <v>693977</v>
      </c>
    </row>
    <row r="2749" hidden="1">
      <c r="A2749" s="3" t="str">
        <f t="shared" si="3"/>
        <v/>
      </c>
      <c r="B2749" s="2" t="str">
        <f t="array" ref="B2749">INDEX(helper!$A$3:$A3996,ROUNDUP((ROW()-1)/COUNTA(helper!$D$3:$D3996),0))</f>
        <v/>
      </c>
      <c r="C2749" s="5" t="str">
        <f t="array" ref="C2749">IF(B2749="","",INDEX(helper!$D$3:$D3996,MOD(ROW()-2,COUNTA(helper!$D$3:$D3996))+1))</f>
        <v/>
      </c>
      <c r="D2749" s="3" t="str">
        <f t="array" ref="D2749">IF(B2749="","",INDEX(helper!$E$3:$E3996,MOD(ROW()-2,COUNTA(helper!$D$3:$D3996))+1))</f>
        <v/>
      </c>
      <c r="E2749" s="3" t="str">
        <f t="array" ref="E2749">IF(B2749="","",INDEX(helper!$F$3:$F3996,MOD(ROW()-2,COUNTA(helper!$D$3:$D3996))+1))</f>
        <v/>
      </c>
      <c r="F2749" s="3" t="str">
        <f>IF(B2749="","",SUMIFS('inventory ledger'!$H:$H,'inventory ledger'!$C:$C,C2749,'inventory ledger'!$D:$D,D2749,'inventory ledger'!$E:$E,E2749,'inventory ledger'!$A:$A,"&lt;="&amp;B2749+TIME(23,59,59))-SUMIFS('inventory ledger'!$I:$I,'inventory ledger'!$C:$C,C2749,'inventory ledger'!$D:$D,D2749,'inventory ledger'!$E:$E,E2749,'inventory ledger'!$A:$A,"&lt;="&amp;B2749+TIME(23,59,59)))</f>
        <v/>
      </c>
      <c r="G2749" s="3">
        <f>IFERROR(__xludf.DUMMYFUNCTION("IF(F2749&lt;=0,0,IFERROR(ROUNDUP(F2749/INDEX(FILTER('warehouse config'!$D:$D,('warehouse config'!$B:$B=C2749)*('warehouse config'!$C:$C=D2749)*('warehouse config'!$G:$G&lt;=B2749)*(('warehouse config'!$H:$H&gt;=B2749)+ISBLANK('warehouse config'!$H:$H))),1)),0))"),0.0)</f>
        <v>0</v>
      </c>
      <c r="H2749" s="3">
        <f>IFERROR(__xludf.DUMMYFUNCTION("IFERROR(INDEX(FILTER('cost master'!$E:$E,('cost master'!$B:$B=C2749)*('cost master'!$D:$D=""Storage cost per pallet / week"")*('cost master'!$G:$G&lt;=B2749)*(('cost master'!$H:$H&gt;=B2749)+ISBLANK('cost master'!$H:$H))),1),0)"),0.0)</f>
        <v>0</v>
      </c>
      <c r="I2749" s="3">
        <f t="shared" si="4"/>
        <v>0</v>
      </c>
      <c r="J2749" s="27">
        <f t="shared" si="5"/>
        <v>693947</v>
      </c>
      <c r="K2749" s="27">
        <f t="shared" si="6"/>
        <v>693977</v>
      </c>
    </row>
    <row r="2750" hidden="1">
      <c r="A2750" s="3" t="str">
        <f t="shared" si="3"/>
        <v/>
      </c>
      <c r="B2750" s="2" t="str">
        <f t="array" ref="B2750">INDEX(helper!$A$3:$A3996,ROUNDUP((ROW()-1)/COUNTA(helper!$D$3:$D3996),0))</f>
        <v/>
      </c>
      <c r="C2750" s="5" t="str">
        <f t="array" ref="C2750">IF(B2750="","",INDEX(helper!$D$3:$D3996,MOD(ROW()-2,COUNTA(helper!$D$3:$D3996))+1))</f>
        <v/>
      </c>
      <c r="D2750" s="3" t="str">
        <f t="array" ref="D2750">IF(B2750="","",INDEX(helper!$E$3:$E3996,MOD(ROW()-2,COUNTA(helper!$D$3:$D3996))+1))</f>
        <v/>
      </c>
      <c r="E2750" s="3" t="str">
        <f t="array" ref="E2750">IF(B2750="","",INDEX(helper!$F$3:$F3996,MOD(ROW()-2,COUNTA(helper!$D$3:$D3996))+1))</f>
        <v/>
      </c>
      <c r="F2750" s="3" t="str">
        <f>IF(B2750="","",SUMIFS('inventory ledger'!$H:$H,'inventory ledger'!$C:$C,C2750,'inventory ledger'!$D:$D,D2750,'inventory ledger'!$E:$E,E2750,'inventory ledger'!$A:$A,"&lt;="&amp;B2750+TIME(23,59,59))-SUMIFS('inventory ledger'!$I:$I,'inventory ledger'!$C:$C,C2750,'inventory ledger'!$D:$D,D2750,'inventory ledger'!$E:$E,E2750,'inventory ledger'!$A:$A,"&lt;="&amp;B2750+TIME(23,59,59)))</f>
        <v/>
      </c>
      <c r="G2750" s="3">
        <f>IFERROR(__xludf.DUMMYFUNCTION("IF(F2750&lt;=0,0,IFERROR(ROUNDUP(F2750/INDEX(FILTER('warehouse config'!$D:$D,('warehouse config'!$B:$B=C2750)*('warehouse config'!$C:$C=D2750)*('warehouse config'!$G:$G&lt;=B2750)*(('warehouse config'!$H:$H&gt;=B2750)+ISBLANK('warehouse config'!$H:$H))),1)),0))"),0.0)</f>
        <v>0</v>
      </c>
      <c r="H2750" s="3">
        <f>IFERROR(__xludf.DUMMYFUNCTION("IFERROR(INDEX(FILTER('cost master'!$E:$E,('cost master'!$B:$B=C2750)*('cost master'!$D:$D=""Storage cost per pallet / week"")*('cost master'!$G:$G&lt;=B2750)*(('cost master'!$H:$H&gt;=B2750)+ISBLANK('cost master'!$H:$H))),1),0)"),0.0)</f>
        <v>0</v>
      </c>
      <c r="I2750" s="3">
        <f t="shared" si="4"/>
        <v>0</v>
      </c>
      <c r="J2750" s="27">
        <f t="shared" si="5"/>
        <v>693947</v>
      </c>
      <c r="K2750" s="27">
        <f t="shared" si="6"/>
        <v>693977</v>
      </c>
    </row>
    <row r="2751" hidden="1">
      <c r="A2751" s="3" t="str">
        <f t="shared" si="3"/>
        <v/>
      </c>
      <c r="B2751" s="2" t="str">
        <f t="array" ref="B2751">INDEX(helper!$A$3:$A3996,ROUNDUP((ROW()-1)/COUNTA(helper!$D$3:$D3996),0))</f>
        <v/>
      </c>
      <c r="C2751" s="5" t="str">
        <f t="array" ref="C2751">IF(B2751="","",INDEX(helper!$D$3:$D3996,MOD(ROW()-2,COUNTA(helper!$D$3:$D3996))+1))</f>
        <v/>
      </c>
      <c r="D2751" s="3" t="str">
        <f t="array" ref="D2751">IF(B2751="","",INDEX(helper!$E$3:$E3996,MOD(ROW()-2,COUNTA(helper!$D$3:$D3996))+1))</f>
        <v/>
      </c>
      <c r="E2751" s="3" t="str">
        <f t="array" ref="E2751">IF(B2751="","",INDEX(helper!$F$3:$F3996,MOD(ROW()-2,COUNTA(helper!$D$3:$D3996))+1))</f>
        <v/>
      </c>
      <c r="F2751" s="3" t="str">
        <f>IF(B2751="","",SUMIFS('inventory ledger'!$H:$H,'inventory ledger'!$C:$C,C2751,'inventory ledger'!$D:$D,D2751,'inventory ledger'!$E:$E,E2751,'inventory ledger'!$A:$A,"&lt;="&amp;B2751+TIME(23,59,59))-SUMIFS('inventory ledger'!$I:$I,'inventory ledger'!$C:$C,C2751,'inventory ledger'!$D:$D,D2751,'inventory ledger'!$E:$E,E2751,'inventory ledger'!$A:$A,"&lt;="&amp;B2751+TIME(23,59,59)))</f>
        <v/>
      </c>
      <c r="G2751" s="3">
        <f>IFERROR(__xludf.DUMMYFUNCTION("IF(F2751&lt;=0,0,IFERROR(ROUNDUP(F2751/INDEX(FILTER('warehouse config'!$D:$D,('warehouse config'!$B:$B=C2751)*('warehouse config'!$C:$C=D2751)*('warehouse config'!$G:$G&lt;=B2751)*(('warehouse config'!$H:$H&gt;=B2751)+ISBLANK('warehouse config'!$H:$H))),1)),0))"),0.0)</f>
        <v>0</v>
      </c>
      <c r="H2751" s="3">
        <f>IFERROR(__xludf.DUMMYFUNCTION("IFERROR(INDEX(FILTER('cost master'!$E:$E,('cost master'!$B:$B=C2751)*('cost master'!$D:$D=""Storage cost per pallet / week"")*('cost master'!$G:$G&lt;=B2751)*(('cost master'!$H:$H&gt;=B2751)+ISBLANK('cost master'!$H:$H))),1),0)"),0.0)</f>
        <v>0</v>
      </c>
      <c r="I2751" s="3">
        <f t="shared" si="4"/>
        <v>0</v>
      </c>
      <c r="J2751" s="27">
        <f t="shared" si="5"/>
        <v>693947</v>
      </c>
      <c r="K2751" s="27">
        <f t="shared" si="6"/>
        <v>693977</v>
      </c>
    </row>
    <row r="2752" hidden="1">
      <c r="A2752" s="3" t="str">
        <f t="shared" si="3"/>
        <v/>
      </c>
      <c r="B2752" s="2" t="str">
        <f t="array" ref="B2752">INDEX(helper!$A$3:$A3996,ROUNDUP((ROW()-1)/COUNTA(helper!$D$3:$D3996),0))</f>
        <v/>
      </c>
      <c r="C2752" s="5" t="str">
        <f t="array" ref="C2752">IF(B2752="","",INDEX(helper!$D$3:$D3996,MOD(ROW()-2,COUNTA(helper!$D$3:$D3996))+1))</f>
        <v/>
      </c>
      <c r="D2752" s="3" t="str">
        <f t="array" ref="D2752">IF(B2752="","",INDEX(helper!$E$3:$E3996,MOD(ROW()-2,COUNTA(helper!$D$3:$D3996))+1))</f>
        <v/>
      </c>
      <c r="E2752" s="3" t="str">
        <f t="array" ref="E2752">IF(B2752="","",INDEX(helper!$F$3:$F3996,MOD(ROW()-2,COUNTA(helper!$D$3:$D3996))+1))</f>
        <v/>
      </c>
      <c r="F2752" s="3" t="str">
        <f>IF(B2752="","",SUMIFS('inventory ledger'!$H:$H,'inventory ledger'!$C:$C,C2752,'inventory ledger'!$D:$D,D2752,'inventory ledger'!$E:$E,E2752,'inventory ledger'!$A:$A,"&lt;="&amp;B2752+TIME(23,59,59))-SUMIFS('inventory ledger'!$I:$I,'inventory ledger'!$C:$C,C2752,'inventory ledger'!$D:$D,D2752,'inventory ledger'!$E:$E,E2752,'inventory ledger'!$A:$A,"&lt;="&amp;B2752+TIME(23,59,59)))</f>
        <v/>
      </c>
      <c r="G2752" s="3">
        <f>IFERROR(__xludf.DUMMYFUNCTION("IF(F2752&lt;=0,0,IFERROR(ROUNDUP(F2752/INDEX(FILTER('warehouse config'!$D:$D,('warehouse config'!$B:$B=C2752)*('warehouse config'!$C:$C=D2752)*('warehouse config'!$G:$G&lt;=B2752)*(('warehouse config'!$H:$H&gt;=B2752)+ISBLANK('warehouse config'!$H:$H))),1)),0))"),0.0)</f>
        <v>0</v>
      </c>
      <c r="H2752" s="3">
        <f>IFERROR(__xludf.DUMMYFUNCTION("IFERROR(INDEX(FILTER('cost master'!$E:$E,('cost master'!$B:$B=C2752)*('cost master'!$D:$D=""Storage cost per pallet / week"")*('cost master'!$G:$G&lt;=B2752)*(('cost master'!$H:$H&gt;=B2752)+ISBLANK('cost master'!$H:$H))),1),0)"),0.0)</f>
        <v>0</v>
      </c>
      <c r="I2752" s="3">
        <f t="shared" si="4"/>
        <v>0</v>
      </c>
      <c r="J2752" s="27">
        <f t="shared" si="5"/>
        <v>693947</v>
      </c>
      <c r="K2752" s="27">
        <f t="shared" si="6"/>
        <v>693977</v>
      </c>
    </row>
    <row r="2753" hidden="1">
      <c r="A2753" s="3" t="str">
        <f t="shared" si="3"/>
        <v/>
      </c>
      <c r="B2753" s="2" t="str">
        <f t="array" ref="B2753">INDEX(helper!$A$3:$A3996,ROUNDUP((ROW()-1)/COUNTA(helper!$D$3:$D3996),0))</f>
        <v/>
      </c>
      <c r="C2753" s="5" t="str">
        <f t="array" ref="C2753">IF(B2753="","",INDEX(helper!$D$3:$D3996,MOD(ROW()-2,COUNTA(helper!$D$3:$D3996))+1))</f>
        <v/>
      </c>
      <c r="D2753" s="3" t="str">
        <f t="array" ref="D2753">IF(B2753="","",INDEX(helper!$E$3:$E3996,MOD(ROW()-2,COUNTA(helper!$D$3:$D3996))+1))</f>
        <v/>
      </c>
      <c r="E2753" s="3" t="str">
        <f t="array" ref="E2753">IF(B2753="","",INDEX(helper!$F$3:$F3996,MOD(ROW()-2,COUNTA(helper!$D$3:$D3996))+1))</f>
        <v/>
      </c>
      <c r="F2753" s="3" t="str">
        <f>IF(B2753="","",SUMIFS('inventory ledger'!$H:$H,'inventory ledger'!$C:$C,C2753,'inventory ledger'!$D:$D,D2753,'inventory ledger'!$E:$E,E2753,'inventory ledger'!$A:$A,"&lt;="&amp;B2753+TIME(23,59,59))-SUMIFS('inventory ledger'!$I:$I,'inventory ledger'!$C:$C,C2753,'inventory ledger'!$D:$D,D2753,'inventory ledger'!$E:$E,E2753,'inventory ledger'!$A:$A,"&lt;="&amp;B2753+TIME(23,59,59)))</f>
        <v/>
      </c>
      <c r="G2753" s="3">
        <f>IFERROR(__xludf.DUMMYFUNCTION("IF(F2753&lt;=0,0,IFERROR(ROUNDUP(F2753/INDEX(FILTER('warehouse config'!$D:$D,('warehouse config'!$B:$B=C2753)*('warehouse config'!$C:$C=D2753)*('warehouse config'!$G:$G&lt;=B2753)*(('warehouse config'!$H:$H&gt;=B2753)+ISBLANK('warehouse config'!$H:$H))),1)),0))"),0.0)</f>
        <v>0</v>
      </c>
      <c r="H2753" s="3">
        <f>IFERROR(__xludf.DUMMYFUNCTION("IFERROR(INDEX(FILTER('cost master'!$E:$E,('cost master'!$B:$B=C2753)*('cost master'!$D:$D=""Storage cost per pallet / week"")*('cost master'!$G:$G&lt;=B2753)*(('cost master'!$H:$H&gt;=B2753)+ISBLANK('cost master'!$H:$H))),1),0)"),0.0)</f>
        <v>0</v>
      </c>
      <c r="I2753" s="3">
        <f t="shared" si="4"/>
        <v>0</v>
      </c>
      <c r="J2753" s="27">
        <f t="shared" si="5"/>
        <v>693947</v>
      </c>
      <c r="K2753" s="27">
        <f t="shared" si="6"/>
        <v>693977</v>
      </c>
    </row>
    <row r="2754" hidden="1">
      <c r="A2754" s="3" t="str">
        <f t="shared" si="3"/>
        <v/>
      </c>
      <c r="B2754" s="2" t="str">
        <f t="array" ref="B2754">INDEX(helper!$A$3:$A3996,ROUNDUP((ROW()-1)/COUNTA(helper!$D$3:$D3996),0))</f>
        <v/>
      </c>
      <c r="C2754" s="5" t="str">
        <f t="array" ref="C2754">IF(B2754="","",INDEX(helper!$D$3:$D3996,MOD(ROW()-2,COUNTA(helper!$D$3:$D3996))+1))</f>
        <v/>
      </c>
      <c r="D2754" s="3" t="str">
        <f t="array" ref="D2754">IF(B2754="","",INDEX(helper!$E$3:$E3996,MOD(ROW()-2,COUNTA(helper!$D$3:$D3996))+1))</f>
        <v/>
      </c>
      <c r="E2754" s="3" t="str">
        <f t="array" ref="E2754">IF(B2754="","",INDEX(helper!$F$3:$F3996,MOD(ROW()-2,COUNTA(helper!$D$3:$D3996))+1))</f>
        <v/>
      </c>
      <c r="F2754" s="3" t="str">
        <f>IF(B2754="","",SUMIFS('inventory ledger'!$H:$H,'inventory ledger'!$C:$C,C2754,'inventory ledger'!$D:$D,D2754,'inventory ledger'!$E:$E,E2754,'inventory ledger'!$A:$A,"&lt;="&amp;B2754+TIME(23,59,59))-SUMIFS('inventory ledger'!$I:$I,'inventory ledger'!$C:$C,C2754,'inventory ledger'!$D:$D,D2754,'inventory ledger'!$E:$E,E2754,'inventory ledger'!$A:$A,"&lt;="&amp;B2754+TIME(23,59,59)))</f>
        <v/>
      </c>
      <c r="G2754" s="3">
        <f>IFERROR(__xludf.DUMMYFUNCTION("IF(F2754&lt;=0,0,IFERROR(ROUNDUP(F2754/INDEX(FILTER('warehouse config'!$D:$D,('warehouse config'!$B:$B=C2754)*('warehouse config'!$C:$C=D2754)*('warehouse config'!$G:$G&lt;=B2754)*(('warehouse config'!$H:$H&gt;=B2754)+ISBLANK('warehouse config'!$H:$H))),1)),0))"),0.0)</f>
        <v>0</v>
      </c>
      <c r="H2754" s="3">
        <f>IFERROR(__xludf.DUMMYFUNCTION("IFERROR(INDEX(FILTER('cost master'!$E:$E,('cost master'!$B:$B=C2754)*('cost master'!$D:$D=""Storage cost per pallet / week"")*('cost master'!$G:$G&lt;=B2754)*(('cost master'!$H:$H&gt;=B2754)+ISBLANK('cost master'!$H:$H))),1),0)"),0.0)</f>
        <v>0</v>
      </c>
      <c r="I2754" s="3">
        <f t="shared" si="4"/>
        <v>0</v>
      </c>
      <c r="J2754" s="27">
        <f t="shared" si="5"/>
        <v>693947</v>
      </c>
      <c r="K2754" s="27">
        <f t="shared" si="6"/>
        <v>693977</v>
      </c>
    </row>
    <row r="2755" hidden="1">
      <c r="A2755" s="3" t="str">
        <f t="shared" si="3"/>
        <v/>
      </c>
      <c r="B2755" s="2" t="str">
        <f t="array" ref="B2755">INDEX(helper!$A$3:$A3996,ROUNDUP((ROW()-1)/COUNTA(helper!$D$3:$D3996),0))</f>
        <v/>
      </c>
      <c r="C2755" s="5" t="str">
        <f t="array" ref="C2755">IF(B2755="","",INDEX(helper!$D$3:$D3996,MOD(ROW()-2,COUNTA(helper!$D$3:$D3996))+1))</f>
        <v/>
      </c>
      <c r="D2755" s="3" t="str">
        <f t="array" ref="D2755">IF(B2755="","",INDEX(helper!$E$3:$E3996,MOD(ROW()-2,COUNTA(helper!$D$3:$D3996))+1))</f>
        <v/>
      </c>
      <c r="E2755" s="3" t="str">
        <f t="array" ref="E2755">IF(B2755="","",INDEX(helper!$F$3:$F3996,MOD(ROW()-2,COUNTA(helper!$D$3:$D3996))+1))</f>
        <v/>
      </c>
      <c r="F2755" s="3" t="str">
        <f>IF(B2755="","",SUMIFS('inventory ledger'!$H:$H,'inventory ledger'!$C:$C,C2755,'inventory ledger'!$D:$D,D2755,'inventory ledger'!$E:$E,E2755,'inventory ledger'!$A:$A,"&lt;="&amp;B2755+TIME(23,59,59))-SUMIFS('inventory ledger'!$I:$I,'inventory ledger'!$C:$C,C2755,'inventory ledger'!$D:$D,D2755,'inventory ledger'!$E:$E,E2755,'inventory ledger'!$A:$A,"&lt;="&amp;B2755+TIME(23,59,59)))</f>
        <v/>
      </c>
      <c r="G2755" s="3">
        <f>IFERROR(__xludf.DUMMYFUNCTION("IF(F2755&lt;=0,0,IFERROR(ROUNDUP(F2755/INDEX(FILTER('warehouse config'!$D:$D,('warehouse config'!$B:$B=C2755)*('warehouse config'!$C:$C=D2755)*('warehouse config'!$G:$G&lt;=B2755)*(('warehouse config'!$H:$H&gt;=B2755)+ISBLANK('warehouse config'!$H:$H))),1)),0))"),0.0)</f>
        <v>0</v>
      </c>
      <c r="H2755" s="3">
        <f>IFERROR(__xludf.DUMMYFUNCTION("IFERROR(INDEX(FILTER('cost master'!$E:$E,('cost master'!$B:$B=C2755)*('cost master'!$D:$D=""Storage cost per pallet / week"")*('cost master'!$G:$G&lt;=B2755)*(('cost master'!$H:$H&gt;=B2755)+ISBLANK('cost master'!$H:$H))),1),0)"),0.0)</f>
        <v>0</v>
      </c>
      <c r="I2755" s="3">
        <f t="shared" si="4"/>
        <v>0</v>
      </c>
      <c r="J2755" s="27">
        <f t="shared" si="5"/>
        <v>693947</v>
      </c>
      <c r="K2755" s="27">
        <f t="shared" si="6"/>
        <v>693977</v>
      </c>
    </row>
    <row r="2756" hidden="1">
      <c r="A2756" s="3" t="str">
        <f t="shared" si="3"/>
        <v/>
      </c>
      <c r="B2756" s="2" t="str">
        <f t="array" ref="B2756">INDEX(helper!$A$3:$A3996,ROUNDUP((ROW()-1)/COUNTA(helper!$D$3:$D3996),0))</f>
        <v/>
      </c>
      <c r="C2756" s="5" t="str">
        <f t="array" ref="C2756">IF(B2756="","",INDEX(helper!$D$3:$D3996,MOD(ROW()-2,COUNTA(helper!$D$3:$D3996))+1))</f>
        <v/>
      </c>
      <c r="D2756" s="3" t="str">
        <f t="array" ref="D2756">IF(B2756="","",INDEX(helper!$E$3:$E3996,MOD(ROW()-2,COUNTA(helper!$D$3:$D3996))+1))</f>
        <v/>
      </c>
      <c r="E2756" s="3" t="str">
        <f t="array" ref="E2756">IF(B2756="","",INDEX(helper!$F$3:$F3996,MOD(ROW()-2,COUNTA(helper!$D$3:$D3996))+1))</f>
        <v/>
      </c>
      <c r="F2756" s="3" t="str">
        <f>IF(B2756="","",SUMIFS('inventory ledger'!$H:$H,'inventory ledger'!$C:$C,C2756,'inventory ledger'!$D:$D,D2756,'inventory ledger'!$E:$E,E2756,'inventory ledger'!$A:$A,"&lt;="&amp;B2756+TIME(23,59,59))-SUMIFS('inventory ledger'!$I:$I,'inventory ledger'!$C:$C,C2756,'inventory ledger'!$D:$D,D2756,'inventory ledger'!$E:$E,E2756,'inventory ledger'!$A:$A,"&lt;="&amp;B2756+TIME(23,59,59)))</f>
        <v/>
      </c>
      <c r="G2756" s="3">
        <f>IFERROR(__xludf.DUMMYFUNCTION("IF(F2756&lt;=0,0,IFERROR(ROUNDUP(F2756/INDEX(FILTER('warehouse config'!$D:$D,('warehouse config'!$B:$B=C2756)*('warehouse config'!$C:$C=D2756)*('warehouse config'!$G:$G&lt;=B2756)*(('warehouse config'!$H:$H&gt;=B2756)+ISBLANK('warehouse config'!$H:$H))),1)),0))"),0.0)</f>
        <v>0</v>
      </c>
      <c r="H2756" s="3">
        <f>IFERROR(__xludf.DUMMYFUNCTION("IFERROR(INDEX(FILTER('cost master'!$E:$E,('cost master'!$B:$B=C2756)*('cost master'!$D:$D=""Storage cost per pallet / week"")*('cost master'!$G:$G&lt;=B2756)*(('cost master'!$H:$H&gt;=B2756)+ISBLANK('cost master'!$H:$H))),1),0)"),0.0)</f>
        <v>0</v>
      </c>
      <c r="I2756" s="3">
        <f t="shared" si="4"/>
        <v>0</v>
      </c>
      <c r="J2756" s="27">
        <f t="shared" si="5"/>
        <v>693947</v>
      </c>
      <c r="K2756" s="27">
        <f t="shared" si="6"/>
        <v>693977</v>
      </c>
    </row>
    <row r="2757" hidden="1">
      <c r="A2757" s="3" t="str">
        <f t="shared" si="3"/>
        <v/>
      </c>
      <c r="B2757" s="2" t="str">
        <f t="array" ref="B2757">INDEX(helper!$A$3:$A3996,ROUNDUP((ROW()-1)/COUNTA(helper!$D$3:$D3996),0))</f>
        <v/>
      </c>
      <c r="C2757" s="5" t="str">
        <f t="array" ref="C2757">IF(B2757="","",INDEX(helper!$D$3:$D3996,MOD(ROW()-2,COUNTA(helper!$D$3:$D3996))+1))</f>
        <v/>
      </c>
      <c r="D2757" s="3" t="str">
        <f t="array" ref="D2757">IF(B2757="","",INDEX(helper!$E$3:$E3996,MOD(ROW()-2,COUNTA(helper!$D$3:$D3996))+1))</f>
        <v/>
      </c>
      <c r="E2757" s="3" t="str">
        <f t="array" ref="E2757">IF(B2757="","",INDEX(helper!$F$3:$F3996,MOD(ROW()-2,COUNTA(helper!$D$3:$D3996))+1))</f>
        <v/>
      </c>
      <c r="F2757" s="3" t="str">
        <f>IF(B2757="","",SUMIFS('inventory ledger'!$H:$H,'inventory ledger'!$C:$C,C2757,'inventory ledger'!$D:$D,D2757,'inventory ledger'!$E:$E,E2757,'inventory ledger'!$A:$A,"&lt;="&amp;B2757+TIME(23,59,59))-SUMIFS('inventory ledger'!$I:$I,'inventory ledger'!$C:$C,C2757,'inventory ledger'!$D:$D,D2757,'inventory ledger'!$E:$E,E2757,'inventory ledger'!$A:$A,"&lt;="&amp;B2757+TIME(23,59,59)))</f>
        <v/>
      </c>
      <c r="G2757" s="3">
        <f>IFERROR(__xludf.DUMMYFUNCTION("IF(F2757&lt;=0,0,IFERROR(ROUNDUP(F2757/INDEX(FILTER('warehouse config'!$D:$D,('warehouse config'!$B:$B=C2757)*('warehouse config'!$C:$C=D2757)*('warehouse config'!$G:$G&lt;=B2757)*(('warehouse config'!$H:$H&gt;=B2757)+ISBLANK('warehouse config'!$H:$H))),1)),0))"),0.0)</f>
        <v>0</v>
      </c>
      <c r="H2757" s="3">
        <f>IFERROR(__xludf.DUMMYFUNCTION("IFERROR(INDEX(FILTER('cost master'!$E:$E,('cost master'!$B:$B=C2757)*('cost master'!$D:$D=""Storage cost per pallet / week"")*('cost master'!$G:$G&lt;=B2757)*(('cost master'!$H:$H&gt;=B2757)+ISBLANK('cost master'!$H:$H))),1),0)"),0.0)</f>
        <v>0</v>
      </c>
      <c r="I2757" s="3">
        <f t="shared" si="4"/>
        <v>0</v>
      </c>
      <c r="J2757" s="27">
        <f t="shared" si="5"/>
        <v>693947</v>
      </c>
      <c r="K2757" s="27">
        <f t="shared" si="6"/>
        <v>693977</v>
      </c>
    </row>
    <row r="2758" hidden="1">
      <c r="A2758" s="3" t="str">
        <f t="shared" si="3"/>
        <v/>
      </c>
      <c r="B2758" s="2" t="str">
        <f t="array" ref="B2758">INDEX(helper!$A$3:$A3996,ROUNDUP((ROW()-1)/COUNTA(helper!$D$3:$D3996),0))</f>
        <v/>
      </c>
      <c r="C2758" s="5" t="str">
        <f t="array" ref="C2758">IF(B2758="","",INDEX(helper!$D$3:$D3996,MOD(ROW()-2,COUNTA(helper!$D$3:$D3996))+1))</f>
        <v/>
      </c>
      <c r="D2758" s="3" t="str">
        <f t="array" ref="D2758">IF(B2758="","",INDEX(helper!$E$3:$E3996,MOD(ROW()-2,COUNTA(helper!$D$3:$D3996))+1))</f>
        <v/>
      </c>
      <c r="E2758" s="3" t="str">
        <f t="array" ref="E2758">IF(B2758="","",INDEX(helper!$F$3:$F3996,MOD(ROW()-2,COUNTA(helper!$D$3:$D3996))+1))</f>
        <v/>
      </c>
      <c r="F2758" s="3" t="str">
        <f>IF(B2758="","",SUMIFS('inventory ledger'!$H:$H,'inventory ledger'!$C:$C,C2758,'inventory ledger'!$D:$D,D2758,'inventory ledger'!$E:$E,E2758,'inventory ledger'!$A:$A,"&lt;="&amp;B2758+TIME(23,59,59))-SUMIFS('inventory ledger'!$I:$I,'inventory ledger'!$C:$C,C2758,'inventory ledger'!$D:$D,D2758,'inventory ledger'!$E:$E,E2758,'inventory ledger'!$A:$A,"&lt;="&amp;B2758+TIME(23,59,59)))</f>
        <v/>
      </c>
      <c r="G2758" s="3">
        <f>IFERROR(__xludf.DUMMYFUNCTION("IF(F2758&lt;=0,0,IFERROR(ROUNDUP(F2758/INDEX(FILTER('warehouse config'!$D:$D,('warehouse config'!$B:$B=C2758)*('warehouse config'!$C:$C=D2758)*('warehouse config'!$G:$G&lt;=B2758)*(('warehouse config'!$H:$H&gt;=B2758)+ISBLANK('warehouse config'!$H:$H))),1)),0))"),0.0)</f>
        <v>0</v>
      </c>
      <c r="H2758" s="3">
        <f>IFERROR(__xludf.DUMMYFUNCTION("IFERROR(INDEX(FILTER('cost master'!$E:$E,('cost master'!$B:$B=C2758)*('cost master'!$D:$D=""Storage cost per pallet / week"")*('cost master'!$G:$G&lt;=B2758)*(('cost master'!$H:$H&gt;=B2758)+ISBLANK('cost master'!$H:$H))),1),0)"),0.0)</f>
        <v>0</v>
      </c>
      <c r="I2758" s="3">
        <f t="shared" si="4"/>
        <v>0</v>
      </c>
      <c r="J2758" s="27">
        <f t="shared" si="5"/>
        <v>693947</v>
      </c>
      <c r="K2758" s="27">
        <f t="shared" si="6"/>
        <v>693977</v>
      </c>
    </row>
    <row r="2759" hidden="1">
      <c r="A2759" s="3" t="str">
        <f t="shared" si="3"/>
        <v/>
      </c>
      <c r="B2759" s="2" t="str">
        <f t="array" ref="B2759">INDEX(helper!$A$3:$A3996,ROUNDUP((ROW()-1)/COUNTA(helper!$D$3:$D3996),0))</f>
        <v/>
      </c>
      <c r="C2759" s="5" t="str">
        <f t="array" ref="C2759">IF(B2759="","",INDEX(helper!$D$3:$D3996,MOD(ROW()-2,COUNTA(helper!$D$3:$D3996))+1))</f>
        <v/>
      </c>
      <c r="D2759" s="3" t="str">
        <f t="array" ref="D2759">IF(B2759="","",INDEX(helper!$E$3:$E3996,MOD(ROW()-2,COUNTA(helper!$D$3:$D3996))+1))</f>
        <v/>
      </c>
      <c r="E2759" s="3" t="str">
        <f t="array" ref="E2759">IF(B2759="","",INDEX(helper!$F$3:$F3996,MOD(ROW()-2,COUNTA(helper!$D$3:$D3996))+1))</f>
        <v/>
      </c>
      <c r="F2759" s="3" t="str">
        <f>IF(B2759="","",SUMIFS('inventory ledger'!$H:$H,'inventory ledger'!$C:$C,C2759,'inventory ledger'!$D:$D,D2759,'inventory ledger'!$E:$E,E2759,'inventory ledger'!$A:$A,"&lt;="&amp;B2759+TIME(23,59,59))-SUMIFS('inventory ledger'!$I:$I,'inventory ledger'!$C:$C,C2759,'inventory ledger'!$D:$D,D2759,'inventory ledger'!$E:$E,E2759,'inventory ledger'!$A:$A,"&lt;="&amp;B2759+TIME(23,59,59)))</f>
        <v/>
      </c>
      <c r="G2759" s="3">
        <f>IFERROR(__xludf.DUMMYFUNCTION("IF(F2759&lt;=0,0,IFERROR(ROUNDUP(F2759/INDEX(FILTER('warehouse config'!$D:$D,('warehouse config'!$B:$B=C2759)*('warehouse config'!$C:$C=D2759)*('warehouse config'!$G:$G&lt;=B2759)*(('warehouse config'!$H:$H&gt;=B2759)+ISBLANK('warehouse config'!$H:$H))),1)),0))"),0.0)</f>
        <v>0</v>
      </c>
      <c r="H2759" s="3">
        <f>IFERROR(__xludf.DUMMYFUNCTION("IFERROR(INDEX(FILTER('cost master'!$E:$E,('cost master'!$B:$B=C2759)*('cost master'!$D:$D=""Storage cost per pallet / week"")*('cost master'!$G:$G&lt;=B2759)*(('cost master'!$H:$H&gt;=B2759)+ISBLANK('cost master'!$H:$H))),1),0)"),0.0)</f>
        <v>0</v>
      </c>
      <c r="I2759" s="3">
        <f t="shared" si="4"/>
        <v>0</v>
      </c>
      <c r="J2759" s="27">
        <f t="shared" si="5"/>
        <v>693947</v>
      </c>
      <c r="K2759" s="27">
        <f t="shared" si="6"/>
        <v>693977</v>
      </c>
    </row>
    <row r="2760" hidden="1">
      <c r="A2760" s="3" t="str">
        <f t="shared" si="3"/>
        <v/>
      </c>
      <c r="B2760" s="2" t="str">
        <f t="array" ref="B2760">INDEX(helper!$A$3:$A3996,ROUNDUP((ROW()-1)/COUNTA(helper!$D$3:$D3996),0))</f>
        <v/>
      </c>
      <c r="C2760" s="5" t="str">
        <f t="array" ref="C2760">IF(B2760="","",INDEX(helper!$D$3:$D3996,MOD(ROW()-2,COUNTA(helper!$D$3:$D3996))+1))</f>
        <v/>
      </c>
      <c r="D2760" s="3" t="str">
        <f t="array" ref="D2760">IF(B2760="","",INDEX(helper!$E$3:$E3996,MOD(ROW()-2,COUNTA(helper!$D$3:$D3996))+1))</f>
        <v/>
      </c>
      <c r="E2760" s="3" t="str">
        <f t="array" ref="E2760">IF(B2760="","",INDEX(helper!$F$3:$F3996,MOD(ROW()-2,COUNTA(helper!$D$3:$D3996))+1))</f>
        <v/>
      </c>
      <c r="F2760" s="3" t="str">
        <f>IF(B2760="","",SUMIFS('inventory ledger'!$H:$H,'inventory ledger'!$C:$C,C2760,'inventory ledger'!$D:$D,D2760,'inventory ledger'!$E:$E,E2760,'inventory ledger'!$A:$A,"&lt;="&amp;B2760+TIME(23,59,59))-SUMIFS('inventory ledger'!$I:$I,'inventory ledger'!$C:$C,C2760,'inventory ledger'!$D:$D,D2760,'inventory ledger'!$E:$E,E2760,'inventory ledger'!$A:$A,"&lt;="&amp;B2760+TIME(23,59,59)))</f>
        <v/>
      </c>
      <c r="G2760" s="3">
        <f>IFERROR(__xludf.DUMMYFUNCTION("IF(F2760&lt;=0,0,IFERROR(ROUNDUP(F2760/INDEX(FILTER('warehouse config'!$D:$D,('warehouse config'!$B:$B=C2760)*('warehouse config'!$C:$C=D2760)*('warehouse config'!$G:$G&lt;=B2760)*(('warehouse config'!$H:$H&gt;=B2760)+ISBLANK('warehouse config'!$H:$H))),1)),0))"),0.0)</f>
        <v>0</v>
      </c>
      <c r="H2760" s="3">
        <f>IFERROR(__xludf.DUMMYFUNCTION("IFERROR(INDEX(FILTER('cost master'!$E:$E,('cost master'!$B:$B=C2760)*('cost master'!$D:$D=""Storage cost per pallet / week"")*('cost master'!$G:$G&lt;=B2760)*(('cost master'!$H:$H&gt;=B2760)+ISBLANK('cost master'!$H:$H))),1),0)"),0.0)</f>
        <v>0</v>
      </c>
      <c r="I2760" s="3">
        <f t="shared" si="4"/>
        <v>0</v>
      </c>
      <c r="J2760" s="27">
        <f t="shared" si="5"/>
        <v>693947</v>
      </c>
      <c r="K2760" s="27">
        <f t="shared" si="6"/>
        <v>693977</v>
      </c>
    </row>
    <row r="2761" hidden="1">
      <c r="A2761" s="3" t="str">
        <f t="shared" si="3"/>
        <v/>
      </c>
      <c r="B2761" s="2" t="str">
        <f t="array" ref="B2761">INDEX(helper!$A$3:$A3996,ROUNDUP((ROW()-1)/COUNTA(helper!$D$3:$D3996),0))</f>
        <v/>
      </c>
      <c r="C2761" s="5" t="str">
        <f t="array" ref="C2761">IF(B2761="","",INDEX(helper!$D$3:$D3996,MOD(ROW()-2,COUNTA(helper!$D$3:$D3996))+1))</f>
        <v/>
      </c>
      <c r="D2761" s="3" t="str">
        <f t="array" ref="D2761">IF(B2761="","",INDEX(helper!$E$3:$E3996,MOD(ROW()-2,COUNTA(helper!$D$3:$D3996))+1))</f>
        <v/>
      </c>
      <c r="E2761" s="3" t="str">
        <f t="array" ref="E2761">IF(B2761="","",INDEX(helper!$F$3:$F3996,MOD(ROW()-2,COUNTA(helper!$D$3:$D3996))+1))</f>
        <v/>
      </c>
      <c r="F2761" s="3" t="str">
        <f>IF(B2761="","",SUMIFS('inventory ledger'!$H:$H,'inventory ledger'!$C:$C,C2761,'inventory ledger'!$D:$D,D2761,'inventory ledger'!$E:$E,E2761,'inventory ledger'!$A:$A,"&lt;="&amp;B2761+TIME(23,59,59))-SUMIFS('inventory ledger'!$I:$I,'inventory ledger'!$C:$C,C2761,'inventory ledger'!$D:$D,D2761,'inventory ledger'!$E:$E,E2761,'inventory ledger'!$A:$A,"&lt;="&amp;B2761+TIME(23,59,59)))</f>
        <v/>
      </c>
      <c r="G2761" s="3">
        <f>IFERROR(__xludf.DUMMYFUNCTION("IF(F2761&lt;=0,0,IFERROR(ROUNDUP(F2761/INDEX(FILTER('warehouse config'!$D:$D,('warehouse config'!$B:$B=C2761)*('warehouse config'!$C:$C=D2761)*('warehouse config'!$G:$G&lt;=B2761)*(('warehouse config'!$H:$H&gt;=B2761)+ISBLANK('warehouse config'!$H:$H))),1)),0))"),0.0)</f>
        <v>0</v>
      </c>
      <c r="H2761" s="3">
        <f>IFERROR(__xludf.DUMMYFUNCTION("IFERROR(INDEX(FILTER('cost master'!$E:$E,('cost master'!$B:$B=C2761)*('cost master'!$D:$D=""Storage cost per pallet / week"")*('cost master'!$G:$G&lt;=B2761)*(('cost master'!$H:$H&gt;=B2761)+ISBLANK('cost master'!$H:$H))),1),0)"),0.0)</f>
        <v>0</v>
      </c>
      <c r="I2761" s="3">
        <f t="shared" si="4"/>
        <v>0</v>
      </c>
      <c r="J2761" s="27">
        <f t="shared" si="5"/>
        <v>693947</v>
      </c>
      <c r="K2761" s="27">
        <f t="shared" si="6"/>
        <v>693977</v>
      </c>
    </row>
    <row r="2762" hidden="1">
      <c r="A2762" s="3" t="str">
        <f t="shared" si="3"/>
        <v/>
      </c>
      <c r="B2762" s="2" t="str">
        <f t="array" ref="B2762">INDEX(helper!$A$3:$A3996,ROUNDUP((ROW()-1)/COUNTA(helper!$D$3:$D3996),0))</f>
        <v/>
      </c>
      <c r="C2762" s="5" t="str">
        <f t="array" ref="C2762">IF(B2762="","",INDEX(helper!$D$3:$D3996,MOD(ROW()-2,COUNTA(helper!$D$3:$D3996))+1))</f>
        <v/>
      </c>
      <c r="D2762" s="3" t="str">
        <f t="array" ref="D2762">IF(B2762="","",INDEX(helper!$E$3:$E3996,MOD(ROW()-2,COUNTA(helper!$D$3:$D3996))+1))</f>
        <v/>
      </c>
      <c r="E2762" s="3" t="str">
        <f t="array" ref="E2762">IF(B2762="","",INDEX(helper!$F$3:$F3996,MOD(ROW()-2,COUNTA(helper!$D$3:$D3996))+1))</f>
        <v/>
      </c>
      <c r="F2762" s="3" t="str">
        <f>IF(B2762="","",SUMIFS('inventory ledger'!$H:$H,'inventory ledger'!$C:$C,C2762,'inventory ledger'!$D:$D,D2762,'inventory ledger'!$E:$E,E2762,'inventory ledger'!$A:$A,"&lt;="&amp;B2762+TIME(23,59,59))-SUMIFS('inventory ledger'!$I:$I,'inventory ledger'!$C:$C,C2762,'inventory ledger'!$D:$D,D2762,'inventory ledger'!$E:$E,E2762,'inventory ledger'!$A:$A,"&lt;="&amp;B2762+TIME(23,59,59)))</f>
        <v/>
      </c>
      <c r="G2762" s="3">
        <f>IFERROR(__xludf.DUMMYFUNCTION("IF(F2762&lt;=0,0,IFERROR(ROUNDUP(F2762/INDEX(FILTER('warehouse config'!$D:$D,('warehouse config'!$B:$B=C2762)*('warehouse config'!$C:$C=D2762)*('warehouse config'!$G:$G&lt;=B2762)*(('warehouse config'!$H:$H&gt;=B2762)+ISBLANK('warehouse config'!$H:$H))),1)),0))"),0.0)</f>
        <v>0</v>
      </c>
      <c r="H2762" s="3">
        <f>IFERROR(__xludf.DUMMYFUNCTION("IFERROR(INDEX(FILTER('cost master'!$E:$E,('cost master'!$B:$B=C2762)*('cost master'!$D:$D=""Storage cost per pallet / week"")*('cost master'!$G:$G&lt;=B2762)*(('cost master'!$H:$H&gt;=B2762)+ISBLANK('cost master'!$H:$H))),1),0)"),0.0)</f>
        <v>0</v>
      </c>
      <c r="I2762" s="3">
        <f t="shared" si="4"/>
        <v>0</v>
      </c>
      <c r="J2762" s="27">
        <f t="shared" si="5"/>
        <v>693947</v>
      </c>
      <c r="K2762" s="27">
        <f t="shared" si="6"/>
        <v>693977</v>
      </c>
    </row>
    <row r="2763" hidden="1">
      <c r="A2763" s="3" t="str">
        <f t="shared" si="3"/>
        <v/>
      </c>
      <c r="B2763" s="2" t="str">
        <f t="array" ref="B2763">INDEX(helper!$A$3:$A3996,ROUNDUP((ROW()-1)/COUNTA(helper!$D$3:$D3996),0))</f>
        <v/>
      </c>
      <c r="C2763" s="5" t="str">
        <f t="array" ref="C2763">IF(B2763="","",INDEX(helper!$D$3:$D3996,MOD(ROW()-2,COUNTA(helper!$D$3:$D3996))+1))</f>
        <v/>
      </c>
      <c r="D2763" s="3" t="str">
        <f t="array" ref="D2763">IF(B2763="","",INDEX(helper!$E$3:$E3996,MOD(ROW()-2,COUNTA(helper!$D$3:$D3996))+1))</f>
        <v/>
      </c>
      <c r="E2763" s="3" t="str">
        <f t="array" ref="E2763">IF(B2763="","",INDEX(helper!$F$3:$F3996,MOD(ROW()-2,COUNTA(helper!$D$3:$D3996))+1))</f>
        <v/>
      </c>
      <c r="F2763" s="3" t="str">
        <f>IF(B2763="","",SUMIFS('inventory ledger'!$H:$H,'inventory ledger'!$C:$C,C2763,'inventory ledger'!$D:$D,D2763,'inventory ledger'!$E:$E,E2763,'inventory ledger'!$A:$A,"&lt;="&amp;B2763+TIME(23,59,59))-SUMIFS('inventory ledger'!$I:$I,'inventory ledger'!$C:$C,C2763,'inventory ledger'!$D:$D,D2763,'inventory ledger'!$E:$E,E2763,'inventory ledger'!$A:$A,"&lt;="&amp;B2763+TIME(23,59,59)))</f>
        <v/>
      </c>
      <c r="G2763" s="3">
        <f>IFERROR(__xludf.DUMMYFUNCTION("IF(F2763&lt;=0,0,IFERROR(ROUNDUP(F2763/INDEX(FILTER('warehouse config'!$D:$D,('warehouse config'!$B:$B=C2763)*('warehouse config'!$C:$C=D2763)*('warehouse config'!$G:$G&lt;=B2763)*(('warehouse config'!$H:$H&gt;=B2763)+ISBLANK('warehouse config'!$H:$H))),1)),0))"),0.0)</f>
        <v>0</v>
      </c>
      <c r="H2763" s="3">
        <f>IFERROR(__xludf.DUMMYFUNCTION("IFERROR(INDEX(FILTER('cost master'!$E:$E,('cost master'!$B:$B=C2763)*('cost master'!$D:$D=""Storage cost per pallet / week"")*('cost master'!$G:$G&lt;=B2763)*(('cost master'!$H:$H&gt;=B2763)+ISBLANK('cost master'!$H:$H))),1),0)"),0.0)</f>
        <v>0</v>
      </c>
      <c r="I2763" s="3">
        <f t="shared" si="4"/>
        <v>0</v>
      </c>
      <c r="J2763" s="27">
        <f t="shared" si="5"/>
        <v>693947</v>
      </c>
      <c r="K2763" s="27">
        <f t="shared" si="6"/>
        <v>693977</v>
      </c>
    </row>
    <row r="2764" hidden="1">
      <c r="A2764" s="3" t="str">
        <f t="shared" si="3"/>
        <v/>
      </c>
      <c r="B2764" s="2" t="str">
        <f t="array" ref="B2764">INDEX(helper!$A$3:$A3996,ROUNDUP((ROW()-1)/COUNTA(helper!$D$3:$D3996),0))</f>
        <v/>
      </c>
      <c r="C2764" s="5" t="str">
        <f t="array" ref="C2764">IF(B2764="","",INDEX(helper!$D$3:$D3996,MOD(ROW()-2,COUNTA(helper!$D$3:$D3996))+1))</f>
        <v/>
      </c>
      <c r="D2764" s="3" t="str">
        <f t="array" ref="D2764">IF(B2764="","",INDEX(helper!$E$3:$E3996,MOD(ROW()-2,COUNTA(helper!$D$3:$D3996))+1))</f>
        <v/>
      </c>
      <c r="E2764" s="3" t="str">
        <f t="array" ref="E2764">IF(B2764="","",INDEX(helper!$F$3:$F3996,MOD(ROW()-2,COUNTA(helper!$D$3:$D3996))+1))</f>
        <v/>
      </c>
      <c r="F2764" s="3" t="str">
        <f>IF(B2764="","",SUMIFS('inventory ledger'!$H:$H,'inventory ledger'!$C:$C,C2764,'inventory ledger'!$D:$D,D2764,'inventory ledger'!$E:$E,E2764,'inventory ledger'!$A:$A,"&lt;="&amp;B2764+TIME(23,59,59))-SUMIFS('inventory ledger'!$I:$I,'inventory ledger'!$C:$C,C2764,'inventory ledger'!$D:$D,D2764,'inventory ledger'!$E:$E,E2764,'inventory ledger'!$A:$A,"&lt;="&amp;B2764+TIME(23,59,59)))</f>
        <v/>
      </c>
      <c r="G2764" s="3">
        <f>IFERROR(__xludf.DUMMYFUNCTION("IF(F2764&lt;=0,0,IFERROR(ROUNDUP(F2764/INDEX(FILTER('warehouse config'!$D:$D,('warehouse config'!$B:$B=C2764)*('warehouse config'!$C:$C=D2764)*('warehouse config'!$G:$G&lt;=B2764)*(('warehouse config'!$H:$H&gt;=B2764)+ISBLANK('warehouse config'!$H:$H))),1)),0))"),0.0)</f>
        <v>0</v>
      </c>
      <c r="H2764" s="3">
        <f>IFERROR(__xludf.DUMMYFUNCTION("IFERROR(INDEX(FILTER('cost master'!$E:$E,('cost master'!$B:$B=C2764)*('cost master'!$D:$D=""Storage cost per pallet / week"")*('cost master'!$G:$G&lt;=B2764)*(('cost master'!$H:$H&gt;=B2764)+ISBLANK('cost master'!$H:$H))),1),0)"),0.0)</f>
        <v>0</v>
      </c>
      <c r="I2764" s="3">
        <f t="shared" si="4"/>
        <v>0</v>
      </c>
      <c r="J2764" s="27">
        <f t="shared" si="5"/>
        <v>693947</v>
      </c>
      <c r="K2764" s="27">
        <f t="shared" si="6"/>
        <v>693977</v>
      </c>
    </row>
    <row r="2765" hidden="1">
      <c r="A2765" s="3" t="str">
        <f t="shared" si="3"/>
        <v/>
      </c>
      <c r="B2765" s="2" t="str">
        <f t="array" ref="B2765">INDEX(helper!$A$3:$A3996,ROUNDUP((ROW()-1)/COUNTA(helper!$D$3:$D3996),0))</f>
        <v/>
      </c>
      <c r="C2765" s="5" t="str">
        <f t="array" ref="C2765">IF(B2765="","",INDEX(helper!$D$3:$D3996,MOD(ROW()-2,COUNTA(helper!$D$3:$D3996))+1))</f>
        <v/>
      </c>
      <c r="D2765" s="3" t="str">
        <f t="array" ref="D2765">IF(B2765="","",INDEX(helper!$E$3:$E3996,MOD(ROW()-2,COUNTA(helper!$D$3:$D3996))+1))</f>
        <v/>
      </c>
      <c r="E2765" s="3" t="str">
        <f t="array" ref="E2765">IF(B2765="","",INDEX(helper!$F$3:$F3996,MOD(ROW()-2,COUNTA(helper!$D$3:$D3996))+1))</f>
        <v/>
      </c>
      <c r="F2765" s="3" t="str">
        <f>IF(B2765="","",SUMIFS('inventory ledger'!$H:$H,'inventory ledger'!$C:$C,C2765,'inventory ledger'!$D:$D,D2765,'inventory ledger'!$E:$E,E2765,'inventory ledger'!$A:$A,"&lt;="&amp;B2765+TIME(23,59,59))-SUMIFS('inventory ledger'!$I:$I,'inventory ledger'!$C:$C,C2765,'inventory ledger'!$D:$D,D2765,'inventory ledger'!$E:$E,E2765,'inventory ledger'!$A:$A,"&lt;="&amp;B2765+TIME(23,59,59)))</f>
        <v/>
      </c>
      <c r="G2765" s="3">
        <f>IFERROR(__xludf.DUMMYFUNCTION("IF(F2765&lt;=0,0,IFERROR(ROUNDUP(F2765/INDEX(FILTER('warehouse config'!$D:$D,('warehouse config'!$B:$B=C2765)*('warehouse config'!$C:$C=D2765)*('warehouse config'!$G:$G&lt;=B2765)*(('warehouse config'!$H:$H&gt;=B2765)+ISBLANK('warehouse config'!$H:$H))),1)),0))"),0.0)</f>
        <v>0</v>
      </c>
      <c r="H2765" s="3">
        <f>IFERROR(__xludf.DUMMYFUNCTION("IFERROR(INDEX(FILTER('cost master'!$E:$E,('cost master'!$B:$B=C2765)*('cost master'!$D:$D=""Storage cost per pallet / week"")*('cost master'!$G:$G&lt;=B2765)*(('cost master'!$H:$H&gt;=B2765)+ISBLANK('cost master'!$H:$H))),1),0)"),0.0)</f>
        <v>0</v>
      </c>
      <c r="I2765" s="3">
        <f t="shared" si="4"/>
        <v>0</v>
      </c>
      <c r="J2765" s="27">
        <f t="shared" si="5"/>
        <v>693947</v>
      </c>
      <c r="K2765" s="27">
        <f t="shared" si="6"/>
        <v>693977</v>
      </c>
    </row>
    <row r="2766" hidden="1">
      <c r="A2766" s="3" t="str">
        <f t="shared" si="3"/>
        <v/>
      </c>
      <c r="B2766" s="2" t="str">
        <f t="array" ref="B2766">INDEX(helper!$A$3:$A3996,ROUNDUP((ROW()-1)/COUNTA(helper!$D$3:$D3996),0))</f>
        <v/>
      </c>
      <c r="C2766" s="5" t="str">
        <f t="array" ref="C2766">IF(B2766="","",INDEX(helper!$D$3:$D3996,MOD(ROW()-2,COUNTA(helper!$D$3:$D3996))+1))</f>
        <v/>
      </c>
      <c r="D2766" s="3" t="str">
        <f t="array" ref="D2766">IF(B2766="","",INDEX(helper!$E$3:$E3996,MOD(ROW()-2,COUNTA(helper!$D$3:$D3996))+1))</f>
        <v/>
      </c>
      <c r="E2766" s="3" t="str">
        <f t="array" ref="E2766">IF(B2766="","",INDEX(helper!$F$3:$F3996,MOD(ROW()-2,COUNTA(helper!$D$3:$D3996))+1))</f>
        <v/>
      </c>
      <c r="F2766" s="3" t="str">
        <f>IF(B2766="","",SUMIFS('inventory ledger'!$H:$H,'inventory ledger'!$C:$C,C2766,'inventory ledger'!$D:$D,D2766,'inventory ledger'!$E:$E,E2766,'inventory ledger'!$A:$A,"&lt;="&amp;B2766+TIME(23,59,59))-SUMIFS('inventory ledger'!$I:$I,'inventory ledger'!$C:$C,C2766,'inventory ledger'!$D:$D,D2766,'inventory ledger'!$E:$E,E2766,'inventory ledger'!$A:$A,"&lt;="&amp;B2766+TIME(23,59,59)))</f>
        <v/>
      </c>
      <c r="G2766" s="3">
        <f>IFERROR(__xludf.DUMMYFUNCTION("IF(F2766&lt;=0,0,IFERROR(ROUNDUP(F2766/INDEX(FILTER('warehouse config'!$D:$D,('warehouse config'!$B:$B=C2766)*('warehouse config'!$C:$C=D2766)*('warehouse config'!$G:$G&lt;=B2766)*(('warehouse config'!$H:$H&gt;=B2766)+ISBLANK('warehouse config'!$H:$H))),1)),0))"),0.0)</f>
        <v>0</v>
      </c>
      <c r="H2766" s="3">
        <f>IFERROR(__xludf.DUMMYFUNCTION("IFERROR(INDEX(FILTER('cost master'!$E:$E,('cost master'!$B:$B=C2766)*('cost master'!$D:$D=""Storage cost per pallet / week"")*('cost master'!$G:$G&lt;=B2766)*(('cost master'!$H:$H&gt;=B2766)+ISBLANK('cost master'!$H:$H))),1),0)"),0.0)</f>
        <v>0</v>
      </c>
      <c r="I2766" s="3">
        <f t="shared" si="4"/>
        <v>0</v>
      </c>
      <c r="J2766" s="27">
        <f t="shared" si="5"/>
        <v>693947</v>
      </c>
      <c r="K2766" s="27">
        <f t="shared" si="6"/>
        <v>693977</v>
      </c>
    </row>
    <row r="2767" hidden="1">
      <c r="A2767" s="3" t="str">
        <f t="shared" si="3"/>
        <v/>
      </c>
      <c r="B2767" s="2" t="str">
        <f t="array" ref="B2767">INDEX(helper!$A$3:$A3996,ROUNDUP((ROW()-1)/COUNTA(helper!$D$3:$D3996),0))</f>
        <v/>
      </c>
      <c r="C2767" s="5" t="str">
        <f t="array" ref="C2767">IF(B2767="","",INDEX(helper!$D$3:$D3996,MOD(ROW()-2,COUNTA(helper!$D$3:$D3996))+1))</f>
        <v/>
      </c>
      <c r="D2767" s="3" t="str">
        <f t="array" ref="D2767">IF(B2767="","",INDEX(helper!$E$3:$E3996,MOD(ROW()-2,COUNTA(helper!$D$3:$D3996))+1))</f>
        <v/>
      </c>
      <c r="E2767" s="3" t="str">
        <f t="array" ref="E2767">IF(B2767="","",INDEX(helper!$F$3:$F3996,MOD(ROW()-2,COUNTA(helper!$D$3:$D3996))+1))</f>
        <v/>
      </c>
      <c r="F2767" s="3" t="str">
        <f>IF(B2767="","",SUMIFS('inventory ledger'!$H:$H,'inventory ledger'!$C:$C,C2767,'inventory ledger'!$D:$D,D2767,'inventory ledger'!$E:$E,E2767,'inventory ledger'!$A:$A,"&lt;="&amp;B2767+TIME(23,59,59))-SUMIFS('inventory ledger'!$I:$I,'inventory ledger'!$C:$C,C2767,'inventory ledger'!$D:$D,D2767,'inventory ledger'!$E:$E,E2767,'inventory ledger'!$A:$A,"&lt;="&amp;B2767+TIME(23,59,59)))</f>
        <v/>
      </c>
      <c r="G2767" s="3">
        <f>IFERROR(__xludf.DUMMYFUNCTION("IF(F2767&lt;=0,0,IFERROR(ROUNDUP(F2767/INDEX(FILTER('warehouse config'!$D:$D,('warehouse config'!$B:$B=C2767)*('warehouse config'!$C:$C=D2767)*('warehouse config'!$G:$G&lt;=B2767)*(('warehouse config'!$H:$H&gt;=B2767)+ISBLANK('warehouse config'!$H:$H))),1)),0))"),0.0)</f>
        <v>0</v>
      </c>
      <c r="H2767" s="3">
        <f>IFERROR(__xludf.DUMMYFUNCTION("IFERROR(INDEX(FILTER('cost master'!$E:$E,('cost master'!$B:$B=C2767)*('cost master'!$D:$D=""Storage cost per pallet / week"")*('cost master'!$G:$G&lt;=B2767)*(('cost master'!$H:$H&gt;=B2767)+ISBLANK('cost master'!$H:$H))),1),0)"),0.0)</f>
        <v>0</v>
      </c>
      <c r="I2767" s="3">
        <f t="shared" si="4"/>
        <v>0</v>
      </c>
      <c r="J2767" s="27">
        <f t="shared" si="5"/>
        <v>693947</v>
      </c>
      <c r="K2767" s="27">
        <f t="shared" si="6"/>
        <v>693977</v>
      </c>
    </row>
    <row r="2768" hidden="1">
      <c r="A2768" s="3" t="str">
        <f t="shared" si="3"/>
        <v/>
      </c>
      <c r="B2768" s="2" t="str">
        <f t="array" ref="B2768">INDEX(helper!$A$3:$A3996,ROUNDUP((ROW()-1)/COUNTA(helper!$D$3:$D3996),0))</f>
        <v/>
      </c>
      <c r="C2768" s="5" t="str">
        <f t="array" ref="C2768">IF(B2768="","",INDEX(helper!$D$3:$D3996,MOD(ROW()-2,COUNTA(helper!$D$3:$D3996))+1))</f>
        <v/>
      </c>
      <c r="D2768" s="3" t="str">
        <f t="array" ref="D2768">IF(B2768="","",INDEX(helper!$E$3:$E3996,MOD(ROW()-2,COUNTA(helper!$D$3:$D3996))+1))</f>
        <v/>
      </c>
      <c r="E2768" s="3" t="str">
        <f t="array" ref="E2768">IF(B2768="","",INDEX(helper!$F$3:$F3996,MOD(ROW()-2,COUNTA(helper!$D$3:$D3996))+1))</f>
        <v/>
      </c>
      <c r="F2768" s="3" t="str">
        <f>IF(B2768="","",SUMIFS('inventory ledger'!$H:$H,'inventory ledger'!$C:$C,C2768,'inventory ledger'!$D:$D,D2768,'inventory ledger'!$E:$E,E2768,'inventory ledger'!$A:$A,"&lt;="&amp;B2768+TIME(23,59,59))-SUMIFS('inventory ledger'!$I:$I,'inventory ledger'!$C:$C,C2768,'inventory ledger'!$D:$D,D2768,'inventory ledger'!$E:$E,E2768,'inventory ledger'!$A:$A,"&lt;="&amp;B2768+TIME(23,59,59)))</f>
        <v/>
      </c>
      <c r="G2768" s="3">
        <f>IFERROR(__xludf.DUMMYFUNCTION("IF(F2768&lt;=0,0,IFERROR(ROUNDUP(F2768/INDEX(FILTER('warehouse config'!$D:$D,('warehouse config'!$B:$B=C2768)*('warehouse config'!$C:$C=D2768)*('warehouse config'!$G:$G&lt;=B2768)*(('warehouse config'!$H:$H&gt;=B2768)+ISBLANK('warehouse config'!$H:$H))),1)),0))"),0.0)</f>
        <v>0</v>
      </c>
      <c r="H2768" s="3">
        <f>IFERROR(__xludf.DUMMYFUNCTION("IFERROR(INDEX(FILTER('cost master'!$E:$E,('cost master'!$B:$B=C2768)*('cost master'!$D:$D=""Storage cost per pallet / week"")*('cost master'!$G:$G&lt;=B2768)*(('cost master'!$H:$H&gt;=B2768)+ISBLANK('cost master'!$H:$H))),1),0)"),0.0)</f>
        <v>0</v>
      </c>
      <c r="I2768" s="3">
        <f t="shared" si="4"/>
        <v>0</v>
      </c>
      <c r="J2768" s="27">
        <f t="shared" si="5"/>
        <v>693947</v>
      </c>
      <c r="K2768" s="27">
        <f t="shared" si="6"/>
        <v>693977</v>
      </c>
    </row>
    <row r="2769" hidden="1">
      <c r="A2769" s="3" t="str">
        <f t="shared" si="3"/>
        <v/>
      </c>
      <c r="B2769" s="2" t="str">
        <f t="array" ref="B2769">INDEX(helper!$A$3:$A3996,ROUNDUP((ROW()-1)/COUNTA(helper!$D$3:$D3996),0))</f>
        <v/>
      </c>
      <c r="C2769" s="5" t="str">
        <f t="array" ref="C2769">IF(B2769="","",INDEX(helper!$D$3:$D3996,MOD(ROW()-2,COUNTA(helper!$D$3:$D3996))+1))</f>
        <v/>
      </c>
      <c r="D2769" s="3" t="str">
        <f t="array" ref="D2769">IF(B2769="","",INDEX(helper!$E$3:$E3996,MOD(ROW()-2,COUNTA(helper!$D$3:$D3996))+1))</f>
        <v/>
      </c>
      <c r="E2769" s="3" t="str">
        <f t="array" ref="E2769">IF(B2769="","",INDEX(helper!$F$3:$F3996,MOD(ROW()-2,COUNTA(helper!$D$3:$D3996))+1))</f>
        <v/>
      </c>
      <c r="F2769" s="3" t="str">
        <f>IF(B2769="","",SUMIFS('inventory ledger'!$H:$H,'inventory ledger'!$C:$C,C2769,'inventory ledger'!$D:$D,D2769,'inventory ledger'!$E:$E,E2769,'inventory ledger'!$A:$A,"&lt;="&amp;B2769+TIME(23,59,59))-SUMIFS('inventory ledger'!$I:$I,'inventory ledger'!$C:$C,C2769,'inventory ledger'!$D:$D,D2769,'inventory ledger'!$E:$E,E2769,'inventory ledger'!$A:$A,"&lt;="&amp;B2769+TIME(23,59,59)))</f>
        <v/>
      </c>
      <c r="G2769" s="3">
        <f>IFERROR(__xludf.DUMMYFUNCTION("IF(F2769&lt;=0,0,IFERROR(ROUNDUP(F2769/INDEX(FILTER('warehouse config'!$D:$D,('warehouse config'!$B:$B=C2769)*('warehouse config'!$C:$C=D2769)*('warehouse config'!$G:$G&lt;=B2769)*(('warehouse config'!$H:$H&gt;=B2769)+ISBLANK('warehouse config'!$H:$H))),1)),0))"),0.0)</f>
        <v>0</v>
      </c>
      <c r="H2769" s="3">
        <f>IFERROR(__xludf.DUMMYFUNCTION("IFERROR(INDEX(FILTER('cost master'!$E:$E,('cost master'!$B:$B=C2769)*('cost master'!$D:$D=""Storage cost per pallet / week"")*('cost master'!$G:$G&lt;=B2769)*(('cost master'!$H:$H&gt;=B2769)+ISBLANK('cost master'!$H:$H))),1),0)"),0.0)</f>
        <v>0</v>
      </c>
      <c r="I2769" s="3">
        <f t="shared" si="4"/>
        <v>0</v>
      </c>
      <c r="J2769" s="27">
        <f t="shared" si="5"/>
        <v>693947</v>
      </c>
      <c r="K2769" s="27">
        <f t="shared" si="6"/>
        <v>693977</v>
      </c>
    </row>
    <row r="2770" hidden="1">
      <c r="A2770" s="3" t="str">
        <f t="shared" si="3"/>
        <v/>
      </c>
      <c r="B2770" s="2" t="str">
        <f t="array" ref="B2770">INDEX(helper!$A$3:$A3996,ROUNDUP((ROW()-1)/COUNTA(helper!$D$3:$D3996),0))</f>
        <v/>
      </c>
      <c r="C2770" s="5" t="str">
        <f t="array" ref="C2770">IF(B2770="","",INDEX(helper!$D$3:$D3996,MOD(ROW()-2,COUNTA(helper!$D$3:$D3996))+1))</f>
        <v/>
      </c>
      <c r="D2770" s="3" t="str">
        <f t="array" ref="D2770">IF(B2770="","",INDEX(helper!$E$3:$E3996,MOD(ROW()-2,COUNTA(helper!$D$3:$D3996))+1))</f>
        <v/>
      </c>
      <c r="E2770" s="3" t="str">
        <f t="array" ref="E2770">IF(B2770="","",INDEX(helper!$F$3:$F3996,MOD(ROW()-2,COUNTA(helper!$D$3:$D3996))+1))</f>
        <v/>
      </c>
      <c r="F2770" s="3" t="str">
        <f>IF(B2770="","",SUMIFS('inventory ledger'!$H:$H,'inventory ledger'!$C:$C,C2770,'inventory ledger'!$D:$D,D2770,'inventory ledger'!$E:$E,E2770,'inventory ledger'!$A:$A,"&lt;="&amp;B2770+TIME(23,59,59))-SUMIFS('inventory ledger'!$I:$I,'inventory ledger'!$C:$C,C2770,'inventory ledger'!$D:$D,D2770,'inventory ledger'!$E:$E,E2770,'inventory ledger'!$A:$A,"&lt;="&amp;B2770+TIME(23,59,59)))</f>
        <v/>
      </c>
      <c r="G2770" s="3">
        <f>IFERROR(__xludf.DUMMYFUNCTION("IF(F2770&lt;=0,0,IFERROR(ROUNDUP(F2770/INDEX(FILTER('warehouse config'!$D:$D,('warehouse config'!$B:$B=C2770)*('warehouse config'!$C:$C=D2770)*('warehouse config'!$G:$G&lt;=B2770)*(('warehouse config'!$H:$H&gt;=B2770)+ISBLANK('warehouse config'!$H:$H))),1)),0))"),0.0)</f>
        <v>0</v>
      </c>
      <c r="H2770" s="3">
        <f>IFERROR(__xludf.DUMMYFUNCTION("IFERROR(INDEX(FILTER('cost master'!$E:$E,('cost master'!$B:$B=C2770)*('cost master'!$D:$D=""Storage cost per pallet / week"")*('cost master'!$G:$G&lt;=B2770)*(('cost master'!$H:$H&gt;=B2770)+ISBLANK('cost master'!$H:$H))),1),0)"),0.0)</f>
        <v>0</v>
      </c>
      <c r="I2770" s="3">
        <f t="shared" si="4"/>
        <v>0</v>
      </c>
      <c r="J2770" s="27">
        <f t="shared" si="5"/>
        <v>693947</v>
      </c>
      <c r="K2770" s="27">
        <f t="shared" si="6"/>
        <v>693977</v>
      </c>
    </row>
    <row r="2771" hidden="1">
      <c r="A2771" s="3" t="str">
        <f t="shared" si="3"/>
        <v/>
      </c>
      <c r="B2771" s="2" t="str">
        <f t="array" ref="B2771">INDEX(helper!$A$3:$A3996,ROUNDUP((ROW()-1)/COUNTA(helper!$D$3:$D3996),0))</f>
        <v/>
      </c>
      <c r="C2771" s="5" t="str">
        <f t="array" ref="C2771">IF(B2771="","",INDEX(helper!$D$3:$D3996,MOD(ROW()-2,COUNTA(helper!$D$3:$D3996))+1))</f>
        <v/>
      </c>
      <c r="D2771" s="3" t="str">
        <f t="array" ref="D2771">IF(B2771="","",INDEX(helper!$E$3:$E3996,MOD(ROW()-2,COUNTA(helper!$D$3:$D3996))+1))</f>
        <v/>
      </c>
      <c r="E2771" s="3" t="str">
        <f t="array" ref="E2771">IF(B2771="","",INDEX(helper!$F$3:$F3996,MOD(ROW()-2,COUNTA(helper!$D$3:$D3996))+1))</f>
        <v/>
      </c>
      <c r="F2771" s="3" t="str">
        <f>IF(B2771="","",SUMIFS('inventory ledger'!$H:$H,'inventory ledger'!$C:$C,C2771,'inventory ledger'!$D:$D,D2771,'inventory ledger'!$E:$E,E2771,'inventory ledger'!$A:$A,"&lt;="&amp;B2771+TIME(23,59,59))-SUMIFS('inventory ledger'!$I:$I,'inventory ledger'!$C:$C,C2771,'inventory ledger'!$D:$D,D2771,'inventory ledger'!$E:$E,E2771,'inventory ledger'!$A:$A,"&lt;="&amp;B2771+TIME(23,59,59)))</f>
        <v/>
      </c>
      <c r="G2771" s="3">
        <f>IFERROR(__xludf.DUMMYFUNCTION("IF(F2771&lt;=0,0,IFERROR(ROUNDUP(F2771/INDEX(FILTER('warehouse config'!$D:$D,('warehouse config'!$B:$B=C2771)*('warehouse config'!$C:$C=D2771)*('warehouse config'!$G:$G&lt;=B2771)*(('warehouse config'!$H:$H&gt;=B2771)+ISBLANK('warehouse config'!$H:$H))),1)),0))"),0.0)</f>
        <v>0</v>
      </c>
      <c r="H2771" s="3">
        <f>IFERROR(__xludf.DUMMYFUNCTION("IFERROR(INDEX(FILTER('cost master'!$E:$E,('cost master'!$B:$B=C2771)*('cost master'!$D:$D=""Storage cost per pallet / week"")*('cost master'!$G:$G&lt;=B2771)*(('cost master'!$H:$H&gt;=B2771)+ISBLANK('cost master'!$H:$H))),1),0)"),0.0)</f>
        <v>0</v>
      </c>
      <c r="I2771" s="3">
        <f t="shared" si="4"/>
        <v>0</v>
      </c>
      <c r="J2771" s="27">
        <f t="shared" si="5"/>
        <v>693947</v>
      </c>
      <c r="K2771" s="27">
        <f t="shared" si="6"/>
        <v>693977</v>
      </c>
    </row>
    <row r="2772" hidden="1">
      <c r="A2772" s="3" t="str">
        <f t="shared" si="3"/>
        <v/>
      </c>
      <c r="B2772" s="2" t="str">
        <f t="array" ref="B2772">INDEX(helper!$A$3:$A3996,ROUNDUP((ROW()-1)/COUNTA(helper!$D$3:$D3996),0))</f>
        <v/>
      </c>
      <c r="C2772" s="5" t="str">
        <f t="array" ref="C2772">IF(B2772="","",INDEX(helper!$D$3:$D3996,MOD(ROW()-2,COUNTA(helper!$D$3:$D3996))+1))</f>
        <v/>
      </c>
      <c r="D2772" s="3" t="str">
        <f t="array" ref="D2772">IF(B2772="","",INDEX(helper!$E$3:$E3996,MOD(ROW()-2,COUNTA(helper!$D$3:$D3996))+1))</f>
        <v/>
      </c>
      <c r="E2772" s="3" t="str">
        <f t="array" ref="E2772">IF(B2772="","",INDEX(helper!$F$3:$F3996,MOD(ROW()-2,COUNTA(helper!$D$3:$D3996))+1))</f>
        <v/>
      </c>
      <c r="F2772" s="3" t="str">
        <f>IF(B2772="","",SUMIFS('inventory ledger'!$H:$H,'inventory ledger'!$C:$C,C2772,'inventory ledger'!$D:$D,D2772,'inventory ledger'!$E:$E,E2772,'inventory ledger'!$A:$A,"&lt;="&amp;B2772+TIME(23,59,59))-SUMIFS('inventory ledger'!$I:$I,'inventory ledger'!$C:$C,C2772,'inventory ledger'!$D:$D,D2772,'inventory ledger'!$E:$E,E2772,'inventory ledger'!$A:$A,"&lt;="&amp;B2772+TIME(23,59,59)))</f>
        <v/>
      </c>
      <c r="G2772" s="3">
        <f>IFERROR(__xludf.DUMMYFUNCTION("IF(F2772&lt;=0,0,IFERROR(ROUNDUP(F2772/INDEX(FILTER('warehouse config'!$D:$D,('warehouse config'!$B:$B=C2772)*('warehouse config'!$C:$C=D2772)*('warehouse config'!$G:$G&lt;=B2772)*(('warehouse config'!$H:$H&gt;=B2772)+ISBLANK('warehouse config'!$H:$H))),1)),0))"),0.0)</f>
        <v>0</v>
      </c>
      <c r="H2772" s="3">
        <f>IFERROR(__xludf.DUMMYFUNCTION("IFERROR(INDEX(FILTER('cost master'!$E:$E,('cost master'!$B:$B=C2772)*('cost master'!$D:$D=""Storage cost per pallet / week"")*('cost master'!$G:$G&lt;=B2772)*(('cost master'!$H:$H&gt;=B2772)+ISBLANK('cost master'!$H:$H))),1),0)"),0.0)</f>
        <v>0</v>
      </c>
      <c r="I2772" s="3">
        <f t="shared" si="4"/>
        <v>0</v>
      </c>
      <c r="J2772" s="27">
        <f t="shared" si="5"/>
        <v>693947</v>
      </c>
      <c r="K2772" s="27">
        <f t="shared" si="6"/>
        <v>693977</v>
      </c>
    </row>
    <row r="2773" hidden="1">
      <c r="A2773" s="3" t="str">
        <f t="shared" si="3"/>
        <v/>
      </c>
      <c r="B2773" s="2" t="str">
        <f t="array" ref="B2773">INDEX(helper!$A$3:$A3996,ROUNDUP((ROW()-1)/COUNTA(helper!$D$3:$D3996),0))</f>
        <v/>
      </c>
      <c r="C2773" s="5" t="str">
        <f t="array" ref="C2773">IF(B2773="","",INDEX(helper!$D$3:$D3996,MOD(ROW()-2,COUNTA(helper!$D$3:$D3996))+1))</f>
        <v/>
      </c>
      <c r="D2773" s="3" t="str">
        <f t="array" ref="D2773">IF(B2773="","",INDEX(helper!$E$3:$E3996,MOD(ROW()-2,COUNTA(helper!$D$3:$D3996))+1))</f>
        <v/>
      </c>
      <c r="E2773" s="3" t="str">
        <f t="array" ref="E2773">IF(B2773="","",INDEX(helper!$F$3:$F3996,MOD(ROW()-2,COUNTA(helper!$D$3:$D3996))+1))</f>
        <v/>
      </c>
      <c r="F2773" s="3" t="str">
        <f>IF(B2773="","",SUMIFS('inventory ledger'!$H:$H,'inventory ledger'!$C:$C,C2773,'inventory ledger'!$D:$D,D2773,'inventory ledger'!$E:$E,E2773,'inventory ledger'!$A:$A,"&lt;="&amp;B2773+TIME(23,59,59))-SUMIFS('inventory ledger'!$I:$I,'inventory ledger'!$C:$C,C2773,'inventory ledger'!$D:$D,D2773,'inventory ledger'!$E:$E,E2773,'inventory ledger'!$A:$A,"&lt;="&amp;B2773+TIME(23,59,59)))</f>
        <v/>
      </c>
      <c r="G2773" s="3">
        <f>IFERROR(__xludf.DUMMYFUNCTION("IF(F2773&lt;=0,0,IFERROR(ROUNDUP(F2773/INDEX(FILTER('warehouse config'!$D:$D,('warehouse config'!$B:$B=C2773)*('warehouse config'!$C:$C=D2773)*('warehouse config'!$G:$G&lt;=B2773)*(('warehouse config'!$H:$H&gt;=B2773)+ISBLANK('warehouse config'!$H:$H))),1)),0))"),0.0)</f>
        <v>0</v>
      </c>
      <c r="H2773" s="3">
        <f>IFERROR(__xludf.DUMMYFUNCTION("IFERROR(INDEX(FILTER('cost master'!$E:$E,('cost master'!$B:$B=C2773)*('cost master'!$D:$D=""Storage cost per pallet / week"")*('cost master'!$G:$G&lt;=B2773)*(('cost master'!$H:$H&gt;=B2773)+ISBLANK('cost master'!$H:$H))),1),0)"),0.0)</f>
        <v>0</v>
      </c>
      <c r="I2773" s="3">
        <f t="shared" si="4"/>
        <v>0</v>
      </c>
      <c r="J2773" s="27">
        <f t="shared" si="5"/>
        <v>693947</v>
      </c>
      <c r="K2773" s="27">
        <f t="shared" si="6"/>
        <v>693977</v>
      </c>
    </row>
    <row r="2774" hidden="1">
      <c r="A2774" s="3" t="str">
        <f t="shared" si="3"/>
        <v/>
      </c>
      <c r="B2774" s="2" t="str">
        <f t="array" ref="B2774">INDEX(helper!$A$3:$A3996,ROUNDUP((ROW()-1)/COUNTA(helper!$D$3:$D3996),0))</f>
        <v/>
      </c>
      <c r="C2774" s="5" t="str">
        <f t="array" ref="C2774">IF(B2774="","",INDEX(helper!$D$3:$D3996,MOD(ROW()-2,COUNTA(helper!$D$3:$D3996))+1))</f>
        <v/>
      </c>
      <c r="D2774" s="3" t="str">
        <f t="array" ref="D2774">IF(B2774="","",INDEX(helper!$E$3:$E3996,MOD(ROW()-2,COUNTA(helper!$D$3:$D3996))+1))</f>
        <v/>
      </c>
      <c r="E2774" s="3" t="str">
        <f t="array" ref="E2774">IF(B2774="","",INDEX(helper!$F$3:$F3996,MOD(ROW()-2,COUNTA(helper!$D$3:$D3996))+1))</f>
        <v/>
      </c>
      <c r="F2774" s="3" t="str">
        <f>IF(B2774="","",SUMIFS('inventory ledger'!$H:$H,'inventory ledger'!$C:$C,C2774,'inventory ledger'!$D:$D,D2774,'inventory ledger'!$E:$E,E2774,'inventory ledger'!$A:$A,"&lt;="&amp;B2774+TIME(23,59,59))-SUMIFS('inventory ledger'!$I:$I,'inventory ledger'!$C:$C,C2774,'inventory ledger'!$D:$D,D2774,'inventory ledger'!$E:$E,E2774,'inventory ledger'!$A:$A,"&lt;="&amp;B2774+TIME(23,59,59)))</f>
        <v/>
      </c>
      <c r="G2774" s="3">
        <f>IFERROR(__xludf.DUMMYFUNCTION("IF(F2774&lt;=0,0,IFERROR(ROUNDUP(F2774/INDEX(FILTER('warehouse config'!$D:$D,('warehouse config'!$B:$B=C2774)*('warehouse config'!$C:$C=D2774)*('warehouse config'!$G:$G&lt;=B2774)*(('warehouse config'!$H:$H&gt;=B2774)+ISBLANK('warehouse config'!$H:$H))),1)),0))"),0.0)</f>
        <v>0</v>
      </c>
      <c r="H2774" s="3">
        <f>IFERROR(__xludf.DUMMYFUNCTION("IFERROR(INDEX(FILTER('cost master'!$E:$E,('cost master'!$B:$B=C2774)*('cost master'!$D:$D=""Storage cost per pallet / week"")*('cost master'!$G:$G&lt;=B2774)*(('cost master'!$H:$H&gt;=B2774)+ISBLANK('cost master'!$H:$H))),1),0)"),0.0)</f>
        <v>0</v>
      </c>
      <c r="I2774" s="3">
        <f t="shared" si="4"/>
        <v>0</v>
      </c>
      <c r="J2774" s="27">
        <f t="shared" si="5"/>
        <v>693947</v>
      </c>
      <c r="K2774" s="27">
        <f t="shared" si="6"/>
        <v>693977</v>
      </c>
    </row>
    <row r="2775" hidden="1">
      <c r="A2775" s="3" t="str">
        <f t="shared" si="3"/>
        <v/>
      </c>
      <c r="B2775" s="2" t="str">
        <f t="array" ref="B2775">INDEX(helper!$A$3:$A3996,ROUNDUP((ROW()-1)/COUNTA(helper!$D$3:$D3996),0))</f>
        <v/>
      </c>
      <c r="C2775" s="5" t="str">
        <f t="array" ref="C2775">IF(B2775="","",INDEX(helper!$D$3:$D3996,MOD(ROW()-2,COUNTA(helper!$D$3:$D3996))+1))</f>
        <v/>
      </c>
      <c r="D2775" s="3" t="str">
        <f t="array" ref="D2775">IF(B2775="","",INDEX(helper!$E$3:$E3996,MOD(ROW()-2,COUNTA(helper!$D$3:$D3996))+1))</f>
        <v/>
      </c>
      <c r="E2775" s="3" t="str">
        <f t="array" ref="E2775">IF(B2775="","",INDEX(helper!$F$3:$F3996,MOD(ROW()-2,COUNTA(helper!$D$3:$D3996))+1))</f>
        <v/>
      </c>
      <c r="F2775" s="3" t="str">
        <f>IF(B2775="","",SUMIFS('inventory ledger'!$H:$H,'inventory ledger'!$C:$C,C2775,'inventory ledger'!$D:$D,D2775,'inventory ledger'!$E:$E,E2775,'inventory ledger'!$A:$A,"&lt;="&amp;B2775+TIME(23,59,59))-SUMIFS('inventory ledger'!$I:$I,'inventory ledger'!$C:$C,C2775,'inventory ledger'!$D:$D,D2775,'inventory ledger'!$E:$E,E2775,'inventory ledger'!$A:$A,"&lt;="&amp;B2775+TIME(23,59,59)))</f>
        <v/>
      </c>
      <c r="G2775" s="3">
        <f>IFERROR(__xludf.DUMMYFUNCTION("IF(F2775&lt;=0,0,IFERROR(ROUNDUP(F2775/INDEX(FILTER('warehouse config'!$D:$D,('warehouse config'!$B:$B=C2775)*('warehouse config'!$C:$C=D2775)*('warehouse config'!$G:$G&lt;=B2775)*(('warehouse config'!$H:$H&gt;=B2775)+ISBLANK('warehouse config'!$H:$H))),1)),0))"),0.0)</f>
        <v>0</v>
      </c>
      <c r="H2775" s="3">
        <f>IFERROR(__xludf.DUMMYFUNCTION("IFERROR(INDEX(FILTER('cost master'!$E:$E,('cost master'!$B:$B=C2775)*('cost master'!$D:$D=""Storage cost per pallet / week"")*('cost master'!$G:$G&lt;=B2775)*(('cost master'!$H:$H&gt;=B2775)+ISBLANK('cost master'!$H:$H))),1),0)"),0.0)</f>
        <v>0</v>
      </c>
      <c r="I2775" s="3">
        <f t="shared" si="4"/>
        <v>0</v>
      </c>
      <c r="J2775" s="27">
        <f t="shared" si="5"/>
        <v>693947</v>
      </c>
      <c r="K2775" s="27">
        <f t="shared" si="6"/>
        <v>693977</v>
      </c>
    </row>
    <row r="2776" hidden="1">
      <c r="A2776" s="3" t="str">
        <f t="shared" si="3"/>
        <v/>
      </c>
      <c r="B2776" s="2" t="str">
        <f t="array" ref="B2776">INDEX(helper!$A$3:$A3996,ROUNDUP((ROW()-1)/COUNTA(helper!$D$3:$D3996),0))</f>
        <v/>
      </c>
      <c r="C2776" s="5" t="str">
        <f t="array" ref="C2776">IF(B2776="","",INDEX(helper!$D$3:$D3996,MOD(ROW()-2,COUNTA(helper!$D$3:$D3996))+1))</f>
        <v/>
      </c>
      <c r="D2776" s="3" t="str">
        <f t="array" ref="D2776">IF(B2776="","",INDEX(helper!$E$3:$E3996,MOD(ROW()-2,COUNTA(helper!$D$3:$D3996))+1))</f>
        <v/>
      </c>
      <c r="E2776" s="3" t="str">
        <f t="array" ref="E2776">IF(B2776="","",INDEX(helper!$F$3:$F3996,MOD(ROW()-2,COUNTA(helper!$D$3:$D3996))+1))</f>
        <v/>
      </c>
      <c r="F2776" s="3" t="str">
        <f>IF(B2776="","",SUMIFS('inventory ledger'!$H:$H,'inventory ledger'!$C:$C,C2776,'inventory ledger'!$D:$D,D2776,'inventory ledger'!$E:$E,E2776,'inventory ledger'!$A:$A,"&lt;="&amp;B2776+TIME(23,59,59))-SUMIFS('inventory ledger'!$I:$I,'inventory ledger'!$C:$C,C2776,'inventory ledger'!$D:$D,D2776,'inventory ledger'!$E:$E,E2776,'inventory ledger'!$A:$A,"&lt;="&amp;B2776+TIME(23,59,59)))</f>
        <v/>
      </c>
      <c r="G2776" s="3">
        <f>IFERROR(__xludf.DUMMYFUNCTION("IF(F2776&lt;=0,0,IFERROR(ROUNDUP(F2776/INDEX(FILTER('warehouse config'!$D:$D,('warehouse config'!$B:$B=C2776)*('warehouse config'!$C:$C=D2776)*('warehouse config'!$G:$G&lt;=B2776)*(('warehouse config'!$H:$H&gt;=B2776)+ISBLANK('warehouse config'!$H:$H))),1)),0))"),0.0)</f>
        <v>0</v>
      </c>
      <c r="H2776" s="3">
        <f>IFERROR(__xludf.DUMMYFUNCTION("IFERROR(INDEX(FILTER('cost master'!$E:$E,('cost master'!$B:$B=C2776)*('cost master'!$D:$D=""Storage cost per pallet / week"")*('cost master'!$G:$G&lt;=B2776)*(('cost master'!$H:$H&gt;=B2776)+ISBLANK('cost master'!$H:$H))),1),0)"),0.0)</f>
        <v>0</v>
      </c>
      <c r="I2776" s="3">
        <f t="shared" si="4"/>
        <v>0</v>
      </c>
      <c r="J2776" s="27">
        <f t="shared" si="5"/>
        <v>693947</v>
      </c>
      <c r="K2776" s="27">
        <f t="shared" si="6"/>
        <v>693977</v>
      </c>
    </row>
    <row r="2777" hidden="1">
      <c r="A2777" s="3" t="str">
        <f t="shared" si="3"/>
        <v/>
      </c>
      <c r="B2777" s="2" t="str">
        <f t="array" ref="B2777">INDEX(helper!$A$3:$A3996,ROUNDUP((ROW()-1)/COUNTA(helper!$D$3:$D3996),0))</f>
        <v/>
      </c>
      <c r="C2777" s="5" t="str">
        <f t="array" ref="C2777">IF(B2777="","",INDEX(helper!$D$3:$D3996,MOD(ROW()-2,COUNTA(helper!$D$3:$D3996))+1))</f>
        <v/>
      </c>
      <c r="D2777" s="3" t="str">
        <f t="array" ref="D2777">IF(B2777="","",INDEX(helper!$E$3:$E3996,MOD(ROW()-2,COUNTA(helper!$D$3:$D3996))+1))</f>
        <v/>
      </c>
      <c r="E2777" s="3" t="str">
        <f t="array" ref="E2777">IF(B2777="","",INDEX(helper!$F$3:$F3996,MOD(ROW()-2,COUNTA(helper!$D$3:$D3996))+1))</f>
        <v/>
      </c>
      <c r="F2777" s="3" t="str">
        <f>IF(B2777="","",SUMIFS('inventory ledger'!$H:$H,'inventory ledger'!$C:$C,C2777,'inventory ledger'!$D:$D,D2777,'inventory ledger'!$E:$E,E2777,'inventory ledger'!$A:$A,"&lt;="&amp;B2777+TIME(23,59,59))-SUMIFS('inventory ledger'!$I:$I,'inventory ledger'!$C:$C,C2777,'inventory ledger'!$D:$D,D2777,'inventory ledger'!$E:$E,E2777,'inventory ledger'!$A:$A,"&lt;="&amp;B2777+TIME(23,59,59)))</f>
        <v/>
      </c>
      <c r="G2777" s="3">
        <f>IFERROR(__xludf.DUMMYFUNCTION("IF(F2777&lt;=0,0,IFERROR(ROUNDUP(F2777/INDEX(FILTER('warehouse config'!$D:$D,('warehouse config'!$B:$B=C2777)*('warehouse config'!$C:$C=D2777)*('warehouse config'!$G:$G&lt;=B2777)*(('warehouse config'!$H:$H&gt;=B2777)+ISBLANK('warehouse config'!$H:$H))),1)),0))"),0.0)</f>
        <v>0</v>
      </c>
      <c r="H2777" s="3">
        <f>IFERROR(__xludf.DUMMYFUNCTION("IFERROR(INDEX(FILTER('cost master'!$E:$E,('cost master'!$B:$B=C2777)*('cost master'!$D:$D=""Storage cost per pallet / week"")*('cost master'!$G:$G&lt;=B2777)*(('cost master'!$H:$H&gt;=B2777)+ISBLANK('cost master'!$H:$H))),1),0)"),0.0)</f>
        <v>0</v>
      </c>
      <c r="I2777" s="3">
        <f t="shared" si="4"/>
        <v>0</v>
      </c>
      <c r="J2777" s="27">
        <f t="shared" si="5"/>
        <v>693947</v>
      </c>
      <c r="K2777" s="27">
        <f t="shared" si="6"/>
        <v>693977</v>
      </c>
    </row>
    <row r="2778" hidden="1">
      <c r="A2778" s="3" t="str">
        <f t="shared" si="3"/>
        <v/>
      </c>
      <c r="B2778" s="2" t="str">
        <f t="array" ref="B2778">INDEX(helper!$A$3:$A3996,ROUNDUP((ROW()-1)/COUNTA(helper!$D$3:$D3996),0))</f>
        <v/>
      </c>
      <c r="C2778" s="5" t="str">
        <f t="array" ref="C2778">IF(B2778="","",INDEX(helper!$D$3:$D3996,MOD(ROW()-2,COUNTA(helper!$D$3:$D3996))+1))</f>
        <v/>
      </c>
      <c r="D2778" s="3" t="str">
        <f t="array" ref="D2778">IF(B2778="","",INDEX(helper!$E$3:$E3996,MOD(ROW()-2,COUNTA(helper!$D$3:$D3996))+1))</f>
        <v/>
      </c>
      <c r="E2778" s="3" t="str">
        <f t="array" ref="E2778">IF(B2778="","",INDEX(helper!$F$3:$F3996,MOD(ROW()-2,COUNTA(helper!$D$3:$D3996))+1))</f>
        <v/>
      </c>
      <c r="F2778" s="3" t="str">
        <f>IF(B2778="","",SUMIFS('inventory ledger'!$H:$H,'inventory ledger'!$C:$C,C2778,'inventory ledger'!$D:$D,D2778,'inventory ledger'!$E:$E,E2778,'inventory ledger'!$A:$A,"&lt;="&amp;B2778+TIME(23,59,59))-SUMIFS('inventory ledger'!$I:$I,'inventory ledger'!$C:$C,C2778,'inventory ledger'!$D:$D,D2778,'inventory ledger'!$E:$E,E2778,'inventory ledger'!$A:$A,"&lt;="&amp;B2778+TIME(23,59,59)))</f>
        <v/>
      </c>
      <c r="G2778" s="3">
        <f>IFERROR(__xludf.DUMMYFUNCTION("IF(F2778&lt;=0,0,IFERROR(ROUNDUP(F2778/INDEX(FILTER('warehouse config'!$D:$D,('warehouse config'!$B:$B=C2778)*('warehouse config'!$C:$C=D2778)*('warehouse config'!$G:$G&lt;=B2778)*(('warehouse config'!$H:$H&gt;=B2778)+ISBLANK('warehouse config'!$H:$H))),1)),0))"),0.0)</f>
        <v>0</v>
      </c>
      <c r="H2778" s="3">
        <f>IFERROR(__xludf.DUMMYFUNCTION("IFERROR(INDEX(FILTER('cost master'!$E:$E,('cost master'!$B:$B=C2778)*('cost master'!$D:$D=""Storage cost per pallet / week"")*('cost master'!$G:$G&lt;=B2778)*(('cost master'!$H:$H&gt;=B2778)+ISBLANK('cost master'!$H:$H))),1),0)"),0.0)</f>
        <v>0</v>
      </c>
      <c r="I2778" s="3">
        <f t="shared" si="4"/>
        <v>0</v>
      </c>
      <c r="J2778" s="27">
        <f t="shared" si="5"/>
        <v>693947</v>
      </c>
      <c r="K2778" s="27">
        <f t="shared" si="6"/>
        <v>693977</v>
      </c>
    </row>
    <row r="2779" hidden="1">
      <c r="A2779" s="3" t="str">
        <f t="shared" si="3"/>
        <v/>
      </c>
      <c r="B2779" s="2" t="str">
        <f t="array" ref="B2779">INDEX(helper!$A$3:$A3996,ROUNDUP((ROW()-1)/COUNTA(helper!$D$3:$D3996),0))</f>
        <v/>
      </c>
      <c r="C2779" s="5" t="str">
        <f t="array" ref="C2779">IF(B2779="","",INDEX(helper!$D$3:$D3996,MOD(ROW()-2,COUNTA(helper!$D$3:$D3996))+1))</f>
        <v/>
      </c>
      <c r="D2779" s="3" t="str">
        <f t="array" ref="D2779">IF(B2779="","",INDEX(helper!$E$3:$E3996,MOD(ROW()-2,COUNTA(helper!$D$3:$D3996))+1))</f>
        <v/>
      </c>
      <c r="E2779" s="3" t="str">
        <f t="array" ref="E2779">IF(B2779="","",INDEX(helper!$F$3:$F3996,MOD(ROW()-2,COUNTA(helper!$D$3:$D3996))+1))</f>
        <v/>
      </c>
      <c r="F2779" s="3" t="str">
        <f>IF(B2779="","",SUMIFS('inventory ledger'!$H:$H,'inventory ledger'!$C:$C,C2779,'inventory ledger'!$D:$D,D2779,'inventory ledger'!$E:$E,E2779,'inventory ledger'!$A:$A,"&lt;="&amp;B2779+TIME(23,59,59))-SUMIFS('inventory ledger'!$I:$I,'inventory ledger'!$C:$C,C2779,'inventory ledger'!$D:$D,D2779,'inventory ledger'!$E:$E,E2779,'inventory ledger'!$A:$A,"&lt;="&amp;B2779+TIME(23,59,59)))</f>
        <v/>
      </c>
      <c r="G2779" s="3">
        <f>IFERROR(__xludf.DUMMYFUNCTION("IF(F2779&lt;=0,0,IFERROR(ROUNDUP(F2779/INDEX(FILTER('warehouse config'!$D:$D,('warehouse config'!$B:$B=C2779)*('warehouse config'!$C:$C=D2779)*('warehouse config'!$G:$G&lt;=B2779)*(('warehouse config'!$H:$H&gt;=B2779)+ISBLANK('warehouse config'!$H:$H))),1)),0))"),0.0)</f>
        <v>0</v>
      </c>
      <c r="H2779" s="3">
        <f>IFERROR(__xludf.DUMMYFUNCTION("IFERROR(INDEX(FILTER('cost master'!$E:$E,('cost master'!$B:$B=C2779)*('cost master'!$D:$D=""Storage cost per pallet / week"")*('cost master'!$G:$G&lt;=B2779)*(('cost master'!$H:$H&gt;=B2779)+ISBLANK('cost master'!$H:$H))),1),0)"),0.0)</f>
        <v>0</v>
      </c>
      <c r="I2779" s="3">
        <f t="shared" si="4"/>
        <v>0</v>
      </c>
      <c r="J2779" s="27">
        <f t="shared" si="5"/>
        <v>693947</v>
      </c>
      <c r="K2779" s="27">
        <f t="shared" si="6"/>
        <v>693977</v>
      </c>
    </row>
    <row r="2780" hidden="1">
      <c r="A2780" s="3" t="str">
        <f t="shared" si="3"/>
        <v/>
      </c>
      <c r="B2780" s="2" t="str">
        <f t="array" ref="B2780">INDEX(helper!$A$3:$A3996,ROUNDUP((ROW()-1)/COUNTA(helper!$D$3:$D3996),0))</f>
        <v/>
      </c>
      <c r="C2780" s="5" t="str">
        <f t="array" ref="C2780">IF(B2780="","",INDEX(helper!$D$3:$D3996,MOD(ROW()-2,COUNTA(helper!$D$3:$D3996))+1))</f>
        <v/>
      </c>
      <c r="D2780" s="3" t="str">
        <f t="array" ref="D2780">IF(B2780="","",INDEX(helper!$E$3:$E3996,MOD(ROW()-2,COUNTA(helper!$D$3:$D3996))+1))</f>
        <v/>
      </c>
      <c r="E2780" s="3" t="str">
        <f t="array" ref="E2780">IF(B2780="","",INDEX(helper!$F$3:$F3996,MOD(ROW()-2,COUNTA(helper!$D$3:$D3996))+1))</f>
        <v/>
      </c>
      <c r="F2780" s="3" t="str">
        <f>IF(B2780="","",SUMIFS('inventory ledger'!$H:$H,'inventory ledger'!$C:$C,C2780,'inventory ledger'!$D:$D,D2780,'inventory ledger'!$E:$E,E2780,'inventory ledger'!$A:$A,"&lt;="&amp;B2780+TIME(23,59,59))-SUMIFS('inventory ledger'!$I:$I,'inventory ledger'!$C:$C,C2780,'inventory ledger'!$D:$D,D2780,'inventory ledger'!$E:$E,E2780,'inventory ledger'!$A:$A,"&lt;="&amp;B2780+TIME(23,59,59)))</f>
        <v/>
      </c>
      <c r="G2780" s="3">
        <f>IFERROR(__xludf.DUMMYFUNCTION("IF(F2780&lt;=0,0,IFERROR(ROUNDUP(F2780/INDEX(FILTER('warehouse config'!$D:$D,('warehouse config'!$B:$B=C2780)*('warehouse config'!$C:$C=D2780)*('warehouse config'!$G:$G&lt;=B2780)*(('warehouse config'!$H:$H&gt;=B2780)+ISBLANK('warehouse config'!$H:$H))),1)),0))"),0.0)</f>
        <v>0</v>
      </c>
      <c r="H2780" s="3">
        <f>IFERROR(__xludf.DUMMYFUNCTION("IFERROR(INDEX(FILTER('cost master'!$E:$E,('cost master'!$B:$B=C2780)*('cost master'!$D:$D=""Storage cost per pallet / week"")*('cost master'!$G:$G&lt;=B2780)*(('cost master'!$H:$H&gt;=B2780)+ISBLANK('cost master'!$H:$H))),1),0)"),0.0)</f>
        <v>0</v>
      </c>
      <c r="I2780" s="3">
        <f t="shared" si="4"/>
        <v>0</v>
      </c>
      <c r="J2780" s="27">
        <f t="shared" si="5"/>
        <v>693947</v>
      </c>
      <c r="K2780" s="27">
        <f t="shared" si="6"/>
        <v>693977</v>
      </c>
    </row>
    <row r="2781" hidden="1">
      <c r="A2781" s="3" t="str">
        <f t="shared" si="3"/>
        <v/>
      </c>
      <c r="B2781" s="2" t="str">
        <f t="array" ref="B2781">INDEX(helper!$A$3:$A3996,ROUNDUP((ROW()-1)/COUNTA(helper!$D$3:$D3996),0))</f>
        <v/>
      </c>
      <c r="C2781" s="5" t="str">
        <f t="array" ref="C2781">IF(B2781="","",INDEX(helper!$D$3:$D3996,MOD(ROW()-2,COUNTA(helper!$D$3:$D3996))+1))</f>
        <v/>
      </c>
      <c r="D2781" s="3" t="str">
        <f t="array" ref="D2781">IF(B2781="","",INDEX(helper!$E$3:$E3996,MOD(ROW()-2,COUNTA(helper!$D$3:$D3996))+1))</f>
        <v/>
      </c>
      <c r="E2781" s="3" t="str">
        <f t="array" ref="E2781">IF(B2781="","",INDEX(helper!$F$3:$F3996,MOD(ROW()-2,COUNTA(helper!$D$3:$D3996))+1))</f>
        <v/>
      </c>
      <c r="F2781" s="3" t="str">
        <f>IF(B2781="","",SUMIFS('inventory ledger'!$H:$H,'inventory ledger'!$C:$C,C2781,'inventory ledger'!$D:$D,D2781,'inventory ledger'!$E:$E,E2781,'inventory ledger'!$A:$A,"&lt;="&amp;B2781+TIME(23,59,59))-SUMIFS('inventory ledger'!$I:$I,'inventory ledger'!$C:$C,C2781,'inventory ledger'!$D:$D,D2781,'inventory ledger'!$E:$E,E2781,'inventory ledger'!$A:$A,"&lt;="&amp;B2781+TIME(23,59,59)))</f>
        <v/>
      </c>
      <c r="G2781" s="3">
        <f>IFERROR(__xludf.DUMMYFUNCTION("IF(F2781&lt;=0,0,IFERROR(ROUNDUP(F2781/INDEX(FILTER('warehouse config'!$D:$D,('warehouse config'!$B:$B=C2781)*('warehouse config'!$C:$C=D2781)*('warehouse config'!$G:$G&lt;=B2781)*(('warehouse config'!$H:$H&gt;=B2781)+ISBLANK('warehouse config'!$H:$H))),1)),0))"),0.0)</f>
        <v>0</v>
      </c>
      <c r="H2781" s="3">
        <f>IFERROR(__xludf.DUMMYFUNCTION("IFERROR(INDEX(FILTER('cost master'!$E:$E,('cost master'!$B:$B=C2781)*('cost master'!$D:$D=""Storage cost per pallet / week"")*('cost master'!$G:$G&lt;=B2781)*(('cost master'!$H:$H&gt;=B2781)+ISBLANK('cost master'!$H:$H))),1),0)"),0.0)</f>
        <v>0</v>
      </c>
      <c r="I2781" s="3">
        <f t="shared" si="4"/>
        <v>0</v>
      </c>
      <c r="J2781" s="27">
        <f t="shared" si="5"/>
        <v>693947</v>
      </c>
      <c r="K2781" s="27">
        <f t="shared" si="6"/>
        <v>693977</v>
      </c>
    </row>
    <row r="2782" hidden="1">
      <c r="A2782" s="3" t="str">
        <f t="shared" si="3"/>
        <v/>
      </c>
      <c r="B2782" s="2" t="str">
        <f t="array" ref="B2782">INDEX(helper!$A$3:$A3996,ROUNDUP((ROW()-1)/COUNTA(helper!$D$3:$D3996),0))</f>
        <v/>
      </c>
      <c r="C2782" s="5" t="str">
        <f t="array" ref="C2782">IF(B2782="","",INDEX(helper!$D$3:$D3996,MOD(ROW()-2,COUNTA(helper!$D$3:$D3996))+1))</f>
        <v/>
      </c>
      <c r="D2782" s="3" t="str">
        <f t="array" ref="D2782">IF(B2782="","",INDEX(helper!$E$3:$E3996,MOD(ROW()-2,COUNTA(helper!$D$3:$D3996))+1))</f>
        <v/>
      </c>
      <c r="E2782" s="3" t="str">
        <f t="array" ref="E2782">IF(B2782="","",INDEX(helper!$F$3:$F3996,MOD(ROW()-2,COUNTA(helper!$D$3:$D3996))+1))</f>
        <v/>
      </c>
      <c r="F2782" s="3" t="str">
        <f>IF(B2782="","",SUMIFS('inventory ledger'!$H:$H,'inventory ledger'!$C:$C,C2782,'inventory ledger'!$D:$D,D2782,'inventory ledger'!$E:$E,E2782,'inventory ledger'!$A:$A,"&lt;="&amp;B2782+TIME(23,59,59))-SUMIFS('inventory ledger'!$I:$I,'inventory ledger'!$C:$C,C2782,'inventory ledger'!$D:$D,D2782,'inventory ledger'!$E:$E,E2782,'inventory ledger'!$A:$A,"&lt;="&amp;B2782+TIME(23,59,59)))</f>
        <v/>
      </c>
      <c r="G2782" s="3">
        <f>IFERROR(__xludf.DUMMYFUNCTION("IF(F2782&lt;=0,0,IFERROR(ROUNDUP(F2782/INDEX(FILTER('warehouse config'!$D:$D,('warehouse config'!$B:$B=C2782)*('warehouse config'!$C:$C=D2782)*('warehouse config'!$G:$G&lt;=B2782)*(('warehouse config'!$H:$H&gt;=B2782)+ISBLANK('warehouse config'!$H:$H))),1)),0))"),0.0)</f>
        <v>0</v>
      </c>
      <c r="H2782" s="3">
        <f>IFERROR(__xludf.DUMMYFUNCTION("IFERROR(INDEX(FILTER('cost master'!$E:$E,('cost master'!$B:$B=C2782)*('cost master'!$D:$D=""Storage cost per pallet / week"")*('cost master'!$G:$G&lt;=B2782)*(('cost master'!$H:$H&gt;=B2782)+ISBLANK('cost master'!$H:$H))),1),0)"),0.0)</f>
        <v>0</v>
      </c>
      <c r="I2782" s="3">
        <f t="shared" si="4"/>
        <v>0</v>
      </c>
      <c r="J2782" s="27">
        <f t="shared" si="5"/>
        <v>693947</v>
      </c>
      <c r="K2782" s="27">
        <f t="shared" si="6"/>
        <v>693977</v>
      </c>
    </row>
    <row r="2783" hidden="1">
      <c r="A2783" s="3" t="str">
        <f t="shared" si="3"/>
        <v/>
      </c>
      <c r="B2783" s="2" t="str">
        <f t="array" ref="B2783">INDEX(helper!$A$3:$A3996,ROUNDUP((ROW()-1)/COUNTA(helper!$D$3:$D3996),0))</f>
        <v/>
      </c>
      <c r="C2783" s="5" t="str">
        <f t="array" ref="C2783">IF(B2783="","",INDEX(helper!$D$3:$D3996,MOD(ROW()-2,COUNTA(helper!$D$3:$D3996))+1))</f>
        <v/>
      </c>
      <c r="D2783" s="3" t="str">
        <f t="array" ref="D2783">IF(B2783="","",INDEX(helper!$E$3:$E3996,MOD(ROW()-2,COUNTA(helper!$D$3:$D3996))+1))</f>
        <v/>
      </c>
      <c r="E2783" s="3" t="str">
        <f t="array" ref="E2783">IF(B2783="","",INDEX(helper!$F$3:$F3996,MOD(ROW()-2,COUNTA(helper!$D$3:$D3996))+1))</f>
        <v/>
      </c>
      <c r="F2783" s="3" t="str">
        <f>IF(B2783="","",SUMIFS('inventory ledger'!$H:$H,'inventory ledger'!$C:$C,C2783,'inventory ledger'!$D:$D,D2783,'inventory ledger'!$E:$E,E2783,'inventory ledger'!$A:$A,"&lt;="&amp;B2783+TIME(23,59,59))-SUMIFS('inventory ledger'!$I:$I,'inventory ledger'!$C:$C,C2783,'inventory ledger'!$D:$D,D2783,'inventory ledger'!$E:$E,E2783,'inventory ledger'!$A:$A,"&lt;="&amp;B2783+TIME(23,59,59)))</f>
        <v/>
      </c>
      <c r="G2783" s="3">
        <f>IFERROR(__xludf.DUMMYFUNCTION("IF(F2783&lt;=0,0,IFERROR(ROUNDUP(F2783/INDEX(FILTER('warehouse config'!$D:$D,('warehouse config'!$B:$B=C2783)*('warehouse config'!$C:$C=D2783)*('warehouse config'!$G:$G&lt;=B2783)*(('warehouse config'!$H:$H&gt;=B2783)+ISBLANK('warehouse config'!$H:$H))),1)),0))"),0.0)</f>
        <v>0</v>
      </c>
      <c r="H2783" s="3">
        <f>IFERROR(__xludf.DUMMYFUNCTION("IFERROR(INDEX(FILTER('cost master'!$E:$E,('cost master'!$B:$B=C2783)*('cost master'!$D:$D=""Storage cost per pallet / week"")*('cost master'!$G:$G&lt;=B2783)*(('cost master'!$H:$H&gt;=B2783)+ISBLANK('cost master'!$H:$H))),1),0)"),0.0)</f>
        <v>0</v>
      </c>
      <c r="I2783" s="3">
        <f t="shared" si="4"/>
        <v>0</v>
      </c>
      <c r="J2783" s="27">
        <f t="shared" si="5"/>
        <v>693947</v>
      </c>
      <c r="K2783" s="27">
        <f t="shared" si="6"/>
        <v>693977</v>
      </c>
    </row>
    <row r="2784" hidden="1">
      <c r="A2784" s="3" t="str">
        <f t="shared" si="3"/>
        <v/>
      </c>
      <c r="B2784" s="2" t="str">
        <f t="array" ref="B2784">INDEX(helper!$A$3:$A3996,ROUNDUP((ROW()-1)/COUNTA(helper!$D$3:$D3996),0))</f>
        <v/>
      </c>
      <c r="C2784" s="5" t="str">
        <f t="array" ref="C2784">IF(B2784="","",INDEX(helper!$D$3:$D3996,MOD(ROW()-2,COUNTA(helper!$D$3:$D3996))+1))</f>
        <v/>
      </c>
      <c r="D2784" s="3" t="str">
        <f t="array" ref="D2784">IF(B2784="","",INDEX(helper!$E$3:$E3996,MOD(ROW()-2,COUNTA(helper!$D$3:$D3996))+1))</f>
        <v/>
      </c>
      <c r="E2784" s="3" t="str">
        <f t="array" ref="E2784">IF(B2784="","",INDEX(helper!$F$3:$F3996,MOD(ROW()-2,COUNTA(helper!$D$3:$D3996))+1))</f>
        <v/>
      </c>
      <c r="F2784" s="3" t="str">
        <f>IF(B2784="","",SUMIFS('inventory ledger'!$H:$H,'inventory ledger'!$C:$C,C2784,'inventory ledger'!$D:$D,D2784,'inventory ledger'!$E:$E,E2784,'inventory ledger'!$A:$A,"&lt;="&amp;B2784+TIME(23,59,59))-SUMIFS('inventory ledger'!$I:$I,'inventory ledger'!$C:$C,C2784,'inventory ledger'!$D:$D,D2784,'inventory ledger'!$E:$E,E2784,'inventory ledger'!$A:$A,"&lt;="&amp;B2784+TIME(23,59,59)))</f>
        <v/>
      </c>
      <c r="G2784" s="3">
        <f>IFERROR(__xludf.DUMMYFUNCTION("IF(F2784&lt;=0,0,IFERROR(ROUNDUP(F2784/INDEX(FILTER('warehouse config'!$D:$D,('warehouse config'!$B:$B=C2784)*('warehouse config'!$C:$C=D2784)*('warehouse config'!$G:$G&lt;=B2784)*(('warehouse config'!$H:$H&gt;=B2784)+ISBLANK('warehouse config'!$H:$H))),1)),0))"),0.0)</f>
        <v>0</v>
      </c>
      <c r="H2784" s="3">
        <f>IFERROR(__xludf.DUMMYFUNCTION("IFERROR(INDEX(FILTER('cost master'!$E:$E,('cost master'!$B:$B=C2784)*('cost master'!$D:$D=""Storage cost per pallet / week"")*('cost master'!$G:$G&lt;=B2784)*(('cost master'!$H:$H&gt;=B2784)+ISBLANK('cost master'!$H:$H))),1),0)"),0.0)</f>
        <v>0</v>
      </c>
      <c r="I2784" s="3">
        <f t="shared" si="4"/>
        <v>0</v>
      </c>
      <c r="J2784" s="27">
        <f t="shared" si="5"/>
        <v>693947</v>
      </c>
      <c r="K2784" s="27">
        <f t="shared" si="6"/>
        <v>693977</v>
      </c>
    </row>
    <row r="2785" hidden="1">
      <c r="A2785" s="3" t="str">
        <f t="shared" si="3"/>
        <v/>
      </c>
      <c r="B2785" s="2" t="str">
        <f t="array" ref="B2785">INDEX(helper!$A$3:$A3996,ROUNDUP((ROW()-1)/COUNTA(helper!$D$3:$D3996),0))</f>
        <v/>
      </c>
      <c r="C2785" s="5" t="str">
        <f t="array" ref="C2785">IF(B2785="","",INDEX(helper!$D$3:$D3996,MOD(ROW()-2,COUNTA(helper!$D$3:$D3996))+1))</f>
        <v/>
      </c>
      <c r="D2785" s="3" t="str">
        <f t="array" ref="D2785">IF(B2785="","",INDEX(helper!$E$3:$E3996,MOD(ROW()-2,COUNTA(helper!$D$3:$D3996))+1))</f>
        <v/>
      </c>
      <c r="E2785" s="3" t="str">
        <f t="array" ref="E2785">IF(B2785="","",INDEX(helper!$F$3:$F3996,MOD(ROW()-2,COUNTA(helper!$D$3:$D3996))+1))</f>
        <v/>
      </c>
      <c r="F2785" s="3" t="str">
        <f>IF(B2785="","",SUMIFS('inventory ledger'!$H:$H,'inventory ledger'!$C:$C,C2785,'inventory ledger'!$D:$D,D2785,'inventory ledger'!$E:$E,E2785,'inventory ledger'!$A:$A,"&lt;="&amp;B2785+TIME(23,59,59))-SUMIFS('inventory ledger'!$I:$I,'inventory ledger'!$C:$C,C2785,'inventory ledger'!$D:$D,D2785,'inventory ledger'!$E:$E,E2785,'inventory ledger'!$A:$A,"&lt;="&amp;B2785+TIME(23,59,59)))</f>
        <v/>
      </c>
      <c r="G2785" s="3">
        <f>IFERROR(__xludf.DUMMYFUNCTION("IF(F2785&lt;=0,0,IFERROR(ROUNDUP(F2785/INDEX(FILTER('warehouse config'!$D:$D,('warehouse config'!$B:$B=C2785)*('warehouse config'!$C:$C=D2785)*('warehouse config'!$G:$G&lt;=B2785)*(('warehouse config'!$H:$H&gt;=B2785)+ISBLANK('warehouse config'!$H:$H))),1)),0))"),0.0)</f>
        <v>0</v>
      </c>
      <c r="H2785" s="3">
        <f>IFERROR(__xludf.DUMMYFUNCTION("IFERROR(INDEX(FILTER('cost master'!$E:$E,('cost master'!$B:$B=C2785)*('cost master'!$D:$D=""Storage cost per pallet / week"")*('cost master'!$G:$G&lt;=B2785)*(('cost master'!$H:$H&gt;=B2785)+ISBLANK('cost master'!$H:$H))),1),0)"),0.0)</f>
        <v>0</v>
      </c>
      <c r="I2785" s="3">
        <f t="shared" si="4"/>
        <v>0</v>
      </c>
      <c r="J2785" s="27">
        <f t="shared" si="5"/>
        <v>693947</v>
      </c>
      <c r="K2785" s="27">
        <f t="shared" si="6"/>
        <v>693977</v>
      </c>
    </row>
    <row r="2786" hidden="1">
      <c r="A2786" s="3" t="str">
        <f t="shared" si="3"/>
        <v/>
      </c>
      <c r="B2786" s="2" t="str">
        <f t="array" ref="B2786">INDEX(helper!$A$3:$A3996,ROUNDUP((ROW()-1)/COUNTA(helper!$D$3:$D3996),0))</f>
        <v/>
      </c>
      <c r="C2786" s="5" t="str">
        <f t="array" ref="C2786">IF(B2786="","",INDEX(helper!$D$3:$D3996,MOD(ROW()-2,COUNTA(helper!$D$3:$D3996))+1))</f>
        <v/>
      </c>
      <c r="D2786" s="3" t="str">
        <f t="array" ref="D2786">IF(B2786="","",INDEX(helper!$E$3:$E3996,MOD(ROW()-2,COUNTA(helper!$D$3:$D3996))+1))</f>
        <v/>
      </c>
      <c r="E2786" s="3" t="str">
        <f t="array" ref="E2786">IF(B2786="","",INDEX(helper!$F$3:$F3996,MOD(ROW()-2,COUNTA(helper!$D$3:$D3996))+1))</f>
        <v/>
      </c>
      <c r="F2786" s="3" t="str">
        <f>IF(B2786="","",SUMIFS('inventory ledger'!$H:$H,'inventory ledger'!$C:$C,C2786,'inventory ledger'!$D:$D,D2786,'inventory ledger'!$E:$E,E2786,'inventory ledger'!$A:$A,"&lt;="&amp;B2786+TIME(23,59,59))-SUMIFS('inventory ledger'!$I:$I,'inventory ledger'!$C:$C,C2786,'inventory ledger'!$D:$D,D2786,'inventory ledger'!$E:$E,E2786,'inventory ledger'!$A:$A,"&lt;="&amp;B2786+TIME(23,59,59)))</f>
        <v/>
      </c>
      <c r="G2786" s="3">
        <f>IFERROR(__xludf.DUMMYFUNCTION("IF(F2786&lt;=0,0,IFERROR(ROUNDUP(F2786/INDEX(FILTER('warehouse config'!$D:$D,('warehouse config'!$B:$B=C2786)*('warehouse config'!$C:$C=D2786)*('warehouse config'!$G:$G&lt;=B2786)*(('warehouse config'!$H:$H&gt;=B2786)+ISBLANK('warehouse config'!$H:$H))),1)),0))"),0.0)</f>
        <v>0</v>
      </c>
      <c r="H2786" s="3">
        <f>IFERROR(__xludf.DUMMYFUNCTION("IFERROR(INDEX(FILTER('cost master'!$E:$E,('cost master'!$B:$B=C2786)*('cost master'!$D:$D=""Storage cost per pallet / week"")*('cost master'!$G:$G&lt;=B2786)*(('cost master'!$H:$H&gt;=B2786)+ISBLANK('cost master'!$H:$H))),1),0)"),0.0)</f>
        <v>0</v>
      </c>
      <c r="I2786" s="3">
        <f t="shared" si="4"/>
        <v>0</v>
      </c>
      <c r="J2786" s="27">
        <f t="shared" si="5"/>
        <v>693947</v>
      </c>
      <c r="K2786" s="27">
        <f t="shared" si="6"/>
        <v>693977</v>
      </c>
    </row>
    <row r="2787" hidden="1">
      <c r="A2787" s="3" t="str">
        <f t="shared" si="3"/>
        <v/>
      </c>
      <c r="B2787" s="2" t="str">
        <f t="array" ref="B2787">INDEX(helper!$A$3:$A3996,ROUNDUP((ROW()-1)/COUNTA(helper!$D$3:$D3996),0))</f>
        <v/>
      </c>
      <c r="C2787" s="5" t="str">
        <f t="array" ref="C2787">IF(B2787="","",INDEX(helper!$D$3:$D3996,MOD(ROW()-2,COUNTA(helper!$D$3:$D3996))+1))</f>
        <v/>
      </c>
      <c r="D2787" s="3" t="str">
        <f t="array" ref="D2787">IF(B2787="","",INDEX(helper!$E$3:$E3996,MOD(ROW()-2,COUNTA(helper!$D$3:$D3996))+1))</f>
        <v/>
      </c>
      <c r="E2787" s="3" t="str">
        <f t="array" ref="E2787">IF(B2787="","",INDEX(helper!$F$3:$F3996,MOD(ROW()-2,COUNTA(helper!$D$3:$D3996))+1))</f>
        <v/>
      </c>
      <c r="F2787" s="3" t="str">
        <f>IF(B2787="","",SUMIFS('inventory ledger'!$H:$H,'inventory ledger'!$C:$C,C2787,'inventory ledger'!$D:$D,D2787,'inventory ledger'!$E:$E,E2787,'inventory ledger'!$A:$A,"&lt;="&amp;B2787+TIME(23,59,59))-SUMIFS('inventory ledger'!$I:$I,'inventory ledger'!$C:$C,C2787,'inventory ledger'!$D:$D,D2787,'inventory ledger'!$E:$E,E2787,'inventory ledger'!$A:$A,"&lt;="&amp;B2787+TIME(23,59,59)))</f>
        <v/>
      </c>
      <c r="G2787" s="3">
        <f>IFERROR(__xludf.DUMMYFUNCTION("IF(F2787&lt;=0,0,IFERROR(ROUNDUP(F2787/INDEX(FILTER('warehouse config'!$D:$D,('warehouse config'!$B:$B=C2787)*('warehouse config'!$C:$C=D2787)*('warehouse config'!$G:$G&lt;=B2787)*(('warehouse config'!$H:$H&gt;=B2787)+ISBLANK('warehouse config'!$H:$H))),1)),0))"),0.0)</f>
        <v>0</v>
      </c>
      <c r="H2787" s="3">
        <f>IFERROR(__xludf.DUMMYFUNCTION("IFERROR(INDEX(FILTER('cost master'!$E:$E,('cost master'!$B:$B=C2787)*('cost master'!$D:$D=""Storage cost per pallet / week"")*('cost master'!$G:$G&lt;=B2787)*(('cost master'!$H:$H&gt;=B2787)+ISBLANK('cost master'!$H:$H))),1),0)"),0.0)</f>
        <v>0</v>
      </c>
      <c r="I2787" s="3">
        <f t="shared" si="4"/>
        <v>0</v>
      </c>
      <c r="J2787" s="27">
        <f t="shared" si="5"/>
        <v>693947</v>
      </c>
      <c r="K2787" s="27">
        <f t="shared" si="6"/>
        <v>693977</v>
      </c>
    </row>
    <row r="2788" hidden="1">
      <c r="A2788" s="3" t="str">
        <f t="shared" si="3"/>
        <v/>
      </c>
      <c r="B2788" s="2" t="str">
        <f t="array" ref="B2788">INDEX(helper!$A$3:$A3996,ROUNDUP((ROW()-1)/COUNTA(helper!$D$3:$D3996),0))</f>
        <v/>
      </c>
      <c r="C2788" s="5" t="str">
        <f t="array" ref="C2788">IF(B2788="","",INDEX(helper!$D$3:$D3996,MOD(ROW()-2,COUNTA(helper!$D$3:$D3996))+1))</f>
        <v/>
      </c>
      <c r="D2788" s="3" t="str">
        <f t="array" ref="D2788">IF(B2788="","",INDEX(helper!$E$3:$E3996,MOD(ROW()-2,COUNTA(helper!$D$3:$D3996))+1))</f>
        <v/>
      </c>
      <c r="E2788" s="3" t="str">
        <f t="array" ref="E2788">IF(B2788="","",INDEX(helper!$F$3:$F3996,MOD(ROW()-2,COUNTA(helper!$D$3:$D3996))+1))</f>
        <v/>
      </c>
      <c r="F2788" s="3" t="str">
        <f>IF(B2788="","",SUMIFS('inventory ledger'!$H:$H,'inventory ledger'!$C:$C,C2788,'inventory ledger'!$D:$D,D2788,'inventory ledger'!$E:$E,E2788,'inventory ledger'!$A:$A,"&lt;="&amp;B2788+TIME(23,59,59))-SUMIFS('inventory ledger'!$I:$I,'inventory ledger'!$C:$C,C2788,'inventory ledger'!$D:$D,D2788,'inventory ledger'!$E:$E,E2788,'inventory ledger'!$A:$A,"&lt;="&amp;B2788+TIME(23,59,59)))</f>
        <v/>
      </c>
      <c r="G2788" s="3">
        <f>IFERROR(__xludf.DUMMYFUNCTION("IF(F2788&lt;=0,0,IFERROR(ROUNDUP(F2788/INDEX(FILTER('warehouse config'!$D:$D,('warehouse config'!$B:$B=C2788)*('warehouse config'!$C:$C=D2788)*('warehouse config'!$G:$G&lt;=B2788)*(('warehouse config'!$H:$H&gt;=B2788)+ISBLANK('warehouse config'!$H:$H))),1)),0))"),0.0)</f>
        <v>0</v>
      </c>
      <c r="H2788" s="3">
        <f>IFERROR(__xludf.DUMMYFUNCTION("IFERROR(INDEX(FILTER('cost master'!$E:$E,('cost master'!$B:$B=C2788)*('cost master'!$D:$D=""Storage cost per pallet / week"")*('cost master'!$G:$G&lt;=B2788)*(('cost master'!$H:$H&gt;=B2788)+ISBLANK('cost master'!$H:$H))),1),0)"),0.0)</f>
        <v>0</v>
      </c>
      <c r="I2788" s="3">
        <f t="shared" si="4"/>
        <v>0</v>
      </c>
      <c r="J2788" s="27">
        <f t="shared" si="5"/>
        <v>693947</v>
      </c>
      <c r="K2788" s="27">
        <f t="shared" si="6"/>
        <v>693977</v>
      </c>
    </row>
    <row r="2789" hidden="1">
      <c r="A2789" s="3" t="str">
        <f t="shared" si="3"/>
        <v/>
      </c>
      <c r="B2789" s="2" t="str">
        <f t="array" ref="B2789">INDEX(helper!$A$3:$A3996,ROUNDUP((ROW()-1)/COUNTA(helper!$D$3:$D3996),0))</f>
        <v/>
      </c>
      <c r="C2789" s="5" t="str">
        <f t="array" ref="C2789">IF(B2789="","",INDEX(helper!$D$3:$D3996,MOD(ROW()-2,COUNTA(helper!$D$3:$D3996))+1))</f>
        <v/>
      </c>
      <c r="D2789" s="3" t="str">
        <f t="array" ref="D2789">IF(B2789="","",INDEX(helper!$E$3:$E3996,MOD(ROW()-2,COUNTA(helper!$D$3:$D3996))+1))</f>
        <v/>
      </c>
      <c r="E2789" s="3" t="str">
        <f t="array" ref="E2789">IF(B2789="","",INDEX(helper!$F$3:$F3996,MOD(ROW()-2,COUNTA(helper!$D$3:$D3996))+1))</f>
        <v/>
      </c>
      <c r="F2789" s="3" t="str">
        <f>IF(B2789="","",SUMIFS('inventory ledger'!$H:$H,'inventory ledger'!$C:$C,C2789,'inventory ledger'!$D:$D,D2789,'inventory ledger'!$E:$E,E2789,'inventory ledger'!$A:$A,"&lt;="&amp;B2789+TIME(23,59,59))-SUMIFS('inventory ledger'!$I:$I,'inventory ledger'!$C:$C,C2789,'inventory ledger'!$D:$D,D2789,'inventory ledger'!$E:$E,E2789,'inventory ledger'!$A:$A,"&lt;="&amp;B2789+TIME(23,59,59)))</f>
        <v/>
      </c>
      <c r="G2789" s="3">
        <f>IFERROR(__xludf.DUMMYFUNCTION("IF(F2789&lt;=0,0,IFERROR(ROUNDUP(F2789/INDEX(FILTER('warehouse config'!$D:$D,('warehouse config'!$B:$B=C2789)*('warehouse config'!$C:$C=D2789)*('warehouse config'!$G:$G&lt;=B2789)*(('warehouse config'!$H:$H&gt;=B2789)+ISBLANK('warehouse config'!$H:$H))),1)),0))"),0.0)</f>
        <v>0</v>
      </c>
      <c r="H2789" s="3">
        <f>IFERROR(__xludf.DUMMYFUNCTION("IFERROR(INDEX(FILTER('cost master'!$E:$E,('cost master'!$B:$B=C2789)*('cost master'!$D:$D=""Storage cost per pallet / week"")*('cost master'!$G:$G&lt;=B2789)*(('cost master'!$H:$H&gt;=B2789)+ISBLANK('cost master'!$H:$H))),1),0)"),0.0)</f>
        <v>0</v>
      </c>
      <c r="I2789" s="3">
        <f t="shared" si="4"/>
        <v>0</v>
      </c>
      <c r="J2789" s="27">
        <f t="shared" si="5"/>
        <v>693947</v>
      </c>
      <c r="K2789" s="27">
        <f t="shared" si="6"/>
        <v>693977</v>
      </c>
    </row>
    <row r="2790" hidden="1">
      <c r="A2790" s="3" t="str">
        <f t="shared" si="3"/>
        <v/>
      </c>
      <c r="B2790" s="2" t="str">
        <f t="array" ref="B2790">INDEX(helper!$A$3:$A3996,ROUNDUP((ROW()-1)/COUNTA(helper!$D$3:$D3996),0))</f>
        <v/>
      </c>
      <c r="C2790" s="5" t="str">
        <f t="array" ref="C2790">IF(B2790="","",INDEX(helper!$D$3:$D3996,MOD(ROW()-2,COUNTA(helper!$D$3:$D3996))+1))</f>
        <v/>
      </c>
      <c r="D2790" s="3" t="str">
        <f t="array" ref="D2790">IF(B2790="","",INDEX(helper!$E$3:$E3996,MOD(ROW()-2,COUNTA(helper!$D$3:$D3996))+1))</f>
        <v/>
      </c>
      <c r="E2790" s="3" t="str">
        <f t="array" ref="E2790">IF(B2790="","",INDEX(helper!$F$3:$F3996,MOD(ROW()-2,COUNTA(helper!$D$3:$D3996))+1))</f>
        <v/>
      </c>
      <c r="F2790" s="3" t="str">
        <f>IF(B2790="","",SUMIFS('inventory ledger'!$H:$H,'inventory ledger'!$C:$C,C2790,'inventory ledger'!$D:$D,D2790,'inventory ledger'!$E:$E,E2790,'inventory ledger'!$A:$A,"&lt;="&amp;B2790+TIME(23,59,59))-SUMIFS('inventory ledger'!$I:$I,'inventory ledger'!$C:$C,C2790,'inventory ledger'!$D:$D,D2790,'inventory ledger'!$E:$E,E2790,'inventory ledger'!$A:$A,"&lt;="&amp;B2790+TIME(23,59,59)))</f>
        <v/>
      </c>
      <c r="G2790" s="3">
        <f>IFERROR(__xludf.DUMMYFUNCTION("IF(F2790&lt;=0,0,IFERROR(ROUNDUP(F2790/INDEX(FILTER('warehouse config'!$D:$D,('warehouse config'!$B:$B=C2790)*('warehouse config'!$C:$C=D2790)*('warehouse config'!$G:$G&lt;=B2790)*(('warehouse config'!$H:$H&gt;=B2790)+ISBLANK('warehouse config'!$H:$H))),1)),0))"),0.0)</f>
        <v>0</v>
      </c>
      <c r="H2790" s="3">
        <f>IFERROR(__xludf.DUMMYFUNCTION("IFERROR(INDEX(FILTER('cost master'!$E:$E,('cost master'!$B:$B=C2790)*('cost master'!$D:$D=""Storage cost per pallet / week"")*('cost master'!$G:$G&lt;=B2790)*(('cost master'!$H:$H&gt;=B2790)+ISBLANK('cost master'!$H:$H))),1),0)"),0.0)</f>
        <v>0</v>
      </c>
      <c r="I2790" s="3">
        <f t="shared" si="4"/>
        <v>0</v>
      </c>
      <c r="J2790" s="27">
        <f t="shared" si="5"/>
        <v>693947</v>
      </c>
      <c r="K2790" s="27">
        <f t="shared" si="6"/>
        <v>693977</v>
      </c>
    </row>
    <row r="2791" hidden="1">
      <c r="A2791" s="3" t="str">
        <f t="shared" si="3"/>
        <v/>
      </c>
      <c r="B2791" s="2" t="str">
        <f t="array" ref="B2791">INDEX(helper!$A$3:$A3996,ROUNDUP((ROW()-1)/COUNTA(helper!$D$3:$D3996),0))</f>
        <v/>
      </c>
      <c r="C2791" s="5" t="str">
        <f t="array" ref="C2791">IF(B2791="","",INDEX(helper!$D$3:$D3996,MOD(ROW()-2,COUNTA(helper!$D$3:$D3996))+1))</f>
        <v/>
      </c>
      <c r="D2791" s="3" t="str">
        <f t="array" ref="D2791">IF(B2791="","",INDEX(helper!$E$3:$E3996,MOD(ROW()-2,COUNTA(helper!$D$3:$D3996))+1))</f>
        <v/>
      </c>
      <c r="E2791" s="3" t="str">
        <f t="array" ref="E2791">IF(B2791="","",INDEX(helper!$F$3:$F3996,MOD(ROW()-2,COUNTA(helper!$D$3:$D3996))+1))</f>
        <v/>
      </c>
      <c r="F2791" s="3" t="str">
        <f>IF(B2791="","",SUMIFS('inventory ledger'!$H:$H,'inventory ledger'!$C:$C,C2791,'inventory ledger'!$D:$D,D2791,'inventory ledger'!$E:$E,E2791,'inventory ledger'!$A:$A,"&lt;="&amp;B2791+TIME(23,59,59))-SUMIFS('inventory ledger'!$I:$I,'inventory ledger'!$C:$C,C2791,'inventory ledger'!$D:$D,D2791,'inventory ledger'!$E:$E,E2791,'inventory ledger'!$A:$A,"&lt;="&amp;B2791+TIME(23,59,59)))</f>
        <v/>
      </c>
      <c r="G2791" s="3">
        <f>IFERROR(__xludf.DUMMYFUNCTION("IF(F2791&lt;=0,0,IFERROR(ROUNDUP(F2791/INDEX(FILTER('warehouse config'!$D:$D,('warehouse config'!$B:$B=C2791)*('warehouse config'!$C:$C=D2791)*('warehouse config'!$G:$G&lt;=B2791)*(('warehouse config'!$H:$H&gt;=B2791)+ISBLANK('warehouse config'!$H:$H))),1)),0))"),0.0)</f>
        <v>0</v>
      </c>
      <c r="H2791" s="3">
        <f>IFERROR(__xludf.DUMMYFUNCTION("IFERROR(INDEX(FILTER('cost master'!$E:$E,('cost master'!$B:$B=C2791)*('cost master'!$D:$D=""Storage cost per pallet / week"")*('cost master'!$G:$G&lt;=B2791)*(('cost master'!$H:$H&gt;=B2791)+ISBLANK('cost master'!$H:$H))),1),0)"),0.0)</f>
        <v>0</v>
      </c>
      <c r="I2791" s="3">
        <f t="shared" si="4"/>
        <v>0</v>
      </c>
      <c r="J2791" s="27">
        <f t="shared" si="5"/>
        <v>693947</v>
      </c>
      <c r="K2791" s="27">
        <f t="shared" si="6"/>
        <v>693977</v>
      </c>
    </row>
    <row r="2792" hidden="1">
      <c r="A2792" s="3" t="str">
        <f t="shared" si="3"/>
        <v/>
      </c>
      <c r="B2792" s="2" t="str">
        <f t="array" ref="B2792">INDEX(helper!$A$3:$A3996,ROUNDUP((ROW()-1)/COUNTA(helper!$D$3:$D3996),0))</f>
        <v/>
      </c>
      <c r="C2792" s="5" t="str">
        <f t="array" ref="C2792">IF(B2792="","",INDEX(helper!$D$3:$D3996,MOD(ROW()-2,COUNTA(helper!$D$3:$D3996))+1))</f>
        <v/>
      </c>
      <c r="D2792" s="3" t="str">
        <f t="array" ref="D2792">IF(B2792="","",INDEX(helper!$E$3:$E3996,MOD(ROW()-2,COUNTA(helper!$D$3:$D3996))+1))</f>
        <v/>
      </c>
      <c r="E2792" s="3" t="str">
        <f t="array" ref="E2792">IF(B2792="","",INDEX(helper!$F$3:$F3996,MOD(ROW()-2,COUNTA(helper!$D$3:$D3996))+1))</f>
        <v/>
      </c>
      <c r="F2792" s="3" t="str">
        <f>IF(B2792="","",SUMIFS('inventory ledger'!$H:$H,'inventory ledger'!$C:$C,C2792,'inventory ledger'!$D:$D,D2792,'inventory ledger'!$E:$E,E2792,'inventory ledger'!$A:$A,"&lt;="&amp;B2792+TIME(23,59,59))-SUMIFS('inventory ledger'!$I:$I,'inventory ledger'!$C:$C,C2792,'inventory ledger'!$D:$D,D2792,'inventory ledger'!$E:$E,E2792,'inventory ledger'!$A:$A,"&lt;="&amp;B2792+TIME(23,59,59)))</f>
        <v/>
      </c>
      <c r="G2792" s="3">
        <f>IFERROR(__xludf.DUMMYFUNCTION("IF(F2792&lt;=0,0,IFERROR(ROUNDUP(F2792/INDEX(FILTER('warehouse config'!$D:$D,('warehouse config'!$B:$B=C2792)*('warehouse config'!$C:$C=D2792)*('warehouse config'!$G:$G&lt;=B2792)*(('warehouse config'!$H:$H&gt;=B2792)+ISBLANK('warehouse config'!$H:$H))),1)),0))"),0.0)</f>
        <v>0</v>
      </c>
      <c r="H2792" s="3">
        <f>IFERROR(__xludf.DUMMYFUNCTION("IFERROR(INDEX(FILTER('cost master'!$E:$E,('cost master'!$B:$B=C2792)*('cost master'!$D:$D=""Storage cost per pallet / week"")*('cost master'!$G:$G&lt;=B2792)*(('cost master'!$H:$H&gt;=B2792)+ISBLANK('cost master'!$H:$H))),1),0)"),0.0)</f>
        <v>0</v>
      </c>
      <c r="I2792" s="3">
        <f t="shared" si="4"/>
        <v>0</v>
      </c>
      <c r="J2792" s="27">
        <f t="shared" si="5"/>
        <v>693947</v>
      </c>
      <c r="K2792" s="27">
        <f t="shared" si="6"/>
        <v>693977</v>
      </c>
    </row>
    <row r="2793" hidden="1">
      <c r="A2793" s="3" t="str">
        <f t="shared" si="3"/>
        <v/>
      </c>
      <c r="B2793" s="2" t="str">
        <f t="array" ref="B2793">INDEX(helper!$A$3:$A3996,ROUNDUP((ROW()-1)/COUNTA(helper!$D$3:$D3996),0))</f>
        <v/>
      </c>
      <c r="C2793" s="5" t="str">
        <f t="array" ref="C2793">IF(B2793="","",INDEX(helper!$D$3:$D3996,MOD(ROW()-2,COUNTA(helper!$D$3:$D3996))+1))</f>
        <v/>
      </c>
      <c r="D2793" s="3" t="str">
        <f t="array" ref="D2793">IF(B2793="","",INDEX(helper!$E$3:$E3996,MOD(ROW()-2,COUNTA(helper!$D$3:$D3996))+1))</f>
        <v/>
      </c>
      <c r="E2793" s="3" t="str">
        <f t="array" ref="E2793">IF(B2793="","",INDEX(helper!$F$3:$F3996,MOD(ROW()-2,COUNTA(helper!$D$3:$D3996))+1))</f>
        <v/>
      </c>
      <c r="F2793" s="3" t="str">
        <f>IF(B2793="","",SUMIFS('inventory ledger'!$H:$H,'inventory ledger'!$C:$C,C2793,'inventory ledger'!$D:$D,D2793,'inventory ledger'!$E:$E,E2793,'inventory ledger'!$A:$A,"&lt;="&amp;B2793+TIME(23,59,59))-SUMIFS('inventory ledger'!$I:$I,'inventory ledger'!$C:$C,C2793,'inventory ledger'!$D:$D,D2793,'inventory ledger'!$E:$E,E2793,'inventory ledger'!$A:$A,"&lt;="&amp;B2793+TIME(23,59,59)))</f>
        <v/>
      </c>
      <c r="G2793" s="3">
        <f>IFERROR(__xludf.DUMMYFUNCTION("IF(F2793&lt;=0,0,IFERROR(ROUNDUP(F2793/INDEX(FILTER('warehouse config'!$D:$D,('warehouse config'!$B:$B=C2793)*('warehouse config'!$C:$C=D2793)*('warehouse config'!$G:$G&lt;=B2793)*(('warehouse config'!$H:$H&gt;=B2793)+ISBLANK('warehouse config'!$H:$H))),1)),0))"),0.0)</f>
        <v>0</v>
      </c>
      <c r="H2793" s="3">
        <f>IFERROR(__xludf.DUMMYFUNCTION("IFERROR(INDEX(FILTER('cost master'!$E:$E,('cost master'!$B:$B=C2793)*('cost master'!$D:$D=""Storage cost per pallet / week"")*('cost master'!$G:$G&lt;=B2793)*(('cost master'!$H:$H&gt;=B2793)+ISBLANK('cost master'!$H:$H))),1),0)"),0.0)</f>
        <v>0</v>
      </c>
      <c r="I2793" s="3">
        <f t="shared" si="4"/>
        <v>0</v>
      </c>
      <c r="J2793" s="27">
        <f t="shared" si="5"/>
        <v>693947</v>
      </c>
      <c r="K2793" s="27">
        <f t="shared" si="6"/>
        <v>693977</v>
      </c>
    </row>
    <row r="2794" hidden="1">
      <c r="A2794" s="3" t="str">
        <f t="shared" si="3"/>
        <v/>
      </c>
      <c r="B2794" s="2" t="str">
        <f t="array" ref="B2794">INDEX(helper!$A$3:$A3996,ROUNDUP((ROW()-1)/COUNTA(helper!$D$3:$D3996),0))</f>
        <v/>
      </c>
      <c r="C2794" s="5" t="str">
        <f t="array" ref="C2794">IF(B2794="","",INDEX(helper!$D$3:$D3996,MOD(ROW()-2,COUNTA(helper!$D$3:$D3996))+1))</f>
        <v/>
      </c>
      <c r="D2794" s="3" t="str">
        <f t="array" ref="D2794">IF(B2794="","",INDEX(helper!$E$3:$E3996,MOD(ROW()-2,COUNTA(helper!$D$3:$D3996))+1))</f>
        <v/>
      </c>
      <c r="E2794" s="3" t="str">
        <f t="array" ref="E2794">IF(B2794="","",INDEX(helper!$F$3:$F3996,MOD(ROW()-2,COUNTA(helper!$D$3:$D3996))+1))</f>
        <v/>
      </c>
      <c r="F2794" s="3" t="str">
        <f>IF(B2794="","",SUMIFS('inventory ledger'!$H:$H,'inventory ledger'!$C:$C,C2794,'inventory ledger'!$D:$D,D2794,'inventory ledger'!$E:$E,E2794,'inventory ledger'!$A:$A,"&lt;="&amp;B2794+TIME(23,59,59))-SUMIFS('inventory ledger'!$I:$I,'inventory ledger'!$C:$C,C2794,'inventory ledger'!$D:$D,D2794,'inventory ledger'!$E:$E,E2794,'inventory ledger'!$A:$A,"&lt;="&amp;B2794+TIME(23,59,59)))</f>
        <v/>
      </c>
      <c r="G2794" s="3">
        <f>IFERROR(__xludf.DUMMYFUNCTION("IF(F2794&lt;=0,0,IFERROR(ROUNDUP(F2794/INDEX(FILTER('warehouse config'!$D:$D,('warehouse config'!$B:$B=C2794)*('warehouse config'!$C:$C=D2794)*('warehouse config'!$G:$G&lt;=B2794)*(('warehouse config'!$H:$H&gt;=B2794)+ISBLANK('warehouse config'!$H:$H))),1)),0))"),0.0)</f>
        <v>0</v>
      </c>
      <c r="H2794" s="3">
        <f>IFERROR(__xludf.DUMMYFUNCTION("IFERROR(INDEX(FILTER('cost master'!$E:$E,('cost master'!$B:$B=C2794)*('cost master'!$D:$D=""Storage cost per pallet / week"")*('cost master'!$G:$G&lt;=B2794)*(('cost master'!$H:$H&gt;=B2794)+ISBLANK('cost master'!$H:$H))),1),0)"),0.0)</f>
        <v>0</v>
      </c>
      <c r="I2794" s="3">
        <f t="shared" si="4"/>
        <v>0</v>
      </c>
      <c r="J2794" s="27">
        <f t="shared" si="5"/>
        <v>693947</v>
      </c>
      <c r="K2794" s="27">
        <f t="shared" si="6"/>
        <v>693977</v>
      </c>
    </row>
    <row r="2795" hidden="1">
      <c r="A2795" s="3" t="str">
        <f t="shared" si="3"/>
        <v/>
      </c>
      <c r="B2795" s="2" t="str">
        <f t="array" ref="B2795">INDEX(helper!$A$3:$A3996,ROUNDUP((ROW()-1)/COUNTA(helper!$D$3:$D3996),0))</f>
        <v/>
      </c>
      <c r="C2795" s="5" t="str">
        <f t="array" ref="C2795">IF(B2795="","",INDEX(helper!$D$3:$D3996,MOD(ROW()-2,COUNTA(helper!$D$3:$D3996))+1))</f>
        <v/>
      </c>
      <c r="D2795" s="3" t="str">
        <f t="array" ref="D2795">IF(B2795="","",INDEX(helper!$E$3:$E3996,MOD(ROW()-2,COUNTA(helper!$D$3:$D3996))+1))</f>
        <v/>
      </c>
      <c r="E2795" s="3" t="str">
        <f t="array" ref="E2795">IF(B2795="","",INDEX(helper!$F$3:$F3996,MOD(ROW()-2,COUNTA(helper!$D$3:$D3996))+1))</f>
        <v/>
      </c>
      <c r="F2795" s="3" t="str">
        <f>IF(B2795="","",SUMIFS('inventory ledger'!$H:$H,'inventory ledger'!$C:$C,C2795,'inventory ledger'!$D:$D,D2795,'inventory ledger'!$E:$E,E2795,'inventory ledger'!$A:$A,"&lt;="&amp;B2795+TIME(23,59,59))-SUMIFS('inventory ledger'!$I:$I,'inventory ledger'!$C:$C,C2795,'inventory ledger'!$D:$D,D2795,'inventory ledger'!$E:$E,E2795,'inventory ledger'!$A:$A,"&lt;="&amp;B2795+TIME(23,59,59)))</f>
        <v/>
      </c>
      <c r="G2795" s="3">
        <f>IFERROR(__xludf.DUMMYFUNCTION("IF(F2795&lt;=0,0,IFERROR(ROUNDUP(F2795/INDEX(FILTER('warehouse config'!$D:$D,('warehouse config'!$B:$B=C2795)*('warehouse config'!$C:$C=D2795)*('warehouse config'!$G:$G&lt;=B2795)*(('warehouse config'!$H:$H&gt;=B2795)+ISBLANK('warehouse config'!$H:$H))),1)),0))"),0.0)</f>
        <v>0</v>
      </c>
      <c r="H2795" s="3">
        <f>IFERROR(__xludf.DUMMYFUNCTION("IFERROR(INDEX(FILTER('cost master'!$E:$E,('cost master'!$B:$B=C2795)*('cost master'!$D:$D=""Storage cost per pallet / week"")*('cost master'!$G:$G&lt;=B2795)*(('cost master'!$H:$H&gt;=B2795)+ISBLANK('cost master'!$H:$H))),1),0)"),0.0)</f>
        <v>0</v>
      </c>
      <c r="I2795" s="3">
        <f t="shared" si="4"/>
        <v>0</v>
      </c>
      <c r="J2795" s="27">
        <f t="shared" si="5"/>
        <v>693947</v>
      </c>
      <c r="K2795" s="27">
        <f t="shared" si="6"/>
        <v>693977</v>
      </c>
    </row>
    <row r="2796" hidden="1">
      <c r="A2796" s="3" t="str">
        <f t="shared" si="3"/>
        <v/>
      </c>
      <c r="B2796" s="2" t="str">
        <f t="array" ref="B2796">INDEX(helper!$A$3:$A3996,ROUNDUP((ROW()-1)/COUNTA(helper!$D$3:$D3996),0))</f>
        <v/>
      </c>
      <c r="C2796" s="5" t="str">
        <f t="array" ref="C2796">IF(B2796="","",INDEX(helper!$D$3:$D3996,MOD(ROW()-2,COUNTA(helper!$D$3:$D3996))+1))</f>
        <v/>
      </c>
      <c r="D2796" s="3" t="str">
        <f t="array" ref="D2796">IF(B2796="","",INDEX(helper!$E$3:$E3996,MOD(ROW()-2,COUNTA(helper!$D$3:$D3996))+1))</f>
        <v/>
      </c>
      <c r="E2796" s="3" t="str">
        <f t="array" ref="E2796">IF(B2796="","",INDEX(helper!$F$3:$F3996,MOD(ROW()-2,COUNTA(helper!$D$3:$D3996))+1))</f>
        <v/>
      </c>
      <c r="F2796" s="3" t="str">
        <f>IF(B2796="","",SUMIFS('inventory ledger'!$H:$H,'inventory ledger'!$C:$C,C2796,'inventory ledger'!$D:$D,D2796,'inventory ledger'!$E:$E,E2796,'inventory ledger'!$A:$A,"&lt;="&amp;B2796+TIME(23,59,59))-SUMIFS('inventory ledger'!$I:$I,'inventory ledger'!$C:$C,C2796,'inventory ledger'!$D:$D,D2796,'inventory ledger'!$E:$E,E2796,'inventory ledger'!$A:$A,"&lt;="&amp;B2796+TIME(23,59,59)))</f>
        <v/>
      </c>
      <c r="G2796" s="3">
        <f>IFERROR(__xludf.DUMMYFUNCTION("IF(F2796&lt;=0,0,IFERROR(ROUNDUP(F2796/INDEX(FILTER('warehouse config'!$D:$D,('warehouse config'!$B:$B=C2796)*('warehouse config'!$C:$C=D2796)*('warehouse config'!$G:$G&lt;=B2796)*(('warehouse config'!$H:$H&gt;=B2796)+ISBLANK('warehouse config'!$H:$H))),1)),0))"),0.0)</f>
        <v>0</v>
      </c>
      <c r="H2796" s="3">
        <f>IFERROR(__xludf.DUMMYFUNCTION("IFERROR(INDEX(FILTER('cost master'!$E:$E,('cost master'!$B:$B=C2796)*('cost master'!$D:$D=""Storage cost per pallet / week"")*('cost master'!$G:$G&lt;=B2796)*(('cost master'!$H:$H&gt;=B2796)+ISBLANK('cost master'!$H:$H))),1),0)"),0.0)</f>
        <v>0</v>
      </c>
      <c r="I2796" s="3">
        <f t="shared" si="4"/>
        <v>0</v>
      </c>
      <c r="J2796" s="27">
        <f t="shared" si="5"/>
        <v>693947</v>
      </c>
      <c r="K2796" s="27">
        <f t="shared" si="6"/>
        <v>693977</v>
      </c>
    </row>
    <row r="2797" hidden="1">
      <c r="A2797" s="3" t="str">
        <f t="shared" si="3"/>
        <v/>
      </c>
      <c r="B2797" s="2" t="str">
        <f t="array" ref="B2797">INDEX(helper!$A$3:$A3996,ROUNDUP((ROW()-1)/COUNTA(helper!$D$3:$D3996),0))</f>
        <v/>
      </c>
      <c r="C2797" s="5" t="str">
        <f t="array" ref="C2797">IF(B2797="","",INDEX(helper!$D$3:$D3996,MOD(ROW()-2,COUNTA(helper!$D$3:$D3996))+1))</f>
        <v/>
      </c>
      <c r="D2797" s="3" t="str">
        <f t="array" ref="D2797">IF(B2797="","",INDEX(helper!$E$3:$E3996,MOD(ROW()-2,COUNTA(helper!$D$3:$D3996))+1))</f>
        <v/>
      </c>
      <c r="E2797" s="3" t="str">
        <f t="array" ref="E2797">IF(B2797="","",INDEX(helper!$F$3:$F3996,MOD(ROW()-2,COUNTA(helper!$D$3:$D3996))+1))</f>
        <v/>
      </c>
      <c r="F2797" s="3" t="str">
        <f>IF(B2797="","",SUMIFS('inventory ledger'!$H:$H,'inventory ledger'!$C:$C,C2797,'inventory ledger'!$D:$D,D2797,'inventory ledger'!$E:$E,E2797,'inventory ledger'!$A:$A,"&lt;="&amp;B2797+TIME(23,59,59))-SUMIFS('inventory ledger'!$I:$I,'inventory ledger'!$C:$C,C2797,'inventory ledger'!$D:$D,D2797,'inventory ledger'!$E:$E,E2797,'inventory ledger'!$A:$A,"&lt;="&amp;B2797+TIME(23,59,59)))</f>
        <v/>
      </c>
      <c r="G2797" s="3">
        <f>IFERROR(__xludf.DUMMYFUNCTION("IF(F2797&lt;=0,0,IFERROR(ROUNDUP(F2797/INDEX(FILTER('warehouse config'!$D:$D,('warehouse config'!$B:$B=C2797)*('warehouse config'!$C:$C=D2797)*('warehouse config'!$G:$G&lt;=B2797)*(('warehouse config'!$H:$H&gt;=B2797)+ISBLANK('warehouse config'!$H:$H))),1)),0))"),0.0)</f>
        <v>0</v>
      </c>
      <c r="H2797" s="3">
        <f>IFERROR(__xludf.DUMMYFUNCTION("IFERROR(INDEX(FILTER('cost master'!$E:$E,('cost master'!$B:$B=C2797)*('cost master'!$D:$D=""Storage cost per pallet / week"")*('cost master'!$G:$G&lt;=B2797)*(('cost master'!$H:$H&gt;=B2797)+ISBLANK('cost master'!$H:$H))),1),0)"),0.0)</f>
        <v>0</v>
      </c>
      <c r="I2797" s="3">
        <f t="shared" si="4"/>
        <v>0</v>
      </c>
      <c r="J2797" s="27">
        <f t="shared" si="5"/>
        <v>693947</v>
      </c>
      <c r="K2797" s="27">
        <f t="shared" si="6"/>
        <v>693977</v>
      </c>
    </row>
    <row r="2798" hidden="1">
      <c r="A2798" s="3" t="str">
        <f t="shared" si="3"/>
        <v/>
      </c>
      <c r="B2798" s="2" t="str">
        <f t="array" ref="B2798">INDEX(helper!$A$3:$A3996,ROUNDUP((ROW()-1)/COUNTA(helper!$D$3:$D3996),0))</f>
        <v/>
      </c>
      <c r="C2798" s="5" t="str">
        <f t="array" ref="C2798">IF(B2798="","",INDEX(helper!$D$3:$D3996,MOD(ROW()-2,COUNTA(helper!$D$3:$D3996))+1))</f>
        <v/>
      </c>
      <c r="D2798" s="3" t="str">
        <f t="array" ref="D2798">IF(B2798="","",INDEX(helper!$E$3:$E3996,MOD(ROW()-2,COUNTA(helper!$D$3:$D3996))+1))</f>
        <v/>
      </c>
      <c r="E2798" s="3" t="str">
        <f t="array" ref="E2798">IF(B2798="","",INDEX(helper!$F$3:$F3996,MOD(ROW()-2,COUNTA(helper!$D$3:$D3996))+1))</f>
        <v/>
      </c>
      <c r="F2798" s="3" t="str">
        <f>IF(B2798="","",SUMIFS('inventory ledger'!$H:$H,'inventory ledger'!$C:$C,C2798,'inventory ledger'!$D:$D,D2798,'inventory ledger'!$E:$E,E2798,'inventory ledger'!$A:$A,"&lt;="&amp;B2798+TIME(23,59,59))-SUMIFS('inventory ledger'!$I:$I,'inventory ledger'!$C:$C,C2798,'inventory ledger'!$D:$D,D2798,'inventory ledger'!$E:$E,E2798,'inventory ledger'!$A:$A,"&lt;="&amp;B2798+TIME(23,59,59)))</f>
        <v/>
      </c>
      <c r="G2798" s="3">
        <f>IFERROR(__xludf.DUMMYFUNCTION("IF(F2798&lt;=0,0,IFERROR(ROUNDUP(F2798/INDEX(FILTER('warehouse config'!$D:$D,('warehouse config'!$B:$B=C2798)*('warehouse config'!$C:$C=D2798)*('warehouse config'!$G:$G&lt;=B2798)*(('warehouse config'!$H:$H&gt;=B2798)+ISBLANK('warehouse config'!$H:$H))),1)),0))"),0.0)</f>
        <v>0</v>
      </c>
      <c r="H2798" s="3">
        <f>IFERROR(__xludf.DUMMYFUNCTION("IFERROR(INDEX(FILTER('cost master'!$E:$E,('cost master'!$B:$B=C2798)*('cost master'!$D:$D=""Storage cost per pallet / week"")*('cost master'!$G:$G&lt;=B2798)*(('cost master'!$H:$H&gt;=B2798)+ISBLANK('cost master'!$H:$H))),1),0)"),0.0)</f>
        <v>0</v>
      </c>
      <c r="I2798" s="3">
        <f t="shared" si="4"/>
        <v>0</v>
      </c>
      <c r="J2798" s="27">
        <f t="shared" si="5"/>
        <v>693947</v>
      </c>
      <c r="K2798" s="27">
        <f t="shared" si="6"/>
        <v>693977</v>
      </c>
    </row>
    <row r="2799" hidden="1">
      <c r="A2799" s="3" t="str">
        <f t="shared" si="3"/>
        <v/>
      </c>
      <c r="B2799" s="2" t="str">
        <f t="array" ref="B2799">INDEX(helper!$A$3:$A3996,ROUNDUP((ROW()-1)/COUNTA(helper!$D$3:$D3996),0))</f>
        <v/>
      </c>
      <c r="C2799" s="5" t="str">
        <f t="array" ref="C2799">IF(B2799="","",INDEX(helper!$D$3:$D3996,MOD(ROW()-2,COUNTA(helper!$D$3:$D3996))+1))</f>
        <v/>
      </c>
      <c r="D2799" s="3" t="str">
        <f t="array" ref="D2799">IF(B2799="","",INDEX(helper!$E$3:$E3996,MOD(ROW()-2,COUNTA(helper!$D$3:$D3996))+1))</f>
        <v/>
      </c>
      <c r="E2799" s="3" t="str">
        <f t="array" ref="E2799">IF(B2799="","",INDEX(helper!$F$3:$F3996,MOD(ROW()-2,COUNTA(helper!$D$3:$D3996))+1))</f>
        <v/>
      </c>
      <c r="F2799" s="3" t="str">
        <f>IF(B2799="","",SUMIFS('inventory ledger'!$H:$H,'inventory ledger'!$C:$C,C2799,'inventory ledger'!$D:$D,D2799,'inventory ledger'!$E:$E,E2799,'inventory ledger'!$A:$A,"&lt;="&amp;B2799+TIME(23,59,59))-SUMIFS('inventory ledger'!$I:$I,'inventory ledger'!$C:$C,C2799,'inventory ledger'!$D:$D,D2799,'inventory ledger'!$E:$E,E2799,'inventory ledger'!$A:$A,"&lt;="&amp;B2799+TIME(23,59,59)))</f>
        <v/>
      </c>
      <c r="G2799" s="3">
        <f>IFERROR(__xludf.DUMMYFUNCTION("IF(F2799&lt;=0,0,IFERROR(ROUNDUP(F2799/INDEX(FILTER('warehouse config'!$D:$D,('warehouse config'!$B:$B=C2799)*('warehouse config'!$C:$C=D2799)*('warehouse config'!$G:$G&lt;=B2799)*(('warehouse config'!$H:$H&gt;=B2799)+ISBLANK('warehouse config'!$H:$H))),1)),0))"),0.0)</f>
        <v>0</v>
      </c>
      <c r="H2799" s="3">
        <f>IFERROR(__xludf.DUMMYFUNCTION("IFERROR(INDEX(FILTER('cost master'!$E:$E,('cost master'!$B:$B=C2799)*('cost master'!$D:$D=""Storage cost per pallet / week"")*('cost master'!$G:$G&lt;=B2799)*(('cost master'!$H:$H&gt;=B2799)+ISBLANK('cost master'!$H:$H))),1),0)"),0.0)</f>
        <v>0</v>
      </c>
      <c r="I2799" s="3">
        <f t="shared" si="4"/>
        <v>0</v>
      </c>
      <c r="J2799" s="27">
        <f t="shared" si="5"/>
        <v>693947</v>
      </c>
      <c r="K2799" s="27">
        <f t="shared" si="6"/>
        <v>693977</v>
      </c>
    </row>
    <row r="2800" hidden="1">
      <c r="A2800" s="3" t="str">
        <f t="shared" si="3"/>
        <v/>
      </c>
      <c r="B2800" s="2" t="str">
        <f t="array" ref="B2800">INDEX(helper!$A$3:$A3996,ROUNDUP((ROW()-1)/COUNTA(helper!$D$3:$D3996),0))</f>
        <v/>
      </c>
      <c r="C2800" s="5" t="str">
        <f t="array" ref="C2800">IF(B2800="","",INDEX(helper!$D$3:$D3996,MOD(ROW()-2,COUNTA(helper!$D$3:$D3996))+1))</f>
        <v/>
      </c>
      <c r="D2800" s="3" t="str">
        <f t="array" ref="D2800">IF(B2800="","",INDEX(helper!$E$3:$E3996,MOD(ROW()-2,COUNTA(helper!$D$3:$D3996))+1))</f>
        <v/>
      </c>
      <c r="E2800" s="3" t="str">
        <f t="array" ref="E2800">IF(B2800="","",INDEX(helper!$F$3:$F3996,MOD(ROW()-2,COUNTA(helper!$D$3:$D3996))+1))</f>
        <v/>
      </c>
      <c r="F2800" s="3" t="str">
        <f>IF(B2800="","",SUMIFS('inventory ledger'!$H:$H,'inventory ledger'!$C:$C,C2800,'inventory ledger'!$D:$D,D2800,'inventory ledger'!$E:$E,E2800,'inventory ledger'!$A:$A,"&lt;="&amp;B2800+TIME(23,59,59))-SUMIFS('inventory ledger'!$I:$I,'inventory ledger'!$C:$C,C2800,'inventory ledger'!$D:$D,D2800,'inventory ledger'!$E:$E,E2800,'inventory ledger'!$A:$A,"&lt;="&amp;B2800+TIME(23,59,59)))</f>
        <v/>
      </c>
      <c r="G2800" s="3">
        <f>IFERROR(__xludf.DUMMYFUNCTION("IF(F2800&lt;=0,0,IFERROR(ROUNDUP(F2800/INDEX(FILTER('warehouse config'!$D:$D,('warehouse config'!$B:$B=C2800)*('warehouse config'!$C:$C=D2800)*('warehouse config'!$G:$G&lt;=B2800)*(('warehouse config'!$H:$H&gt;=B2800)+ISBLANK('warehouse config'!$H:$H))),1)),0))"),0.0)</f>
        <v>0</v>
      </c>
      <c r="H2800" s="3">
        <f>IFERROR(__xludf.DUMMYFUNCTION("IFERROR(INDEX(FILTER('cost master'!$E:$E,('cost master'!$B:$B=C2800)*('cost master'!$D:$D=""Storage cost per pallet / week"")*('cost master'!$G:$G&lt;=B2800)*(('cost master'!$H:$H&gt;=B2800)+ISBLANK('cost master'!$H:$H))),1),0)"),0.0)</f>
        <v>0</v>
      </c>
      <c r="I2800" s="3">
        <f t="shared" si="4"/>
        <v>0</v>
      </c>
      <c r="J2800" s="27">
        <f t="shared" si="5"/>
        <v>693947</v>
      </c>
      <c r="K2800" s="27">
        <f t="shared" si="6"/>
        <v>693977</v>
      </c>
    </row>
    <row r="2801" hidden="1">
      <c r="A2801" s="3" t="str">
        <f t="shared" si="3"/>
        <v/>
      </c>
      <c r="B2801" s="2" t="str">
        <f t="array" ref="B2801">INDEX(helper!$A$3:$A3996,ROUNDUP((ROW()-1)/COUNTA(helper!$D$3:$D3996),0))</f>
        <v/>
      </c>
      <c r="C2801" s="5" t="str">
        <f t="array" ref="C2801">IF(B2801="","",INDEX(helper!$D$3:$D3996,MOD(ROW()-2,COUNTA(helper!$D$3:$D3996))+1))</f>
        <v/>
      </c>
      <c r="D2801" s="3" t="str">
        <f t="array" ref="D2801">IF(B2801="","",INDEX(helper!$E$3:$E3996,MOD(ROW()-2,COUNTA(helper!$D$3:$D3996))+1))</f>
        <v/>
      </c>
      <c r="E2801" s="3" t="str">
        <f t="array" ref="E2801">IF(B2801="","",INDEX(helper!$F$3:$F3996,MOD(ROW()-2,COUNTA(helper!$D$3:$D3996))+1))</f>
        <v/>
      </c>
      <c r="F2801" s="3" t="str">
        <f>IF(B2801="","",SUMIFS('inventory ledger'!$H:$H,'inventory ledger'!$C:$C,C2801,'inventory ledger'!$D:$D,D2801,'inventory ledger'!$E:$E,E2801,'inventory ledger'!$A:$A,"&lt;="&amp;B2801+TIME(23,59,59))-SUMIFS('inventory ledger'!$I:$I,'inventory ledger'!$C:$C,C2801,'inventory ledger'!$D:$D,D2801,'inventory ledger'!$E:$E,E2801,'inventory ledger'!$A:$A,"&lt;="&amp;B2801+TIME(23,59,59)))</f>
        <v/>
      </c>
      <c r="G2801" s="3">
        <f>IFERROR(__xludf.DUMMYFUNCTION("IF(F2801&lt;=0,0,IFERROR(ROUNDUP(F2801/INDEX(FILTER('warehouse config'!$D:$D,('warehouse config'!$B:$B=C2801)*('warehouse config'!$C:$C=D2801)*('warehouse config'!$G:$G&lt;=B2801)*(('warehouse config'!$H:$H&gt;=B2801)+ISBLANK('warehouse config'!$H:$H))),1)),0))"),0.0)</f>
        <v>0</v>
      </c>
      <c r="H2801" s="3">
        <f>IFERROR(__xludf.DUMMYFUNCTION("IFERROR(INDEX(FILTER('cost master'!$E:$E,('cost master'!$B:$B=C2801)*('cost master'!$D:$D=""Storage cost per pallet / week"")*('cost master'!$G:$G&lt;=B2801)*(('cost master'!$H:$H&gt;=B2801)+ISBLANK('cost master'!$H:$H))),1),0)"),0.0)</f>
        <v>0</v>
      </c>
      <c r="I2801" s="3">
        <f t="shared" si="4"/>
        <v>0</v>
      </c>
      <c r="J2801" s="27">
        <f t="shared" si="5"/>
        <v>693947</v>
      </c>
      <c r="K2801" s="27">
        <f t="shared" si="6"/>
        <v>693977</v>
      </c>
    </row>
    <row r="2802" hidden="1">
      <c r="A2802" s="3" t="str">
        <f t="shared" si="3"/>
        <v/>
      </c>
      <c r="B2802" s="2" t="str">
        <f t="array" ref="B2802">INDEX(helper!$A$3:$A3996,ROUNDUP((ROW()-1)/COUNTA(helper!$D$3:$D3996),0))</f>
        <v/>
      </c>
      <c r="C2802" s="5" t="str">
        <f t="array" ref="C2802">IF(B2802="","",INDEX(helper!$D$3:$D3996,MOD(ROW()-2,COUNTA(helper!$D$3:$D3996))+1))</f>
        <v/>
      </c>
      <c r="D2802" s="3" t="str">
        <f t="array" ref="D2802">IF(B2802="","",INDEX(helper!$E$3:$E3996,MOD(ROW()-2,COUNTA(helper!$D$3:$D3996))+1))</f>
        <v/>
      </c>
      <c r="E2802" s="3" t="str">
        <f t="array" ref="E2802">IF(B2802="","",INDEX(helper!$F$3:$F3996,MOD(ROW()-2,COUNTA(helper!$D$3:$D3996))+1))</f>
        <v/>
      </c>
      <c r="F2802" s="3" t="str">
        <f>IF(B2802="","",SUMIFS('inventory ledger'!$H:$H,'inventory ledger'!$C:$C,C2802,'inventory ledger'!$D:$D,D2802,'inventory ledger'!$E:$E,E2802,'inventory ledger'!$A:$A,"&lt;="&amp;B2802+TIME(23,59,59))-SUMIFS('inventory ledger'!$I:$I,'inventory ledger'!$C:$C,C2802,'inventory ledger'!$D:$D,D2802,'inventory ledger'!$E:$E,E2802,'inventory ledger'!$A:$A,"&lt;="&amp;B2802+TIME(23,59,59)))</f>
        <v/>
      </c>
      <c r="G2802" s="3">
        <f>IFERROR(__xludf.DUMMYFUNCTION("IF(F2802&lt;=0,0,IFERROR(ROUNDUP(F2802/INDEX(FILTER('warehouse config'!$D:$D,('warehouse config'!$B:$B=C2802)*('warehouse config'!$C:$C=D2802)*('warehouse config'!$G:$G&lt;=B2802)*(('warehouse config'!$H:$H&gt;=B2802)+ISBLANK('warehouse config'!$H:$H))),1)),0))"),0.0)</f>
        <v>0</v>
      </c>
      <c r="H2802" s="3">
        <f>IFERROR(__xludf.DUMMYFUNCTION("IFERROR(INDEX(FILTER('cost master'!$E:$E,('cost master'!$B:$B=C2802)*('cost master'!$D:$D=""Storage cost per pallet / week"")*('cost master'!$G:$G&lt;=B2802)*(('cost master'!$H:$H&gt;=B2802)+ISBLANK('cost master'!$H:$H))),1),0)"),0.0)</f>
        <v>0</v>
      </c>
      <c r="I2802" s="3">
        <f t="shared" si="4"/>
        <v>0</v>
      </c>
      <c r="J2802" s="27">
        <f t="shared" si="5"/>
        <v>693947</v>
      </c>
      <c r="K2802" s="27">
        <f t="shared" si="6"/>
        <v>693977</v>
      </c>
    </row>
    <row r="2803" hidden="1">
      <c r="A2803" s="3" t="str">
        <f t="shared" si="3"/>
        <v/>
      </c>
      <c r="B2803" s="2" t="str">
        <f t="array" ref="B2803">INDEX(helper!$A$3:$A3996,ROUNDUP((ROW()-1)/COUNTA(helper!$D$3:$D3996),0))</f>
        <v/>
      </c>
      <c r="C2803" s="5" t="str">
        <f t="array" ref="C2803">IF(B2803="","",INDEX(helper!$D$3:$D3996,MOD(ROW()-2,COUNTA(helper!$D$3:$D3996))+1))</f>
        <v/>
      </c>
      <c r="D2803" s="3" t="str">
        <f t="array" ref="D2803">IF(B2803="","",INDEX(helper!$E$3:$E3996,MOD(ROW()-2,COUNTA(helper!$D$3:$D3996))+1))</f>
        <v/>
      </c>
      <c r="E2803" s="3" t="str">
        <f t="array" ref="E2803">IF(B2803="","",INDEX(helper!$F$3:$F3996,MOD(ROW()-2,COUNTA(helper!$D$3:$D3996))+1))</f>
        <v/>
      </c>
      <c r="F2803" s="3" t="str">
        <f>IF(B2803="","",SUMIFS('inventory ledger'!$H:$H,'inventory ledger'!$C:$C,C2803,'inventory ledger'!$D:$D,D2803,'inventory ledger'!$E:$E,E2803,'inventory ledger'!$A:$A,"&lt;="&amp;B2803+TIME(23,59,59))-SUMIFS('inventory ledger'!$I:$I,'inventory ledger'!$C:$C,C2803,'inventory ledger'!$D:$D,D2803,'inventory ledger'!$E:$E,E2803,'inventory ledger'!$A:$A,"&lt;="&amp;B2803+TIME(23,59,59)))</f>
        <v/>
      </c>
      <c r="G2803" s="3">
        <f>IFERROR(__xludf.DUMMYFUNCTION("IF(F2803&lt;=0,0,IFERROR(ROUNDUP(F2803/INDEX(FILTER('warehouse config'!$D:$D,('warehouse config'!$B:$B=C2803)*('warehouse config'!$C:$C=D2803)*('warehouse config'!$G:$G&lt;=B2803)*(('warehouse config'!$H:$H&gt;=B2803)+ISBLANK('warehouse config'!$H:$H))),1)),0))"),0.0)</f>
        <v>0</v>
      </c>
      <c r="H2803" s="3">
        <f>IFERROR(__xludf.DUMMYFUNCTION("IFERROR(INDEX(FILTER('cost master'!$E:$E,('cost master'!$B:$B=C2803)*('cost master'!$D:$D=""Storage cost per pallet / week"")*('cost master'!$G:$G&lt;=B2803)*(('cost master'!$H:$H&gt;=B2803)+ISBLANK('cost master'!$H:$H))),1),0)"),0.0)</f>
        <v>0</v>
      </c>
      <c r="I2803" s="3">
        <f t="shared" si="4"/>
        <v>0</v>
      </c>
      <c r="J2803" s="27">
        <f t="shared" si="5"/>
        <v>693947</v>
      </c>
      <c r="K2803" s="27">
        <f t="shared" si="6"/>
        <v>693977</v>
      </c>
    </row>
    <row r="2804" hidden="1">
      <c r="A2804" s="3" t="str">
        <f t="shared" si="3"/>
        <v/>
      </c>
      <c r="B2804" s="2" t="str">
        <f t="array" ref="B2804">INDEX(helper!$A$3:$A3996,ROUNDUP((ROW()-1)/COUNTA(helper!$D$3:$D3996),0))</f>
        <v/>
      </c>
      <c r="C2804" s="5" t="str">
        <f t="array" ref="C2804">IF(B2804="","",INDEX(helper!$D$3:$D3996,MOD(ROW()-2,COUNTA(helper!$D$3:$D3996))+1))</f>
        <v/>
      </c>
      <c r="D2804" s="3" t="str">
        <f t="array" ref="D2804">IF(B2804="","",INDEX(helper!$E$3:$E3996,MOD(ROW()-2,COUNTA(helper!$D$3:$D3996))+1))</f>
        <v/>
      </c>
      <c r="E2804" s="3" t="str">
        <f t="array" ref="E2804">IF(B2804="","",INDEX(helper!$F$3:$F3996,MOD(ROW()-2,COUNTA(helper!$D$3:$D3996))+1))</f>
        <v/>
      </c>
      <c r="F2804" s="3" t="str">
        <f>IF(B2804="","",SUMIFS('inventory ledger'!$H:$H,'inventory ledger'!$C:$C,C2804,'inventory ledger'!$D:$D,D2804,'inventory ledger'!$E:$E,E2804,'inventory ledger'!$A:$A,"&lt;="&amp;B2804+TIME(23,59,59))-SUMIFS('inventory ledger'!$I:$I,'inventory ledger'!$C:$C,C2804,'inventory ledger'!$D:$D,D2804,'inventory ledger'!$E:$E,E2804,'inventory ledger'!$A:$A,"&lt;="&amp;B2804+TIME(23,59,59)))</f>
        <v/>
      </c>
      <c r="G2804" s="3">
        <f>IFERROR(__xludf.DUMMYFUNCTION("IF(F2804&lt;=0,0,IFERROR(ROUNDUP(F2804/INDEX(FILTER('warehouse config'!$D:$D,('warehouse config'!$B:$B=C2804)*('warehouse config'!$C:$C=D2804)*('warehouse config'!$G:$G&lt;=B2804)*(('warehouse config'!$H:$H&gt;=B2804)+ISBLANK('warehouse config'!$H:$H))),1)),0))"),0.0)</f>
        <v>0</v>
      </c>
      <c r="H2804" s="3">
        <f>IFERROR(__xludf.DUMMYFUNCTION("IFERROR(INDEX(FILTER('cost master'!$E:$E,('cost master'!$B:$B=C2804)*('cost master'!$D:$D=""Storage cost per pallet / week"")*('cost master'!$G:$G&lt;=B2804)*(('cost master'!$H:$H&gt;=B2804)+ISBLANK('cost master'!$H:$H))),1),0)"),0.0)</f>
        <v>0</v>
      </c>
      <c r="I2804" s="3">
        <f t="shared" si="4"/>
        <v>0</v>
      </c>
      <c r="J2804" s="27">
        <f t="shared" si="5"/>
        <v>693947</v>
      </c>
      <c r="K2804" s="27">
        <f t="shared" si="6"/>
        <v>693977</v>
      </c>
    </row>
    <row r="2805" hidden="1">
      <c r="A2805" s="3" t="str">
        <f t="shared" si="3"/>
        <v/>
      </c>
      <c r="B2805" s="2" t="str">
        <f t="array" ref="B2805">INDEX(helper!$A$3:$A3996,ROUNDUP((ROW()-1)/COUNTA(helper!$D$3:$D3996),0))</f>
        <v/>
      </c>
      <c r="C2805" s="5" t="str">
        <f t="array" ref="C2805">IF(B2805="","",INDEX(helper!$D$3:$D3996,MOD(ROW()-2,COUNTA(helper!$D$3:$D3996))+1))</f>
        <v/>
      </c>
      <c r="D2805" s="3" t="str">
        <f t="array" ref="D2805">IF(B2805="","",INDEX(helper!$E$3:$E3996,MOD(ROW()-2,COUNTA(helper!$D$3:$D3996))+1))</f>
        <v/>
      </c>
      <c r="E2805" s="3" t="str">
        <f t="array" ref="E2805">IF(B2805="","",INDEX(helper!$F$3:$F3996,MOD(ROW()-2,COUNTA(helper!$D$3:$D3996))+1))</f>
        <v/>
      </c>
      <c r="F2805" s="3" t="str">
        <f>IF(B2805="","",SUMIFS('inventory ledger'!$H:$H,'inventory ledger'!$C:$C,C2805,'inventory ledger'!$D:$D,D2805,'inventory ledger'!$E:$E,E2805,'inventory ledger'!$A:$A,"&lt;="&amp;B2805+TIME(23,59,59))-SUMIFS('inventory ledger'!$I:$I,'inventory ledger'!$C:$C,C2805,'inventory ledger'!$D:$D,D2805,'inventory ledger'!$E:$E,E2805,'inventory ledger'!$A:$A,"&lt;="&amp;B2805+TIME(23,59,59)))</f>
        <v/>
      </c>
      <c r="G2805" s="3">
        <f>IFERROR(__xludf.DUMMYFUNCTION("IF(F2805&lt;=0,0,IFERROR(ROUNDUP(F2805/INDEX(FILTER('warehouse config'!$D:$D,('warehouse config'!$B:$B=C2805)*('warehouse config'!$C:$C=D2805)*('warehouse config'!$G:$G&lt;=B2805)*(('warehouse config'!$H:$H&gt;=B2805)+ISBLANK('warehouse config'!$H:$H))),1)),0))"),0.0)</f>
        <v>0</v>
      </c>
      <c r="H2805" s="3">
        <f>IFERROR(__xludf.DUMMYFUNCTION("IFERROR(INDEX(FILTER('cost master'!$E:$E,('cost master'!$B:$B=C2805)*('cost master'!$D:$D=""Storage cost per pallet / week"")*('cost master'!$G:$G&lt;=B2805)*(('cost master'!$H:$H&gt;=B2805)+ISBLANK('cost master'!$H:$H))),1),0)"),0.0)</f>
        <v>0</v>
      </c>
      <c r="I2805" s="3">
        <f t="shared" si="4"/>
        <v>0</v>
      </c>
      <c r="J2805" s="27">
        <f t="shared" si="5"/>
        <v>693947</v>
      </c>
      <c r="K2805" s="27">
        <f t="shared" si="6"/>
        <v>693977</v>
      </c>
    </row>
    <row r="2806" hidden="1">
      <c r="A2806" s="3" t="str">
        <f t="shared" si="3"/>
        <v/>
      </c>
      <c r="B2806" s="2" t="str">
        <f t="array" ref="B2806">INDEX(helper!$A$3:$A3996,ROUNDUP((ROW()-1)/COUNTA(helper!$D$3:$D3996),0))</f>
        <v/>
      </c>
      <c r="C2806" s="5" t="str">
        <f t="array" ref="C2806">IF(B2806="","",INDEX(helper!$D$3:$D3996,MOD(ROW()-2,COUNTA(helper!$D$3:$D3996))+1))</f>
        <v/>
      </c>
      <c r="D2806" s="3" t="str">
        <f t="array" ref="D2806">IF(B2806="","",INDEX(helper!$E$3:$E3996,MOD(ROW()-2,COUNTA(helper!$D$3:$D3996))+1))</f>
        <v/>
      </c>
      <c r="E2806" s="3" t="str">
        <f t="array" ref="E2806">IF(B2806="","",INDEX(helper!$F$3:$F3996,MOD(ROW()-2,COUNTA(helper!$D$3:$D3996))+1))</f>
        <v/>
      </c>
      <c r="F2806" s="3" t="str">
        <f>IF(B2806="","",SUMIFS('inventory ledger'!$H:$H,'inventory ledger'!$C:$C,C2806,'inventory ledger'!$D:$D,D2806,'inventory ledger'!$E:$E,E2806,'inventory ledger'!$A:$A,"&lt;="&amp;B2806+TIME(23,59,59))-SUMIFS('inventory ledger'!$I:$I,'inventory ledger'!$C:$C,C2806,'inventory ledger'!$D:$D,D2806,'inventory ledger'!$E:$E,E2806,'inventory ledger'!$A:$A,"&lt;="&amp;B2806+TIME(23,59,59)))</f>
        <v/>
      </c>
      <c r="G2806" s="3">
        <f>IFERROR(__xludf.DUMMYFUNCTION("IF(F2806&lt;=0,0,IFERROR(ROUNDUP(F2806/INDEX(FILTER('warehouse config'!$D:$D,('warehouse config'!$B:$B=C2806)*('warehouse config'!$C:$C=D2806)*('warehouse config'!$G:$G&lt;=B2806)*(('warehouse config'!$H:$H&gt;=B2806)+ISBLANK('warehouse config'!$H:$H))),1)),0))"),0.0)</f>
        <v>0</v>
      </c>
      <c r="H2806" s="3">
        <f>IFERROR(__xludf.DUMMYFUNCTION("IFERROR(INDEX(FILTER('cost master'!$E:$E,('cost master'!$B:$B=C2806)*('cost master'!$D:$D=""Storage cost per pallet / week"")*('cost master'!$G:$G&lt;=B2806)*(('cost master'!$H:$H&gt;=B2806)+ISBLANK('cost master'!$H:$H))),1),0)"),0.0)</f>
        <v>0</v>
      </c>
      <c r="I2806" s="3">
        <f t="shared" si="4"/>
        <v>0</v>
      </c>
      <c r="J2806" s="27">
        <f t="shared" si="5"/>
        <v>693947</v>
      </c>
      <c r="K2806" s="27">
        <f t="shared" si="6"/>
        <v>693977</v>
      </c>
    </row>
    <row r="2807" hidden="1">
      <c r="A2807" s="3" t="str">
        <f t="shared" si="3"/>
        <v/>
      </c>
      <c r="B2807" s="2" t="str">
        <f t="array" ref="B2807">INDEX(helper!$A$3:$A3996,ROUNDUP((ROW()-1)/COUNTA(helper!$D$3:$D3996),0))</f>
        <v/>
      </c>
      <c r="C2807" s="5" t="str">
        <f t="array" ref="C2807">IF(B2807="","",INDEX(helper!$D$3:$D3996,MOD(ROW()-2,COUNTA(helper!$D$3:$D3996))+1))</f>
        <v/>
      </c>
      <c r="D2807" s="3" t="str">
        <f t="array" ref="D2807">IF(B2807="","",INDEX(helper!$E$3:$E3996,MOD(ROW()-2,COUNTA(helper!$D$3:$D3996))+1))</f>
        <v/>
      </c>
      <c r="E2807" s="3" t="str">
        <f t="array" ref="E2807">IF(B2807="","",INDEX(helper!$F$3:$F3996,MOD(ROW()-2,COUNTA(helper!$D$3:$D3996))+1))</f>
        <v/>
      </c>
      <c r="F2807" s="3" t="str">
        <f>IF(B2807="","",SUMIFS('inventory ledger'!$H:$H,'inventory ledger'!$C:$C,C2807,'inventory ledger'!$D:$D,D2807,'inventory ledger'!$E:$E,E2807,'inventory ledger'!$A:$A,"&lt;="&amp;B2807+TIME(23,59,59))-SUMIFS('inventory ledger'!$I:$I,'inventory ledger'!$C:$C,C2807,'inventory ledger'!$D:$D,D2807,'inventory ledger'!$E:$E,E2807,'inventory ledger'!$A:$A,"&lt;="&amp;B2807+TIME(23,59,59)))</f>
        <v/>
      </c>
      <c r="G2807" s="3">
        <f>IFERROR(__xludf.DUMMYFUNCTION("IF(F2807&lt;=0,0,IFERROR(ROUNDUP(F2807/INDEX(FILTER('warehouse config'!$D:$D,('warehouse config'!$B:$B=C2807)*('warehouse config'!$C:$C=D2807)*('warehouse config'!$G:$G&lt;=B2807)*(('warehouse config'!$H:$H&gt;=B2807)+ISBLANK('warehouse config'!$H:$H))),1)),0))"),0.0)</f>
        <v>0</v>
      </c>
      <c r="H2807" s="3">
        <f>IFERROR(__xludf.DUMMYFUNCTION("IFERROR(INDEX(FILTER('cost master'!$E:$E,('cost master'!$B:$B=C2807)*('cost master'!$D:$D=""Storage cost per pallet / week"")*('cost master'!$G:$G&lt;=B2807)*(('cost master'!$H:$H&gt;=B2807)+ISBLANK('cost master'!$H:$H))),1),0)"),0.0)</f>
        <v>0</v>
      </c>
      <c r="I2807" s="3">
        <f t="shared" si="4"/>
        <v>0</v>
      </c>
      <c r="J2807" s="27">
        <f t="shared" si="5"/>
        <v>693947</v>
      </c>
      <c r="K2807" s="27">
        <f t="shared" si="6"/>
        <v>693977</v>
      </c>
    </row>
    <row r="2808" hidden="1">
      <c r="A2808" s="3" t="str">
        <f t="shared" si="3"/>
        <v/>
      </c>
      <c r="B2808" s="2" t="str">
        <f t="array" ref="B2808">INDEX(helper!$A$3:$A3996,ROUNDUP((ROW()-1)/COUNTA(helper!$D$3:$D3996),0))</f>
        <v/>
      </c>
      <c r="C2808" s="5" t="str">
        <f t="array" ref="C2808">IF(B2808="","",INDEX(helper!$D$3:$D3996,MOD(ROW()-2,COUNTA(helper!$D$3:$D3996))+1))</f>
        <v/>
      </c>
      <c r="D2808" s="3" t="str">
        <f t="array" ref="D2808">IF(B2808="","",INDEX(helper!$E$3:$E3996,MOD(ROW()-2,COUNTA(helper!$D$3:$D3996))+1))</f>
        <v/>
      </c>
      <c r="E2808" s="3" t="str">
        <f t="array" ref="E2808">IF(B2808="","",INDEX(helper!$F$3:$F3996,MOD(ROW()-2,COUNTA(helper!$D$3:$D3996))+1))</f>
        <v/>
      </c>
      <c r="F2808" s="3" t="str">
        <f>IF(B2808="","",SUMIFS('inventory ledger'!$H:$H,'inventory ledger'!$C:$C,C2808,'inventory ledger'!$D:$D,D2808,'inventory ledger'!$E:$E,E2808,'inventory ledger'!$A:$A,"&lt;="&amp;B2808+TIME(23,59,59))-SUMIFS('inventory ledger'!$I:$I,'inventory ledger'!$C:$C,C2808,'inventory ledger'!$D:$D,D2808,'inventory ledger'!$E:$E,E2808,'inventory ledger'!$A:$A,"&lt;="&amp;B2808+TIME(23,59,59)))</f>
        <v/>
      </c>
      <c r="G2808" s="3">
        <f>IFERROR(__xludf.DUMMYFUNCTION("IF(F2808&lt;=0,0,IFERROR(ROUNDUP(F2808/INDEX(FILTER('warehouse config'!$D:$D,('warehouse config'!$B:$B=C2808)*('warehouse config'!$C:$C=D2808)*('warehouse config'!$G:$G&lt;=B2808)*(('warehouse config'!$H:$H&gt;=B2808)+ISBLANK('warehouse config'!$H:$H))),1)),0))"),0.0)</f>
        <v>0</v>
      </c>
      <c r="H2808" s="3">
        <f>IFERROR(__xludf.DUMMYFUNCTION("IFERROR(INDEX(FILTER('cost master'!$E:$E,('cost master'!$B:$B=C2808)*('cost master'!$D:$D=""Storage cost per pallet / week"")*('cost master'!$G:$G&lt;=B2808)*(('cost master'!$H:$H&gt;=B2808)+ISBLANK('cost master'!$H:$H))),1),0)"),0.0)</f>
        <v>0</v>
      </c>
      <c r="I2808" s="3">
        <f t="shared" si="4"/>
        <v>0</v>
      </c>
      <c r="J2808" s="27">
        <f t="shared" si="5"/>
        <v>693947</v>
      </c>
      <c r="K2808" s="27">
        <f t="shared" si="6"/>
        <v>693977</v>
      </c>
    </row>
    <row r="2809" hidden="1">
      <c r="A2809" s="3" t="str">
        <f t="shared" si="3"/>
        <v/>
      </c>
      <c r="B2809" s="2" t="str">
        <f t="array" ref="B2809">INDEX(helper!$A$3:$A3996,ROUNDUP((ROW()-1)/COUNTA(helper!$D$3:$D3996),0))</f>
        <v/>
      </c>
      <c r="C2809" s="5" t="str">
        <f t="array" ref="C2809">IF(B2809="","",INDEX(helper!$D$3:$D3996,MOD(ROW()-2,COUNTA(helper!$D$3:$D3996))+1))</f>
        <v/>
      </c>
      <c r="D2809" s="3" t="str">
        <f t="array" ref="D2809">IF(B2809="","",INDEX(helper!$E$3:$E3996,MOD(ROW()-2,COUNTA(helper!$D$3:$D3996))+1))</f>
        <v/>
      </c>
      <c r="E2809" s="3" t="str">
        <f t="array" ref="E2809">IF(B2809="","",INDEX(helper!$F$3:$F3996,MOD(ROW()-2,COUNTA(helper!$D$3:$D3996))+1))</f>
        <v/>
      </c>
      <c r="F2809" s="3" t="str">
        <f>IF(B2809="","",SUMIFS('inventory ledger'!$H:$H,'inventory ledger'!$C:$C,C2809,'inventory ledger'!$D:$D,D2809,'inventory ledger'!$E:$E,E2809,'inventory ledger'!$A:$A,"&lt;="&amp;B2809+TIME(23,59,59))-SUMIFS('inventory ledger'!$I:$I,'inventory ledger'!$C:$C,C2809,'inventory ledger'!$D:$D,D2809,'inventory ledger'!$E:$E,E2809,'inventory ledger'!$A:$A,"&lt;="&amp;B2809+TIME(23,59,59)))</f>
        <v/>
      </c>
      <c r="G2809" s="3">
        <f>IFERROR(__xludf.DUMMYFUNCTION("IF(F2809&lt;=0,0,IFERROR(ROUNDUP(F2809/INDEX(FILTER('warehouse config'!$D:$D,('warehouse config'!$B:$B=C2809)*('warehouse config'!$C:$C=D2809)*('warehouse config'!$G:$G&lt;=B2809)*(('warehouse config'!$H:$H&gt;=B2809)+ISBLANK('warehouse config'!$H:$H))),1)),0))"),0.0)</f>
        <v>0</v>
      </c>
      <c r="H2809" s="3">
        <f>IFERROR(__xludf.DUMMYFUNCTION("IFERROR(INDEX(FILTER('cost master'!$E:$E,('cost master'!$B:$B=C2809)*('cost master'!$D:$D=""Storage cost per pallet / week"")*('cost master'!$G:$G&lt;=B2809)*(('cost master'!$H:$H&gt;=B2809)+ISBLANK('cost master'!$H:$H))),1),0)"),0.0)</f>
        <v>0</v>
      </c>
      <c r="I2809" s="3">
        <f t="shared" si="4"/>
        <v>0</v>
      </c>
      <c r="J2809" s="27">
        <f t="shared" si="5"/>
        <v>693947</v>
      </c>
      <c r="K2809" s="27">
        <f t="shared" si="6"/>
        <v>693977</v>
      </c>
    </row>
    <row r="2810" hidden="1">
      <c r="A2810" s="3" t="str">
        <f t="shared" si="3"/>
        <v/>
      </c>
      <c r="B2810" s="2" t="str">
        <f t="array" ref="B2810">INDEX(helper!$A$3:$A3996,ROUNDUP((ROW()-1)/COUNTA(helper!$D$3:$D3996),0))</f>
        <v/>
      </c>
      <c r="C2810" s="5" t="str">
        <f t="array" ref="C2810">IF(B2810="","",INDEX(helper!$D$3:$D3996,MOD(ROW()-2,COUNTA(helper!$D$3:$D3996))+1))</f>
        <v/>
      </c>
      <c r="D2810" s="3" t="str">
        <f t="array" ref="D2810">IF(B2810="","",INDEX(helper!$E$3:$E3996,MOD(ROW()-2,COUNTA(helper!$D$3:$D3996))+1))</f>
        <v/>
      </c>
      <c r="E2810" s="3" t="str">
        <f t="array" ref="E2810">IF(B2810="","",INDEX(helper!$F$3:$F3996,MOD(ROW()-2,COUNTA(helper!$D$3:$D3996))+1))</f>
        <v/>
      </c>
      <c r="F2810" s="3" t="str">
        <f>IF(B2810="","",SUMIFS('inventory ledger'!$H:$H,'inventory ledger'!$C:$C,C2810,'inventory ledger'!$D:$D,D2810,'inventory ledger'!$E:$E,E2810,'inventory ledger'!$A:$A,"&lt;="&amp;B2810+TIME(23,59,59))-SUMIFS('inventory ledger'!$I:$I,'inventory ledger'!$C:$C,C2810,'inventory ledger'!$D:$D,D2810,'inventory ledger'!$E:$E,E2810,'inventory ledger'!$A:$A,"&lt;="&amp;B2810+TIME(23,59,59)))</f>
        <v/>
      </c>
      <c r="G2810" s="3">
        <f>IFERROR(__xludf.DUMMYFUNCTION("IF(F2810&lt;=0,0,IFERROR(ROUNDUP(F2810/INDEX(FILTER('warehouse config'!$D:$D,('warehouse config'!$B:$B=C2810)*('warehouse config'!$C:$C=D2810)*('warehouse config'!$G:$G&lt;=B2810)*(('warehouse config'!$H:$H&gt;=B2810)+ISBLANK('warehouse config'!$H:$H))),1)),0))"),0.0)</f>
        <v>0</v>
      </c>
      <c r="H2810" s="3">
        <f>IFERROR(__xludf.DUMMYFUNCTION("IFERROR(INDEX(FILTER('cost master'!$E:$E,('cost master'!$B:$B=C2810)*('cost master'!$D:$D=""Storage cost per pallet / week"")*('cost master'!$G:$G&lt;=B2810)*(('cost master'!$H:$H&gt;=B2810)+ISBLANK('cost master'!$H:$H))),1),0)"),0.0)</f>
        <v>0</v>
      </c>
      <c r="I2810" s="3">
        <f t="shared" si="4"/>
        <v>0</v>
      </c>
      <c r="J2810" s="27">
        <f t="shared" si="5"/>
        <v>693947</v>
      </c>
      <c r="K2810" s="27">
        <f t="shared" si="6"/>
        <v>693977</v>
      </c>
    </row>
    <row r="2811" hidden="1">
      <c r="A2811" s="3" t="str">
        <f t="shared" si="3"/>
        <v/>
      </c>
      <c r="B2811" s="2" t="str">
        <f t="array" ref="B2811">INDEX(helper!$A$3:$A3996,ROUNDUP((ROW()-1)/COUNTA(helper!$D$3:$D3996),0))</f>
        <v/>
      </c>
      <c r="C2811" s="5" t="str">
        <f t="array" ref="C2811">IF(B2811="","",INDEX(helper!$D$3:$D3996,MOD(ROW()-2,COUNTA(helper!$D$3:$D3996))+1))</f>
        <v/>
      </c>
      <c r="D2811" s="3" t="str">
        <f t="array" ref="D2811">IF(B2811="","",INDEX(helper!$E$3:$E3996,MOD(ROW()-2,COUNTA(helper!$D$3:$D3996))+1))</f>
        <v/>
      </c>
      <c r="E2811" s="3" t="str">
        <f t="array" ref="E2811">IF(B2811="","",INDEX(helper!$F$3:$F3996,MOD(ROW()-2,COUNTA(helper!$D$3:$D3996))+1))</f>
        <v/>
      </c>
      <c r="F2811" s="3" t="str">
        <f>IF(B2811="","",SUMIFS('inventory ledger'!$H:$H,'inventory ledger'!$C:$C,C2811,'inventory ledger'!$D:$D,D2811,'inventory ledger'!$E:$E,E2811,'inventory ledger'!$A:$A,"&lt;="&amp;B2811+TIME(23,59,59))-SUMIFS('inventory ledger'!$I:$I,'inventory ledger'!$C:$C,C2811,'inventory ledger'!$D:$D,D2811,'inventory ledger'!$E:$E,E2811,'inventory ledger'!$A:$A,"&lt;="&amp;B2811+TIME(23,59,59)))</f>
        <v/>
      </c>
      <c r="G2811" s="3">
        <f>IFERROR(__xludf.DUMMYFUNCTION("IF(F2811&lt;=0,0,IFERROR(ROUNDUP(F2811/INDEX(FILTER('warehouse config'!$D:$D,('warehouse config'!$B:$B=C2811)*('warehouse config'!$C:$C=D2811)*('warehouse config'!$G:$G&lt;=B2811)*(('warehouse config'!$H:$H&gt;=B2811)+ISBLANK('warehouse config'!$H:$H))),1)),0))"),0.0)</f>
        <v>0</v>
      </c>
      <c r="H2811" s="3">
        <f>IFERROR(__xludf.DUMMYFUNCTION("IFERROR(INDEX(FILTER('cost master'!$E:$E,('cost master'!$B:$B=C2811)*('cost master'!$D:$D=""Storage cost per pallet / week"")*('cost master'!$G:$G&lt;=B2811)*(('cost master'!$H:$H&gt;=B2811)+ISBLANK('cost master'!$H:$H))),1),0)"),0.0)</f>
        <v>0</v>
      </c>
      <c r="I2811" s="3">
        <f t="shared" si="4"/>
        <v>0</v>
      </c>
      <c r="J2811" s="27">
        <f t="shared" si="5"/>
        <v>693947</v>
      </c>
      <c r="K2811" s="27">
        <f t="shared" si="6"/>
        <v>693977</v>
      </c>
    </row>
    <row r="2812" hidden="1">
      <c r="A2812" s="3" t="str">
        <f t="shared" si="3"/>
        <v/>
      </c>
      <c r="B2812" s="2" t="str">
        <f t="array" ref="B2812">INDEX(helper!$A$3:$A3996,ROUNDUP((ROW()-1)/COUNTA(helper!$D$3:$D3996),0))</f>
        <v/>
      </c>
      <c r="C2812" s="5" t="str">
        <f t="array" ref="C2812">IF(B2812="","",INDEX(helper!$D$3:$D3996,MOD(ROW()-2,COUNTA(helper!$D$3:$D3996))+1))</f>
        <v/>
      </c>
      <c r="D2812" s="3" t="str">
        <f t="array" ref="D2812">IF(B2812="","",INDEX(helper!$E$3:$E3996,MOD(ROW()-2,COUNTA(helper!$D$3:$D3996))+1))</f>
        <v/>
      </c>
      <c r="E2812" s="3" t="str">
        <f t="array" ref="E2812">IF(B2812="","",INDEX(helper!$F$3:$F3996,MOD(ROW()-2,COUNTA(helper!$D$3:$D3996))+1))</f>
        <v/>
      </c>
      <c r="F2812" s="3" t="str">
        <f>IF(B2812="","",SUMIFS('inventory ledger'!$H:$H,'inventory ledger'!$C:$C,C2812,'inventory ledger'!$D:$D,D2812,'inventory ledger'!$E:$E,E2812,'inventory ledger'!$A:$A,"&lt;="&amp;B2812+TIME(23,59,59))-SUMIFS('inventory ledger'!$I:$I,'inventory ledger'!$C:$C,C2812,'inventory ledger'!$D:$D,D2812,'inventory ledger'!$E:$E,E2812,'inventory ledger'!$A:$A,"&lt;="&amp;B2812+TIME(23,59,59)))</f>
        <v/>
      </c>
      <c r="G2812" s="3">
        <f>IFERROR(__xludf.DUMMYFUNCTION("IF(F2812&lt;=0,0,IFERROR(ROUNDUP(F2812/INDEX(FILTER('warehouse config'!$D:$D,('warehouse config'!$B:$B=C2812)*('warehouse config'!$C:$C=D2812)*('warehouse config'!$G:$G&lt;=B2812)*(('warehouse config'!$H:$H&gt;=B2812)+ISBLANK('warehouse config'!$H:$H))),1)),0))"),0.0)</f>
        <v>0</v>
      </c>
      <c r="H2812" s="3">
        <f>IFERROR(__xludf.DUMMYFUNCTION("IFERROR(INDEX(FILTER('cost master'!$E:$E,('cost master'!$B:$B=C2812)*('cost master'!$D:$D=""Storage cost per pallet / week"")*('cost master'!$G:$G&lt;=B2812)*(('cost master'!$H:$H&gt;=B2812)+ISBLANK('cost master'!$H:$H))),1),0)"),0.0)</f>
        <v>0</v>
      </c>
      <c r="I2812" s="3">
        <f t="shared" si="4"/>
        <v>0</v>
      </c>
      <c r="J2812" s="27">
        <f t="shared" si="5"/>
        <v>693947</v>
      </c>
      <c r="K2812" s="27">
        <f t="shared" si="6"/>
        <v>693977</v>
      </c>
    </row>
    <row r="2813" hidden="1">
      <c r="A2813" s="3" t="str">
        <f t="shared" si="3"/>
        <v/>
      </c>
      <c r="B2813" s="2" t="str">
        <f t="array" ref="B2813">INDEX(helper!$A$3:$A3996,ROUNDUP((ROW()-1)/COUNTA(helper!$D$3:$D3996),0))</f>
        <v/>
      </c>
      <c r="C2813" s="5" t="str">
        <f t="array" ref="C2813">IF(B2813="","",INDEX(helper!$D$3:$D3996,MOD(ROW()-2,COUNTA(helper!$D$3:$D3996))+1))</f>
        <v/>
      </c>
      <c r="D2813" s="3" t="str">
        <f t="array" ref="D2813">IF(B2813="","",INDEX(helper!$E$3:$E3996,MOD(ROW()-2,COUNTA(helper!$D$3:$D3996))+1))</f>
        <v/>
      </c>
      <c r="E2813" s="3" t="str">
        <f t="array" ref="E2813">IF(B2813="","",INDEX(helper!$F$3:$F3996,MOD(ROW()-2,COUNTA(helper!$D$3:$D3996))+1))</f>
        <v/>
      </c>
      <c r="F2813" s="3" t="str">
        <f>IF(B2813="","",SUMIFS('inventory ledger'!$H:$H,'inventory ledger'!$C:$C,C2813,'inventory ledger'!$D:$D,D2813,'inventory ledger'!$E:$E,E2813,'inventory ledger'!$A:$A,"&lt;="&amp;B2813+TIME(23,59,59))-SUMIFS('inventory ledger'!$I:$I,'inventory ledger'!$C:$C,C2813,'inventory ledger'!$D:$D,D2813,'inventory ledger'!$E:$E,E2813,'inventory ledger'!$A:$A,"&lt;="&amp;B2813+TIME(23,59,59)))</f>
        <v/>
      </c>
      <c r="G2813" s="3">
        <f>IFERROR(__xludf.DUMMYFUNCTION("IF(F2813&lt;=0,0,IFERROR(ROUNDUP(F2813/INDEX(FILTER('warehouse config'!$D:$D,('warehouse config'!$B:$B=C2813)*('warehouse config'!$C:$C=D2813)*('warehouse config'!$G:$G&lt;=B2813)*(('warehouse config'!$H:$H&gt;=B2813)+ISBLANK('warehouse config'!$H:$H))),1)),0))"),0.0)</f>
        <v>0</v>
      </c>
      <c r="H2813" s="3">
        <f>IFERROR(__xludf.DUMMYFUNCTION("IFERROR(INDEX(FILTER('cost master'!$E:$E,('cost master'!$B:$B=C2813)*('cost master'!$D:$D=""Storage cost per pallet / week"")*('cost master'!$G:$G&lt;=B2813)*(('cost master'!$H:$H&gt;=B2813)+ISBLANK('cost master'!$H:$H))),1),0)"),0.0)</f>
        <v>0</v>
      </c>
      <c r="I2813" s="3">
        <f t="shared" si="4"/>
        <v>0</v>
      </c>
      <c r="J2813" s="27">
        <f t="shared" si="5"/>
        <v>693947</v>
      </c>
      <c r="K2813" s="27">
        <f t="shared" si="6"/>
        <v>693977</v>
      </c>
    </row>
    <row r="2814" hidden="1">
      <c r="A2814" s="3" t="str">
        <f t="shared" si="3"/>
        <v/>
      </c>
      <c r="B2814" s="2" t="str">
        <f t="array" ref="B2814">INDEX(helper!$A$3:$A3996,ROUNDUP((ROW()-1)/COUNTA(helper!$D$3:$D3996),0))</f>
        <v/>
      </c>
      <c r="C2814" s="5" t="str">
        <f t="array" ref="C2814">IF(B2814="","",INDEX(helper!$D$3:$D3996,MOD(ROW()-2,COUNTA(helper!$D$3:$D3996))+1))</f>
        <v/>
      </c>
      <c r="D2814" s="3" t="str">
        <f t="array" ref="D2814">IF(B2814="","",INDEX(helper!$E$3:$E3996,MOD(ROW()-2,COUNTA(helper!$D$3:$D3996))+1))</f>
        <v/>
      </c>
      <c r="E2814" s="3" t="str">
        <f t="array" ref="E2814">IF(B2814="","",INDEX(helper!$F$3:$F3996,MOD(ROW()-2,COUNTA(helper!$D$3:$D3996))+1))</f>
        <v/>
      </c>
      <c r="F2814" s="3" t="str">
        <f>IF(B2814="","",SUMIFS('inventory ledger'!$H:$H,'inventory ledger'!$C:$C,C2814,'inventory ledger'!$D:$D,D2814,'inventory ledger'!$E:$E,E2814,'inventory ledger'!$A:$A,"&lt;="&amp;B2814+TIME(23,59,59))-SUMIFS('inventory ledger'!$I:$I,'inventory ledger'!$C:$C,C2814,'inventory ledger'!$D:$D,D2814,'inventory ledger'!$E:$E,E2814,'inventory ledger'!$A:$A,"&lt;="&amp;B2814+TIME(23,59,59)))</f>
        <v/>
      </c>
      <c r="G2814" s="3">
        <f>IFERROR(__xludf.DUMMYFUNCTION("IF(F2814&lt;=0,0,IFERROR(ROUNDUP(F2814/INDEX(FILTER('warehouse config'!$D:$D,('warehouse config'!$B:$B=C2814)*('warehouse config'!$C:$C=D2814)*('warehouse config'!$G:$G&lt;=B2814)*(('warehouse config'!$H:$H&gt;=B2814)+ISBLANK('warehouse config'!$H:$H))),1)),0))"),0.0)</f>
        <v>0</v>
      </c>
      <c r="H2814" s="3">
        <f>IFERROR(__xludf.DUMMYFUNCTION("IFERROR(INDEX(FILTER('cost master'!$E:$E,('cost master'!$B:$B=C2814)*('cost master'!$D:$D=""Storage cost per pallet / week"")*('cost master'!$G:$G&lt;=B2814)*(('cost master'!$H:$H&gt;=B2814)+ISBLANK('cost master'!$H:$H))),1),0)"),0.0)</f>
        <v>0</v>
      </c>
      <c r="I2814" s="3">
        <f t="shared" si="4"/>
        <v>0</v>
      </c>
      <c r="J2814" s="27">
        <f t="shared" si="5"/>
        <v>693947</v>
      </c>
      <c r="K2814" s="27">
        <f t="shared" si="6"/>
        <v>693977</v>
      </c>
    </row>
    <row r="2815" hidden="1">
      <c r="A2815" s="3" t="str">
        <f t="shared" si="3"/>
        <v/>
      </c>
      <c r="B2815" s="2" t="str">
        <f t="array" ref="B2815">INDEX(helper!$A$3:$A3996,ROUNDUP((ROW()-1)/COUNTA(helper!$D$3:$D3996),0))</f>
        <v/>
      </c>
      <c r="C2815" s="5" t="str">
        <f t="array" ref="C2815">IF(B2815="","",INDEX(helper!$D$3:$D3996,MOD(ROW()-2,COUNTA(helper!$D$3:$D3996))+1))</f>
        <v/>
      </c>
      <c r="D2815" s="3" t="str">
        <f t="array" ref="D2815">IF(B2815="","",INDEX(helper!$E$3:$E3996,MOD(ROW()-2,COUNTA(helper!$D$3:$D3996))+1))</f>
        <v/>
      </c>
      <c r="E2815" s="3" t="str">
        <f t="array" ref="E2815">IF(B2815="","",INDEX(helper!$F$3:$F3996,MOD(ROW()-2,COUNTA(helper!$D$3:$D3996))+1))</f>
        <v/>
      </c>
      <c r="F2815" s="3" t="str">
        <f>IF(B2815="","",SUMIFS('inventory ledger'!$H:$H,'inventory ledger'!$C:$C,C2815,'inventory ledger'!$D:$D,D2815,'inventory ledger'!$E:$E,E2815,'inventory ledger'!$A:$A,"&lt;="&amp;B2815+TIME(23,59,59))-SUMIFS('inventory ledger'!$I:$I,'inventory ledger'!$C:$C,C2815,'inventory ledger'!$D:$D,D2815,'inventory ledger'!$E:$E,E2815,'inventory ledger'!$A:$A,"&lt;="&amp;B2815+TIME(23,59,59)))</f>
        <v/>
      </c>
      <c r="G2815" s="3">
        <f>IFERROR(__xludf.DUMMYFUNCTION("IF(F2815&lt;=0,0,IFERROR(ROUNDUP(F2815/INDEX(FILTER('warehouse config'!$D:$D,('warehouse config'!$B:$B=C2815)*('warehouse config'!$C:$C=D2815)*('warehouse config'!$G:$G&lt;=B2815)*(('warehouse config'!$H:$H&gt;=B2815)+ISBLANK('warehouse config'!$H:$H))),1)),0))"),0.0)</f>
        <v>0</v>
      </c>
      <c r="H2815" s="3">
        <f>IFERROR(__xludf.DUMMYFUNCTION("IFERROR(INDEX(FILTER('cost master'!$E:$E,('cost master'!$B:$B=C2815)*('cost master'!$D:$D=""Storage cost per pallet / week"")*('cost master'!$G:$G&lt;=B2815)*(('cost master'!$H:$H&gt;=B2815)+ISBLANK('cost master'!$H:$H))),1),0)"),0.0)</f>
        <v>0</v>
      </c>
      <c r="I2815" s="3">
        <f t="shared" si="4"/>
        <v>0</v>
      </c>
      <c r="J2815" s="27">
        <f t="shared" si="5"/>
        <v>693947</v>
      </c>
      <c r="K2815" s="27">
        <f t="shared" si="6"/>
        <v>693977</v>
      </c>
    </row>
    <row r="2816" hidden="1">
      <c r="A2816" s="3" t="str">
        <f t="shared" si="3"/>
        <v/>
      </c>
      <c r="B2816" s="2" t="str">
        <f t="array" ref="B2816">INDEX(helper!$A$3:$A3996,ROUNDUP((ROW()-1)/COUNTA(helper!$D$3:$D3996),0))</f>
        <v/>
      </c>
      <c r="C2816" s="5" t="str">
        <f t="array" ref="C2816">IF(B2816="","",INDEX(helper!$D$3:$D3996,MOD(ROW()-2,COUNTA(helper!$D$3:$D3996))+1))</f>
        <v/>
      </c>
      <c r="D2816" s="3" t="str">
        <f t="array" ref="D2816">IF(B2816="","",INDEX(helper!$E$3:$E3996,MOD(ROW()-2,COUNTA(helper!$D$3:$D3996))+1))</f>
        <v/>
      </c>
      <c r="E2816" s="3" t="str">
        <f t="array" ref="E2816">IF(B2816="","",INDEX(helper!$F$3:$F3996,MOD(ROW()-2,COUNTA(helper!$D$3:$D3996))+1))</f>
        <v/>
      </c>
      <c r="F2816" s="3" t="str">
        <f>IF(B2816="","",SUMIFS('inventory ledger'!$H:$H,'inventory ledger'!$C:$C,C2816,'inventory ledger'!$D:$D,D2816,'inventory ledger'!$E:$E,E2816,'inventory ledger'!$A:$A,"&lt;="&amp;B2816+TIME(23,59,59))-SUMIFS('inventory ledger'!$I:$I,'inventory ledger'!$C:$C,C2816,'inventory ledger'!$D:$D,D2816,'inventory ledger'!$E:$E,E2816,'inventory ledger'!$A:$A,"&lt;="&amp;B2816+TIME(23,59,59)))</f>
        <v/>
      </c>
      <c r="G2816" s="3">
        <f>IFERROR(__xludf.DUMMYFUNCTION("IF(F2816&lt;=0,0,IFERROR(ROUNDUP(F2816/INDEX(FILTER('warehouse config'!$D:$D,('warehouse config'!$B:$B=C2816)*('warehouse config'!$C:$C=D2816)*('warehouse config'!$G:$G&lt;=B2816)*(('warehouse config'!$H:$H&gt;=B2816)+ISBLANK('warehouse config'!$H:$H))),1)),0))"),0.0)</f>
        <v>0</v>
      </c>
      <c r="H2816" s="3">
        <f>IFERROR(__xludf.DUMMYFUNCTION("IFERROR(INDEX(FILTER('cost master'!$E:$E,('cost master'!$B:$B=C2816)*('cost master'!$D:$D=""Storage cost per pallet / week"")*('cost master'!$G:$G&lt;=B2816)*(('cost master'!$H:$H&gt;=B2816)+ISBLANK('cost master'!$H:$H))),1),0)"),0.0)</f>
        <v>0</v>
      </c>
      <c r="I2816" s="3">
        <f t="shared" si="4"/>
        <v>0</v>
      </c>
      <c r="J2816" s="27">
        <f t="shared" si="5"/>
        <v>693947</v>
      </c>
      <c r="K2816" s="27">
        <f t="shared" si="6"/>
        <v>693977</v>
      </c>
    </row>
    <row r="2817" hidden="1">
      <c r="A2817" s="3" t="str">
        <f t="shared" si="3"/>
        <v/>
      </c>
      <c r="B2817" s="2" t="str">
        <f t="array" ref="B2817">INDEX(helper!$A$3:$A3996,ROUNDUP((ROW()-1)/COUNTA(helper!$D$3:$D3996),0))</f>
        <v/>
      </c>
      <c r="C2817" s="5" t="str">
        <f t="array" ref="C2817">IF(B2817="","",INDEX(helper!$D$3:$D3996,MOD(ROW()-2,COUNTA(helper!$D$3:$D3996))+1))</f>
        <v/>
      </c>
      <c r="D2817" s="3" t="str">
        <f t="array" ref="D2817">IF(B2817="","",INDEX(helper!$E$3:$E3996,MOD(ROW()-2,COUNTA(helper!$D$3:$D3996))+1))</f>
        <v/>
      </c>
      <c r="E2817" s="3" t="str">
        <f t="array" ref="E2817">IF(B2817="","",INDEX(helper!$F$3:$F3996,MOD(ROW()-2,COUNTA(helper!$D$3:$D3996))+1))</f>
        <v/>
      </c>
      <c r="F2817" s="3" t="str">
        <f>IF(B2817="","",SUMIFS('inventory ledger'!$H:$H,'inventory ledger'!$C:$C,C2817,'inventory ledger'!$D:$D,D2817,'inventory ledger'!$E:$E,E2817,'inventory ledger'!$A:$A,"&lt;="&amp;B2817+TIME(23,59,59))-SUMIFS('inventory ledger'!$I:$I,'inventory ledger'!$C:$C,C2817,'inventory ledger'!$D:$D,D2817,'inventory ledger'!$E:$E,E2817,'inventory ledger'!$A:$A,"&lt;="&amp;B2817+TIME(23,59,59)))</f>
        <v/>
      </c>
      <c r="G2817" s="3">
        <f>IFERROR(__xludf.DUMMYFUNCTION("IF(F2817&lt;=0,0,IFERROR(ROUNDUP(F2817/INDEX(FILTER('warehouse config'!$D:$D,('warehouse config'!$B:$B=C2817)*('warehouse config'!$C:$C=D2817)*('warehouse config'!$G:$G&lt;=B2817)*(('warehouse config'!$H:$H&gt;=B2817)+ISBLANK('warehouse config'!$H:$H))),1)),0))"),0.0)</f>
        <v>0</v>
      </c>
      <c r="H2817" s="3">
        <f>IFERROR(__xludf.DUMMYFUNCTION("IFERROR(INDEX(FILTER('cost master'!$E:$E,('cost master'!$B:$B=C2817)*('cost master'!$D:$D=""Storage cost per pallet / week"")*('cost master'!$G:$G&lt;=B2817)*(('cost master'!$H:$H&gt;=B2817)+ISBLANK('cost master'!$H:$H))),1),0)"),0.0)</f>
        <v>0</v>
      </c>
      <c r="I2817" s="3">
        <f t="shared" si="4"/>
        <v>0</v>
      </c>
      <c r="J2817" s="27">
        <f t="shared" si="5"/>
        <v>693947</v>
      </c>
      <c r="K2817" s="27">
        <f t="shared" si="6"/>
        <v>693977</v>
      </c>
    </row>
    <row r="2818" hidden="1">
      <c r="A2818" s="3" t="str">
        <f t="shared" si="3"/>
        <v/>
      </c>
      <c r="B2818" s="2" t="str">
        <f t="array" ref="B2818">INDEX(helper!$A$3:$A3996,ROUNDUP((ROW()-1)/COUNTA(helper!$D$3:$D3996),0))</f>
        <v/>
      </c>
      <c r="C2818" s="5" t="str">
        <f t="array" ref="C2818">IF(B2818="","",INDEX(helper!$D$3:$D3996,MOD(ROW()-2,COUNTA(helper!$D$3:$D3996))+1))</f>
        <v/>
      </c>
      <c r="D2818" s="3" t="str">
        <f t="array" ref="D2818">IF(B2818="","",INDEX(helper!$E$3:$E3996,MOD(ROW()-2,COUNTA(helper!$D$3:$D3996))+1))</f>
        <v/>
      </c>
      <c r="E2818" s="3" t="str">
        <f t="array" ref="E2818">IF(B2818="","",INDEX(helper!$F$3:$F3996,MOD(ROW()-2,COUNTA(helper!$D$3:$D3996))+1))</f>
        <v/>
      </c>
      <c r="F2818" s="3" t="str">
        <f>IF(B2818="","",SUMIFS('inventory ledger'!$H:$H,'inventory ledger'!$C:$C,C2818,'inventory ledger'!$D:$D,D2818,'inventory ledger'!$E:$E,E2818,'inventory ledger'!$A:$A,"&lt;="&amp;B2818+TIME(23,59,59))-SUMIFS('inventory ledger'!$I:$I,'inventory ledger'!$C:$C,C2818,'inventory ledger'!$D:$D,D2818,'inventory ledger'!$E:$E,E2818,'inventory ledger'!$A:$A,"&lt;="&amp;B2818+TIME(23,59,59)))</f>
        <v/>
      </c>
      <c r="G2818" s="3">
        <f>IFERROR(__xludf.DUMMYFUNCTION("IF(F2818&lt;=0,0,IFERROR(ROUNDUP(F2818/INDEX(FILTER('warehouse config'!$D:$D,('warehouse config'!$B:$B=C2818)*('warehouse config'!$C:$C=D2818)*('warehouse config'!$G:$G&lt;=B2818)*(('warehouse config'!$H:$H&gt;=B2818)+ISBLANK('warehouse config'!$H:$H))),1)),0))"),0.0)</f>
        <v>0</v>
      </c>
      <c r="H2818" s="3">
        <f>IFERROR(__xludf.DUMMYFUNCTION("IFERROR(INDEX(FILTER('cost master'!$E:$E,('cost master'!$B:$B=C2818)*('cost master'!$D:$D=""Storage cost per pallet / week"")*('cost master'!$G:$G&lt;=B2818)*(('cost master'!$H:$H&gt;=B2818)+ISBLANK('cost master'!$H:$H))),1),0)"),0.0)</f>
        <v>0</v>
      </c>
      <c r="I2818" s="3">
        <f t="shared" si="4"/>
        <v>0</v>
      </c>
      <c r="J2818" s="27">
        <f t="shared" si="5"/>
        <v>693947</v>
      </c>
      <c r="K2818" s="27">
        <f t="shared" si="6"/>
        <v>693977</v>
      </c>
    </row>
    <row r="2819" hidden="1">
      <c r="A2819" s="3" t="str">
        <f t="shared" si="3"/>
        <v/>
      </c>
      <c r="B2819" s="2" t="str">
        <f t="array" ref="B2819">INDEX(helper!$A$3:$A3996,ROUNDUP((ROW()-1)/COUNTA(helper!$D$3:$D3996),0))</f>
        <v/>
      </c>
      <c r="C2819" s="5" t="str">
        <f t="array" ref="C2819">IF(B2819="","",INDEX(helper!$D$3:$D3996,MOD(ROW()-2,COUNTA(helper!$D$3:$D3996))+1))</f>
        <v/>
      </c>
      <c r="D2819" s="3" t="str">
        <f t="array" ref="D2819">IF(B2819="","",INDEX(helper!$E$3:$E3996,MOD(ROW()-2,COUNTA(helper!$D$3:$D3996))+1))</f>
        <v/>
      </c>
      <c r="E2819" s="3" t="str">
        <f t="array" ref="E2819">IF(B2819="","",INDEX(helper!$F$3:$F3996,MOD(ROW()-2,COUNTA(helper!$D$3:$D3996))+1))</f>
        <v/>
      </c>
      <c r="F2819" s="3" t="str">
        <f>IF(B2819="","",SUMIFS('inventory ledger'!$H:$H,'inventory ledger'!$C:$C,C2819,'inventory ledger'!$D:$D,D2819,'inventory ledger'!$E:$E,E2819,'inventory ledger'!$A:$A,"&lt;="&amp;B2819+TIME(23,59,59))-SUMIFS('inventory ledger'!$I:$I,'inventory ledger'!$C:$C,C2819,'inventory ledger'!$D:$D,D2819,'inventory ledger'!$E:$E,E2819,'inventory ledger'!$A:$A,"&lt;="&amp;B2819+TIME(23,59,59)))</f>
        <v/>
      </c>
      <c r="G2819" s="3">
        <f>IFERROR(__xludf.DUMMYFUNCTION("IF(F2819&lt;=0,0,IFERROR(ROUNDUP(F2819/INDEX(FILTER('warehouse config'!$D:$D,('warehouse config'!$B:$B=C2819)*('warehouse config'!$C:$C=D2819)*('warehouse config'!$G:$G&lt;=B2819)*(('warehouse config'!$H:$H&gt;=B2819)+ISBLANK('warehouse config'!$H:$H))),1)),0))"),0.0)</f>
        <v>0</v>
      </c>
      <c r="H2819" s="3">
        <f>IFERROR(__xludf.DUMMYFUNCTION("IFERROR(INDEX(FILTER('cost master'!$E:$E,('cost master'!$B:$B=C2819)*('cost master'!$D:$D=""Storage cost per pallet / week"")*('cost master'!$G:$G&lt;=B2819)*(('cost master'!$H:$H&gt;=B2819)+ISBLANK('cost master'!$H:$H))),1),0)"),0.0)</f>
        <v>0</v>
      </c>
      <c r="I2819" s="3">
        <f t="shared" si="4"/>
        <v>0</v>
      </c>
      <c r="J2819" s="27">
        <f t="shared" si="5"/>
        <v>693947</v>
      </c>
      <c r="K2819" s="27">
        <f t="shared" si="6"/>
        <v>693977</v>
      </c>
    </row>
    <row r="2820" hidden="1">
      <c r="A2820" s="3" t="str">
        <f t="shared" si="3"/>
        <v/>
      </c>
      <c r="B2820" s="2" t="str">
        <f t="array" ref="B2820">INDEX(helper!$A$3:$A3996,ROUNDUP((ROW()-1)/COUNTA(helper!$D$3:$D3996),0))</f>
        <v/>
      </c>
      <c r="C2820" s="5" t="str">
        <f t="array" ref="C2820">IF(B2820="","",INDEX(helper!$D$3:$D3996,MOD(ROW()-2,COUNTA(helper!$D$3:$D3996))+1))</f>
        <v/>
      </c>
      <c r="D2820" s="3" t="str">
        <f t="array" ref="D2820">IF(B2820="","",INDEX(helper!$E$3:$E3996,MOD(ROW()-2,COUNTA(helper!$D$3:$D3996))+1))</f>
        <v/>
      </c>
      <c r="E2820" s="3" t="str">
        <f t="array" ref="E2820">IF(B2820="","",INDEX(helper!$F$3:$F3996,MOD(ROW()-2,COUNTA(helper!$D$3:$D3996))+1))</f>
        <v/>
      </c>
      <c r="F2820" s="3" t="str">
        <f>IF(B2820="","",SUMIFS('inventory ledger'!$H:$H,'inventory ledger'!$C:$C,C2820,'inventory ledger'!$D:$D,D2820,'inventory ledger'!$E:$E,E2820,'inventory ledger'!$A:$A,"&lt;="&amp;B2820+TIME(23,59,59))-SUMIFS('inventory ledger'!$I:$I,'inventory ledger'!$C:$C,C2820,'inventory ledger'!$D:$D,D2820,'inventory ledger'!$E:$E,E2820,'inventory ledger'!$A:$A,"&lt;="&amp;B2820+TIME(23,59,59)))</f>
        <v/>
      </c>
      <c r="G2820" s="3">
        <f>IFERROR(__xludf.DUMMYFUNCTION("IF(F2820&lt;=0,0,IFERROR(ROUNDUP(F2820/INDEX(FILTER('warehouse config'!$D:$D,('warehouse config'!$B:$B=C2820)*('warehouse config'!$C:$C=D2820)*('warehouse config'!$G:$G&lt;=B2820)*(('warehouse config'!$H:$H&gt;=B2820)+ISBLANK('warehouse config'!$H:$H))),1)),0))"),0.0)</f>
        <v>0</v>
      </c>
      <c r="H2820" s="3">
        <f>IFERROR(__xludf.DUMMYFUNCTION("IFERROR(INDEX(FILTER('cost master'!$E:$E,('cost master'!$B:$B=C2820)*('cost master'!$D:$D=""Storage cost per pallet / week"")*('cost master'!$G:$G&lt;=B2820)*(('cost master'!$H:$H&gt;=B2820)+ISBLANK('cost master'!$H:$H))),1),0)"),0.0)</f>
        <v>0</v>
      </c>
      <c r="I2820" s="3">
        <f t="shared" si="4"/>
        <v>0</v>
      </c>
      <c r="J2820" s="27">
        <f t="shared" si="5"/>
        <v>693947</v>
      </c>
      <c r="K2820" s="27">
        <f t="shared" si="6"/>
        <v>693977</v>
      </c>
    </row>
    <row r="2821" hidden="1">
      <c r="A2821" s="3" t="str">
        <f t="shared" si="3"/>
        <v/>
      </c>
      <c r="B2821" s="2" t="str">
        <f t="array" ref="B2821">INDEX(helper!$A$3:$A3996,ROUNDUP((ROW()-1)/COUNTA(helper!$D$3:$D3996),0))</f>
        <v/>
      </c>
      <c r="C2821" s="5" t="str">
        <f t="array" ref="C2821">IF(B2821="","",INDEX(helper!$D$3:$D3996,MOD(ROW()-2,COUNTA(helper!$D$3:$D3996))+1))</f>
        <v/>
      </c>
      <c r="D2821" s="3" t="str">
        <f t="array" ref="D2821">IF(B2821="","",INDEX(helper!$E$3:$E3996,MOD(ROW()-2,COUNTA(helper!$D$3:$D3996))+1))</f>
        <v/>
      </c>
      <c r="E2821" s="3" t="str">
        <f t="array" ref="E2821">IF(B2821="","",INDEX(helper!$F$3:$F3996,MOD(ROW()-2,COUNTA(helper!$D$3:$D3996))+1))</f>
        <v/>
      </c>
      <c r="F2821" s="3" t="str">
        <f>IF(B2821="","",SUMIFS('inventory ledger'!$H:$H,'inventory ledger'!$C:$C,C2821,'inventory ledger'!$D:$D,D2821,'inventory ledger'!$E:$E,E2821,'inventory ledger'!$A:$A,"&lt;="&amp;B2821+TIME(23,59,59))-SUMIFS('inventory ledger'!$I:$I,'inventory ledger'!$C:$C,C2821,'inventory ledger'!$D:$D,D2821,'inventory ledger'!$E:$E,E2821,'inventory ledger'!$A:$A,"&lt;="&amp;B2821+TIME(23,59,59)))</f>
        <v/>
      </c>
      <c r="G2821" s="3">
        <f>IFERROR(__xludf.DUMMYFUNCTION("IF(F2821&lt;=0,0,IFERROR(ROUNDUP(F2821/INDEX(FILTER('warehouse config'!$D:$D,('warehouse config'!$B:$B=C2821)*('warehouse config'!$C:$C=D2821)*('warehouse config'!$G:$G&lt;=B2821)*(('warehouse config'!$H:$H&gt;=B2821)+ISBLANK('warehouse config'!$H:$H))),1)),0))"),0.0)</f>
        <v>0</v>
      </c>
      <c r="H2821" s="3">
        <f>IFERROR(__xludf.DUMMYFUNCTION("IFERROR(INDEX(FILTER('cost master'!$E:$E,('cost master'!$B:$B=C2821)*('cost master'!$D:$D=""Storage cost per pallet / week"")*('cost master'!$G:$G&lt;=B2821)*(('cost master'!$H:$H&gt;=B2821)+ISBLANK('cost master'!$H:$H))),1),0)"),0.0)</f>
        <v>0</v>
      </c>
      <c r="I2821" s="3">
        <f t="shared" si="4"/>
        <v>0</v>
      </c>
      <c r="J2821" s="27">
        <f t="shared" si="5"/>
        <v>693947</v>
      </c>
      <c r="K2821" s="27">
        <f t="shared" si="6"/>
        <v>693977</v>
      </c>
    </row>
    <row r="2822" hidden="1">
      <c r="A2822" s="3" t="str">
        <f t="shared" si="3"/>
        <v/>
      </c>
      <c r="B2822" s="2" t="str">
        <f t="array" ref="B2822">INDEX(helper!$A$3:$A3996,ROUNDUP((ROW()-1)/COUNTA(helper!$D$3:$D3996),0))</f>
        <v/>
      </c>
      <c r="C2822" s="5" t="str">
        <f t="array" ref="C2822">IF(B2822="","",INDEX(helper!$D$3:$D3996,MOD(ROW()-2,COUNTA(helper!$D$3:$D3996))+1))</f>
        <v/>
      </c>
      <c r="D2822" s="3" t="str">
        <f t="array" ref="D2822">IF(B2822="","",INDEX(helper!$E$3:$E3996,MOD(ROW()-2,COUNTA(helper!$D$3:$D3996))+1))</f>
        <v/>
      </c>
      <c r="E2822" s="3" t="str">
        <f t="array" ref="E2822">IF(B2822="","",INDEX(helper!$F$3:$F3996,MOD(ROW()-2,COUNTA(helper!$D$3:$D3996))+1))</f>
        <v/>
      </c>
      <c r="F2822" s="3" t="str">
        <f>IF(B2822="","",SUMIFS('inventory ledger'!$H:$H,'inventory ledger'!$C:$C,C2822,'inventory ledger'!$D:$D,D2822,'inventory ledger'!$E:$E,E2822,'inventory ledger'!$A:$A,"&lt;="&amp;B2822+TIME(23,59,59))-SUMIFS('inventory ledger'!$I:$I,'inventory ledger'!$C:$C,C2822,'inventory ledger'!$D:$D,D2822,'inventory ledger'!$E:$E,E2822,'inventory ledger'!$A:$A,"&lt;="&amp;B2822+TIME(23,59,59)))</f>
        <v/>
      </c>
      <c r="G2822" s="3">
        <f>IFERROR(__xludf.DUMMYFUNCTION("IF(F2822&lt;=0,0,IFERROR(ROUNDUP(F2822/INDEX(FILTER('warehouse config'!$D:$D,('warehouse config'!$B:$B=C2822)*('warehouse config'!$C:$C=D2822)*('warehouse config'!$G:$G&lt;=B2822)*(('warehouse config'!$H:$H&gt;=B2822)+ISBLANK('warehouse config'!$H:$H))),1)),0))"),0.0)</f>
        <v>0</v>
      </c>
      <c r="H2822" s="3">
        <f>IFERROR(__xludf.DUMMYFUNCTION("IFERROR(INDEX(FILTER('cost master'!$E:$E,('cost master'!$B:$B=C2822)*('cost master'!$D:$D=""Storage cost per pallet / week"")*('cost master'!$G:$G&lt;=B2822)*(('cost master'!$H:$H&gt;=B2822)+ISBLANK('cost master'!$H:$H))),1),0)"),0.0)</f>
        <v>0</v>
      </c>
      <c r="I2822" s="3">
        <f t="shared" si="4"/>
        <v>0</v>
      </c>
      <c r="J2822" s="27">
        <f t="shared" si="5"/>
        <v>693947</v>
      </c>
      <c r="K2822" s="27">
        <f t="shared" si="6"/>
        <v>693977</v>
      </c>
    </row>
    <row r="2823" hidden="1">
      <c r="A2823" s="3" t="str">
        <f t="shared" si="3"/>
        <v/>
      </c>
      <c r="B2823" s="2" t="str">
        <f t="array" ref="B2823">INDEX(helper!$A$3:$A3996,ROUNDUP((ROW()-1)/COUNTA(helper!$D$3:$D3996),0))</f>
        <v/>
      </c>
      <c r="C2823" s="5" t="str">
        <f t="array" ref="C2823">IF(B2823="","",INDEX(helper!$D$3:$D3996,MOD(ROW()-2,COUNTA(helper!$D$3:$D3996))+1))</f>
        <v/>
      </c>
      <c r="D2823" s="3" t="str">
        <f t="array" ref="D2823">IF(B2823="","",INDEX(helper!$E$3:$E3996,MOD(ROW()-2,COUNTA(helper!$D$3:$D3996))+1))</f>
        <v/>
      </c>
      <c r="E2823" s="3" t="str">
        <f t="array" ref="E2823">IF(B2823="","",INDEX(helper!$F$3:$F3996,MOD(ROW()-2,COUNTA(helper!$D$3:$D3996))+1))</f>
        <v/>
      </c>
      <c r="F2823" s="3" t="str">
        <f>IF(B2823="","",SUMIFS('inventory ledger'!$H:$H,'inventory ledger'!$C:$C,C2823,'inventory ledger'!$D:$D,D2823,'inventory ledger'!$E:$E,E2823,'inventory ledger'!$A:$A,"&lt;="&amp;B2823+TIME(23,59,59))-SUMIFS('inventory ledger'!$I:$I,'inventory ledger'!$C:$C,C2823,'inventory ledger'!$D:$D,D2823,'inventory ledger'!$E:$E,E2823,'inventory ledger'!$A:$A,"&lt;="&amp;B2823+TIME(23,59,59)))</f>
        <v/>
      </c>
      <c r="G2823" s="3">
        <f>IFERROR(__xludf.DUMMYFUNCTION("IF(F2823&lt;=0,0,IFERROR(ROUNDUP(F2823/INDEX(FILTER('warehouse config'!$D:$D,('warehouse config'!$B:$B=C2823)*('warehouse config'!$C:$C=D2823)*('warehouse config'!$G:$G&lt;=B2823)*(('warehouse config'!$H:$H&gt;=B2823)+ISBLANK('warehouse config'!$H:$H))),1)),0))"),0.0)</f>
        <v>0</v>
      </c>
      <c r="H2823" s="3">
        <f>IFERROR(__xludf.DUMMYFUNCTION("IFERROR(INDEX(FILTER('cost master'!$E:$E,('cost master'!$B:$B=C2823)*('cost master'!$D:$D=""Storage cost per pallet / week"")*('cost master'!$G:$G&lt;=B2823)*(('cost master'!$H:$H&gt;=B2823)+ISBLANK('cost master'!$H:$H))),1),0)"),0.0)</f>
        <v>0</v>
      </c>
      <c r="I2823" s="3">
        <f t="shared" si="4"/>
        <v>0</v>
      </c>
      <c r="J2823" s="27">
        <f t="shared" si="5"/>
        <v>693947</v>
      </c>
      <c r="K2823" s="27">
        <f t="shared" si="6"/>
        <v>693977</v>
      </c>
    </row>
    <row r="2824" hidden="1">
      <c r="A2824" s="3" t="str">
        <f t="shared" si="3"/>
        <v/>
      </c>
      <c r="B2824" s="2" t="str">
        <f t="array" ref="B2824">INDEX(helper!$A$3:$A3996,ROUNDUP((ROW()-1)/COUNTA(helper!$D$3:$D3996),0))</f>
        <v/>
      </c>
      <c r="C2824" s="5" t="str">
        <f t="array" ref="C2824">IF(B2824="","",INDEX(helper!$D$3:$D3996,MOD(ROW()-2,COUNTA(helper!$D$3:$D3996))+1))</f>
        <v/>
      </c>
      <c r="D2824" s="3" t="str">
        <f t="array" ref="D2824">IF(B2824="","",INDEX(helper!$E$3:$E3996,MOD(ROW()-2,COUNTA(helper!$D$3:$D3996))+1))</f>
        <v/>
      </c>
      <c r="E2824" s="3" t="str">
        <f t="array" ref="E2824">IF(B2824="","",INDEX(helper!$F$3:$F3996,MOD(ROW()-2,COUNTA(helper!$D$3:$D3996))+1))</f>
        <v/>
      </c>
      <c r="F2824" s="3" t="str">
        <f>IF(B2824="","",SUMIFS('inventory ledger'!$H:$H,'inventory ledger'!$C:$C,C2824,'inventory ledger'!$D:$D,D2824,'inventory ledger'!$E:$E,E2824,'inventory ledger'!$A:$A,"&lt;="&amp;B2824+TIME(23,59,59))-SUMIFS('inventory ledger'!$I:$I,'inventory ledger'!$C:$C,C2824,'inventory ledger'!$D:$D,D2824,'inventory ledger'!$E:$E,E2824,'inventory ledger'!$A:$A,"&lt;="&amp;B2824+TIME(23,59,59)))</f>
        <v/>
      </c>
      <c r="G2824" s="3">
        <f>IFERROR(__xludf.DUMMYFUNCTION("IF(F2824&lt;=0,0,IFERROR(ROUNDUP(F2824/INDEX(FILTER('warehouse config'!$D:$D,('warehouse config'!$B:$B=C2824)*('warehouse config'!$C:$C=D2824)*('warehouse config'!$G:$G&lt;=B2824)*(('warehouse config'!$H:$H&gt;=B2824)+ISBLANK('warehouse config'!$H:$H))),1)),0))"),0.0)</f>
        <v>0</v>
      </c>
      <c r="H2824" s="3">
        <f>IFERROR(__xludf.DUMMYFUNCTION("IFERROR(INDEX(FILTER('cost master'!$E:$E,('cost master'!$B:$B=C2824)*('cost master'!$D:$D=""Storage cost per pallet / week"")*('cost master'!$G:$G&lt;=B2824)*(('cost master'!$H:$H&gt;=B2824)+ISBLANK('cost master'!$H:$H))),1),0)"),0.0)</f>
        <v>0</v>
      </c>
      <c r="I2824" s="3">
        <f t="shared" si="4"/>
        <v>0</v>
      </c>
      <c r="J2824" s="27">
        <f t="shared" si="5"/>
        <v>693947</v>
      </c>
      <c r="K2824" s="27">
        <f t="shared" si="6"/>
        <v>693977</v>
      </c>
    </row>
    <row r="2825" hidden="1">
      <c r="A2825" s="3" t="str">
        <f t="shared" si="3"/>
        <v/>
      </c>
      <c r="B2825" s="2" t="str">
        <f t="array" ref="B2825">INDEX(helper!$A$3:$A3996,ROUNDUP((ROW()-1)/COUNTA(helper!$D$3:$D3996),0))</f>
        <v/>
      </c>
      <c r="C2825" s="5" t="str">
        <f t="array" ref="C2825">IF(B2825="","",INDEX(helper!$D$3:$D3996,MOD(ROW()-2,COUNTA(helper!$D$3:$D3996))+1))</f>
        <v/>
      </c>
      <c r="D2825" s="3" t="str">
        <f t="array" ref="D2825">IF(B2825="","",INDEX(helper!$E$3:$E3996,MOD(ROW()-2,COUNTA(helper!$D$3:$D3996))+1))</f>
        <v/>
      </c>
      <c r="E2825" s="3" t="str">
        <f t="array" ref="E2825">IF(B2825="","",INDEX(helper!$F$3:$F3996,MOD(ROW()-2,COUNTA(helper!$D$3:$D3996))+1))</f>
        <v/>
      </c>
      <c r="F2825" s="3" t="str">
        <f>IF(B2825="","",SUMIFS('inventory ledger'!$H:$H,'inventory ledger'!$C:$C,C2825,'inventory ledger'!$D:$D,D2825,'inventory ledger'!$E:$E,E2825,'inventory ledger'!$A:$A,"&lt;="&amp;B2825+TIME(23,59,59))-SUMIFS('inventory ledger'!$I:$I,'inventory ledger'!$C:$C,C2825,'inventory ledger'!$D:$D,D2825,'inventory ledger'!$E:$E,E2825,'inventory ledger'!$A:$A,"&lt;="&amp;B2825+TIME(23,59,59)))</f>
        <v/>
      </c>
      <c r="G2825" s="3">
        <f>IFERROR(__xludf.DUMMYFUNCTION("IF(F2825&lt;=0,0,IFERROR(ROUNDUP(F2825/INDEX(FILTER('warehouse config'!$D:$D,('warehouse config'!$B:$B=C2825)*('warehouse config'!$C:$C=D2825)*('warehouse config'!$G:$G&lt;=B2825)*(('warehouse config'!$H:$H&gt;=B2825)+ISBLANK('warehouse config'!$H:$H))),1)),0))"),0.0)</f>
        <v>0</v>
      </c>
      <c r="H2825" s="3">
        <f>IFERROR(__xludf.DUMMYFUNCTION("IFERROR(INDEX(FILTER('cost master'!$E:$E,('cost master'!$B:$B=C2825)*('cost master'!$D:$D=""Storage cost per pallet / week"")*('cost master'!$G:$G&lt;=B2825)*(('cost master'!$H:$H&gt;=B2825)+ISBLANK('cost master'!$H:$H))),1),0)"),0.0)</f>
        <v>0</v>
      </c>
      <c r="I2825" s="3">
        <f t="shared" si="4"/>
        <v>0</v>
      </c>
      <c r="J2825" s="27">
        <f t="shared" si="5"/>
        <v>693947</v>
      </c>
      <c r="K2825" s="27">
        <f t="shared" si="6"/>
        <v>693977</v>
      </c>
    </row>
    <row r="2826" hidden="1">
      <c r="A2826" s="3" t="str">
        <f t="shared" si="3"/>
        <v/>
      </c>
      <c r="B2826" s="2" t="str">
        <f t="array" ref="B2826">INDEX(helper!$A$3:$A3996,ROUNDUP((ROW()-1)/COUNTA(helper!$D$3:$D3996),0))</f>
        <v/>
      </c>
      <c r="C2826" s="5" t="str">
        <f t="array" ref="C2826">IF(B2826="","",INDEX(helper!$D$3:$D3996,MOD(ROW()-2,COUNTA(helper!$D$3:$D3996))+1))</f>
        <v/>
      </c>
      <c r="D2826" s="3" t="str">
        <f t="array" ref="D2826">IF(B2826="","",INDEX(helper!$E$3:$E3996,MOD(ROW()-2,COUNTA(helper!$D$3:$D3996))+1))</f>
        <v/>
      </c>
      <c r="E2826" s="3" t="str">
        <f t="array" ref="E2826">IF(B2826="","",INDEX(helper!$F$3:$F3996,MOD(ROW()-2,COUNTA(helper!$D$3:$D3996))+1))</f>
        <v/>
      </c>
      <c r="F2826" s="3" t="str">
        <f>IF(B2826="","",SUMIFS('inventory ledger'!$H:$H,'inventory ledger'!$C:$C,C2826,'inventory ledger'!$D:$D,D2826,'inventory ledger'!$E:$E,E2826,'inventory ledger'!$A:$A,"&lt;="&amp;B2826+TIME(23,59,59))-SUMIFS('inventory ledger'!$I:$I,'inventory ledger'!$C:$C,C2826,'inventory ledger'!$D:$D,D2826,'inventory ledger'!$E:$E,E2826,'inventory ledger'!$A:$A,"&lt;="&amp;B2826+TIME(23,59,59)))</f>
        <v/>
      </c>
      <c r="G2826" s="3">
        <f>IFERROR(__xludf.DUMMYFUNCTION("IF(F2826&lt;=0,0,IFERROR(ROUNDUP(F2826/INDEX(FILTER('warehouse config'!$D:$D,('warehouse config'!$B:$B=C2826)*('warehouse config'!$C:$C=D2826)*('warehouse config'!$G:$G&lt;=B2826)*(('warehouse config'!$H:$H&gt;=B2826)+ISBLANK('warehouse config'!$H:$H))),1)),0))"),0.0)</f>
        <v>0</v>
      </c>
      <c r="H2826" s="3">
        <f>IFERROR(__xludf.DUMMYFUNCTION("IFERROR(INDEX(FILTER('cost master'!$E:$E,('cost master'!$B:$B=C2826)*('cost master'!$D:$D=""Storage cost per pallet / week"")*('cost master'!$G:$G&lt;=B2826)*(('cost master'!$H:$H&gt;=B2826)+ISBLANK('cost master'!$H:$H))),1),0)"),0.0)</f>
        <v>0</v>
      </c>
      <c r="I2826" s="3">
        <f t="shared" si="4"/>
        <v>0</v>
      </c>
      <c r="J2826" s="27">
        <f t="shared" si="5"/>
        <v>693947</v>
      </c>
      <c r="K2826" s="27">
        <f t="shared" si="6"/>
        <v>693977</v>
      </c>
    </row>
    <row r="2827" hidden="1">
      <c r="A2827" s="3" t="str">
        <f t="shared" si="3"/>
        <v/>
      </c>
      <c r="B2827" s="2" t="str">
        <f t="array" ref="B2827">INDEX(helper!$A$3:$A3996,ROUNDUP((ROW()-1)/COUNTA(helper!$D$3:$D3996),0))</f>
        <v/>
      </c>
      <c r="C2827" s="5" t="str">
        <f t="array" ref="C2827">IF(B2827="","",INDEX(helper!$D$3:$D3996,MOD(ROW()-2,COUNTA(helper!$D$3:$D3996))+1))</f>
        <v/>
      </c>
      <c r="D2827" s="3" t="str">
        <f t="array" ref="D2827">IF(B2827="","",INDEX(helper!$E$3:$E3996,MOD(ROW()-2,COUNTA(helper!$D$3:$D3996))+1))</f>
        <v/>
      </c>
      <c r="E2827" s="3" t="str">
        <f t="array" ref="E2827">IF(B2827="","",INDEX(helper!$F$3:$F3996,MOD(ROW()-2,COUNTA(helper!$D$3:$D3996))+1))</f>
        <v/>
      </c>
      <c r="F2827" s="3" t="str">
        <f>IF(B2827="","",SUMIFS('inventory ledger'!$H:$H,'inventory ledger'!$C:$C,C2827,'inventory ledger'!$D:$D,D2827,'inventory ledger'!$E:$E,E2827,'inventory ledger'!$A:$A,"&lt;="&amp;B2827+TIME(23,59,59))-SUMIFS('inventory ledger'!$I:$I,'inventory ledger'!$C:$C,C2827,'inventory ledger'!$D:$D,D2827,'inventory ledger'!$E:$E,E2827,'inventory ledger'!$A:$A,"&lt;="&amp;B2827+TIME(23,59,59)))</f>
        <v/>
      </c>
      <c r="G2827" s="3">
        <f>IFERROR(__xludf.DUMMYFUNCTION("IF(F2827&lt;=0,0,IFERROR(ROUNDUP(F2827/INDEX(FILTER('warehouse config'!$D:$D,('warehouse config'!$B:$B=C2827)*('warehouse config'!$C:$C=D2827)*('warehouse config'!$G:$G&lt;=B2827)*(('warehouse config'!$H:$H&gt;=B2827)+ISBLANK('warehouse config'!$H:$H))),1)),0))"),0.0)</f>
        <v>0</v>
      </c>
      <c r="H2827" s="3">
        <f>IFERROR(__xludf.DUMMYFUNCTION("IFERROR(INDEX(FILTER('cost master'!$E:$E,('cost master'!$B:$B=C2827)*('cost master'!$D:$D=""Storage cost per pallet / week"")*('cost master'!$G:$G&lt;=B2827)*(('cost master'!$H:$H&gt;=B2827)+ISBLANK('cost master'!$H:$H))),1),0)"),0.0)</f>
        <v>0</v>
      </c>
      <c r="I2827" s="3">
        <f t="shared" si="4"/>
        <v>0</v>
      </c>
      <c r="J2827" s="27">
        <f t="shared" si="5"/>
        <v>693947</v>
      </c>
      <c r="K2827" s="27">
        <f t="shared" si="6"/>
        <v>693977</v>
      </c>
    </row>
    <row r="2828" hidden="1">
      <c r="A2828" s="3" t="str">
        <f t="shared" si="3"/>
        <v/>
      </c>
      <c r="B2828" s="2" t="str">
        <f t="array" ref="B2828">INDEX(helper!$A$3:$A3996,ROUNDUP((ROW()-1)/COUNTA(helper!$D$3:$D3996),0))</f>
        <v/>
      </c>
      <c r="C2828" s="5" t="str">
        <f t="array" ref="C2828">IF(B2828="","",INDEX(helper!$D$3:$D3996,MOD(ROW()-2,COUNTA(helper!$D$3:$D3996))+1))</f>
        <v/>
      </c>
      <c r="D2828" s="3" t="str">
        <f t="array" ref="D2828">IF(B2828="","",INDEX(helper!$E$3:$E3996,MOD(ROW()-2,COUNTA(helper!$D$3:$D3996))+1))</f>
        <v/>
      </c>
      <c r="E2828" s="3" t="str">
        <f t="array" ref="E2828">IF(B2828="","",INDEX(helper!$F$3:$F3996,MOD(ROW()-2,COUNTA(helper!$D$3:$D3996))+1))</f>
        <v/>
      </c>
      <c r="F2828" s="3" t="str">
        <f>IF(B2828="","",SUMIFS('inventory ledger'!$H:$H,'inventory ledger'!$C:$C,C2828,'inventory ledger'!$D:$D,D2828,'inventory ledger'!$E:$E,E2828,'inventory ledger'!$A:$A,"&lt;="&amp;B2828+TIME(23,59,59))-SUMIFS('inventory ledger'!$I:$I,'inventory ledger'!$C:$C,C2828,'inventory ledger'!$D:$D,D2828,'inventory ledger'!$E:$E,E2828,'inventory ledger'!$A:$A,"&lt;="&amp;B2828+TIME(23,59,59)))</f>
        <v/>
      </c>
      <c r="G2828" s="3">
        <f>IFERROR(__xludf.DUMMYFUNCTION("IF(F2828&lt;=0,0,IFERROR(ROUNDUP(F2828/INDEX(FILTER('warehouse config'!$D:$D,('warehouse config'!$B:$B=C2828)*('warehouse config'!$C:$C=D2828)*('warehouse config'!$G:$G&lt;=B2828)*(('warehouse config'!$H:$H&gt;=B2828)+ISBLANK('warehouse config'!$H:$H))),1)),0))"),0.0)</f>
        <v>0</v>
      </c>
      <c r="H2828" s="3">
        <f>IFERROR(__xludf.DUMMYFUNCTION("IFERROR(INDEX(FILTER('cost master'!$E:$E,('cost master'!$B:$B=C2828)*('cost master'!$D:$D=""Storage cost per pallet / week"")*('cost master'!$G:$G&lt;=B2828)*(('cost master'!$H:$H&gt;=B2828)+ISBLANK('cost master'!$H:$H))),1),0)"),0.0)</f>
        <v>0</v>
      </c>
      <c r="I2828" s="3">
        <f t="shared" si="4"/>
        <v>0</v>
      </c>
      <c r="J2828" s="27">
        <f t="shared" si="5"/>
        <v>693947</v>
      </c>
      <c r="K2828" s="27">
        <f t="shared" si="6"/>
        <v>693977</v>
      </c>
    </row>
    <row r="2829" hidden="1">
      <c r="A2829" s="3" t="str">
        <f t="shared" si="3"/>
        <v/>
      </c>
      <c r="B2829" s="2" t="str">
        <f t="array" ref="B2829">INDEX(helper!$A$3:$A3996,ROUNDUP((ROW()-1)/COUNTA(helper!$D$3:$D3996),0))</f>
        <v/>
      </c>
      <c r="C2829" s="5" t="str">
        <f t="array" ref="C2829">IF(B2829="","",INDEX(helper!$D$3:$D3996,MOD(ROW()-2,COUNTA(helper!$D$3:$D3996))+1))</f>
        <v/>
      </c>
      <c r="D2829" s="3" t="str">
        <f t="array" ref="D2829">IF(B2829="","",INDEX(helper!$E$3:$E3996,MOD(ROW()-2,COUNTA(helper!$D$3:$D3996))+1))</f>
        <v/>
      </c>
      <c r="E2829" s="3" t="str">
        <f t="array" ref="E2829">IF(B2829="","",INDEX(helper!$F$3:$F3996,MOD(ROW()-2,COUNTA(helper!$D$3:$D3996))+1))</f>
        <v/>
      </c>
      <c r="F2829" s="3" t="str">
        <f>IF(B2829="","",SUMIFS('inventory ledger'!$H:$H,'inventory ledger'!$C:$C,C2829,'inventory ledger'!$D:$D,D2829,'inventory ledger'!$E:$E,E2829,'inventory ledger'!$A:$A,"&lt;="&amp;B2829+TIME(23,59,59))-SUMIFS('inventory ledger'!$I:$I,'inventory ledger'!$C:$C,C2829,'inventory ledger'!$D:$D,D2829,'inventory ledger'!$E:$E,E2829,'inventory ledger'!$A:$A,"&lt;="&amp;B2829+TIME(23,59,59)))</f>
        <v/>
      </c>
      <c r="G2829" s="3">
        <f>IFERROR(__xludf.DUMMYFUNCTION("IF(F2829&lt;=0,0,IFERROR(ROUNDUP(F2829/INDEX(FILTER('warehouse config'!$D:$D,('warehouse config'!$B:$B=C2829)*('warehouse config'!$C:$C=D2829)*('warehouse config'!$G:$G&lt;=B2829)*(('warehouse config'!$H:$H&gt;=B2829)+ISBLANK('warehouse config'!$H:$H))),1)),0))"),0.0)</f>
        <v>0</v>
      </c>
      <c r="H2829" s="3">
        <f>IFERROR(__xludf.DUMMYFUNCTION("IFERROR(INDEX(FILTER('cost master'!$E:$E,('cost master'!$B:$B=C2829)*('cost master'!$D:$D=""Storage cost per pallet / week"")*('cost master'!$G:$G&lt;=B2829)*(('cost master'!$H:$H&gt;=B2829)+ISBLANK('cost master'!$H:$H))),1),0)"),0.0)</f>
        <v>0</v>
      </c>
      <c r="I2829" s="3">
        <f t="shared" si="4"/>
        <v>0</v>
      </c>
      <c r="J2829" s="27">
        <f t="shared" si="5"/>
        <v>693947</v>
      </c>
      <c r="K2829" s="27">
        <f t="shared" si="6"/>
        <v>693977</v>
      </c>
    </row>
    <row r="2830" hidden="1">
      <c r="A2830" s="3" t="str">
        <f t="shared" si="3"/>
        <v/>
      </c>
      <c r="B2830" s="2" t="str">
        <f t="array" ref="B2830">INDEX(helper!$A$3:$A3996,ROUNDUP((ROW()-1)/COUNTA(helper!$D$3:$D3996),0))</f>
        <v/>
      </c>
      <c r="C2830" s="5" t="str">
        <f t="array" ref="C2830">IF(B2830="","",INDEX(helper!$D$3:$D3996,MOD(ROW()-2,COUNTA(helper!$D$3:$D3996))+1))</f>
        <v/>
      </c>
      <c r="D2830" s="3" t="str">
        <f t="array" ref="D2830">IF(B2830="","",INDEX(helper!$E$3:$E3996,MOD(ROW()-2,COUNTA(helper!$D$3:$D3996))+1))</f>
        <v/>
      </c>
      <c r="E2830" s="3" t="str">
        <f t="array" ref="E2830">IF(B2830="","",INDEX(helper!$F$3:$F3996,MOD(ROW()-2,COUNTA(helper!$D$3:$D3996))+1))</f>
        <v/>
      </c>
      <c r="F2830" s="3" t="str">
        <f>IF(B2830="","",SUMIFS('inventory ledger'!$H:$H,'inventory ledger'!$C:$C,C2830,'inventory ledger'!$D:$D,D2830,'inventory ledger'!$E:$E,E2830,'inventory ledger'!$A:$A,"&lt;="&amp;B2830+TIME(23,59,59))-SUMIFS('inventory ledger'!$I:$I,'inventory ledger'!$C:$C,C2830,'inventory ledger'!$D:$D,D2830,'inventory ledger'!$E:$E,E2830,'inventory ledger'!$A:$A,"&lt;="&amp;B2830+TIME(23,59,59)))</f>
        <v/>
      </c>
      <c r="G2830" s="3">
        <f>IFERROR(__xludf.DUMMYFUNCTION("IF(F2830&lt;=0,0,IFERROR(ROUNDUP(F2830/INDEX(FILTER('warehouse config'!$D:$D,('warehouse config'!$B:$B=C2830)*('warehouse config'!$C:$C=D2830)*('warehouse config'!$G:$G&lt;=B2830)*(('warehouse config'!$H:$H&gt;=B2830)+ISBLANK('warehouse config'!$H:$H))),1)),0))"),0.0)</f>
        <v>0</v>
      </c>
      <c r="H2830" s="3">
        <f>IFERROR(__xludf.DUMMYFUNCTION("IFERROR(INDEX(FILTER('cost master'!$E:$E,('cost master'!$B:$B=C2830)*('cost master'!$D:$D=""Storage cost per pallet / week"")*('cost master'!$G:$G&lt;=B2830)*(('cost master'!$H:$H&gt;=B2830)+ISBLANK('cost master'!$H:$H))),1),0)"),0.0)</f>
        <v>0</v>
      </c>
      <c r="I2830" s="3">
        <f t="shared" si="4"/>
        <v>0</v>
      </c>
      <c r="J2830" s="27">
        <f t="shared" si="5"/>
        <v>693947</v>
      </c>
      <c r="K2830" s="27">
        <f t="shared" si="6"/>
        <v>693977</v>
      </c>
    </row>
    <row r="2831" hidden="1">
      <c r="A2831" s="3" t="str">
        <f t="shared" si="3"/>
        <v/>
      </c>
      <c r="B2831" s="2" t="str">
        <f t="array" ref="B2831">INDEX(helper!$A$3:$A3996,ROUNDUP((ROW()-1)/COUNTA(helper!$D$3:$D3996),0))</f>
        <v/>
      </c>
      <c r="C2831" s="5" t="str">
        <f t="array" ref="C2831">IF(B2831="","",INDEX(helper!$D$3:$D3996,MOD(ROW()-2,COUNTA(helper!$D$3:$D3996))+1))</f>
        <v/>
      </c>
      <c r="D2831" s="3" t="str">
        <f t="array" ref="D2831">IF(B2831="","",INDEX(helper!$E$3:$E3996,MOD(ROW()-2,COUNTA(helper!$D$3:$D3996))+1))</f>
        <v/>
      </c>
      <c r="E2831" s="3" t="str">
        <f t="array" ref="E2831">IF(B2831="","",INDEX(helper!$F$3:$F3996,MOD(ROW()-2,COUNTA(helper!$D$3:$D3996))+1))</f>
        <v/>
      </c>
      <c r="F2831" s="3" t="str">
        <f>IF(B2831="","",SUMIFS('inventory ledger'!$H:$H,'inventory ledger'!$C:$C,C2831,'inventory ledger'!$D:$D,D2831,'inventory ledger'!$E:$E,E2831,'inventory ledger'!$A:$A,"&lt;="&amp;B2831+TIME(23,59,59))-SUMIFS('inventory ledger'!$I:$I,'inventory ledger'!$C:$C,C2831,'inventory ledger'!$D:$D,D2831,'inventory ledger'!$E:$E,E2831,'inventory ledger'!$A:$A,"&lt;="&amp;B2831+TIME(23,59,59)))</f>
        <v/>
      </c>
      <c r="G2831" s="3">
        <f>IFERROR(__xludf.DUMMYFUNCTION("IF(F2831&lt;=0,0,IFERROR(ROUNDUP(F2831/INDEX(FILTER('warehouse config'!$D:$D,('warehouse config'!$B:$B=C2831)*('warehouse config'!$C:$C=D2831)*('warehouse config'!$G:$G&lt;=B2831)*(('warehouse config'!$H:$H&gt;=B2831)+ISBLANK('warehouse config'!$H:$H))),1)),0))"),0.0)</f>
        <v>0</v>
      </c>
      <c r="H2831" s="3">
        <f>IFERROR(__xludf.DUMMYFUNCTION("IFERROR(INDEX(FILTER('cost master'!$E:$E,('cost master'!$B:$B=C2831)*('cost master'!$D:$D=""Storage cost per pallet / week"")*('cost master'!$G:$G&lt;=B2831)*(('cost master'!$H:$H&gt;=B2831)+ISBLANK('cost master'!$H:$H))),1),0)"),0.0)</f>
        <v>0</v>
      </c>
      <c r="I2831" s="3">
        <f t="shared" si="4"/>
        <v>0</v>
      </c>
      <c r="J2831" s="27">
        <f t="shared" si="5"/>
        <v>693947</v>
      </c>
      <c r="K2831" s="27">
        <f t="shared" si="6"/>
        <v>693977</v>
      </c>
    </row>
    <row r="2832" hidden="1">
      <c r="A2832" s="3" t="str">
        <f t="shared" si="3"/>
        <v/>
      </c>
      <c r="B2832" s="2" t="str">
        <f t="array" ref="B2832">INDEX(helper!$A$3:$A3996,ROUNDUP((ROW()-1)/COUNTA(helper!$D$3:$D3996),0))</f>
        <v/>
      </c>
      <c r="C2832" s="5" t="str">
        <f t="array" ref="C2832">IF(B2832="","",INDEX(helper!$D$3:$D3996,MOD(ROW()-2,COUNTA(helper!$D$3:$D3996))+1))</f>
        <v/>
      </c>
      <c r="D2832" s="3" t="str">
        <f t="array" ref="D2832">IF(B2832="","",INDEX(helper!$E$3:$E3996,MOD(ROW()-2,COUNTA(helper!$D$3:$D3996))+1))</f>
        <v/>
      </c>
      <c r="E2832" s="3" t="str">
        <f t="array" ref="E2832">IF(B2832="","",INDEX(helper!$F$3:$F3996,MOD(ROW()-2,COUNTA(helper!$D$3:$D3996))+1))</f>
        <v/>
      </c>
      <c r="F2832" s="3" t="str">
        <f>IF(B2832="","",SUMIFS('inventory ledger'!$H:$H,'inventory ledger'!$C:$C,C2832,'inventory ledger'!$D:$D,D2832,'inventory ledger'!$E:$E,E2832,'inventory ledger'!$A:$A,"&lt;="&amp;B2832+TIME(23,59,59))-SUMIFS('inventory ledger'!$I:$I,'inventory ledger'!$C:$C,C2832,'inventory ledger'!$D:$D,D2832,'inventory ledger'!$E:$E,E2832,'inventory ledger'!$A:$A,"&lt;="&amp;B2832+TIME(23,59,59)))</f>
        <v/>
      </c>
      <c r="G2832" s="3">
        <f>IFERROR(__xludf.DUMMYFUNCTION("IF(F2832&lt;=0,0,IFERROR(ROUNDUP(F2832/INDEX(FILTER('warehouse config'!$D:$D,('warehouse config'!$B:$B=C2832)*('warehouse config'!$C:$C=D2832)*('warehouse config'!$G:$G&lt;=B2832)*(('warehouse config'!$H:$H&gt;=B2832)+ISBLANK('warehouse config'!$H:$H))),1)),0))"),0.0)</f>
        <v>0</v>
      </c>
      <c r="H2832" s="3">
        <f>IFERROR(__xludf.DUMMYFUNCTION("IFERROR(INDEX(FILTER('cost master'!$E:$E,('cost master'!$B:$B=C2832)*('cost master'!$D:$D=""Storage cost per pallet / week"")*('cost master'!$G:$G&lt;=B2832)*(('cost master'!$H:$H&gt;=B2832)+ISBLANK('cost master'!$H:$H))),1),0)"),0.0)</f>
        <v>0</v>
      </c>
      <c r="I2832" s="3">
        <f t="shared" si="4"/>
        <v>0</v>
      </c>
      <c r="J2832" s="27">
        <f t="shared" si="5"/>
        <v>693947</v>
      </c>
      <c r="K2832" s="27">
        <f t="shared" si="6"/>
        <v>693977</v>
      </c>
    </row>
    <row r="2833" hidden="1">
      <c r="A2833" s="3" t="str">
        <f t="shared" si="3"/>
        <v/>
      </c>
      <c r="B2833" s="2" t="str">
        <f t="array" ref="B2833">INDEX(helper!$A$3:$A3996,ROUNDUP((ROW()-1)/COUNTA(helper!$D$3:$D3996),0))</f>
        <v/>
      </c>
      <c r="C2833" s="5" t="str">
        <f t="array" ref="C2833">IF(B2833="","",INDEX(helper!$D$3:$D3996,MOD(ROW()-2,COUNTA(helper!$D$3:$D3996))+1))</f>
        <v/>
      </c>
      <c r="D2833" s="3" t="str">
        <f t="array" ref="D2833">IF(B2833="","",INDEX(helper!$E$3:$E3996,MOD(ROW()-2,COUNTA(helper!$D$3:$D3996))+1))</f>
        <v/>
      </c>
      <c r="E2833" s="3" t="str">
        <f t="array" ref="E2833">IF(B2833="","",INDEX(helper!$F$3:$F3996,MOD(ROW()-2,COUNTA(helper!$D$3:$D3996))+1))</f>
        <v/>
      </c>
      <c r="F2833" s="3" t="str">
        <f>IF(B2833="","",SUMIFS('inventory ledger'!$H:$H,'inventory ledger'!$C:$C,C2833,'inventory ledger'!$D:$D,D2833,'inventory ledger'!$E:$E,E2833,'inventory ledger'!$A:$A,"&lt;="&amp;B2833+TIME(23,59,59))-SUMIFS('inventory ledger'!$I:$I,'inventory ledger'!$C:$C,C2833,'inventory ledger'!$D:$D,D2833,'inventory ledger'!$E:$E,E2833,'inventory ledger'!$A:$A,"&lt;="&amp;B2833+TIME(23,59,59)))</f>
        <v/>
      </c>
      <c r="G2833" s="3">
        <f>IFERROR(__xludf.DUMMYFUNCTION("IF(F2833&lt;=0,0,IFERROR(ROUNDUP(F2833/INDEX(FILTER('warehouse config'!$D:$D,('warehouse config'!$B:$B=C2833)*('warehouse config'!$C:$C=D2833)*('warehouse config'!$G:$G&lt;=B2833)*(('warehouse config'!$H:$H&gt;=B2833)+ISBLANK('warehouse config'!$H:$H))),1)),0))"),0.0)</f>
        <v>0</v>
      </c>
      <c r="H2833" s="3">
        <f>IFERROR(__xludf.DUMMYFUNCTION("IFERROR(INDEX(FILTER('cost master'!$E:$E,('cost master'!$B:$B=C2833)*('cost master'!$D:$D=""Storage cost per pallet / week"")*('cost master'!$G:$G&lt;=B2833)*(('cost master'!$H:$H&gt;=B2833)+ISBLANK('cost master'!$H:$H))),1),0)"),0.0)</f>
        <v>0</v>
      </c>
      <c r="I2833" s="3">
        <f t="shared" si="4"/>
        <v>0</v>
      </c>
      <c r="J2833" s="27">
        <f t="shared" si="5"/>
        <v>693947</v>
      </c>
      <c r="K2833" s="27">
        <f t="shared" si="6"/>
        <v>693977</v>
      </c>
    </row>
    <row r="2834" hidden="1">
      <c r="A2834" s="3" t="str">
        <f t="shared" si="3"/>
        <v/>
      </c>
      <c r="B2834" s="2" t="str">
        <f t="array" ref="B2834">INDEX(helper!$A$3:$A3996,ROUNDUP((ROW()-1)/COUNTA(helper!$D$3:$D3996),0))</f>
        <v/>
      </c>
      <c r="C2834" s="5" t="str">
        <f t="array" ref="C2834">IF(B2834="","",INDEX(helper!$D$3:$D3996,MOD(ROW()-2,COUNTA(helper!$D$3:$D3996))+1))</f>
        <v/>
      </c>
      <c r="D2834" s="3" t="str">
        <f t="array" ref="D2834">IF(B2834="","",INDEX(helper!$E$3:$E3996,MOD(ROW()-2,COUNTA(helper!$D$3:$D3996))+1))</f>
        <v/>
      </c>
      <c r="E2834" s="3" t="str">
        <f t="array" ref="E2834">IF(B2834="","",INDEX(helper!$F$3:$F3996,MOD(ROW()-2,COUNTA(helper!$D$3:$D3996))+1))</f>
        <v/>
      </c>
      <c r="F2834" s="3" t="str">
        <f>IF(B2834="","",SUMIFS('inventory ledger'!$H:$H,'inventory ledger'!$C:$C,C2834,'inventory ledger'!$D:$D,D2834,'inventory ledger'!$E:$E,E2834,'inventory ledger'!$A:$A,"&lt;="&amp;B2834+TIME(23,59,59))-SUMIFS('inventory ledger'!$I:$I,'inventory ledger'!$C:$C,C2834,'inventory ledger'!$D:$D,D2834,'inventory ledger'!$E:$E,E2834,'inventory ledger'!$A:$A,"&lt;="&amp;B2834+TIME(23,59,59)))</f>
        <v/>
      </c>
      <c r="G2834" s="3">
        <f>IFERROR(__xludf.DUMMYFUNCTION("IF(F2834&lt;=0,0,IFERROR(ROUNDUP(F2834/INDEX(FILTER('warehouse config'!$D:$D,('warehouse config'!$B:$B=C2834)*('warehouse config'!$C:$C=D2834)*('warehouse config'!$G:$G&lt;=B2834)*(('warehouse config'!$H:$H&gt;=B2834)+ISBLANK('warehouse config'!$H:$H))),1)),0))"),0.0)</f>
        <v>0</v>
      </c>
      <c r="H2834" s="3">
        <f>IFERROR(__xludf.DUMMYFUNCTION("IFERROR(INDEX(FILTER('cost master'!$E:$E,('cost master'!$B:$B=C2834)*('cost master'!$D:$D=""Storage cost per pallet / week"")*('cost master'!$G:$G&lt;=B2834)*(('cost master'!$H:$H&gt;=B2834)+ISBLANK('cost master'!$H:$H))),1),0)"),0.0)</f>
        <v>0</v>
      </c>
      <c r="I2834" s="3">
        <f t="shared" si="4"/>
        <v>0</v>
      </c>
      <c r="J2834" s="27">
        <f t="shared" si="5"/>
        <v>693947</v>
      </c>
      <c r="K2834" s="27">
        <f t="shared" si="6"/>
        <v>693977</v>
      </c>
    </row>
    <row r="2835" hidden="1">
      <c r="A2835" s="3" t="str">
        <f t="shared" si="3"/>
        <v/>
      </c>
      <c r="B2835" s="2" t="str">
        <f t="array" ref="B2835">INDEX(helper!$A$3:$A3996,ROUNDUP((ROW()-1)/COUNTA(helper!$D$3:$D3996),0))</f>
        <v/>
      </c>
      <c r="C2835" s="5" t="str">
        <f t="array" ref="C2835">IF(B2835="","",INDEX(helper!$D$3:$D3996,MOD(ROW()-2,COUNTA(helper!$D$3:$D3996))+1))</f>
        <v/>
      </c>
      <c r="D2835" s="3" t="str">
        <f t="array" ref="D2835">IF(B2835="","",INDEX(helper!$E$3:$E3996,MOD(ROW()-2,COUNTA(helper!$D$3:$D3996))+1))</f>
        <v/>
      </c>
      <c r="E2835" s="3" t="str">
        <f t="array" ref="E2835">IF(B2835="","",INDEX(helper!$F$3:$F3996,MOD(ROW()-2,COUNTA(helper!$D$3:$D3996))+1))</f>
        <v/>
      </c>
      <c r="F2835" s="3" t="str">
        <f>IF(B2835="","",SUMIFS('inventory ledger'!$H:$H,'inventory ledger'!$C:$C,C2835,'inventory ledger'!$D:$D,D2835,'inventory ledger'!$E:$E,E2835,'inventory ledger'!$A:$A,"&lt;="&amp;B2835+TIME(23,59,59))-SUMIFS('inventory ledger'!$I:$I,'inventory ledger'!$C:$C,C2835,'inventory ledger'!$D:$D,D2835,'inventory ledger'!$E:$E,E2835,'inventory ledger'!$A:$A,"&lt;="&amp;B2835+TIME(23,59,59)))</f>
        <v/>
      </c>
      <c r="G2835" s="3">
        <f>IFERROR(__xludf.DUMMYFUNCTION("IF(F2835&lt;=0,0,IFERROR(ROUNDUP(F2835/INDEX(FILTER('warehouse config'!$D:$D,('warehouse config'!$B:$B=C2835)*('warehouse config'!$C:$C=D2835)*('warehouse config'!$G:$G&lt;=B2835)*(('warehouse config'!$H:$H&gt;=B2835)+ISBLANK('warehouse config'!$H:$H))),1)),0))"),0.0)</f>
        <v>0</v>
      </c>
      <c r="H2835" s="3">
        <f>IFERROR(__xludf.DUMMYFUNCTION("IFERROR(INDEX(FILTER('cost master'!$E:$E,('cost master'!$B:$B=C2835)*('cost master'!$D:$D=""Storage cost per pallet / week"")*('cost master'!$G:$G&lt;=B2835)*(('cost master'!$H:$H&gt;=B2835)+ISBLANK('cost master'!$H:$H))),1),0)"),0.0)</f>
        <v>0</v>
      </c>
      <c r="I2835" s="3">
        <f t="shared" si="4"/>
        <v>0</v>
      </c>
      <c r="J2835" s="27">
        <f t="shared" si="5"/>
        <v>693947</v>
      </c>
      <c r="K2835" s="27">
        <f t="shared" si="6"/>
        <v>693977</v>
      </c>
    </row>
    <row r="2836" hidden="1">
      <c r="A2836" s="3" t="str">
        <f t="shared" si="3"/>
        <v/>
      </c>
      <c r="B2836" s="2" t="str">
        <f t="array" ref="B2836">INDEX(helper!$A$3:$A3996,ROUNDUP((ROW()-1)/COUNTA(helper!$D$3:$D3996),0))</f>
        <v/>
      </c>
      <c r="C2836" s="5" t="str">
        <f t="array" ref="C2836">IF(B2836="","",INDEX(helper!$D$3:$D3996,MOD(ROW()-2,COUNTA(helper!$D$3:$D3996))+1))</f>
        <v/>
      </c>
      <c r="D2836" s="3" t="str">
        <f t="array" ref="D2836">IF(B2836="","",INDEX(helper!$E$3:$E3996,MOD(ROW()-2,COUNTA(helper!$D$3:$D3996))+1))</f>
        <v/>
      </c>
      <c r="E2836" s="3" t="str">
        <f t="array" ref="E2836">IF(B2836="","",INDEX(helper!$F$3:$F3996,MOD(ROW()-2,COUNTA(helper!$D$3:$D3996))+1))</f>
        <v/>
      </c>
      <c r="F2836" s="3" t="str">
        <f>IF(B2836="","",SUMIFS('inventory ledger'!$H:$H,'inventory ledger'!$C:$C,C2836,'inventory ledger'!$D:$D,D2836,'inventory ledger'!$E:$E,E2836,'inventory ledger'!$A:$A,"&lt;="&amp;B2836+TIME(23,59,59))-SUMIFS('inventory ledger'!$I:$I,'inventory ledger'!$C:$C,C2836,'inventory ledger'!$D:$D,D2836,'inventory ledger'!$E:$E,E2836,'inventory ledger'!$A:$A,"&lt;="&amp;B2836+TIME(23,59,59)))</f>
        <v/>
      </c>
      <c r="G2836" s="3">
        <f>IFERROR(__xludf.DUMMYFUNCTION("IF(F2836&lt;=0,0,IFERROR(ROUNDUP(F2836/INDEX(FILTER('warehouse config'!$D:$D,('warehouse config'!$B:$B=C2836)*('warehouse config'!$C:$C=D2836)*('warehouse config'!$G:$G&lt;=B2836)*(('warehouse config'!$H:$H&gt;=B2836)+ISBLANK('warehouse config'!$H:$H))),1)),0))"),0.0)</f>
        <v>0</v>
      </c>
      <c r="H2836" s="3">
        <f>IFERROR(__xludf.DUMMYFUNCTION("IFERROR(INDEX(FILTER('cost master'!$E:$E,('cost master'!$B:$B=C2836)*('cost master'!$D:$D=""Storage cost per pallet / week"")*('cost master'!$G:$G&lt;=B2836)*(('cost master'!$H:$H&gt;=B2836)+ISBLANK('cost master'!$H:$H))),1),0)"),0.0)</f>
        <v>0</v>
      </c>
      <c r="I2836" s="3">
        <f t="shared" si="4"/>
        <v>0</v>
      </c>
      <c r="J2836" s="27">
        <f t="shared" si="5"/>
        <v>693947</v>
      </c>
      <c r="K2836" s="27">
        <f t="shared" si="6"/>
        <v>693977</v>
      </c>
    </row>
    <row r="2837" hidden="1">
      <c r="A2837" s="3" t="str">
        <f t="shared" si="3"/>
        <v/>
      </c>
      <c r="B2837" s="2" t="str">
        <f t="array" ref="B2837">INDEX(helper!$A$3:$A3996,ROUNDUP((ROW()-1)/COUNTA(helper!$D$3:$D3996),0))</f>
        <v/>
      </c>
      <c r="C2837" s="5" t="str">
        <f t="array" ref="C2837">IF(B2837="","",INDEX(helper!$D$3:$D3996,MOD(ROW()-2,COUNTA(helper!$D$3:$D3996))+1))</f>
        <v/>
      </c>
      <c r="D2837" s="3" t="str">
        <f t="array" ref="D2837">IF(B2837="","",INDEX(helper!$E$3:$E3996,MOD(ROW()-2,COUNTA(helper!$D$3:$D3996))+1))</f>
        <v/>
      </c>
      <c r="E2837" s="3" t="str">
        <f t="array" ref="E2837">IF(B2837="","",INDEX(helper!$F$3:$F3996,MOD(ROW()-2,COUNTA(helper!$D$3:$D3996))+1))</f>
        <v/>
      </c>
      <c r="F2837" s="3" t="str">
        <f>IF(B2837="","",SUMIFS('inventory ledger'!$H:$H,'inventory ledger'!$C:$C,C2837,'inventory ledger'!$D:$D,D2837,'inventory ledger'!$E:$E,E2837,'inventory ledger'!$A:$A,"&lt;="&amp;B2837+TIME(23,59,59))-SUMIFS('inventory ledger'!$I:$I,'inventory ledger'!$C:$C,C2837,'inventory ledger'!$D:$D,D2837,'inventory ledger'!$E:$E,E2837,'inventory ledger'!$A:$A,"&lt;="&amp;B2837+TIME(23,59,59)))</f>
        <v/>
      </c>
      <c r="G2837" s="3">
        <f>IFERROR(__xludf.DUMMYFUNCTION("IF(F2837&lt;=0,0,IFERROR(ROUNDUP(F2837/INDEX(FILTER('warehouse config'!$D:$D,('warehouse config'!$B:$B=C2837)*('warehouse config'!$C:$C=D2837)*('warehouse config'!$G:$G&lt;=B2837)*(('warehouse config'!$H:$H&gt;=B2837)+ISBLANK('warehouse config'!$H:$H))),1)),0))"),0.0)</f>
        <v>0</v>
      </c>
      <c r="H2837" s="3">
        <f>IFERROR(__xludf.DUMMYFUNCTION("IFERROR(INDEX(FILTER('cost master'!$E:$E,('cost master'!$B:$B=C2837)*('cost master'!$D:$D=""Storage cost per pallet / week"")*('cost master'!$G:$G&lt;=B2837)*(('cost master'!$H:$H&gt;=B2837)+ISBLANK('cost master'!$H:$H))),1),0)"),0.0)</f>
        <v>0</v>
      </c>
      <c r="I2837" s="3">
        <f t="shared" si="4"/>
        <v>0</v>
      </c>
      <c r="J2837" s="27">
        <f t="shared" si="5"/>
        <v>693947</v>
      </c>
      <c r="K2837" s="27">
        <f t="shared" si="6"/>
        <v>693977</v>
      </c>
    </row>
    <row r="2838" hidden="1">
      <c r="A2838" s="3" t="str">
        <f t="shared" si="3"/>
        <v/>
      </c>
      <c r="B2838" s="2" t="str">
        <f t="array" ref="B2838">INDEX(helper!$A$3:$A3996,ROUNDUP((ROW()-1)/COUNTA(helper!$D$3:$D3996),0))</f>
        <v/>
      </c>
      <c r="C2838" s="5" t="str">
        <f t="array" ref="C2838">IF(B2838="","",INDEX(helper!$D$3:$D3996,MOD(ROW()-2,COUNTA(helper!$D$3:$D3996))+1))</f>
        <v/>
      </c>
      <c r="D2838" s="3" t="str">
        <f t="array" ref="D2838">IF(B2838="","",INDEX(helper!$E$3:$E3996,MOD(ROW()-2,COUNTA(helper!$D$3:$D3996))+1))</f>
        <v/>
      </c>
      <c r="E2838" s="3" t="str">
        <f t="array" ref="E2838">IF(B2838="","",INDEX(helper!$F$3:$F3996,MOD(ROW()-2,COUNTA(helper!$D$3:$D3996))+1))</f>
        <v/>
      </c>
      <c r="F2838" s="3" t="str">
        <f>IF(B2838="","",SUMIFS('inventory ledger'!$H:$H,'inventory ledger'!$C:$C,C2838,'inventory ledger'!$D:$D,D2838,'inventory ledger'!$E:$E,E2838,'inventory ledger'!$A:$A,"&lt;="&amp;B2838+TIME(23,59,59))-SUMIFS('inventory ledger'!$I:$I,'inventory ledger'!$C:$C,C2838,'inventory ledger'!$D:$D,D2838,'inventory ledger'!$E:$E,E2838,'inventory ledger'!$A:$A,"&lt;="&amp;B2838+TIME(23,59,59)))</f>
        <v/>
      </c>
      <c r="G2838" s="3">
        <f>IFERROR(__xludf.DUMMYFUNCTION("IF(F2838&lt;=0,0,IFERROR(ROUNDUP(F2838/INDEX(FILTER('warehouse config'!$D:$D,('warehouse config'!$B:$B=C2838)*('warehouse config'!$C:$C=D2838)*('warehouse config'!$G:$G&lt;=B2838)*(('warehouse config'!$H:$H&gt;=B2838)+ISBLANK('warehouse config'!$H:$H))),1)),0))"),0.0)</f>
        <v>0</v>
      </c>
      <c r="H2838" s="3">
        <f>IFERROR(__xludf.DUMMYFUNCTION("IFERROR(INDEX(FILTER('cost master'!$E:$E,('cost master'!$B:$B=C2838)*('cost master'!$D:$D=""Storage cost per pallet / week"")*('cost master'!$G:$G&lt;=B2838)*(('cost master'!$H:$H&gt;=B2838)+ISBLANK('cost master'!$H:$H))),1),0)"),0.0)</f>
        <v>0</v>
      </c>
      <c r="I2838" s="3">
        <f t="shared" si="4"/>
        <v>0</v>
      </c>
      <c r="J2838" s="27">
        <f t="shared" si="5"/>
        <v>693947</v>
      </c>
      <c r="K2838" s="27">
        <f t="shared" si="6"/>
        <v>693977</v>
      </c>
    </row>
    <row r="2839" hidden="1">
      <c r="A2839" s="3" t="str">
        <f t="shared" si="3"/>
        <v/>
      </c>
      <c r="B2839" s="2" t="str">
        <f t="array" ref="B2839">INDEX(helper!$A$3:$A3996,ROUNDUP((ROW()-1)/COUNTA(helper!$D$3:$D3996),0))</f>
        <v/>
      </c>
      <c r="C2839" s="5" t="str">
        <f t="array" ref="C2839">IF(B2839="","",INDEX(helper!$D$3:$D3996,MOD(ROW()-2,COUNTA(helper!$D$3:$D3996))+1))</f>
        <v/>
      </c>
      <c r="D2839" s="3" t="str">
        <f t="array" ref="D2839">IF(B2839="","",INDEX(helper!$E$3:$E3996,MOD(ROW()-2,COUNTA(helper!$D$3:$D3996))+1))</f>
        <v/>
      </c>
      <c r="E2839" s="3" t="str">
        <f t="array" ref="E2839">IF(B2839="","",INDEX(helper!$F$3:$F3996,MOD(ROW()-2,COUNTA(helper!$D$3:$D3996))+1))</f>
        <v/>
      </c>
      <c r="F2839" s="3" t="str">
        <f>IF(B2839="","",SUMIFS('inventory ledger'!$H:$H,'inventory ledger'!$C:$C,C2839,'inventory ledger'!$D:$D,D2839,'inventory ledger'!$E:$E,E2839,'inventory ledger'!$A:$A,"&lt;="&amp;B2839+TIME(23,59,59))-SUMIFS('inventory ledger'!$I:$I,'inventory ledger'!$C:$C,C2839,'inventory ledger'!$D:$D,D2839,'inventory ledger'!$E:$E,E2839,'inventory ledger'!$A:$A,"&lt;="&amp;B2839+TIME(23,59,59)))</f>
        <v/>
      </c>
      <c r="G2839" s="3">
        <f>IFERROR(__xludf.DUMMYFUNCTION("IF(F2839&lt;=0,0,IFERROR(ROUNDUP(F2839/INDEX(FILTER('warehouse config'!$D:$D,('warehouse config'!$B:$B=C2839)*('warehouse config'!$C:$C=D2839)*('warehouse config'!$G:$G&lt;=B2839)*(('warehouse config'!$H:$H&gt;=B2839)+ISBLANK('warehouse config'!$H:$H))),1)),0))"),0.0)</f>
        <v>0</v>
      </c>
      <c r="H2839" s="3">
        <f>IFERROR(__xludf.DUMMYFUNCTION("IFERROR(INDEX(FILTER('cost master'!$E:$E,('cost master'!$B:$B=C2839)*('cost master'!$D:$D=""Storage cost per pallet / week"")*('cost master'!$G:$G&lt;=B2839)*(('cost master'!$H:$H&gt;=B2839)+ISBLANK('cost master'!$H:$H))),1),0)"),0.0)</f>
        <v>0</v>
      </c>
      <c r="I2839" s="3">
        <f t="shared" si="4"/>
        <v>0</v>
      </c>
      <c r="J2839" s="27">
        <f t="shared" si="5"/>
        <v>693947</v>
      </c>
      <c r="K2839" s="27">
        <f t="shared" si="6"/>
        <v>693977</v>
      </c>
    </row>
    <row r="2840" hidden="1">
      <c r="A2840" s="3" t="str">
        <f t="shared" si="3"/>
        <v/>
      </c>
      <c r="B2840" s="2" t="str">
        <f t="array" ref="B2840">INDEX(helper!$A$3:$A3996,ROUNDUP((ROW()-1)/COUNTA(helper!$D$3:$D3996),0))</f>
        <v/>
      </c>
      <c r="C2840" s="5" t="str">
        <f t="array" ref="C2840">IF(B2840="","",INDEX(helper!$D$3:$D3996,MOD(ROW()-2,COUNTA(helper!$D$3:$D3996))+1))</f>
        <v/>
      </c>
      <c r="D2840" s="3" t="str">
        <f t="array" ref="D2840">IF(B2840="","",INDEX(helper!$E$3:$E3996,MOD(ROW()-2,COUNTA(helper!$D$3:$D3996))+1))</f>
        <v/>
      </c>
      <c r="E2840" s="3" t="str">
        <f t="array" ref="E2840">IF(B2840="","",INDEX(helper!$F$3:$F3996,MOD(ROW()-2,COUNTA(helper!$D$3:$D3996))+1))</f>
        <v/>
      </c>
      <c r="F2840" s="3" t="str">
        <f>IF(B2840="","",SUMIFS('inventory ledger'!$H:$H,'inventory ledger'!$C:$C,C2840,'inventory ledger'!$D:$D,D2840,'inventory ledger'!$E:$E,E2840,'inventory ledger'!$A:$A,"&lt;="&amp;B2840+TIME(23,59,59))-SUMIFS('inventory ledger'!$I:$I,'inventory ledger'!$C:$C,C2840,'inventory ledger'!$D:$D,D2840,'inventory ledger'!$E:$E,E2840,'inventory ledger'!$A:$A,"&lt;="&amp;B2840+TIME(23,59,59)))</f>
        <v/>
      </c>
      <c r="G2840" s="3">
        <f>IFERROR(__xludf.DUMMYFUNCTION("IF(F2840&lt;=0,0,IFERROR(ROUNDUP(F2840/INDEX(FILTER('warehouse config'!$D:$D,('warehouse config'!$B:$B=C2840)*('warehouse config'!$C:$C=D2840)*('warehouse config'!$G:$G&lt;=B2840)*(('warehouse config'!$H:$H&gt;=B2840)+ISBLANK('warehouse config'!$H:$H))),1)),0))"),0.0)</f>
        <v>0</v>
      </c>
      <c r="H2840" s="3">
        <f>IFERROR(__xludf.DUMMYFUNCTION("IFERROR(INDEX(FILTER('cost master'!$E:$E,('cost master'!$B:$B=C2840)*('cost master'!$D:$D=""Storage cost per pallet / week"")*('cost master'!$G:$G&lt;=B2840)*(('cost master'!$H:$H&gt;=B2840)+ISBLANK('cost master'!$H:$H))),1),0)"),0.0)</f>
        <v>0</v>
      </c>
      <c r="I2840" s="3">
        <f t="shared" si="4"/>
        <v>0</v>
      </c>
      <c r="J2840" s="27">
        <f t="shared" si="5"/>
        <v>693947</v>
      </c>
      <c r="K2840" s="27">
        <f t="shared" si="6"/>
        <v>693977</v>
      </c>
    </row>
    <row r="2841" hidden="1">
      <c r="A2841" s="3" t="str">
        <f t="shared" si="3"/>
        <v/>
      </c>
      <c r="B2841" s="2" t="str">
        <f t="array" ref="B2841">INDEX(helper!$A$3:$A3996,ROUNDUP((ROW()-1)/COUNTA(helper!$D$3:$D3996),0))</f>
        <v/>
      </c>
      <c r="C2841" s="5" t="str">
        <f t="array" ref="C2841">IF(B2841="","",INDEX(helper!$D$3:$D3996,MOD(ROW()-2,COUNTA(helper!$D$3:$D3996))+1))</f>
        <v/>
      </c>
      <c r="D2841" s="3" t="str">
        <f t="array" ref="D2841">IF(B2841="","",INDEX(helper!$E$3:$E3996,MOD(ROW()-2,COUNTA(helper!$D$3:$D3996))+1))</f>
        <v/>
      </c>
      <c r="E2841" s="3" t="str">
        <f t="array" ref="E2841">IF(B2841="","",INDEX(helper!$F$3:$F3996,MOD(ROW()-2,COUNTA(helper!$D$3:$D3996))+1))</f>
        <v/>
      </c>
      <c r="F2841" s="3" t="str">
        <f>IF(B2841="","",SUMIFS('inventory ledger'!$H:$H,'inventory ledger'!$C:$C,C2841,'inventory ledger'!$D:$D,D2841,'inventory ledger'!$E:$E,E2841,'inventory ledger'!$A:$A,"&lt;="&amp;B2841+TIME(23,59,59))-SUMIFS('inventory ledger'!$I:$I,'inventory ledger'!$C:$C,C2841,'inventory ledger'!$D:$D,D2841,'inventory ledger'!$E:$E,E2841,'inventory ledger'!$A:$A,"&lt;="&amp;B2841+TIME(23,59,59)))</f>
        <v/>
      </c>
      <c r="G2841" s="3">
        <f>IFERROR(__xludf.DUMMYFUNCTION("IF(F2841&lt;=0,0,IFERROR(ROUNDUP(F2841/INDEX(FILTER('warehouse config'!$D:$D,('warehouse config'!$B:$B=C2841)*('warehouse config'!$C:$C=D2841)*('warehouse config'!$G:$G&lt;=B2841)*(('warehouse config'!$H:$H&gt;=B2841)+ISBLANK('warehouse config'!$H:$H))),1)),0))"),0.0)</f>
        <v>0</v>
      </c>
      <c r="H2841" s="3">
        <f>IFERROR(__xludf.DUMMYFUNCTION("IFERROR(INDEX(FILTER('cost master'!$E:$E,('cost master'!$B:$B=C2841)*('cost master'!$D:$D=""Storage cost per pallet / week"")*('cost master'!$G:$G&lt;=B2841)*(('cost master'!$H:$H&gt;=B2841)+ISBLANK('cost master'!$H:$H))),1),0)"),0.0)</f>
        <v>0</v>
      </c>
      <c r="I2841" s="3">
        <f t="shared" si="4"/>
        <v>0</v>
      </c>
      <c r="J2841" s="27">
        <f t="shared" si="5"/>
        <v>693947</v>
      </c>
      <c r="K2841" s="27">
        <f t="shared" si="6"/>
        <v>693977</v>
      </c>
    </row>
    <row r="2842" hidden="1">
      <c r="A2842" s="3" t="str">
        <f t="shared" si="3"/>
        <v/>
      </c>
      <c r="B2842" s="2" t="str">
        <f t="array" ref="B2842">INDEX(helper!$A$3:$A3996,ROUNDUP((ROW()-1)/COUNTA(helper!$D$3:$D3996),0))</f>
        <v/>
      </c>
      <c r="C2842" s="5" t="str">
        <f t="array" ref="C2842">IF(B2842="","",INDEX(helper!$D$3:$D3996,MOD(ROW()-2,COUNTA(helper!$D$3:$D3996))+1))</f>
        <v/>
      </c>
      <c r="D2842" s="3" t="str">
        <f t="array" ref="D2842">IF(B2842="","",INDEX(helper!$E$3:$E3996,MOD(ROW()-2,COUNTA(helper!$D$3:$D3996))+1))</f>
        <v/>
      </c>
      <c r="E2842" s="3" t="str">
        <f t="array" ref="E2842">IF(B2842="","",INDEX(helper!$F$3:$F3996,MOD(ROW()-2,COUNTA(helper!$D$3:$D3996))+1))</f>
        <v/>
      </c>
      <c r="F2842" s="3" t="str">
        <f>IF(B2842="","",SUMIFS('inventory ledger'!$H:$H,'inventory ledger'!$C:$C,C2842,'inventory ledger'!$D:$D,D2842,'inventory ledger'!$E:$E,E2842,'inventory ledger'!$A:$A,"&lt;="&amp;B2842+TIME(23,59,59))-SUMIFS('inventory ledger'!$I:$I,'inventory ledger'!$C:$C,C2842,'inventory ledger'!$D:$D,D2842,'inventory ledger'!$E:$E,E2842,'inventory ledger'!$A:$A,"&lt;="&amp;B2842+TIME(23,59,59)))</f>
        <v/>
      </c>
      <c r="G2842" s="3">
        <f>IFERROR(__xludf.DUMMYFUNCTION("IF(F2842&lt;=0,0,IFERROR(ROUNDUP(F2842/INDEX(FILTER('warehouse config'!$D:$D,('warehouse config'!$B:$B=C2842)*('warehouse config'!$C:$C=D2842)*('warehouse config'!$G:$G&lt;=B2842)*(('warehouse config'!$H:$H&gt;=B2842)+ISBLANK('warehouse config'!$H:$H))),1)),0))"),0.0)</f>
        <v>0</v>
      </c>
      <c r="H2842" s="3">
        <f>IFERROR(__xludf.DUMMYFUNCTION("IFERROR(INDEX(FILTER('cost master'!$E:$E,('cost master'!$B:$B=C2842)*('cost master'!$D:$D=""Storage cost per pallet / week"")*('cost master'!$G:$G&lt;=B2842)*(('cost master'!$H:$H&gt;=B2842)+ISBLANK('cost master'!$H:$H))),1),0)"),0.0)</f>
        <v>0</v>
      </c>
      <c r="I2842" s="3">
        <f t="shared" si="4"/>
        <v>0</v>
      </c>
      <c r="J2842" s="27">
        <f t="shared" si="5"/>
        <v>693947</v>
      </c>
      <c r="K2842" s="27">
        <f t="shared" si="6"/>
        <v>693977</v>
      </c>
    </row>
    <row r="2843" hidden="1">
      <c r="A2843" s="3" t="str">
        <f t="shared" si="3"/>
        <v/>
      </c>
      <c r="B2843" s="2" t="str">
        <f t="array" ref="B2843">INDEX(helper!$A$3:$A3996,ROUNDUP((ROW()-1)/COUNTA(helper!$D$3:$D3996),0))</f>
        <v/>
      </c>
      <c r="C2843" s="5" t="str">
        <f t="array" ref="C2843">IF(B2843="","",INDEX(helper!$D$3:$D3996,MOD(ROW()-2,COUNTA(helper!$D$3:$D3996))+1))</f>
        <v/>
      </c>
      <c r="D2843" s="3" t="str">
        <f t="array" ref="D2843">IF(B2843="","",INDEX(helper!$E$3:$E3996,MOD(ROW()-2,COUNTA(helper!$D$3:$D3996))+1))</f>
        <v/>
      </c>
      <c r="E2843" s="3" t="str">
        <f t="array" ref="E2843">IF(B2843="","",INDEX(helper!$F$3:$F3996,MOD(ROW()-2,COUNTA(helper!$D$3:$D3996))+1))</f>
        <v/>
      </c>
      <c r="F2843" s="3" t="str">
        <f>IF(B2843="","",SUMIFS('inventory ledger'!$H:$H,'inventory ledger'!$C:$C,C2843,'inventory ledger'!$D:$D,D2843,'inventory ledger'!$E:$E,E2843,'inventory ledger'!$A:$A,"&lt;="&amp;B2843+TIME(23,59,59))-SUMIFS('inventory ledger'!$I:$I,'inventory ledger'!$C:$C,C2843,'inventory ledger'!$D:$D,D2843,'inventory ledger'!$E:$E,E2843,'inventory ledger'!$A:$A,"&lt;="&amp;B2843+TIME(23,59,59)))</f>
        <v/>
      </c>
      <c r="G2843" s="3">
        <f>IFERROR(__xludf.DUMMYFUNCTION("IF(F2843&lt;=0,0,IFERROR(ROUNDUP(F2843/INDEX(FILTER('warehouse config'!$D:$D,('warehouse config'!$B:$B=C2843)*('warehouse config'!$C:$C=D2843)*('warehouse config'!$G:$G&lt;=B2843)*(('warehouse config'!$H:$H&gt;=B2843)+ISBLANK('warehouse config'!$H:$H))),1)),0))"),0.0)</f>
        <v>0</v>
      </c>
      <c r="H2843" s="3">
        <f>IFERROR(__xludf.DUMMYFUNCTION("IFERROR(INDEX(FILTER('cost master'!$E:$E,('cost master'!$B:$B=C2843)*('cost master'!$D:$D=""Storage cost per pallet / week"")*('cost master'!$G:$G&lt;=B2843)*(('cost master'!$H:$H&gt;=B2843)+ISBLANK('cost master'!$H:$H))),1),0)"),0.0)</f>
        <v>0</v>
      </c>
      <c r="I2843" s="3">
        <f t="shared" si="4"/>
        <v>0</v>
      </c>
      <c r="J2843" s="27">
        <f t="shared" si="5"/>
        <v>693947</v>
      </c>
      <c r="K2843" s="27">
        <f t="shared" si="6"/>
        <v>693977</v>
      </c>
    </row>
    <row r="2844" hidden="1">
      <c r="A2844" s="3" t="str">
        <f t="shared" si="3"/>
        <v/>
      </c>
      <c r="B2844" s="2" t="str">
        <f t="array" ref="B2844">INDEX(helper!$A$3:$A3996,ROUNDUP((ROW()-1)/COUNTA(helper!$D$3:$D3996),0))</f>
        <v/>
      </c>
      <c r="C2844" s="5" t="str">
        <f t="array" ref="C2844">IF(B2844="","",INDEX(helper!$D$3:$D3996,MOD(ROW()-2,COUNTA(helper!$D$3:$D3996))+1))</f>
        <v/>
      </c>
      <c r="D2844" s="3" t="str">
        <f t="array" ref="D2844">IF(B2844="","",INDEX(helper!$E$3:$E3996,MOD(ROW()-2,COUNTA(helper!$D$3:$D3996))+1))</f>
        <v/>
      </c>
      <c r="E2844" s="3" t="str">
        <f t="array" ref="E2844">IF(B2844="","",INDEX(helper!$F$3:$F3996,MOD(ROW()-2,COUNTA(helper!$D$3:$D3996))+1))</f>
        <v/>
      </c>
      <c r="F2844" s="3" t="str">
        <f>IF(B2844="","",SUMIFS('inventory ledger'!$H:$H,'inventory ledger'!$C:$C,C2844,'inventory ledger'!$D:$D,D2844,'inventory ledger'!$E:$E,E2844,'inventory ledger'!$A:$A,"&lt;="&amp;B2844+TIME(23,59,59))-SUMIFS('inventory ledger'!$I:$I,'inventory ledger'!$C:$C,C2844,'inventory ledger'!$D:$D,D2844,'inventory ledger'!$E:$E,E2844,'inventory ledger'!$A:$A,"&lt;="&amp;B2844+TIME(23,59,59)))</f>
        <v/>
      </c>
      <c r="G2844" s="3">
        <f>IFERROR(__xludf.DUMMYFUNCTION("IF(F2844&lt;=0,0,IFERROR(ROUNDUP(F2844/INDEX(FILTER('warehouse config'!$D:$D,('warehouse config'!$B:$B=C2844)*('warehouse config'!$C:$C=D2844)*('warehouse config'!$G:$G&lt;=B2844)*(('warehouse config'!$H:$H&gt;=B2844)+ISBLANK('warehouse config'!$H:$H))),1)),0))"),0.0)</f>
        <v>0</v>
      </c>
      <c r="H2844" s="3">
        <f>IFERROR(__xludf.DUMMYFUNCTION("IFERROR(INDEX(FILTER('cost master'!$E:$E,('cost master'!$B:$B=C2844)*('cost master'!$D:$D=""Storage cost per pallet / week"")*('cost master'!$G:$G&lt;=B2844)*(('cost master'!$H:$H&gt;=B2844)+ISBLANK('cost master'!$H:$H))),1),0)"),0.0)</f>
        <v>0</v>
      </c>
      <c r="I2844" s="3">
        <f t="shared" si="4"/>
        <v>0</v>
      </c>
      <c r="J2844" s="27">
        <f t="shared" si="5"/>
        <v>693947</v>
      </c>
      <c r="K2844" s="27">
        <f t="shared" si="6"/>
        <v>693977</v>
      </c>
    </row>
    <row r="2845" hidden="1">
      <c r="A2845" s="3" t="str">
        <f t="shared" si="3"/>
        <v/>
      </c>
      <c r="B2845" s="2" t="str">
        <f t="array" ref="B2845">INDEX(helper!$A$3:$A3996,ROUNDUP((ROW()-1)/COUNTA(helper!$D$3:$D3996),0))</f>
        <v/>
      </c>
      <c r="C2845" s="5" t="str">
        <f t="array" ref="C2845">IF(B2845="","",INDEX(helper!$D$3:$D3996,MOD(ROW()-2,COUNTA(helper!$D$3:$D3996))+1))</f>
        <v/>
      </c>
      <c r="D2845" s="3" t="str">
        <f t="array" ref="D2845">IF(B2845="","",INDEX(helper!$E$3:$E3996,MOD(ROW()-2,COUNTA(helper!$D$3:$D3996))+1))</f>
        <v/>
      </c>
      <c r="E2845" s="3" t="str">
        <f t="array" ref="E2845">IF(B2845="","",INDEX(helper!$F$3:$F3996,MOD(ROW()-2,COUNTA(helper!$D$3:$D3996))+1))</f>
        <v/>
      </c>
      <c r="F2845" s="3" t="str">
        <f>IF(B2845="","",SUMIFS('inventory ledger'!$H:$H,'inventory ledger'!$C:$C,C2845,'inventory ledger'!$D:$D,D2845,'inventory ledger'!$E:$E,E2845,'inventory ledger'!$A:$A,"&lt;="&amp;B2845+TIME(23,59,59))-SUMIFS('inventory ledger'!$I:$I,'inventory ledger'!$C:$C,C2845,'inventory ledger'!$D:$D,D2845,'inventory ledger'!$E:$E,E2845,'inventory ledger'!$A:$A,"&lt;="&amp;B2845+TIME(23,59,59)))</f>
        <v/>
      </c>
      <c r="G2845" s="3">
        <f>IFERROR(__xludf.DUMMYFUNCTION("IF(F2845&lt;=0,0,IFERROR(ROUNDUP(F2845/INDEX(FILTER('warehouse config'!$D:$D,('warehouse config'!$B:$B=C2845)*('warehouse config'!$C:$C=D2845)*('warehouse config'!$G:$G&lt;=B2845)*(('warehouse config'!$H:$H&gt;=B2845)+ISBLANK('warehouse config'!$H:$H))),1)),0))"),0.0)</f>
        <v>0</v>
      </c>
      <c r="H2845" s="3">
        <f>IFERROR(__xludf.DUMMYFUNCTION("IFERROR(INDEX(FILTER('cost master'!$E:$E,('cost master'!$B:$B=C2845)*('cost master'!$D:$D=""Storage cost per pallet / week"")*('cost master'!$G:$G&lt;=B2845)*(('cost master'!$H:$H&gt;=B2845)+ISBLANK('cost master'!$H:$H))),1),0)"),0.0)</f>
        <v>0</v>
      </c>
      <c r="I2845" s="3">
        <f t="shared" si="4"/>
        <v>0</v>
      </c>
      <c r="J2845" s="27">
        <f t="shared" si="5"/>
        <v>693947</v>
      </c>
      <c r="K2845" s="27">
        <f t="shared" si="6"/>
        <v>693977</v>
      </c>
    </row>
    <row r="2846" hidden="1">
      <c r="A2846" s="3" t="str">
        <f t="shared" si="3"/>
        <v/>
      </c>
      <c r="B2846" s="2" t="str">
        <f t="array" ref="B2846">INDEX(helper!$A$3:$A3996,ROUNDUP((ROW()-1)/COUNTA(helper!$D$3:$D3996),0))</f>
        <v/>
      </c>
      <c r="C2846" s="5" t="str">
        <f t="array" ref="C2846">IF(B2846="","",INDEX(helper!$D$3:$D3996,MOD(ROW()-2,COUNTA(helper!$D$3:$D3996))+1))</f>
        <v/>
      </c>
      <c r="D2846" s="3" t="str">
        <f t="array" ref="D2846">IF(B2846="","",INDEX(helper!$E$3:$E3996,MOD(ROW()-2,COUNTA(helper!$D$3:$D3996))+1))</f>
        <v/>
      </c>
      <c r="E2846" s="3" t="str">
        <f t="array" ref="E2846">IF(B2846="","",INDEX(helper!$F$3:$F3996,MOD(ROW()-2,COUNTA(helper!$D$3:$D3996))+1))</f>
        <v/>
      </c>
      <c r="F2846" s="3" t="str">
        <f>IF(B2846="","",SUMIFS('inventory ledger'!$H:$H,'inventory ledger'!$C:$C,C2846,'inventory ledger'!$D:$D,D2846,'inventory ledger'!$E:$E,E2846,'inventory ledger'!$A:$A,"&lt;="&amp;B2846+TIME(23,59,59))-SUMIFS('inventory ledger'!$I:$I,'inventory ledger'!$C:$C,C2846,'inventory ledger'!$D:$D,D2846,'inventory ledger'!$E:$E,E2846,'inventory ledger'!$A:$A,"&lt;="&amp;B2846+TIME(23,59,59)))</f>
        <v/>
      </c>
      <c r="G2846" s="3">
        <f>IFERROR(__xludf.DUMMYFUNCTION("IF(F2846&lt;=0,0,IFERROR(ROUNDUP(F2846/INDEX(FILTER('warehouse config'!$D:$D,('warehouse config'!$B:$B=C2846)*('warehouse config'!$C:$C=D2846)*('warehouse config'!$G:$G&lt;=B2846)*(('warehouse config'!$H:$H&gt;=B2846)+ISBLANK('warehouse config'!$H:$H))),1)),0))"),0.0)</f>
        <v>0</v>
      </c>
      <c r="H2846" s="3">
        <f>IFERROR(__xludf.DUMMYFUNCTION("IFERROR(INDEX(FILTER('cost master'!$E:$E,('cost master'!$B:$B=C2846)*('cost master'!$D:$D=""Storage cost per pallet / week"")*('cost master'!$G:$G&lt;=B2846)*(('cost master'!$H:$H&gt;=B2846)+ISBLANK('cost master'!$H:$H))),1),0)"),0.0)</f>
        <v>0</v>
      </c>
      <c r="I2846" s="3">
        <f t="shared" si="4"/>
        <v>0</v>
      </c>
      <c r="J2846" s="27">
        <f t="shared" si="5"/>
        <v>693947</v>
      </c>
      <c r="K2846" s="27">
        <f t="shared" si="6"/>
        <v>693977</v>
      </c>
    </row>
    <row r="2847" hidden="1">
      <c r="A2847" s="3" t="str">
        <f t="shared" si="3"/>
        <v/>
      </c>
      <c r="B2847" s="2" t="str">
        <f t="array" ref="B2847">INDEX(helper!$A$3:$A3996,ROUNDUP((ROW()-1)/COUNTA(helper!$D$3:$D3996),0))</f>
        <v/>
      </c>
      <c r="C2847" s="5" t="str">
        <f t="array" ref="C2847">IF(B2847="","",INDEX(helper!$D$3:$D3996,MOD(ROW()-2,COUNTA(helper!$D$3:$D3996))+1))</f>
        <v/>
      </c>
      <c r="D2847" s="3" t="str">
        <f t="array" ref="D2847">IF(B2847="","",INDEX(helper!$E$3:$E3996,MOD(ROW()-2,COUNTA(helper!$D$3:$D3996))+1))</f>
        <v/>
      </c>
      <c r="E2847" s="3" t="str">
        <f t="array" ref="E2847">IF(B2847="","",INDEX(helper!$F$3:$F3996,MOD(ROW()-2,COUNTA(helper!$D$3:$D3996))+1))</f>
        <v/>
      </c>
      <c r="F2847" s="3" t="str">
        <f>IF(B2847="","",SUMIFS('inventory ledger'!$H:$H,'inventory ledger'!$C:$C,C2847,'inventory ledger'!$D:$D,D2847,'inventory ledger'!$E:$E,E2847,'inventory ledger'!$A:$A,"&lt;="&amp;B2847+TIME(23,59,59))-SUMIFS('inventory ledger'!$I:$I,'inventory ledger'!$C:$C,C2847,'inventory ledger'!$D:$D,D2847,'inventory ledger'!$E:$E,E2847,'inventory ledger'!$A:$A,"&lt;="&amp;B2847+TIME(23,59,59)))</f>
        <v/>
      </c>
      <c r="G2847" s="3">
        <f>IFERROR(__xludf.DUMMYFUNCTION("IF(F2847&lt;=0,0,IFERROR(ROUNDUP(F2847/INDEX(FILTER('warehouse config'!$D:$D,('warehouse config'!$B:$B=C2847)*('warehouse config'!$C:$C=D2847)*('warehouse config'!$G:$G&lt;=B2847)*(('warehouse config'!$H:$H&gt;=B2847)+ISBLANK('warehouse config'!$H:$H))),1)),0))"),0.0)</f>
        <v>0</v>
      </c>
      <c r="H2847" s="3">
        <f>IFERROR(__xludf.DUMMYFUNCTION("IFERROR(INDEX(FILTER('cost master'!$E:$E,('cost master'!$B:$B=C2847)*('cost master'!$D:$D=""Storage cost per pallet / week"")*('cost master'!$G:$G&lt;=B2847)*(('cost master'!$H:$H&gt;=B2847)+ISBLANK('cost master'!$H:$H))),1),0)"),0.0)</f>
        <v>0</v>
      </c>
      <c r="I2847" s="3">
        <f t="shared" si="4"/>
        <v>0</v>
      </c>
      <c r="J2847" s="27">
        <f t="shared" si="5"/>
        <v>693947</v>
      </c>
      <c r="K2847" s="27">
        <f t="shared" si="6"/>
        <v>693977</v>
      </c>
    </row>
    <row r="2848" hidden="1">
      <c r="A2848" s="3" t="str">
        <f t="shared" si="3"/>
        <v/>
      </c>
      <c r="B2848" s="2" t="str">
        <f t="array" ref="B2848">INDEX(helper!$A$3:$A3996,ROUNDUP((ROW()-1)/COUNTA(helper!$D$3:$D3996),0))</f>
        <v/>
      </c>
      <c r="C2848" s="5" t="str">
        <f t="array" ref="C2848">IF(B2848="","",INDEX(helper!$D$3:$D3996,MOD(ROW()-2,COUNTA(helper!$D$3:$D3996))+1))</f>
        <v/>
      </c>
      <c r="D2848" s="3" t="str">
        <f t="array" ref="D2848">IF(B2848="","",INDEX(helper!$E$3:$E3996,MOD(ROW()-2,COUNTA(helper!$D$3:$D3996))+1))</f>
        <v/>
      </c>
      <c r="E2848" s="3" t="str">
        <f t="array" ref="E2848">IF(B2848="","",INDEX(helper!$F$3:$F3996,MOD(ROW()-2,COUNTA(helper!$D$3:$D3996))+1))</f>
        <v/>
      </c>
      <c r="F2848" s="3" t="str">
        <f>IF(B2848="","",SUMIFS('inventory ledger'!$H:$H,'inventory ledger'!$C:$C,C2848,'inventory ledger'!$D:$D,D2848,'inventory ledger'!$E:$E,E2848,'inventory ledger'!$A:$A,"&lt;="&amp;B2848+TIME(23,59,59))-SUMIFS('inventory ledger'!$I:$I,'inventory ledger'!$C:$C,C2848,'inventory ledger'!$D:$D,D2848,'inventory ledger'!$E:$E,E2848,'inventory ledger'!$A:$A,"&lt;="&amp;B2848+TIME(23,59,59)))</f>
        <v/>
      </c>
      <c r="G2848" s="3">
        <f>IFERROR(__xludf.DUMMYFUNCTION("IF(F2848&lt;=0,0,IFERROR(ROUNDUP(F2848/INDEX(FILTER('warehouse config'!$D:$D,('warehouse config'!$B:$B=C2848)*('warehouse config'!$C:$C=D2848)*('warehouse config'!$G:$G&lt;=B2848)*(('warehouse config'!$H:$H&gt;=B2848)+ISBLANK('warehouse config'!$H:$H))),1)),0))"),0.0)</f>
        <v>0</v>
      </c>
      <c r="H2848" s="3">
        <f>IFERROR(__xludf.DUMMYFUNCTION("IFERROR(INDEX(FILTER('cost master'!$E:$E,('cost master'!$B:$B=C2848)*('cost master'!$D:$D=""Storage cost per pallet / week"")*('cost master'!$G:$G&lt;=B2848)*(('cost master'!$H:$H&gt;=B2848)+ISBLANK('cost master'!$H:$H))),1),0)"),0.0)</f>
        <v>0</v>
      </c>
      <c r="I2848" s="3">
        <f t="shared" si="4"/>
        <v>0</v>
      </c>
      <c r="J2848" s="27">
        <f t="shared" si="5"/>
        <v>693947</v>
      </c>
      <c r="K2848" s="27">
        <f t="shared" si="6"/>
        <v>693977</v>
      </c>
    </row>
    <row r="2849" hidden="1">
      <c r="A2849" s="3" t="str">
        <f t="shared" si="3"/>
        <v/>
      </c>
      <c r="B2849" s="2" t="str">
        <f t="array" ref="B2849">INDEX(helper!$A$3:$A3996,ROUNDUP((ROW()-1)/COUNTA(helper!$D$3:$D3996),0))</f>
        <v/>
      </c>
      <c r="C2849" s="5" t="str">
        <f t="array" ref="C2849">IF(B2849="","",INDEX(helper!$D$3:$D3996,MOD(ROW()-2,COUNTA(helper!$D$3:$D3996))+1))</f>
        <v/>
      </c>
      <c r="D2849" s="3" t="str">
        <f t="array" ref="D2849">IF(B2849="","",INDEX(helper!$E$3:$E3996,MOD(ROW()-2,COUNTA(helper!$D$3:$D3996))+1))</f>
        <v/>
      </c>
      <c r="E2849" s="3" t="str">
        <f t="array" ref="E2849">IF(B2849="","",INDEX(helper!$F$3:$F3996,MOD(ROW()-2,COUNTA(helper!$D$3:$D3996))+1))</f>
        <v/>
      </c>
      <c r="F2849" s="3" t="str">
        <f>IF(B2849="","",SUMIFS('inventory ledger'!$H:$H,'inventory ledger'!$C:$C,C2849,'inventory ledger'!$D:$D,D2849,'inventory ledger'!$E:$E,E2849,'inventory ledger'!$A:$A,"&lt;="&amp;B2849+TIME(23,59,59))-SUMIFS('inventory ledger'!$I:$I,'inventory ledger'!$C:$C,C2849,'inventory ledger'!$D:$D,D2849,'inventory ledger'!$E:$E,E2849,'inventory ledger'!$A:$A,"&lt;="&amp;B2849+TIME(23,59,59)))</f>
        <v/>
      </c>
      <c r="G2849" s="3">
        <f>IFERROR(__xludf.DUMMYFUNCTION("IF(F2849&lt;=0,0,IFERROR(ROUNDUP(F2849/INDEX(FILTER('warehouse config'!$D:$D,('warehouse config'!$B:$B=C2849)*('warehouse config'!$C:$C=D2849)*('warehouse config'!$G:$G&lt;=B2849)*(('warehouse config'!$H:$H&gt;=B2849)+ISBLANK('warehouse config'!$H:$H))),1)),0))"),0.0)</f>
        <v>0</v>
      </c>
      <c r="H2849" s="3">
        <f>IFERROR(__xludf.DUMMYFUNCTION("IFERROR(INDEX(FILTER('cost master'!$E:$E,('cost master'!$B:$B=C2849)*('cost master'!$D:$D=""Storage cost per pallet / week"")*('cost master'!$G:$G&lt;=B2849)*(('cost master'!$H:$H&gt;=B2849)+ISBLANK('cost master'!$H:$H))),1),0)"),0.0)</f>
        <v>0</v>
      </c>
      <c r="I2849" s="3">
        <f t="shared" si="4"/>
        <v>0</v>
      </c>
      <c r="J2849" s="27">
        <f t="shared" si="5"/>
        <v>693947</v>
      </c>
      <c r="K2849" s="27">
        <f t="shared" si="6"/>
        <v>693977</v>
      </c>
    </row>
    <row r="2850" hidden="1">
      <c r="A2850" s="3" t="str">
        <f t="shared" si="3"/>
        <v/>
      </c>
      <c r="B2850" s="2" t="str">
        <f t="array" ref="B2850">INDEX(helper!$A$3:$A3996,ROUNDUP((ROW()-1)/COUNTA(helper!$D$3:$D3996),0))</f>
        <v/>
      </c>
      <c r="C2850" s="5" t="str">
        <f t="array" ref="C2850">IF(B2850="","",INDEX(helper!$D$3:$D3996,MOD(ROW()-2,COUNTA(helper!$D$3:$D3996))+1))</f>
        <v/>
      </c>
      <c r="D2850" s="3" t="str">
        <f t="array" ref="D2850">IF(B2850="","",INDEX(helper!$E$3:$E3996,MOD(ROW()-2,COUNTA(helper!$D$3:$D3996))+1))</f>
        <v/>
      </c>
      <c r="E2850" s="3" t="str">
        <f t="array" ref="E2850">IF(B2850="","",INDEX(helper!$F$3:$F3996,MOD(ROW()-2,COUNTA(helper!$D$3:$D3996))+1))</f>
        <v/>
      </c>
      <c r="F2850" s="3" t="str">
        <f>IF(B2850="","",SUMIFS('inventory ledger'!$H:$H,'inventory ledger'!$C:$C,C2850,'inventory ledger'!$D:$D,D2850,'inventory ledger'!$E:$E,E2850,'inventory ledger'!$A:$A,"&lt;="&amp;B2850+TIME(23,59,59))-SUMIFS('inventory ledger'!$I:$I,'inventory ledger'!$C:$C,C2850,'inventory ledger'!$D:$D,D2850,'inventory ledger'!$E:$E,E2850,'inventory ledger'!$A:$A,"&lt;="&amp;B2850+TIME(23,59,59)))</f>
        <v/>
      </c>
      <c r="G2850" s="3">
        <f>IFERROR(__xludf.DUMMYFUNCTION("IF(F2850&lt;=0,0,IFERROR(ROUNDUP(F2850/INDEX(FILTER('warehouse config'!$D:$D,('warehouse config'!$B:$B=C2850)*('warehouse config'!$C:$C=D2850)*('warehouse config'!$G:$G&lt;=B2850)*(('warehouse config'!$H:$H&gt;=B2850)+ISBLANK('warehouse config'!$H:$H))),1)),0))"),0.0)</f>
        <v>0</v>
      </c>
      <c r="H2850" s="3">
        <f>IFERROR(__xludf.DUMMYFUNCTION("IFERROR(INDEX(FILTER('cost master'!$E:$E,('cost master'!$B:$B=C2850)*('cost master'!$D:$D=""Storage cost per pallet / week"")*('cost master'!$G:$G&lt;=B2850)*(('cost master'!$H:$H&gt;=B2850)+ISBLANK('cost master'!$H:$H))),1),0)"),0.0)</f>
        <v>0</v>
      </c>
      <c r="I2850" s="3">
        <f t="shared" si="4"/>
        <v>0</v>
      </c>
      <c r="J2850" s="27">
        <f t="shared" si="5"/>
        <v>693947</v>
      </c>
      <c r="K2850" s="27">
        <f t="shared" si="6"/>
        <v>693977</v>
      </c>
    </row>
    <row r="2851" hidden="1">
      <c r="A2851" s="3" t="str">
        <f t="shared" si="3"/>
        <v/>
      </c>
      <c r="B2851" s="2" t="str">
        <f t="array" ref="B2851">INDEX(helper!$A$3:$A3996,ROUNDUP((ROW()-1)/COUNTA(helper!$D$3:$D3996),0))</f>
        <v/>
      </c>
      <c r="C2851" s="5" t="str">
        <f t="array" ref="C2851">IF(B2851="","",INDEX(helper!$D$3:$D3996,MOD(ROW()-2,COUNTA(helper!$D$3:$D3996))+1))</f>
        <v/>
      </c>
      <c r="D2851" s="3" t="str">
        <f t="array" ref="D2851">IF(B2851="","",INDEX(helper!$E$3:$E3996,MOD(ROW()-2,COUNTA(helper!$D$3:$D3996))+1))</f>
        <v/>
      </c>
      <c r="E2851" s="3" t="str">
        <f t="array" ref="E2851">IF(B2851="","",INDEX(helper!$F$3:$F3996,MOD(ROW()-2,COUNTA(helper!$D$3:$D3996))+1))</f>
        <v/>
      </c>
      <c r="F2851" s="3" t="str">
        <f>IF(B2851="","",SUMIFS('inventory ledger'!$H:$H,'inventory ledger'!$C:$C,C2851,'inventory ledger'!$D:$D,D2851,'inventory ledger'!$E:$E,E2851,'inventory ledger'!$A:$A,"&lt;="&amp;B2851+TIME(23,59,59))-SUMIFS('inventory ledger'!$I:$I,'inventory ledger'!$C:$C,C2851,'inventory ledger'!$D:$D,D2851,'inventory ledger'!$E:$E,E2851,'inventory ledger'!$A:$A,"&lt;="&amp;B2851+TIME(23,59,59)))</f>
        <v/>
      </c>
      <c r="G2851" s="3">
        <f>IFERROR(__xludf.DUMMYFUNCTION("IF(F2851&lt;=0,0,IFERROR(ROUNDUP(F2851/INDEX(FILTER('warehouse config'!$D:$D,('warehouse config'!$B:$B=C2851)*('warehouse config'!$C:$C=D2851)*('warehouse config'!$G:$G&lt;=B2851)*(('warehouse config'!$H:$H&gt;=B2851)+ISBLANK('warehouse config'!$H:$H))),1)),0))"),0.0)</f>
        <v>0</v>
      </c>
      <c r="H2851" s="3">
        <f>IFERROR(__xludf.DUMMYFUNCTION("IFERROR(INDEX(FILTER('cost master'!$E:$E,('cost master'!$B:$B=C2851)*('cost master'!$D:$D=""Storage cost per pallet / week"")*('cost master'!$G:$G&lt;=B2851)*(('cost master'!$H:$H&gt;=B2851)+ISBLANK('cost master'!$H:$H))),1),0)"),0.0)</f>
        <v>0</v>
      </c>
      <c r="I2851" s="3">
        <f t="shared" si="4"/>
        <v>0</v>
      </c>
      <c r="J2851" s="27">
        <f t="shared" si="5"/>
        <v>693947</v>
      </c>
      <c r="K2851" s="27">
        <f t="shared" si="6"/>
        <v>693977</v>
      </c>
    </row>
    <row r="2852" hidden="1">
      <c r="A2852" s="3" t="str">
        <f t="shared" si="3"/>
        <v/>
      </c>
      <c r="B2852" s="2" t="str">
        <f t="array" ref="B2852">INDEX(helper!$A$3:$A3996,ROUNDUP((ROW()-1)/COUNTA(helper!$D$3:$D3996),0))</f>
        <v/>
      </c>
      <c r="C2852" s="5" t="str">
        <f t="array" ref="C2852">IF(B2852="","",INDEX(helper!$D$3:$D3996,MOD(ROW()-2,COUNTA(helper!$D$3:$D3996))+1))</f>
        <v/>
      </c>
      <c r="D2852" s="3" t="str">
        <f t="array" ref="D2852">IF(B2852="","",INDEX(helper!$E$3:$E3996,MOD(ROW()-2,COUNTA(helper!$D$3:$D3996))+1))</f>
        <v/>
      </c>
      <c r="E2852" s="3" t="str">
        <f t="array" ref="E2852">IF(B2852="","",INDEX(helper!$F$3:$F3996,MOD(ROW()-2,COUNTA(helper!$D$3:$D3996))+1))</f>
        <v/>
      </c>
      <c r="F2852" s="3" t="str">
        <f>IF(B2852="","",SUMIFS('inventory ledger'!$H:$H,'inventory ledger'!$C:$C,C2852,'inventory ledger'!$D:$D,D2852,'inventory ledger'!$E:$E,E2852,'inventory ledger'!$A:$A,"&lt;="&amp;B2852+TIME(23,59,59))-SUMIFS('inventory ledger'!$I:$I,'inventory ledger'!$C:$C,C2852,'inventory ledger'!$D:$D,D2852,'inventory ledger'!$E:$E,E2852,'inventory ledger'!$A:$A,"&lt;="&amp;B2852+TIME(23,59,59)))</f>
        <v/>
      </c>
      <c r="G2852" s="3">
        <f>IFERROR(__xludf.DUMMYFUNCTION("IF(F2852&lt;=0,0,IFERROR(ROUNDUP(F2852/INDEX(FILTER('warehouse config'!$D:$D,('warehouse config'!$B:$B=C2852)*('warehouse config'!$C:$C=D2852)*('warehouse config'!$G:$G&lt;=B2852)*(('warehouse config'!$H:$H&gt;=B2852)+ISBLANK('warehouse config'!$H:$H))),1)),0))"),0.0)</f>
        <v>0</v>
      </c>
      <c r="H2852" s="3">
        <f>IFERROR(__xludf.DUMMYFUNCTION("IFERROR(INDEX(FILTER('cost master'!$E:$E,('cost master'!$B:$B=C2852)*('cost master'!$D:$D=""Storage cost per pallet / week"")*('cost master'!$G:$G&lt;=B2852)*(('cost master'!$H:$H&gt;=B2852)+ISBLANK('cost master'!$H:$H))),1),0)"),0.0)</f>
        <v>0</v>
      </c>
      <c r="I2852" s="3">
        <f t="shared" si="4"/>
        <v>0</v>
      </c>
      <c r="J2852" s="27">
        <f t="shared" si="5"/>
        <v>693947</v>
      </c>
      <c r="K2852" s="27">
        <f t="shared" si="6"/>
        <v>693977</v>
      </c>
    </row>
    <row r="2853" hidden="1">
      <c r="A2853" s="3" t="str">
        <f t="shared" si="3"/>
        <v/>
      </c>
      <c r="B2853" s="2" t="str">
        <f t="array" ref="B2853">INDEX(helper!$A$3:$A3996,ROUNDUP((ROW()-1)/COUNTA(helper!$D$3:$D3996),0))</f>
        <v/>
      </c>
      <c r="C2853" s="5" t="str">
        <f t="array" ref="C2853">IF(B2853="","",INDEX(helper!$D$3:$D3996,MOD(ROW()-2,COUNTA(helper!$D$3:$D3996))+1))</f>
        <v/>
      </c>
      <c r="D2853" s="3" t="str">
        <f t="array" ref="D2853">IF(B2853="","",INDEX(helper!$E$3:$E3996,MOD(ROW()-2,COUNTA(helper!$D$3:$D3996))+1))</f>
        <v/>
      </c>
      <c r="E2853" s="3" t="str">
        <f t="array" ref="E2853">IF(B2853="","",INDEX(helper!$F$3:$F3996,MOD(ROW()-2,COUNTA(helper!$D$3:$D3996))+1))</f>
        <v/>
      </c>
      <c r="F2853" s="3" t="str">
        <f>IF(B2853="","",SUMIFS('inventory ledger'!$H:$H,'inventory ledger'!$C:$C,C2853,'inventory ledger'!$D:$D,D2853,'inventory ledger'!$E:$E,E2853,'inventory ledger'!$A:$A,"&lt;="&amp;B2853+TIME(23,59,59))-SUMIFS('inventory ledger'!$I:$I,'inventory ledger'!$C:$C,C2853,'inventory ledger'!$D:$D,D2853,'inventory ledger'!$E:$E,E2853,'inventory ledger'!$A:$A,"&lt;="&amp;B2853+TIME(23,59,59)))</f>
        <v/>
      </c>
      <c r="G2853" s="3">
        <f>IFERROR(__xludf.DUMMYFUNCTION("IF(F2853&lt;=0,0,IFERROR(ROUNDUP(F2853/INDEX(FILTER('warehouse config'!$D:$D,('warehouse config'!$B:$B=C2853)*('warehouse config'!$C:$C=D2853)*('warehouse config'!$G:$G&lt;=B2853)*(('warehouse config'!$H:$H&gt;=B2853)+ISBLANK('warehouse config'!$H:$H))),1)),0))"),0.0)</f>
        <v>0</v>
      </c>
      <c r="H2853" s="3">
        <f>IFERROR(__xludf.DUMMYFUNCTION("IFERROR(INDEX(FILTER('cost master'!$E:$E,('cost master'!$B:$B=C2853)*('cost master'!$D:$D=""Storage cost per pallet / week"")*('cost master'!$G:$G&lt;=B2853)*(('cost master'!$H:$H&gt;=B2853)+ISBLANK('cost master'!$H:$H))),1),0)"),0.0)</f>
        <v>0</v>
      </c>
      <c r="I2853" s="3">
        <f t="shared" si="4"/>
        <v>0</v>
      </c>
      <c r="J2853" s="27">
        <f t="shared" si="5"/>
        <v>693947</v>
      </c>
      <c r="K2853" s="27">
        <f t="shared" si="6"/>
        <v>693977</v>
      </c>
    </row>
    <row r="2854" hidden="1">
      <c r="A2854" s="3" t="str">
        <f t="shared" si="3"/>
        <v/>
      </c>
      <c r="B2854" s="2" t="str">
        <f t="array" ref="B2854">INDEX(helper!$A$3:$A3996,ROUNDUP((ROW()-1)/COUNTA(helper!$D$3:$D3996),0))</f>
        <v/>
      </c>
      <c r="C2854" s="5" t="str">
        <f t="array" ref="C2854">IF(B2854="","",INDEX(helper!$D$3:$D3996,MOD(ROW()-2,COUNTA(helper!$D$3:$D3996))+1))</f>
        <v/>
      </c>
      <c r="D2854" s="3" t="str">
        <f t="array" ref="D2854">IF(B2854="","",INDEX(helper!$E$3:$E3996,MOD(ROW()-2,COUNTA(helper!$D$3:$D3996))+1))</f>
        <v/>
      </c>
      <c r="E2854" s="3" t="str">
        <f t="array" ref="E2854">IF(B2854="","",INDEX(helper!$F$3:$F3996,MOD(ROW()-2,COUNTA(helper!$D$3:$D3996))+1))</f>
        <v/>
      </c>
      <c r="F2854" s="3" t="str">
        <f>IF(B2854="","",SUMIFS('inventory ledger'!$H:$H,'inventory ledger'!$C:$C,C2854,'inventory ledger'!$D:$D,D2854,'inventory ledger'!$E:$E,E2854,'inventory ledger'!$A:$A,"&lt;="&amp;B2854+TIME(23,59,59))-SUMIFS('inventory ledger'!$I:$I,'inventory ledger'!$C:$C,C2854,'inventory ledger'!$D:$D,D2854,'inventory ledger'!$E:$E,E2854,'inventory ledger'!$A:$A,"&lt;="&amp;B2854+TIME(23,59,59)))</f>
        <v/>
      </c>
      <c r="G2854" s="3">
        <f>IFERROR(__xludf.DUMMYFUNCTION("IF(F2854&lt;=0,0,IFERROR(ROUNDUP(F2854/INDEX(FILTER('warehouse config'!$D:$D,('warehouse config'!$B:$B=C2854)*('warehouse config'!$C:$C=D2854)*('warehouse config'!$G:$G&lt;=B2854)*(('warehouse config'!$H:$H&gt;=B2854)+ISBLANK('warehouse config'!$H:$H))),1)),0))"),0.0)</f>
        <v>0</v>
      </c>
      <c r="H2854" s="3">
        <f>IFERROR(__xludf.DUMMYFUNCTION("IFERROR(INDEX(FILTER('cost master'!$E:$E,('cost master'!$B:$B=C2854)*('cost master'!$D:$D=""Storage cost per pallet / week"")*('cost master'!$G:$G&lt;=B2854)*(('cost master'!$H:$H&gt;=B2854)+ISBLANK('cost master'!$H:$H))),1),0)"),0.0)</f>
        <v>0</v>
      </c>
      <c r="I2854" s="3">
        <f t="shared" si="4"/>
        <v>0</v>
      </c>
      <c r="J2854" s="27">
        <f t="shared" si="5"/>
        <v>693947</v>
      </c>
      <c r="K2854" s="27">
        <f t="shared" si="6"/>
        <v>693977</v>
      </c>
    </row>
    <row r="2855" hidden="1">
      <c r="A2855" s="3" t="str">
        <f t="shared" si="3"/>
        <v/>
      </c>
      <c r="B2855" s="2" t="str">
        <f t="array" ref="B2855">INDEX(helper!$A$3:$A3996,ROUNDUP((ROW()-1)/COUNTA(helper!$D$3:$D3996),0))</f>
        <v/>
      </c>
      <c r="C2855" s="5" t="str">
        <f t="array" ref="C2855">IF(B2855="","",INDEX(helper!$D$3:$D3996,MOD(ROW()-2,COUNTA(helper!$D$3:$D3996))+1))</f>
        <v/>
      </c>
      <c r="D2855" s="3" t="str">
        <f t="array" ref="D2855">IF(B2855="","",INDEX(helper!$E$3:$E3996,MOD(ROW()-2,COUNTA(helper!$D$3:$D3996))+1))</f>
        <v/>
      </c>
      <c r="E2855" s="3" t="str">
        <f t="array" ref="E2855">IF(B2855="","",INDEX(helper!$F$3:$F3996,MOD(ROW()-2,COUNTA(helper!$D$3:$D3996))+1))</f>
        <v/>
      </c>
      <c r="F2855" s="3" t="str">
        <f>IF(B2855="","",SUMIFS('inventory ledger'!$H:$H,'inventory ledger'!$C:$C,C2855,'inventory ledger'!$D:$D,D2855,'inventory ledger'!$E:$E,E2855,'inventory ledger'!$A:$A,"&lt;="&amp;B2855+TIME(23,59,59))-SUMIFS('inventory ledger'!$I:$I,'inventory ledger'!$C:$C,C2855,'inventory ledger'!$D:$D,D2855,'inventory ledger'!$E:$E,E2855,'inventory ledger'!$A:$A,"&lt;="&amp;B2855+TIME(23,59,59)))</f>
        <v/>
      </c>
      <c r="G2855" s="3">
        <f>IFERROR(__xludf.DUMMYFUNCTION("IF(F2855&lt;=0,0,IFERROR(ROUNDUP(F2855/INDEX(FILTER('warehouse config'!$D:$D,('warehouse config'!$B:$B=C2855)*('warehouse config'!$C:$C=D2855)*('warehouse config'!$G:$G&lt;=B2855)*(('warehouse config'!$H:$H&gt;=B2855)+ISBLANK('warehouse config'!$H:$H))),1)),0))"),0.0)</f>
        <v>0</v>
      </c>
      <c r="H2855" s="3">
        <f>IFERROR(__xludf.DUMMYFUNCTION("IFERROR(INDEX(FILTER('cost master'!$E:$E,('cost master'!$B:$B=C2855)*('cost master'!$D:$D=""Storage cost per pallet / week"")*('cost master'!$G:$G&lt;=B2855)*(('cost master'!$H:$H&gt;=B2855)+ISBLANK('cost master'!$H:$H))),1),0)"),0.0)</f>
        <v>0</v>
      </c>
      <c r="I2855" s="3">
        <f t="shared" si="4"/>
        <v>0</v>
      </c>
      <c r="J2855" s="27">
        <f t="shared" si="5"/>
        <v>693947</v>
      </c>
      <c r="K2855" s="27">
        <f t="shared" si="6"/>
        <v>693977</v>
      </c>
    </row>
    <row r="2856" hidden="1">
      <c r="A2856" s="3" t="str">
        <f t="shared" si="3"/>
        <v/>
      </c>
      <c r="B2856" s="2" t="str">
        <f t="array" ref="B2856">INDEX(helper!$A$3:$A3996,ROUNDUP((ROW()-1)/COUNTA(helper!$D$3:$D3996),0))</f>
        <v/>
      </c>
      <c r="C2856" s="5" t="str">
        <f t="array" ref="C2856">IF(B2856="","",INDEX(helper!$D$3:$D3996,MOD(ROW()-2,COUNTA(helper!$D$3:$D3996))+1))</f>
        <v/>
      </c>
      <c r="D2856" s="3" t="str">
        <f t="array" ref="D2856">IF(B2856="","",INDEX(helper!$E$3:$E3996,MOD(ROW()-2,COUNTA(helper!$D$3:$D3996))+1))</f>
        <v/>
      </c>
      <c r="E2856" s="3" t="str">
        <f t="array" ref="E2856">IF(B2856="","",INDEX(helper!$F$3:$F3996,MOD(ROW()-2,COUNTA(helper!$D$3:$D3996))+1))</f>
        <v/>
      </c>
      <c r="F2856" s="3" t="str">
        <f>IF(B2856="","",SUMIFS('inventory ledger'!$H:$H,'inventory ledger'!$C:$C,C2856,'inventory ledger'!$D:$D,D2856,'inventory ledger'!$E:$E,E2856,'inventory ledger'!$A:$A,"&lt;="&amp;B2856+TIME(23,59,59))-SUMIFS('inventory ledger'!$I:$I,'inventory ledger'!$C:$C,C2856,'inventory ledger'!$D:$D,D2856,'inventory ledger'!$E:$E,E2856,'inventory ledger'!$A:$A,"&lt;="&amp;B2856+TIME(23,59,59)))</f>
        <v/>
      </c>
      <c r="G2856" s="3">
        <f>IFERROR(__xludf.DUMMYFUNCTION("IF(F2856&lt;=0,0,IFERROR(ROUNDUP(F2856/INDEX(FILTER('warehouse config'!$D:$D,('warehouse config'!$B:$B=C2856)*('warehouse config'!$C:$C=D2856)*('warehouse config'!$G:$G&lt;=B2856)*(('warehouse config'!$H:$H&gt;=B2856)+ISBLANK('warehouse config'!$H:$H))),1)),0))"),0.0)</f>
        <v>0</v>
      </c>
      <c r="H2856" s="3">
        <f>IFERROR(__xludf.DUMMYFUNCTION("IFERROR(INDEX(FILTER('cost master'!$E:$E,('cost master'!$B:$B=C2856)*('cost master'!$D:$D=""Storage cost per pallet / week"")*('cost master'!$G:$G&lt;=B2856)*(('cost master'!$H:$H&gt;=B2856)+ISBLANK('cost master'!$H:$H))),1),0)"),0.0)</f>
        <v>0</v>
      </c>
      <c r="I2856" s="3">
        <f t="shared" si="4"/>
        <v>0</v>
      </c>
      <c r="J2856" s="27">
        <f t="shared" si="5"/>
        <v>693947</v>
      </c>
      <c r="K2856" s="27">
        <f t="shared" si="6"/>
        <v>693977</v>
      </c>
    </row>
    <row r="2857" hidden="1">
      <c r="A2857" s="3" t="str">
        <f t="shared" si="3"/>
        <v/>
      </c>
      <c r="B2857" s="2" t="str">
        <f t="array" ref="B2857">INDEX(helper!$A$3:$A3996,ROUNDUP((ROW()-1)/COUNTA(helper!$D$3:$D3996),0))</f>
        <v/>
      </c>
      <c r="C2857" s="5" t="str">
        <f t="array" ref="C2857">IF(B2857="","",INDEX(helper!$D$3:$D3996,MOD(ROW()-2,COUNTA(helper!$D$3:$D3996))+1))</f>
        <v/>
      </c>
      <c r="D2857" s="3" t="str">
        <f t="array" ref="D2857">IF(B2857="","",INDEX(helper!$E$3:$E3996,MOD(ROW()-2,COUNTA(helper!$D$3:$D3996))+1))</f>
        <v/>
      </c>
      <c r="E2857" s="3" t="str">
        <f t="array" ref="E2857">IF(B2857="","",INDEX(helper!$F$3:$F3996,MOD(ROW()-2,COUNTA(helper!$D$3:$D3996))+1))</f>
        <v/>
      </c>
      <c r="F2857" s="3" t="str">
        <f>IF(B2857="","",SUMIFS('inventory ledger'!$H:$H,'inventory ledger'!$C:$C,C2857,'inventory ledger'!$D:$D,D2857,'inventory ledger'!$E:$E,E2857,'inventory ledger'!$A:$A,"&lt;="&amp;B2857+TIME(23,59,59))-SUMIFS('inventory ledger'!$I:$I,'inventory ledger'!$C:$C,C2857,'inventory ledger'!$D:$D,D2857,'inventory ledger'!$E:$E,E2857,'inventory ledger'!$A:$A,"&lt;="&amp;B2857+TIME(23,59,59)))</f>
        <v/>
      </c>
      <c r="G2857" s="3">
        <f>IFERROR(__xludf.DUMMYFUNCTION("IF(F2857&lt;=0,0,IFERROR(ROUNDUP(F2857/INDEX(FILTER('warehouse config'!$D:$D,('warehouse config'!$B:$B=C2857)*('warehouse config'!$C:$C=D2857)*('warehouse config'!$G:$G&lt;=B2857)*(('warehouse config'!$H:$H&gt;=B2857)+ISBLANK('warehouse config'!$H:$H))),1)),0))"),0.0)</f>
        <v>0</v>
      </c>
      <c r="H2857" s="3">
        <f>IFERROR(__xludf.DUMMYFUNCTION("IFERROR(INDEX(FILTER('cost master'!$E:$E,('cost master'!$B:$B=C2857)*('cost master'!$D:$D=""Storage cost per pallet / week"")*('cost master'!$G:$G&lt;=B2857)*(('cost master'!$H:$H&gt;=B2857)+ISBLANK('cost master'!$H:$H))),1),0)"),0.0)</f>
        <v>0</v>
      </c>
      <c r="I2857" s="3">
        <f t="shared" si="4"/>
        <v>0</v>
      </c>
      <c r="J2857" s="27">
        <f t="shared" si="5"/>
        <v>693947</v>
      </c>
      <c r="K2857" s="27">
        <f t="shared" si="6"/>
        <v>693977</v>
      </c>
    </row>
    <row r="2858" hidden="1">
      <c r="A2858" s="3" t="str">
        <f t="shared" si="3"/>
        <v/>
      </c>
      <c r="B2858" s="2" t="str">
        <f t="array" ref="B2858">INDEX(helper!$A$3:$A3996,ROUNDUP((ROW()-1)/COUNTA(helper!$D$3:$D3996),0))</f>
        <v/>
      </c>
      <c r="C2858" s="5" t="str">
        <f t="array" ref="C2858">IF(B2858="","",INDEX(helper!$D$3:$D3996,MOD(ROW()-2,COUNTA(helper!$D$3:$D3996))+1))</f>
        <v/>
      </c>
      <c r="D2858" s="3" t="str">
        <f t="array" ref="D2858">IF(B2858="","",INDEX(helper!$E$3:$E3996,MOD(ROW()-2,COUNTA(helper!$D$3:$D3996))+1))</f>
        <v/>
      </c>
      <c r="E2858" s="3" t="str">
        <f t="array" ref="E2858">IF(B2858="","",INDEX(helper!$F$3:$F3996,MOD(ROW()-2,COUNTA(helper!$D$3:$D3996))+1))</f>
        <v/>
      </c>
      <c r="F2858" s="3" t="str">
        <f>IF(B2858="","",SUMIFS('inventory ledger'!$H:$H,'inventory ledger'!$C:$C,C2858,'inventory ledger'!$D:$D,D2858,'inventory ledger'!$E:$E,E2858,'inventory ledger'!$A:$A,"&lt;="&amp;B2858+TIME(23,59,59))-SUMIFS('inventory ledger'!$I:$I,'inventory ledger'!$C:$C,C2858,'inventory ledger'!$D:$D,D2858,'inventory ledger'!$E:$E,E2858,'inventory ledger'!$A:$A,"&lt;="&amp;B2858+TIME(23,59,59)))</f>
        <v/>
      </c>
      <c r="G2858" s="3">
        <f>IFERROR(__xludf.DUMMYFUNCTION("IF(F2858&lt;=0,0,IFERROR(ROUNDUP(F2858/INDEX(FILTER('warehouse config'!$D:$D,('warehouse config'!$B:$B=C2858)*('warehouse config'!$C:$C=D2858)*('warehouse config'!$G:$G&lt;=B2858)*(('warehouse config'!$H:$H&gt;=B2858)+ISBLANK('warehouse config'!$H:$H))),1)),0))"),0.0)</f>
        <v>0</v>
      </c>
      <c r="H2858" s="3">
        <f>IFERROR(__xludf.DUMMYFUNCTION("IFERROR(INDEX(FILTER('cost master'!$E:$E,('cost master'!$B:$B=C2858)*('cost master'!$D:$D=""Storage cost per pallet / week"")*('cost master'!$G:$G&lt;=B2858)*(('cost master'!$H:$H&gt;=B2858)+ISBLANK('cost master'!$H:$H))),1),0)"),0.0)</f>
        <v>0</v>
      </c>
      <c r="I2858" s="3">
        <f t="shared" si="4"/>
        <v>0</v>
      </c>
      <c r="J2858" s="27">
        <f t="shared" si="5"/>
        <v>693947</v>
      </c>
      <c r="K2858" s="27">
        <f t="shared" si="6"/>
        <v>693977</v>
      </c>
    </row>
    <row r="2859" hidden="1">
      <c r="A2859" s="3" t="str">
        <f t="shared" si="3"/>
        <v/>
      </c>
      <c r="B2859" s="2" t="str">
        <f t="array" ref="B2859">INDEX(helper!$A$3:$A3996,ROUNDUP((ROW()-1)/COUNTA(helper!$D$3:$D3996),0))</f>
        <v/>
      </c>
      <c r="C2859" s="5" t="str">
        <f t="array" ref="C2859">IF(B2859="","",INDEX(helper!$D$3:$D3996,MOD(ROW()-2,COUNTA(helper!$D$3:$D3996))+1))</f>
        <v/>
      </c>
      <c r="D2859" s="3" t="str">
        <f t="array" ref="D2859">IF(B2859="","",INDEX(helper!$E$3:$E3996,MOD(ROW()-2,COUNTA(helper!$D$3:$D3996))+1))</f>
        <v/>
      </c>
      <c r="E2859" s="3" t="str">
        <f t="array" ref="E2859">IF(B2859="","",INDEX(helper!$F$3:$F3996,MOD(ROW()-2,COUNTA(helper!$D$3:$D3996))+1))</f>
        <v/>
      </c>
      <c r="F2859" s="3" t="str">
        <f>IF(B2859="","",SUMIFS('inventory ledger'!$H:$H,'inventory ledger'!$C:$C,C2859,'inventory ledger'!$D:$D,D2859,'inventory ledger'!$E:$E,E2859,'inventory ledger'!$A:$A,"&lt;="&amp;B2859+TIME(23,59,59))-SUMIFS('inventory ledger'!$I:$I,'inventory ledger'!$C:$C,C2859,'inventory ledger'!$D:$D,D2859,'inventory ledger'!$E:$E,E2859,'inventory ledger'!$A:$A,"&lt;="&amp;B2859+TIME(23,59,59)))</f>
        <v/>
      </c>
      <c r="G2859" s="3">
        <f>IFERROR(__xludf.DUMMYFUNCTION("IF(F2859&lt;=0,0,IFERROR(ROUNDUP(F2859/INDEX(FILTER('warehouse config'!$D:$D,('warehouse config'!$B:$B=C2859)*('warehouse config'!$C:$C=D2859)*('warehouse config'!$G:$G&lt;=B2859)*(('warehouse config'!$H:$H&gt;=B2859)+ISBLANK('warehouse config'!$H:$H))),1)),0))"),0.0)</f>
        <v>0</v>
      </c>
      <c r="H2859" s="3">
        <f>IFERROR(__xludf.DUMMYFUNCTION("IFERROR(INDEX(FILTER('cost master'!$E:$E,('cost master'!$B:$B=C2859)*('cost master'!$D:$D=""Storage cost per pallet / week"")*('cost master'!$G:$G&lt;=B2859)*(('cost master'!$H:$H&gt;=B2859)+ISBLANK('cost master'!$H:$H))),1),0)"),0.0)</f>
        <v>0</v>
      </c>
      <c r="I2859" s="3">
        <f t="shared" si="4"/>
        <v>0</v>
      </c>
      <c r="J2859" s="27">
        <f t="shared" si="5"/>
        <v>693947</v>
      </c>
      <c r="K2859" s="27">
        <f t="shared" si="6"/>
        <v>693977</v>
      </c>
    </row>
    <row r="2860" hidden="1">
      <c r="A2860" s="3" t="str">
        <f t="shared" si="3"/>
        <v/>
      </c>
      <c r="B2860" s="2" t="str">
        <f t="array" ref="B2860">INDEX(helper!$A$3:$A3996,ROUNDUP((ROW()-1)/COUNTA(helper!$D$3:$D3996),0))</f>
        <v/>
      </c>
      <c r="C2860" s="5" t="str">
        <f t="array" ref="C2860">IF(B2860="","",INDEX(helper!$D$3:$D3996,MOD(ROW()-2,COUNTA(helper!$D$3:$D3996))+1))</f>
        <v/>
      </c>
      <c r="D2860" s="3" t="str">
        <f t="array" ref="D2860">IF(B2860="","",INDEX(helper!$E$3:$E3996,MOD(ROW()-2,COUNTA(helper!$D$3:$D3996))+1))</f>
        <v/>
      </c>
      <c r="E2860" s="3" t="str">
        <f t="array" ref="E2860">IF(B2860="","",INDEX(helper!$F$3:$F3996,MOD(ROW()-2,COUNTA(helper!$D$3:$D3996))+1))</f>
        <v/>
      </c>
      <c r="F2860" s="3" t="str">
        <f>IF(B2860="","",SUMIFS('inventory ledger'!$H:$H,'inventory ledger'!$C:$C,C2860,'inventory ledger'!$D:$D,D2860,'inventory ledger'!$E:$E,E2860,'inventory ledger'!$A:$A,"&lt;="&amp;B2860+TIME(23,59,59))-SUMIFS('inventory ledger'!$I:$I,'inventory ledger'!$C:$C,C2860,'inventory ledger'!$D:$D,D2860,'inventory ledger'!$E:$E,E2860,'inventory ledger'!$A:$A,"&lt;="&amp;B2860+TIME(23,59,59)))</f>
        <v/>
      </c>
      <c r="G2860" s="3">
        <f>IFERROR(__xludf.DUMMYFUNCTION("IF(F2860&lt;=0,0,IFERROR(ROUNDUP(F2860/INDEX(FILTER('warehouse config'!$D:$D,('warehouse config'!$B:$B=C2860)*('warehouse config'!$C:$C=D2860)*('warehouse config'!$G:$G&lt;=B2860)*(('warehouse config'!$H:$H&gt;=B2860)+ISBLANK('warehouse config'!$H:$H))),1)),0))"),0.0)</f>
        <v>0</v>
      </c>
      <c r="H2860" s="3">
        <f>IFERROR(__xludf.DUMMYFUNCTION("IFERROR(INDEX(FILTER('cost master'!$E:$E,('cost master'!$B:$B=C2860)*('cost master'!$D:$D=""Storage cost per pallet / week"")*('cost master'!$G:$G&lt;=B2860)*(('cost master'!$H:$H&gt;=B2860)+ISBLANK('cost master'!$H:$H))),1),0)"),0.0)</f>
        <v>0</v>
      </c>
      <c r="I2860" s="3">
        <f t="shared" si="4"/>
        <v>0</v>
      </c>
      <c r="J2860" s="27">
        <f t="shared" si="5"/>
        <v>693947</v>
      </c>
      <c r="K2860" s="27">
        <f t="shared" si="6"/>
        <v>693977</v>
      </c>
    </row>
    <row r="2861" hidden="1">
      <c r="A2861" s="3" t="str">
        <f t="shared" si="3"/>
        <v/>
      </c>
      <c r="B2861" s="2" t="str">
        <f t="array" ref="B2861">INDEX(helper!$A$3:$A3996,ROUNDUP((ROW()-1)/COUNTA(helper!$D$3:$D3996),0))</f>
        <v/>
      </c>
      <c r="C2861" s="5" t="str">
        <f t="array" ref="C2861">IF(B2861="","",INDEX(helper!$D$3:$D3996,MOD(ROW()-2,COUNTA(helper!$D$3:$D3996))+1))</f>
        <v/>
      </c>
      <c r="D2861" s="3" t="str">
        <f t="array" ref="D2861">IF(B2861="","",INDEX(helper!$E$3:$E3996,MOD(ROW()-2,COUNTA(helper!$D$3:$D3996))+1))</f>
        <v/>
      </c>
      <c r="E2861" s="3" t="str">
        <f t="array" ref="E2861">IF(B2861="","",INDEX(helper!$F$3:$F3996,MOD(ROW()-2,COUNTA(helper!$D$3:$D3996))+1))</f>
        <v/>
      </c>
      <c r="F2861" s="3" t="str">
        <f>IF(B2861="","",SUMIFS('inventory ledger'!$H:$H,'inventory ledger'!$C:$C,C2861,'inventory ledger'!$D:$D,D2861,'inventory ledger'!$E:$E,E2861,'inventory ledger'!$A:$A,"&lt;="&amp;B2861+TIME(23,59,59))-SUMIFS('inventory ledger'!$I:$I,'inventory ledger'!$C:$C,C2861,'inventory ledger'!$D:$D,D2861,'inventory ledger'!$E:$E,E2861,'inventory ledger'!$A:$A,"&lt;="&amp;B2861+TIME(23,59,59)))</f>
        <v/>
      </c>
      <c r="G2861" s="3">
        <f>IFERROR(__xludf.DUMMYFUNCTION("IF(F2861&lt;=0,0,IFERROR(ROUNDUP(F2861/INDEX(FILTER('warehouse config'!$D:$D,('warehouse config'!$B:$B=C2861)*('warehouse config'!$C:$C=D2861)*('warehouse config'!$G:$G&lt;=B2861)*(('warehouse config'!$H:$H&gt;=B2861)+ISBLANK('warehouse config'!$H:$H))),1)),0))"),0.0)</f>
        <v>0</v>
      </c>
      <c r="H2861" s="3">
        <f>IFERROR(__xludf.DUMMYFUNCTION("IFERROR(INDEX(FILTER('cost master'!$E:$E,('cost master'!$B:$B=C2861)*('cost master'!$D:$D=""Storage cost per pallet / week"")*('cost master'!$G:$G&lt;=B2861)*(('cost master'!$H:$H&gt;=B2861)+ISBLANK('cost master'!$H:$H))),1),0)"),0.0)</f>
        <v>0</v>
      </c>
      <c r="I2861" s="3">
        <f t="shared" si="4"/>
        <v>0</v>
      </c>
      <c r="J2861" s="27">
        <f t="shared" si="5"/>
        <v>693947</v>
      </c>
      <c r="K2861" s="27">
        <f t="shared" si="6"/>
        <v>693977</v>
      </c>
    </row>
    <row r="2862" hidden="1">
      <c r="A2862" s="3" t="str">
        <f t="shared" si="3"/>
        <v/>
      </c>
      <c r="B2862" s="2" t="str">
        <f t="array" ref="B2862">INDEX(helper!$A$3:$A3996,ROUNDUP((ROW()-1)/COUNTA(helper!$D$3:$D3996),0))</f>
        <v/>
      </c>
      <c r="C2862" s="5" t="str">
        <f t="array" ref="C2862">IF(B2862="","",INDEX(helper!$D$3:$D3996,MOD(ROW()-2,COUNTA(helper!$D$3:$D3996))+1))</f>
        <v/>
      </c>
      <c r="D2862" s="3" t="str">
        <f t="array" ref="D2862">IF(B2862="","",INDEX(helper!$E$3:$E3996,MOD(ROW()-2,COUNTA(helper!$D$3:$D3996))+1))</f>
        <v/>
      </c>
      <c r="E2862" s="3" t="str">
        <f t="array" ref="E2862">IF(B2862="","",INDEX(helper!$F$3:$F3996,MOD(ROW()-2,COUNTA(helper!$D$3:$D3996))+1))</f>
        <v/>
      </c>
      <c r="F2862" s="3" t="str">
        <f>IF(B2862="","",SUMIFS('inventory ledger'!$H:$H,'inventory ledger'!$C:$C,C2862,'inventory ledger'!$D:$D,D2862,'inventory ledger'!$E:$E,E2862,'inventory ledger'!$A:$A,"&lt;="&amp;B2862+TIME(23,59,59))-SUMIFS('inventory ledger'!$I:$I,'inventory ledger'!$C:$C,C2862,'inventory ledger'!$D:$D,D2862,'inventory ledger'!$E:$E,E2862,'inventory ledger'!$A:$A,"&lt;="&amp;B2862+TIME(23,59,59)))</f>
        <v/>
      </c>
      <c r="G2862" s="3">
        <f>IFERROR(__xludf.DUMMYFUNCTION("IF(F2862&lt;=0,0,IFERROR(ROUNDUP(F2862/INDEX(FILTER('warehouse config'!$D:$D,('warehouse config'!$B:$B=C2862)*('warehouse config'!$C:$C=D2862)*('warehouse config'!$G:$G&lt;=B2862)*(('warehouse config'!$H:$H&gt;=B2862)+ISBLANK('warehouse config'!$H:$H))),1)),0))"),0.0)</f>
        <v>0</v>
      </c>
      <c r="H2862" s="3">
        <f>IFERROR(__xludf.DUMMYFUNCTION("IFERROR(INDEX(FILTER('cost master'!$E:$E,('cost master'!$B:$B=C2862)*('cost master'!$D:$D=""Storage cost per pallet / week"")*('cost master'!$G:$G&lt;=B2862)*(('cost master'!$H:$H&gt;=B2862)+ISBLANK('cost master'!$H:$H))),1),0)"),0.0)</f>
        <v>0</v>
      </c>
      <c r="I2862" s="3">
        <f t="shared" si="4"/>
        <v>0</v>
      </c>
      <c r="J2862" s="27">
        <f t="shared" si="5"/>
        <v>693947</v>
      </c>
      <c r="K2862" s="27">
        <f t="shared" si="6"/>
        <v>693977</v>
      </c>
    </row>
    <row r="2863" hidden="1">
      <c r="A2863" s="3" t="str">
        <f t="shared" si="3"/>
        <v/>
      </c>
      <c r="B2863" s="2" t="str">
        <f t="array" ref="B2863">INDEX(helper!$A$3:$A3996,ROUNDUP((ROW()-1)/COUNTA(helper!$D$3:$D3996),0))</f>
        <v/>
      </c>
      <c r="C2863" s="5" t="str">
        <f t="array" ref="C2863">IF(B2863="","",INDEX(helper!$D$3:$D3996,MOD(ROW()-2,COUNTA(helper!$D$3:$D3996))+1))</f>
        <v/>
      </c>
      <c r="D2863" s="3" t="str">
        <f t="array" ref="D2863">IF(B2863="","",INDEX(helper!$E$3:$E3996,MOD(ROW()-2,COUNTA(helper!$D$3:$D3996))+1))</f>
        <v/>
      </c>
      <c r="E2863" s="3" t="str">
        <f t="array" ref="E2863">IF(B2863="","",INDEX(helper!$F$3:$F3996,MOD(ROW()-2,COUNTA(helper!$D$3:$D3996))+1))</f>
        <v/>
      </c>
      <c r="F2863" s="3" t="str">
        <f>IF(B2863="","",SUMIFS('inventory ledger'!$H:$H,'inventory ledger'!$C:$C,C2863,'inventory ledger'!$D:$D,D2863,'inventory ledger'!$E:$E,E2863,'inventory ledger'!$A:$A,"&lt;="&amp;B2863+TIME(23,59,59))-SUMIFS('inventory ledger'!$I:$I,'inventory ledger'!$C:$C,C2863,'inventory ledger'!$D:$D,D2863,'inventory ledger'!$E:$E,E2863,'inventory ledger'!$A:$A,"&lt;="&amp;B2863+TIME(23,59,59)))</f>
        <v/>
      </c>
      <c r="G2863" s="3">
        <f>IFERROR(__xludf.DUMMYFUNCTION("IF(F2863&lt;=0,0,IFERROR(ROUNDUP(F2863/INDEX(FILTER('warehouse config'!$D:$D,('warehouse config'!$B:$B=C2863)*('warehouse config'!$C:$C=D2863)*('warehouse config'!$G:$G&lt;=B2863)*(('warehouse config'!$H:$H&gt;=B2863)+ISBLANK('warehouse config'!$H:$H))),1)),0))"),0.0)</f>
        <v>0</v>
      </c>
      <c r="H2863" s="3">
        <f>IFERROR(__xludf.DUMMYFUNCTION("IFERROR(INDEX(FILTER('cost master'!$E:$E,('cost master'!$B:$B=C2863)*('cost master'!$D:$D=""Storage cost per pallet / week"")*('cost master'!$G:$G&lt;=B2863)*(('cost master'!$H:$H&gt;=B2863)+ISBLANK('cost master'!$H:$H))),1),0)"),0.0)</f>
        <v>0</v>
      </c>
      <c r="I2863" s="3">
        <f t="shared" si="4"/>
        <v>0</v>
      </c>
      <c r="J2863" s="27">
        <f t="shared" si="5"/>
        <v>693947</v>
      </c>
      <c r="K2863" s="27">
        <f t="shared" si="6"/>
        <v>693977</v>
      </c>
    </row>
    <row r="2864" hidden="1">
      <c r="A2864" s="3" t="str">
        <f t="shared" si="3"/>
        <v/>
      </c>
      <c r="B2864" s="2" t="str">
        <f t="array" ref="B2864">INDEX(helper!$A$3:$A3996,ROUNDUP((ROW()-1)/COUNTA(helper!$D$3:$D3996),0))</f>
        <v/>
      </c>
      <c r="C2864" s="5" t="str">
        <f t="array" ref="C2864">IF(B2864="","",INDEX(helper!$D$3:$D3996,MOD(ROW()-2,COUNTA(helper!$D$3:$D3996))+1))</f>
        <v/>
      </c>
      <c r="D2864" s="3" t="str">
        <f t="array" ref="D2864">IF(B2864="","",INDEX(helper!$E$3:$E3996,MOD(ROW()-2,COUNTA(helper!$D$3:$D3996))+1))</f>
        <v/>
      </c>
      <c r="E2864" s="3" t="str">
        <f t="array" ref="E2864">IF(B2864="","",INDEX(helper!$F$3:$F3996,MOD(ROW()-2,COUNTA(helper!$D$3:$D3996))+1))</f>
        <v/>
      </c>
      <c r="F2864" s="3" t="str">
        <f>IF(B2864="","",SUMIFS('inventory ledger'!$H:$H,'inventory ledger'!$C:$C,C2864,'inventory ledger'!$D:$D,D2864,'inventory ledger'!$E:$E,E2864,'inventory ledger'!$A:$A,"&lt;="&amp;B2864+TIME(23,59,59))-SUMIFS('inventory ledger'!$I:$I,'inventory ledger'!$C:$C,C2864,'inventory ledger'!$D:$D,D2864,'inventory ledger'!$E:$E,E2864,'inventory ledger'!$A:$A,"&lt;="&amp;B2864+TIME(23,59,59)))</f>
        <v/>
      </c>
      <c r="G2864" s="3">
        <f>IFERROR(__xludf.DUMMYFUNCTION("IF(F2864&lt;=0,0,IFERROR(ROUNDUP(F2864/INDEX(FILTER('warehouse config'!$D:$D,('warehouse config'!$B:$B=C2864)*('warehouse config'!$C:$C=D2864)*('warehouse config'!$G:$G&lt;=B2864)*(('warehouse config'!$H:$H&gt;=B2864)+ISBLANK('warehouse config'!$H:$H))),1)),0))"),0.0)</f>
        <v>0</v>
      </c>
      <c r="H2864" s="3">
        <f>IFERROR(__xludf.DUMMYFUNCTION("IFERROR(INDEX(FILTER('cost master'!$E:$E,('cost master'!$B:$B=C2864)*('cost master'!$D:$D=""Storage cost per pallet / week"")*('cost master'!$G:$G&lt;=B2864)*(('cost master'!$H:$H&gt;=B2864)+ISBLANK('cost master'!$H:$H))),1),0)"),0.0)</f>
        <v>0</v>
      </c>
      <c r="I2864" s="3">
        <f t="shared" si="4"/>
        <v>0</v>
      </c>
      <c r="J2864" s="27">
        <f t="shared" si="5"/>
        <v>693947</v>
      </c>
      <c r="K2864" s="27">
        <f t="shared" si="6"/>
        <v>693977</v>
      </c>
    </row>
    <row r="2865" hidden="1">
      <c r="A2865" s="3" t="str">
        <f t="shared" si="3"/>
        <v/>
      </c>
      <c r="B2865" s="2" t="str">
        <f t="array" ref="B2865">INDEX(helper!$A$3:$A3996,ROUNDUP((ROW()-1)/COUNTA(helper!$D$3:$D3996),0))</f>
        <v/>
      </c>
      <c r="C2865" s="5" t="str">
        <f t="array" ref="C2865">IF(B2865="","",INDEX(helper!$D$3:$D3996,MOD(ROW()-2,COUNTA(helper!$D$3:$D3996))+1))</f>
        <v/>
      </c>
      <c r="D2865" s="3" t="str">
        <f t="array" ref="D2865">IF(B2865="","",INDEX(helper!$E$3:$E3996,MOD(ROW()-2,COUNTA(helper!$D$3:$D3996))+1))</f>
        <v/>
      </c>
      <c r="E2865" s="3" t="str">
        <f t="array" ref="E2865">IF(B2865="","",INDEX(helper!$F$3:$F3996,MOD(ROW()-2,COUNTA(helper!$D$3:$D3996))+1))</f>
        <v/>
      </c>
      <c r="F2865" s="3" t="str">
        <f>IF(B2865="","",SUMIFS('inventory ledger'!$H:$H,'inventory ledger'!$C:$C,C2865,'inventory ledger'!$D:$D,D2865,'inventory ledger'!$E:$E,E2865,'inventory ledger'!$A:$A,"&lt;="&amp;B2865+TIME(23,59,59))-SUMIFS('inventory ledger'!$I:$I,'inventory ledger'!$C:$C,C2865,'inventory ledger'!$D:$D,D2865,'inventory ledger'!$E:$E,E2865,'inventory ledger'!$A:$A,"&lt;="&amp;B2865+TIME(23,59,59)))</f>
        <v/>
      </c>
      <c r="G2865" s="3">
        <f>IFERROR(__xludf.DUMMYFUNCTION("IF(F2865&lt;=0,0,IFERROR(ROUNDUP(F2865/INDEX(FILTER('warehouse config'!$D:$D,('warehouse config'!$B:$B=C2865)*('warehouse config'!$C:$C=D2865)*('warehouse config'!$G:$G&lt;=B2865)*(('warehouse config'!$H:$H&gt;=B2865)+ISBLANK('warehouse config'!$H:$H))),1)),0))"),0.0)</f>
        <v>0</v>
      </c>
      <c r="H2865" s="3">
        <f>IFERROR(__xludf.DUMMYFUNCTION("IFERROR(INDEX(FILTER('cost master'!$E:$E,('cost master'!$B:$B=C2865)*('cost master'!$D:$D=""Storage cost per pallet / week"")*('cost master'!$G:$G&lt;=B2865)*(('cost master'!$H:$H&gt;=B2865)+ISBLANK('cost master'!$H:$H))),1),0)"),0.0)</f>
        <v>0</v>
      </c>
      <c r="I2865" s="3">
        <f t="shared" si="4"/>
        <v>0</v>
      </c>
      <c r="J2865" s="27">
        <f t="shared" si="5"/>
        <v>693947</v>
      </c>
      <c r="K2865" s="27">
        <f t="shared" si="6"/>
        <v>693977</v>
      </c>
    </row>
    <row r="2866" hidden="1">
      <c r="A2866" s="3" t="str">
        <f t="shared" si="3"/>
        <v/>
      </c>
      <c r="B2866" s="2" t="str">
        <f t="array" ref="B2866">INDEX(helper!$A$3:$A3996,ROUNDUP((ROW()-1)/COUNTA(helper!$D$3:$D3996),0))</f>
        <v/>
      </c>
      <c r="C2866" s="5" t="str">
        <f t="array" ref="C2866">IF(B2866="","",INDEX(helper!$D$3:$D3996,MOD(ROW()-2,COUNTA(helper!$D$3:$D3996))+1))</f>
        <v/>
      </c>
      <c r="D2866" s="3" t="str">
        <f t="array" ref="D2866">IF(B2866="","",INDEX(helper!$E$3:$E3996,MOD(ROW()-2,COUNTA(helper!$D$3:$D3996))+1))</f>
        <v/>
      </c>
      <c r="E2866" s="3" t="str">
        <f t="array" ref="E2866">IF(B2866="","",INDEX(helper!$F$3:$F3996,MOD(ROW()-2,COUNTA(helper!$D$3:$D3996))+1))</f>
        <v/>
      </c>
      <c r="F2866" s="3" t="str">
        <f>IF(B2866="","",SUMIFS('inventory ledger'!$H:$H,'inventory ledger'!$C:$C,C2866,'inventory ledger'!$D:$D,D2866,'inventory ledger'!$E:$E,E2866,'inventory ledger'!$A:$A,"&lt;="&amp;B2866+TIME(23,59,59))-SUMIFS('inventory ledger'!$I:$I,'inventory ledger'!$C:$C,C2866,'inventory ledger'!$D:$D,D2866,'inventory ledger'!$E:$E,E2866,'inventory ledger'!$A:$A,"&lt;="&amp;B2866+TIME(23,59,59)))</f>
        <v/>
      </c>
      <c r="G2866" s="3">
        <f>IFERROR(__xludf.DUMMYFUNCTION("IF(F2866&lt;=0,0,IFERROR(ROUNDUP(F2866/INDEX(FILTER('warehouse config'!$D:$D,('warehouse config'!$B:$B=C2866)*('warehouse config'!$C:$C=D2866)*('warehouse config'!$G:$G&lt;=B2866)*(('warehouse config'!$H:$H&gt;=B2866)+ISBLANK('warehouse config'!$H:$H))),1)),0))"),0.0)</f>
        <v>0</v>
      </c>
      <c r="H2866" s="3">
        <f>IFERROR(__xludf.DUMMYFUNCTION("IFERROR(INDEX(FILTER('cost master'!$E:$E,('cost master'!$B:$B=C2866)*('cost master'!$D:$D=""Storage cost per pallet / week"")*('cost master'!$G:$G&lt;=B2866)*(('cost master'!$H:$H&gt;=B2866)+ISBLANK('cost master'!$H:$H))),1),0)"),0.0)</f>
        <v>0</v>
      </c>
      <c r="I2866" s="3">
        <f t="shared" si="4"/>
        <v>0</v>
      </c>
      <c r="J2866" s="27">
        <f t="shared" si="5"/>
        <v>693947</v>
      </c>
      <c r="K2866" s="27">
        <f t="shared" si="6"/>
        <v>693977</v>
      </c>
    </row>
    <row r="2867" hidden="1">
      <c r="A2867" s="3" t="str">
        <f t="shared" si="3"/>
        <v/>
      </c>
      <c r="B2867" s="2" t="str">
        <f t="array" ref="B2867">INDEX(helper!$A$3:$A3996,ROUNDUP((ROW()-1)/COUNTA(helper!$D$3:$D3996),0))</f>
        <v/>
      </c>
      <c r="C2867" s="5" t="str">
        <f t="array" ref="C2867">IF(B2867="","",INDEX(helper!$D$3:$D3996,MOD(ROW()-2,COUNTA(helper!$D$3:$D3996))+1))</f>
        <v/>
      </c>
      <c r="D2867" s="3" t="str">
        <f t="array" ref="D2867">IF(B2867="","",INDEX(helper!$E$3:$E3996,MOD(ROW()-2,COUNTA(helper!$D$3:$D3996))+1))</f>
        <v/>
      </c>
      <c r="E2867" s="3" t="str">
        <f t="array" ref="E2867">IF(B2867="","",INDEX(helper!$F$3:$F3996,MOD(ROW()-2,COUNTA(helper!$D$3:$D3996))+1))</f>
        <v/>
      </c>
      <c r="F2867" s="3" t="str">
        <f>IF(B2867="","",SUMIFS('inventory ledger'!$H:$H,'inventory ledger'!$C:$C,C2867,'inventory ledger'!$D:$D,D2867,'inventory ledger'!$E:$E,E2867,'inventory ledger'!$A:$A,"&lt;="&amp;B2867+TIME(23,59,59))-SUMIFS('inventory ledger'!$I:$I,'inventory ledger'!$C:$C,C2867,'inventory ledger'!$D:$D,D2867,'inventory ledger'!$E:$E,E2867,'inventory ledger'!$A:$A,"&lt;="&amp;B2867+TIME(23,59,59)))</f>
        <v/>
      </c>
      <c r="G2867" s="3">
        <f>IFERROR(__xludf.DUMMYFUNCTION("IF(F2867&lt;=0,0,IFERROR(ROUNDUP(F2867/INDEX(FILTER('warehouse config'!$D:$D,('warehouse config'!$B:$B=C2867)*('warehouse config'!$C:$C=D2867)*('warehouse config'!$G:$G&lt;=B2867)*(('warehouse config'!$H:$H&gt;=B2867)+ISBLANK('warehouse config'!$H:$H))),1)),0))"),0.0)</f>
        <v>0</v>
      </c>
      <c r="H2867" s="3">
        <f>IFERROR(__xludf.DUMMYFUNCTION("IFERROR(INDEX(FILTER('cost master'!$E:$E,('cost master'!$B:$B=C2867)*('cost master'!$D:$D=""Storage cost per pallet / week"")*('cost master'!$G:$G&lt;=B2867)*(('cost master'!$H:$H&gt;=B2867)+ISBLANK('cost master'!$H:$H))),1),0)"),0.0)</f>
        <v>0</v>
      </c>
      <c r="I2867" s="3">
        <f t="shared" si="4"/>
        <v>0</v>
      </c>
      <c r="J2867" s="27">
        <f t="shared" si="5"/>
        <v>693947</v>
      </c>
      <c r="K2867" s="27">
        <f t="shared" si="6"/>
        <v>693977</v>
      </c>
    </row>
    <row r="2868" hidden="1">
      <c r="A2868" s="3" t="str">
        <f t="shared" si="3"/>
        <v/>
      </c>
      <c r="B2868" s="2" t="str">
        <f t="array" ref="B2868">INDEX(helper!$A$3:$A3996,ROUNDUP((ROW()-1)/COUNTA(helper!$D$3:$D3996),0))</f>
        <v/>
      </c>
      <c r="C2868" s="5" t="str">
        <f t="array" ref="C2868">IF(B2868="","",INDEX(helper!$D$3:$D3996,MOD(ROW()-2,COUNTA(helper!$D$3:$D3996))+1))</f>
        <v/>
      </c>
      <c r="D2868" s="3" t="str">
        <f t="array" ref="D2868">IF(B2868="","",INDEX(helper!$E$3:$E3996,MOD(ROW()-2,COUNTA(helper!$D$3:$D3996))+1))</f>
        <v/>
      </c>
      <c r="E2868" s="3" t="str">
        <f t="array" ref="E2868">IF(B2868="","",INDEX(helper!$F$3:$F3996,MOD(ROW()-2,COUNTA(helper!$D$3:$D3996))+1))</f>
        <v/>
      </c>
      <c r="F2868" s="3" t="str">
        <f>IF(B2868="","",SUMIFS('inventory ledger'!$H:$H,'inventory ledger'!$C:$C,C2868,'inventory ledger'!$D:$D,D2868,'inventory ledger'!$E:$E,E2868,'inventory ledger'!$A:$A,"&lt;="&amp;B2868+TIME(23,59,59))-SUMIFS('inventory ledger'!$I:$I,'inventory ledger'!$C:$C,C2868,'inventory ledger'!$D:$D,D2868,'inventory ledger'!$E:$E,E2868,'inventory ledger'!$A:$A,"&lt;="&amp;B2868+TIME(23,59,59)))</f>
        <v/>
      </c>
      <c r="G2868" s="3">
        <f>IFERROR(__xludf.DUMMYFUNCTION("IF(F2868&lt;=0,0,IFERROR(ROUNDUP(F2868/INDEX(FILTER('warehouse config'!$D:$D,('warehouse config'!$B:$B=C2868)*('warehouse config'!$C:$C=D2868)*('warehouse config'!$G:$G&lt;=B2868)*(('warehouse config'!$H:$H&gt;=B2868)+ISBLANK('warehouse config'!$H:$H))),1)),0))"),0.0)</f>
        <v>0</v>
      </c>
      <c r="H2868" s="3">
        <f>IFERROR(__xludf.DUMMYFUNCTION("IFERROR(INDEX(FILTER('cost master'!$E:$E,('cost master'!$B:$B=C2868)*('cost master'!$D:$D=""Storage cost per pallet / week"")*('cost master'!$G:$G&lt;=B2868)*(('cost master'!$H:$H&gt;=B2868)+ISBLANK('cost master'!$H:$H))),1),0)"),0.0)</f>
        <v>0</v>
      </c>
      <c r="I2868" s="3">
        <f t="shared" si="4"/>
        <v>0</v>
      </c>
      <c r="J2868" s="27">
        <f t="shared" si="5"/>
        <v>693947</v>
      </c>
      <c r="K2868" s="27">
        <f t="shared" si="6"/>
        <v>693977</v>
      </c>
    </row>
    <row r="2869" hidden="1">
      <c r="A2869" s="3" t="str">
        <f t="shared" si="3"/>
        <v/>
      </c>
      <c r="B2869" s="2" t="str">
        <f t="array" ref="B2869">INDEX(helper!$A$3:$A3996,ROUNDUP((ROW()-1)/COUNTA(helper!$D$3:$D3996),0))</f>
        <v/>
      </c>
      <c r="C2869" s="5" t="str">
        <f t="array" ref="C2869">IF(B2869="","",INDEX(helper!$D$3:$D3996,MOD(ROW()-2,COUNTA(helper!$D$3:$D3996))+1))</f>
        <v/>
      </c>
      <c r="D2869" s="3" t="str">
        <f t="array" ref="D2869">IF(B2869="","",INDEX(helper!$E$3:$E3996,MOD(ROW()-2,COUNTA(helper!$D$3:$D3996))+1))</f>
        <v/>
      </c>
      <c r="E2869" s="3" t="str">
        <f t="array" ref="E2869">IF(B2869="","",INDEX(helper!$F$3:$F3996,MOD(ROW()-2,COUNTA(helper!$D$3:$D3996))+1))</f>
        <v/>
      </c>
      <c r="F2869" s="3" t="str">
        <f>IF(B2869="","",SUMIFS('inventory ledger'!$H:$H,'inventory ledger'!$C:$C,C2869,'inventory ledger'!$D:$D,D2869,'inventory ledger'!$E:$E,E2869,'inventory ledger'!$A:$A,"&lt;="&amp;B2869+TIME(23,59,59))-SUMIFS('inventory ledger'!$I:$I,'inventory ledger'!$C:$C,C2869,'inventory ledger'!$D:$D,D2869,'inventory ledger'!$E:$E,E2869,'inventory ledger'!$A:$A,"&lt;="&amp;B2869+TIME(23,59,59)))</f>
        <v/>
      </c>
      <c r="G2869" s="3">
        <f>IFERROR(__xludf.DUMMYFUNCTION("IF(F2869&lt;=0,0,IFERROR(ROUNDUP(F2869/INDEX(FILTER('warehouse config'!$D:$D,('warehouse config'!$B:$B=C2869)*('warehouse config'!$C:$C=D2869)*('warehouse config'!$G:$G&lt;=B2869)*(('warehouse config'!$H:$H&gt;=B2869)+ISBLANK('warehouse config'!$H:$H))),1)),0))"),0.0)</f>
        <v>0</v>
      </c>
      <c r="H2869" s="3">
        <f>IFERROR(__xludf.DUMMYFUNCTION("IFERROR(INDEX(FILTER('cost master'!$E:$E,('cost master'!$B:$B=C2869)*('cost master'!$D:$D=""Storage cost per pallet / week"")*('cost master'!$G:$G&lt;=B2869)*(('cost master'!$H:$H&gt;=B2869)+ISBLANK('cost master'!$H:$H))),1),0)"),0.0)</f>
        <v>0</v>
      </c>
      <c r="I2869" s="3">
        <f t="shared" si="4"/>
        <v>0</v>
      </c>
      <c r="J2869" s="27">
        <f t="shared" si="5"/>
        <v>693947</v>
      </c>
      <c r="K2869" s="27">
        <f t="shared" si="6"/>
        <v>693977</v>
      </c>
    </row>
    <row r="2870" hidden="1">
      <c r="A2870" s="3" t="str">
        <f t="shared" si="3"/>
        <v/>
      </c>
      <c r="B2870" s="2" t="str">
        <f t="array" ref="B2870">INDEX(helper!$A$3:$A3996,ROUNDUP((ROW()-1)/COUNTA(helper!$D$3:$D3996),0))</f>
        <v/>
      </c>
      <c r="C2870" s="5" t="str">
        <f t="array" ref="C2870">IF(B2870="","",INDEX(helper!$D$3:$D3996,MOD(ROW()-2,COUNTA(helper!$D$3:$D3996))+1))</f>
        <v/>
      </c>
      <c r="D2870" s="3" t="str">
        <f t="array" ref="D2870">IF(B2870="","",INDEX(helper!$E$3:$E3996,MOD(ROW()-2,COUNTA(helper!$D$3:$D3996))+1))</f>
        <v/>
      </c>
      <c r="E2870" s="3" t="str">
        <f t="array" ref="E2870">IF(B2870="","",INDEX(helper!$F$3:$F3996,MOD(ROW()-2,COUNTA(helper!$D$3:$D3996))+1))</f>
        <v/>
      </c>
      <c r="F2870" s="3" t="str">
        <f>IF(B2870="","",SUMIFS('inventory ledger'!$H:$H,'inventory ledger'!$C:$C,C2870,'inventory ledger'!$D:$D,D2870,'inventory ledger'!$E:$E,E2870,'inventory ledger'!$A:$A,"&lt;="&amp;B2870+TIME(23,59,59))-SUMIFS('inventory ledger'!$I:$I,'inventory ledger'!$C:$C,C2870,'inventory ledger'!$D:$D,D2870,'inventory ledger'!$E:$E,E2870,'inventory ledger'!$A:$A,"&lt;="&amp;B2870+TIME(23,59,59)))</f>
        <v/>
      </c>
      <c r="G2870" s="3">
        <f>IFERROR(__xludf.DUMMYFUNCTION("IF(F2870&lt;=0,0,IFERROR(ROUNDUP(F2870/INDEX(FILTER('warehouse config'!$D:$D,('warehouse config'!$B:$B=C2870)*('warehouse config'!$C:$C=D2870)*('warehouse config'!$G:$G&lt;=B2870)*(('warehouse config'!$H:$H&gt;=B2870)+ISBLANK('warehouse config'!$H:$H))),1)),0))"),0.0)</f>
        <v>0</v>
      </c>
      <c r="H2870" s="3">
        <f>IFERROR(__xludf.DUMMYFUNCTION("IFERROR(INDEX(FILTER('cost master'!$E:$E,('cost master'!$B:$B=C2870)*('cost master'!$D:$D=""Storage cost per pallet / week"")*('cost master'!$G:$G&lt;=B2870)*(('cost master'!$H:$H&gt;=B2870)+ISBLANK('cost master'!$H:$H))),1),0)"),0.0)</f>
        <v>0</v>
      </c>
      <c r="I2870" s="3">
        <f t="shared" si="4"/>
        <v>0</v>
      </c>
      <c r="J2870" s="27">
        <f t="shared" si="5"/>
        <v>693947</v>
      </c>
      <c r="K2870" s="27">
        <f t="shared" si="6"/>
        <v>693977</v>
      </c>
    </row>
    <row r="2871" hidden="1">
      <c r="A2871" s="3" t="str">
        <f t="shared" si="3"/>
        <v/>
      </c>
      <c r="B2871" s="2" t="str">
        <f t="array" ref="B2871">INDEX(helper!$A$3:$A3996,ROUNDUP((ROW()-1)/COUNTA(helper!$D$3:$D3996),0))</f>
        <v/>
      </c>
      <c r="C2871" s="5" t="str">
        <f t="array" ref="C2871">IF(B2871="","",INDEX(helper!$D$3:$D3996,MOD(ROW()-2,COUNTA(helper!$D$3:$D3996))+1))</f>
        <v/>
      </c>
      <c r="D2871" s="3" t="str">
        <f t="array" ref="D2871">IF(B2871="","",INDEX(helper!$E$3:$E3996,MOD(ROW()-2,COUNTA(helper!$D$3:$D3996))+1))</f>
        <v/>
      </c>
      <c r="E2871" s="3" t="str">
        <f t="array" ref="E2871">IF(B2871="","",INDEX(helper!$F$3:$F3996,MOD(ROW()-2,COUNTA(helper!$D$3:$D3996))+1))</f>
        <v/>
      </c>
      <c r="F2871" s="3" t="str">
        <f>IF(B2871="","",SUMIFS('inventory ledger'!$H:$H,'inventory ledger'!$C:$C,C2871,'inventory ledger'!$D:$D,D2871,'inventory ledger'!$E:$E,E2871,'inventory ledger'!$A:$A,"&lt;="&amp;B2871+TIME(23,59,59))-SUMIFS('inventory ledger'!$I:$I,'inventory ledger'!$C:$C,C2871,'inventory ledger'!$D:$D,D2871,'inventory ledger'!$E:$E,E2871,'inventory ledger'!$A:$A,"&lt;="&amp;B2871+TIME(23,59,59)))</f>
        <v/>
      </c>
      <c r="G2871" s="3">
        <f>IFERROR(__xludf.DUMMYFUNCTION("IF(F2871&lt;=0,0,IFERROR(ROUNDUP(F2871/INDEX(FILTER('warehouse config'!$D:$D,('warehouse config'!$B:$B=C2871)*('warehouse config'!$C:$C=D2871)*('warehouse config'!$G:$G&lt;=B2871)*(('warehouse config'!$H:$H&gt;=B2871)+ISBLANK('warehouse config'!$H:$H))),1)),0))"),0.0)</f>
        <v>0</v>
      </c>
      <c r="H2871" s="3">
        <f>IFERROR(__xludf.DUMMYFUNCTION("IFERROR(INDEX(FILTER('cost master'!$E:$E,('cost master'!$B:$B=C2871)*('cost master'!$D:$D=""Storage cost per pallet / week"")*('cost master'!$G:$G&lt;=B2871)*(('cost master'!$H:$H&gt;=B2871)+ISBLANK('cost master'!$H:$H))),1),0)"),0.0)</f>
        <v>0</v>
      </c>
      <c r="I2871" s="3">
        <f t="shared" si="4"/>
        <v>0</v>
      </c>
      <c r="J2871" s="27">
        <f t="shared" si="5"/>
        <v>693947</v>
      </c>
      <c r="K2871" s="27">
        <f t="shared" si="6"/>
        <v>693977</v>
      </c>
    </row>
    <row r="2872" hidden="1">
      <c r="A2872" s="3" t="str">
        <f t="shared" si="3"/>
        <v/>
      </c>
      <c r="B2872" s="2" t="str">
        <f t="array" ref="B2872">INDEX(helper!$A$3:$A3996,ROUNDUP((ROW()-1)/COUNTA(helper!$D$3:$D3996),0))</f>
        <v/>
      </c>
      <c r="C2872" s="5" t="str">
        <f t="array" ref="C2872">IF(B2872="","",INDEX(helper!$D$3:$D3996,MOD(ROW()-2,COUNTA(helper!$D$3:$D3996))+1))</f>
        <v/>
      </c>
      <c r="D2872" s="3" t="str">
        <f t="array" ref="D2872">IF(B2872="","",INDEX(helper!$E$3:$E3996,MOD(ROW()-2,COUNTA(helper!$D$3:$D3996))+1))</f>
        <v/>
      </c>
      <c r="E2872" s="3" t="str">
        <f t="array" ref="E2872">IF(B2872="","",INDEX(helper!$F$3:$F3996,MOD(ROW()-2,COUNTA(helper!$D$3:$D3996))+1))</f>
        <v/>
      </c>
      <c r="F2872" s="3" t="str">
        <f>IF(B2872="","",SUMIFS('inventory ledger'!$H:$H,'inventory ledger'!$C:$C,C2872,'inventory ledger'!$D:$D,D2872,'inventory ledger'!$E:$E,E2872,'inventory ledger'!$A:$A,"&lt;="&amp;B2872+TIME(23,59,59))-SUMIFS('inventory ledger'!$I:$I,'inventory ledger'!$C:$C,C2872,'inventory ledger'!$D:$D,D2872,'inventory ledger'!$E:$E,E2872,'inventory ledger'!$A:$A,"&lt;="&amp;B2872+TIME(23,59,59)))</f>
        <v/>
      </c>
      <c r="G2872" s="3">
        <f>IFERROR(__xludf.DUMMYFUNCTION("IF(F2872&lt;=0,0,IFERROR(ROUNDUP(F2872/INDEX(FILTER('warehouse config'!$D:$D,('warehouse config'!$B:$B=C2872)*('warehouse config'!$C:$C=D2872)*('warehouse config'!$G:$G&lt;=B2872)*(('warehouse config'!$H:$H&gt;=B2872)+ISBLANK('warehouse config'!$H:$H))),1)),0))"),0.0)</f>
        <v>0</v>
      </c>
      <c r="H2872" s="3">
        <f>IFERROR(__xludf.DUMMYFUNCTION("IFERROR(INDEX(FILTER('cost master'!$E:$E,('cost master'!$B:$B=C2872)*('cost master'!$D:$D=""Storage cost per pallet / week"")*('cost master'!$G:$G&lt;=B2872)*(('cost master'!$H:$H&gt;=B2872)+ISBLANK('cost master'!$H:$H))),1),0)"),0.0)</f>
        <v>0</v>
      </c>
      <c r="I2872" s="3">
        <f t="shared" si="4"/>
        <v>0</v>
      </c>
      <c r="J2872" s="27">
        <f t="shared" si="5"/>
        <v>693947</v>
      </c>
      <c r="K2872" s="27">
        <f t="shared" si="6"/>
        <v>693977</v>
      </c>
    </row>
    <row r="2873" hidden="1">
      <c r="A2873" s="3" t="str">
        <f t="shared" si="3"/>
        <v/>
      </c>
      <c r="B2873" s="2" t="str">
        <f t="array" ref="B2873">INDEX(helper!$A$3:$A3996,ROUNDUP((ROW()-1)/COUNTA(helper!$D$3:$D3996),0))</f>
        <v/>
      </c>
      <c r="C2873" s="5" t="str">
        <f t="array" ref="C2873">IF(B2873="","",INDEX(helper!$D$3:$D3996,MOD(ROW()-2,COUNTA(helper!$D$3:$D3996))+1))</f>
        <v/>
      </c>
      <c r="D2873" s="3" t="str">
        <f t="array" ref="D2873">IF(B2873="","",INDEX(helper!$E$3:$E3996,MOD(ROW()-2,COUNTA(helper!$D$3:$D3996))+1))</f>
        <v/>
      </c>
      <c r="E2873" s="3" t="str">
        <f t="array" ref="E2873">IF(B2873="","",INDEX(helper!$F$3:$F3996,MOD(ROW()-2,COUNTA(helper!$D$3:$D3996))+1))</f>
        <v/>
      </c>
      <c r="F2873" s="3" t="str">
        <f>IF(B2873="","",SUMIFS('inventory ledger'!$H:$H,'inventory ledger'!$C:$C,C2873,'inventory ledger'!$D:$D,D2873,'inventory ledger'!$E:$E,E2873,'inventory ledger'!$A:$A,"&lt;="&amp;B2873+TIME(23,59,59))-SUMIFS('inventory ledger'!$I:$I,'inventory ledger'!$C:$C,C2873,'inventory ledger'!$D:$D,D2873,'inventory ledger'!$E:$E,E2873,'inventory ledger'!$A:$A,"&lt;="&amp;B2873+TIME(23,59,59)))</f>
        <v/>
      </c>
      <c r="G2873" s="3">
        <f>IFERROR(__xludf.DUMMYFUNCTION("IF(F2873&lt;=0,0,IFERROR(ROUNDUP(F2873/INDEX(FILTER('warehouse config'!$D:$D,('warehouse config'!$B:$B=C2873)*('warehouse config'!$C:$C=D2873)*('warehouse config'!$G:$G&lt;=B2873)*(('warehouse config'!$H:$H&gt;=B2873)+ISBLANK('warehouse config'!$H:$H))),1)),0))"),0.0)</f>
        <v>0</v>
      </c>
      <c r="H2873" s="3">
        <f>IFERROR(__xludf.DUMMYFUNCTION("IFERROR(INDEX(FILTER('cost master'!$E:$E,('cost master'!$B:$B=C2873)*('cost master'!$D:$D=""Storage cost per pallet / week"")*('cost master'!$G:$G&lt;=B2873)*(('cost master'!$H:$H&gt;=B2873)+ISBLANK('cost master'!$H:$H))),1),0)"),0.0)</f>
        <v>0</v>
      </c>
      <c r="I2873" s="3">
        <f t="shared" si="4"/>
        <v>0</v>
      </c>
      <c r="J2873" s="27">
        <f t="shared" si="5"/>
        <v>693947</v>
      </c>
      <c r="K2873" s="27">
        <f t="shared" si="6"/>
        <v>693977</v>
      </c>
    </row>
    <row r="2874" hidden="1">
      <c r="A2874" s="3" t="str">
        <f t="shared" si="3"/>
        <v/>
      </c>
      <c r="B2874" s="2" t="str">
        <f t="array" ref="B2874">INDEX(helper!$A$3:$A3996,ROUNDUP((ROW()-1)/COUNTA(helper!$D$3:$D3996),0))</f>
        <v/>
      </c>
      <c r="C2874" s="5" t="str">
        <f t="array" ref="C2874">IF(B2874="","",INDEX(helper!$D$3:$D3996,MOD(ROW()-2,COUNTA(helper!$D$3:$D3996))+1))</f>
        <v/>
      </c>
      <c r="D2874" s="3" t="str">
        <f t="array" ref="D2874">IF(B2874="","",INDEX(helper!$E$3:$E3996,MOD(ROW()-2,COUNTA(helper!$D$3:$D3996))+1))</f>
        <v/>
      </c>
      <c r="E2874" s="3" t="str">
        <f t="array" ref="E2874">IF(B2874="","",INDEX(helper!$F$3:$F3996,MOD(ROW()-2,COUNTA(helper!$D$3:$D3996))+1))</f>
        <v/>
      </c>
      <c r="F2874" s="3" t="str">
        <f>IF(B2874="","",SUMIFS('inventory ledger'!$H:$H,'inventory ledger'!$C:$C,C2874,'inventory ledger'!$D:$D,D2874,'inventory ledger'!$E:$E,E2874,'inventory ledger'!$A:$A,"&lt;="&amp;B2874+TIME(23,59,59))-SUMIFS('inventory ledger'!$I:$I,'inventory ledger'!$C:$C,C2874,'inventory ledger'!$D:$D,D2874,'inventory ledger'!$E:$E,E2874,'inventory ledger'!$A:$A,"&lt;="&amp;B2874+TIME(23,59,59)))</f>
        <v/>
      </c>
      <c r="G2874" s="3">
        <f>IFERROR(__xludf.DUMMYFUNCTION("IF(F2874&lt;=0,0,IFERROR(ROUNDUP(F2874/INDEX(FILTER('warehouse config'!$D:$D,('warehouse config'!$B:$B=C2874)*('warehouse config'!$C:$C=D2874)*('warehouse config'!$G:$G&lt;=B2874)*(('warehouse config'!$H:$H&gt;=B2874)+ISBLANK('warehouse config'!$H:$H))),1)),0))"),0.0)</f>
        <v>0</v>
      </c>
      <c r="H2874" s="3">
        <f>IFERROR(__xludf.DUMMYFUNCTION("IFERROR(INDEX(FILTER('cost master'!$E:$E,('cost master'!$B:$B=C2874)*('cost master'!$D:$D=""Storage cost per pallet / week"")*('cost master'!$G:$G&lt;=B2874)*(('cost master'!$H:$H&gt;=B2874)+ISBLANK('cost master'!$H:$H))),1),0)"),0.0)</f>
        <v>0</v>
      </c>
      <c r="I2874" s="3">
        <f t="shared" si="4"/>
        <v>0</v>
      </c>
      <c r="J2874" s="27">
        <f t="shared" si="5"/>
        <v>693947</v>
      </c>
      <c r="K2874" s="27">
        <f t="shared" si="6"/>
        <v>693977</v>
      </c>
    </row>
    <row r="2875" hidden="1">
      <c r="A2875" s="3" t="str">
        <f t="shared" si="3"/>
        <v/>
      </c>
      <c r="B2875" s="2" t="str">
        <f t="array" ref="B2875">INDEX(helper!$A$3:$A3996,ROUNDUP((ROW()-1)/COUNTA(helper!$D$3:$D3996),0))</f>
        <v/>
      </c>
      <c r="C2875" s="5" t="str">
        <f t="array" ref="C2875">IF(B2875="","",INDEX(helper!$D$3:$D3996,MOD(ROW()-2,COUNTA(helper!$D$3:$D3996))+1))</f>
        <v/>
      </c>
      <c r="D2875" s="3" t="str">
        <f t="array" ref="D2875">IF(B2875="","",INDEX(helper!$E$3:$E3996,MOD(ROW()-2,COUNTA(helper!$D$3:$D3996))+1))</f>
        <v/>
      </c>
      <c r="E2875" s="3" t="str">
        <f t="array" ref="E2875">IF(B2875="","",INDEX(helper!$F$3:$F3996,MOD(ROW()-2,COUNTA(helper!$D$3:$D3996))+1))</f>
        <v/>
      </c>
      <c r="F2875" s="3" t="str">
        <f>IF(B2875="","",SUMIFS('inventory ledger'!$H:$H,'inventory ledger'!$C:$C,C2875,'inventory ledger'!$D:$D,D2875,'inventory ledger'!$E:$E,E2875,'inventory ledger'!$A:$A,"&lt;="&amp;B2875+TIME(23,59,59))-SUMIFS('inventory ledger'!$I:$I,'inventory ledger'!$C:$C,C2875,'inventory ledger'!$D:$D,D2875,'inventory ledger'!$E:$E,E2875,'inventory ledger'!$A:$A,"&lt;="&amp;B2875+TIME(23,59,59)))</f>
        <v/>
      </c>
      <c r="G2875" s="3">
        <f>IFERROR(__xludf.DUMMYFUNCTION("IF(F2875&lt;=0,0,IFERROR(ROUNDUP(F2875/INDEX(FILTER('warehouse config'!$D:$D,('warehouse config'!$B:$B=C2875)*('warehouse config'!$C:$C=D2875)*('warehouse config'!$G:$G&lt;=B2875)*(('warehouse config'!$H:$H&gt;=B2875)+ISBLANK('warehouse config'!$H:$H))),1)),0))"),0.0)</f>
        <v>0</v>
      </c>
      <c r="H2875" s="3">
        <f>IFERROR(__xludf.DUMMYFUNCTION("IFERROR(INDEX(FILTER('cost master'!$E:$E,('cost master'!$B:$B=C2875)*('cost master'!$D:$D=""Storage cost per pallet / week"")*('cost master'!$G:$G&lt;=B2875)*(('cost master'!$H:$H&gt;=B2875)+ISBLANK('cost master'!$H:$H))),1),0)"),0.0)</f>
        <v>0</v>
      </c>
      <c r="I2875" s="3">
        <f t="shared" si="4"/>
        <v>0</v>
      </c>
      <c r="J2875" s="27">
        <f t="shared" si="5"/>
        <v>693947</v>
      </c>
      <c r="K2875" s="27">
        <f t="shared" si="6"/>
        <v>693977</v>
      </c>
    </row>
    <row r="2876" hidden="1">
      <c r="A2876" s="3" t="str">
        <f t="shared" si="3"/>
        <v/>
      </c>
      <c r="B2876" s="2" t="str">
        <f t="array" ref="B2876">INDEX(helper!$A$3:$A3996,ROUNDUP((ROW()-1)/COUNTA(helper!$D$3:$D3996),0))</f>
        <v/>
      </c>
      <c r="C2876" s="5" t="str">
        <f t="array" ref="C2876">IF(B2876="","",INDEX(helper!$D$3:$D3996,MOD(ROW()-2,COUNTA(helper!$D$3:$D3996))+1))</f>
        <v/>
      </c>
      <c r="D2876" s="3" t="str">
        <f t="array" ref="D2876">IF(B2876="","",INDEX(helper!$E$3:$E3996,MOD(ROW()-2,COUNTA(helper!$D$3:$D3996))+1))</f>
        <v/>
      </c>
      <c r="E2876" s="3" t="str">
        <f t="array" ref="E2876">IF(B2876="","",INDEX(helper!$F$3:$F3996,MOD(ROW()-2,COUNTA(helper!$D$3:$D3996))+1))</f>
        <v/>
      </c>
      <c r="F2876" s="3" t="str">
        <f>IF(B2876="","",SUMIFS('inventory ledger'!$H:$H,'inventory ledger'!$C:$C,C2876,'inventory ledger'!$D:$D,D2876,'inventory ledger'!$E:$E,E2876,'inventory ledger'!$A:$A,"&lt;="&amp;B2876+TIME(23,59,59))-SUMIFS('inventory ledger'!$I:$I,'inventory ledger'!$C:$C,C2876,'inventory ledger'!$D:$D,D2876,'inventory ledger'!$E:$E,E2876,'inventory ledger'!$A:$A,"&lt;="&amp;B2876+TIME(23,59,59)))</f>
        <v/>
      </c>
      <c r="G2876" s="3">
        <f>IFERROR(__xludf.DUMMYFUNCTION("IF(F2876&lt;=0,0,IFERROR(ROUNDUP(F2876/INDEX(FILTER('warehouse config'!$D:$D,('warehouse config'!$B:$B=C2876)*('warehouse config'!$C:$C=D2876)*('warehouse config'!$G:$G&lt;=B2876)*(('warehouse config'!$H:$H&gt;=B2876)+ISBLANK('warehouse config'!$H:$H))),1)),0))"),0.0)</f>
        <v>0</v>
      </c>
      <c r="H2876" s="3">
        <f>IFERROR(__xludf.DUMMYFUNCTION("IFERROR(INDEX(FILTER('cost master'!$E:$E,('cost master'!$B:$B=C2876)*('cost master'!$D:$D=""Storage cost per pallet / week"")*('cost master'!$G:$G&lt;=B2876)*(('cost master'!$H:$H&gt;=B2876)+ISBLANK('cost master'!$H:$H))),1),0)"),0.0)</f>
        <v>0</v>
      </c>
      <c r="I2876" s="3">
        <f t="shared" si="4"/>
        <v>0</v>
      </c>
      <c r="J2876" s="27">
        <f t="shared" si="5"/>
        <v>693947</v>
      </c>
      <c r="K2876" s="27">
        <f t="shared" si="6"/>
        <v>693977</v>
      </c>
    </row>
    <row r="2877" hidden="1">
      <c r="A2877" s="3" t="str">
        <f t="shared" si="3"/>
        <v/>
      </c>
      <c r="B2877" s="2" t="str">
        <f t="array" ref="B2877">INDEX(helper!$A$3:$A3996,ROUNDUP((ROW()-1)/COUNTA(helper!$D$3:$D3996),0))</f>
        <v/>
      </c>
      <c r="C2877" s="5" t="str">
        <f t="array" ref="C2877">IF(B2877="","",INDEX(helper!$D$3:$D3996,MOD(ROW()-2,COUNTA(helper!$D$3:$D3996))+1))</f>
        <v/>
      </c>
      <c r="D2877" s="3" t="str">
        <f t="array" ref="D2877">IF(B2877="","",INDEX(helper!$E$3:$E3996,MOD(ROW()-2,COUNTA(helper!$D$3:$D3996))+1))</f>
        <v/>
      </c>
      <c r="E2877" s="3" t="str">
        <f t="array" ref="E2877">IF(B2877="","",INDEX(helper!$F$3:$F3996,MOD(ROW()-2,COUNTA(helper!$D$3:$D3996))+1))</f>
        <v/>
      </c>
      <c r="F2877" s="3" t="str">
        <f>IF(B2877="","",SUMIFS('inventory ledger'!$H:$H,'inventory ledger'!$C:$C,C2877,'inventory ledger'!$D:$D,D2877,'inventory ledger'!$E:$E,E2877,'inventory ledger'!$A:$A,"&lt;="&amp;B2877+TIME(23,59,59))-SUMIFS('inventory ledger'!$I:$I,'inventory ledger'!$C:$C,C2877,'inventory ledger'!$D:$D,D2877,'inventory ledger'!$E:$E,E2877,'inventory ledger'!$A:$A,"&lt;="&amp;B2877+TIME(23,59,59)))</f>
        <v/>
      </c>
      <c r="G2877" s="3">
        <f>IFERROR(__xludf.DUMMYFUNCTION("IF(F2877&lt;=0,0,IFERROR(ROUNDUP(F2877/INDEX(FILTER('warehouse config'!$D:$D,('warehouse config'!$B:$B=C2877)*('warehouse config'!$C:$C=D2877)*('warehouse config'!$G:$G&lt;=B2877)*(('warehouse config'!$H:$H&gt;=B2877)+ISBLANK('warehouse config'!$H:$H))),1)),0))"),0.0)</f>
        <v>0</v>
      </c>
      <c r="H2877" s="3">
        <f>IFERROR(__xludf.DUMMYFUNCTION("IFERROR(INDEX(FILTER('cost master'!$E:$E,('cost master'!$B:$B=C2877)*('cost master'!$D:$D=""Storage cost per pallet / week"")*('cost master'!$G:$G&lt;=B2877)*(('cost master'!$H:$H&gt;=B2877)+ISBLANK('cost master'!$H:$H))),1),0)"),0.0)</f>
        <v>0</v>
      </c>
      <c r="I2877" s="3">
        <f t="shared" si="4"/>
        <v>0</v>
      </c>
      <c r="J2877" s="27">
        <f t="shared" si="5"/>
        <v>693947</v>
      </c>
      <c r="K2877" s="27">
        <f t="shared" si="6"/>
        <v>693977</v>
      </c>
    </row>
    <row r="2878" hidden="1">
      <c r="A2878" s="3" t="str">
        <f t="shared" si="3"/>
        <v/>
      </c>
      <c r="B2878" s="2" t="str">
        <f t="array" ref="B2878">INDEX(helper!$A$3:$A3996,ROUNDUP((ROW()-1)/COUNTA(helper!$D$3:$D3996),0))</f>
        <v/>
      </c>
      <c r="C2878" s="5" t="str">
        <f t="array" ref="C2878">IF(B2878="","",INDEX(helper!$D$3:$D3996,MOD(ROW()-2,COUNTA(helper!$D$3:$D3996))+1))</f>
        <v/>
      </c>
      <c r="D2878" s="3" t="str">
        <f t="array" ref="D2878">IF(B2878="","",INDEX(helper!$E$3:$E3996,MOD(ROW()-2,COUNTA(helper!$D$3:$D3996))+1))</f>
        <v/>
      </c>
      <c r="E2878" s="3" t="str">
        <f t="array" ref="E2878">IF(B2878="","",INDEX(helper!$F$3:$F3996,MOD(ROW()-2,COUNTA(helper!$D$3:$D3996))+1))</f>
        <v/>
      </c>
      <c r="F2878" s="3" t="str">
        <f>IF(B2878="","",SUMIFS('inventory ledger'!$H:$H,'inventory ledger'!$C:$C,C2878,'inventory ledger'!$D:$D,D2878,'inventory ledger'!$E:$E,E2878,'inventory ledger'!$A:$A,"&lt;="&amp;B2878+TIME(23,59,59))-SUMIFS('inventory ledger'!$I:$I,'inventory ledger'!$C:$C,C2878,'inventory ledger'!$D:$D,D2878,'inventory ledger'!$E:$E,E2878,'inventory ledger'!$A:$A,"&lt;="&amp;B2878+TIME(23,59,59)))</f>
        <v/>
      </c>
      <c r="G2878" s="3">
        <f>IFERROR(__xludf.DUMMYFUNCTION("IF(F2878&lt;=0,0,IFERROR(ROUNDUP(F2878/INDEX(FILTER('warehouse config'!$D:$D,('warehouse config'!$B:$B=C2878)*('warehouse config'!$C:$C=D2878)*('warehouse config'!$G:$G&lt;=B2878)*(('warehouse config'!$H:$H&gt;=B2878)+ISBLANK('warehouse config'!$H:$H))),1)),0))"),0.0)</f>
        <v>0</v>
      </c>
      <c r="H2878" s="3">
        <f>IFERROR(__xludf.DUMMYFUNCTION("IFERROR(INDEX(FILTER('cost master'!$E:$E,('cost master'!$B:$B=C2878)*('cost master'!$D:$D=""Storage cost per pallet / week"")*('cost master'!$G:$G&lt;=B2878)*(('cost master'!$H:$H&gt;=B2878)+ISBLANK('cost master'!$H:$H))),1),0)"),0.0)</f>
        <v>0</v>
      </c>
      <c r="I2878" s="3">
        <f t="shared" si="4"/>
        <v>0</v>
      </c>
      <c r="J2878" s="27">
        <f t="shared" si="5"/>
        <v>693947</v>
      </c>
      <c r="K2878" s="27">
        <f t="shared" si="6"/>
        <v>693977</v>
      </c>
    </row>
    <row r="2879" hidden="1">
      <c r="A2879" s="3" t="str">
        <f t="shared" si="3"/>
        <v/>
      </c>
      <c r="B2879" s="2" t="str">
        <f t="array" ref="B2879">INDEX(helper!$A$3:$A3996,ROUNDUP((ROW()-1)/COUNTA(helper!$D$3:$D3996),0))</f>
        <v/>
      </c>
      <c r="C2879" s="5" t="str">
        <f t="array" ref="C2879">IF(B2879="","",INDEX(helper!$D$3:$D3996,MOD(ROW()-2,COUNTA(helper!$D$3:$D3996))+1))</f>
        <v/>
      </c>
      <c r="D2879" s="3" t="str">
        <f t="array" ref="D2879">IF(B2879="","",INDEX(helper!$E$3:$E3996,MOD(ROW()-2,COUNTA(helper!$D$3:$D3996))+1))</f>
        <v/>
      </c>
      <c r="E2879" s="3" t="str">
        <f t="array" ref="E2879">IF(B2879="","",INDEX(helper!$F$3:$F3996,MOD(ROW()-2,COUNTA(helper!$D$3:$D3996))+1))</f>
        <v/>
      </c>
      <c r="F2879" s="3" t="str">
        <f>IF(B2879="","",SUMIFS('inventory ledger'!$H:$H,'inventory ledger'!$C:$C,C2879,'inventory ledger'!$D:$D,D2879,'inventory ledger'!$E:$E,E2879,'inventory ledger'!$A:$A,"&lt;="&amp;B2879+TIME(23,59,59))-SUMIFS('inventory ledger'!$I:$I,'inventory ledger'!$C:$C,C2879,'inventory ledger'!$D:$D,D2879,'inventory ledger'!$E:$E,E2879,'inventory ledger'!$A:$A,"&lt;="&amp;B2879+TIME(23,59,59)))</f>
        <v/>
      </c>
      <c r="G2879" s="3">
        <f>IFERROR(__xludf.DUMMYFUNCTION("IF(F2879&lt;=0,0,IFERROR(ROUNDUP(F2879/INDEX(FILTER('warehouse config'!$D:$D,('warehouse config'!$B:$B=C2879)*('warehouse config'!$C:$C=D2879)*('warehouse config'!$G:$G&lt;=B2879)*(('warehouse config'!$H:$H&gt;=B2879)+ISBLANK('warehouse config'!$H:$H))),1)),0))"),0.0)</f>
        <v>0</v>
      </c>
      <c r="H2879" s="3">
        <f>IFERROR(__xludf.DUMMYFUNCTION("IFERROR(INDEX(FILTER('cost master'!$E:$E,('cost master'!$B:$B=C2879)*('cost master'!$D:$D=""Storage cost per pallet / week"")*('cost master'!$G:$G&lt;=B2879)*(('cost master'!$H:$H&gt;=B2879)+ISBLANK('cost master'!$H:$H))),1),0)"),0.0)</f>
        <v>0</v>
      </c>
      <c r="I2879" s="3">
        <f t="shared" si="4"/>
        <v>0</v>
      </c>
      <c r="J2879" s="27">
        <f t="shared" si="5"/>
        <v>693947</v>
      </c>
      <c r="K2879" s="27">
        <f t="shared" si="6"/>
        <v>693977</v>
      </c>
    </row>
    <row r="2880" hidden="1">
      <c r="A2880" s="3" t="str">
        <f t="shared" si="3"/>
        <v/>
      </c>
      <c r="B2880" s="2" t="str">
        <f t="array" ref="B2880">INDEX(helper!$A$3:$A3996,ROUNDUP((ROW()-1)/COUNTA(helper!$D$3:$D3996),0))</f>
        <v/>
      </c>
      <c r="C2880" s="5" t="str">
        <f t="array" ref="C2880">IF(B2880="","",INDEX(helper!$D$3:$D3996,MOD(ROW()-2,COUNTA(helper!$D$3:$D3996))+1))</f>
        <v/>
      </c>
      <c r="D2880" s="3" t="str">
        <f t="array" ref="D2880">IF(B2880="","",INDEX(helper!$E$3:$E3996,MOD(ROW()-2,COUNTA(helper!$D$3:$D3996))+1))</f>
        <v/>
      </c>
      <c r="E2880" s="3" t="str">
        <f t="array" ref="E2880">IF(B2880="","",INDEX(helper!$F$3:$F3996,MOD(ROW()-2,COUNTA(helper!$D$3:$D3996))+1))</f>
        <v/>
      </c>
      <c r="F2880" s="3" t="str">
        <f>IF(B2880="","",SUMIFS('inventory ledger'!$H:$H,'inventory ledger'!$C:$C,C2880,'inventory ledger'!$D:$D,D2880,'inventory ledger'!$E:$E,E2880,'inventory ledger'!$A:$A,"&lt;="&amp;B2880+TIME(23,59,59))-SUMIFS('inventory ledger'!$I:$I,'inventory ledger'!$C:$C,C2880,'inventory ledger'!$D:$D,D2880,'inventory ledger'!$E:$E,E2880,'inventory ledger'!$A:$A,"&lt;="&amp;B2880+TIME(23,59,59)))</f>
        <v/>
      </c>
      <c r="G2880" s="3">
        <f>IFERROR(__xludf.DUMMYFUNCTION("IF(F2880&lt;=0,0,IFERROR(ROUNDUP(F2880/INDEX(FILTER('warehouse config'!$D:$D,('warehouse config'!$B:$B=C2880)*('warehouse config'!$C:$C=D2880)*('warehouse config'!$G:$G&lt;=B2880)*(('warehouse config'!$H:$H&gt;=B2880)+ISBLANK('warehouse config'!$H:$H))),1)),0))"),0.0)</f>
        <v>0</v>
      </c>
      <c r="H2880" s="3">
        <f>IFERROR(__xludf.DUMMYFUNCTION("IFERROR(INDEX(FILTER('cost master'!$E:$E,('cost master'!$B:$B=C2880)*('cost master'!$D:$D=""Storage cost per pallet / week"")*('cost master'!$G:$G&lt;=B2880)*(('cost master'!$H:$H&gt;=B2880)+ISBLANK('cost master'!$H:$H))),1),0)"),0.0)</f>
        <v>0</v>
      </c>
      <c r="I2880" s="3">
        <f t="shared" si="4"/>
        <v>0</v>
      </c>
      <c r="J2880" s="27">
        <f t="shared" si="5"/>
        <v>693947</v>
      </c>
      <c r="K2880" s="27">
        <f t="shared" si="6"/>
        <v>693977</v>
      </c>
    </row>
    <row r="2881" hidden="1">
      <c r="A2881" s="3" t="str">
        <f t="shared" si="3"/>
        <v/>
      </c>
      <c r="B2881" s="2" t="str">
        <f t="array" ref="B2881">INDEX(helper!$A$3:$A3996,ROUNDUP((ROW()-1)/COUNTA(helper!$D$3:$D3996),0))</f>
        <v/>
      </c>
      <c r="C2881" s="5" t="str">
        <f t="array" ref="C2881">IF(B2881="","",INDEX(helper!$D$3:$D3996,MOD(ROW()-2,COUNTA(helper!$D$3:$D3996))+1))</f>
        <v/>
      </c>
      <c r="D2881" s="3" t="str">
        <f t="array" ref="D2881">IF(B2881="","",INDEX(helper!$E$3:$E3996,MOD(ROW()-2,COUNTA(helper!$D$3:$D3996))+1))</f>
        <v/>
      </c>
      <c r="E2881" s="3" t="str">
        <f t="array" ref="E2881">IF(B2881="","",INDEX(helper!$F$3:$F3996,MOD(ROW()-2,COUNTA(helper!$D$3:$D3996))+1))</f>
        <v/>
      </c>
      <c r="F2881" s="3" t="str">
        <f>IF(B2881="","",SUMIFS('inventory ledger'!$H:$H,'inventory ledger'!$C:$C,C2881,'inventory ledger'!$D:$D,D2881,'inventory ledger'!$E:$E,E2881,'inventory ledger'!$A:$A,"&lt;="&amp;B2881+TIME(23,59,59))-SUMIFS('inventory ledger'!$I:$I,'inventory ledger'!$C:$C,C2881,'inventory ledger'!$D:$D,D2881,'inventory ledger'!$E:$E,E2881,'inventory ledger'!$A:$A,"&lt;="&amp;B2881+TIME(23,59,59)))</f>
        <v/>
      </c>
      <c r="G2881" s="3">
        <f>IFERROR(__xludf.DUMMYFUNCTION("IF(F2881&lt;=0,0,IFERROR(ROUNDUP(F2881/INDEX(FILTER('warehouse config'!$D:$D,('warehouse config'!$B:$B=C2881)*('warehouse config'!$C:$C=D2881)*('warehouse config'!$G:$G&lt;=B2881)*(('warehouse config'!$H:$H&gt;=B2881)+ISBLANK('warehouse config'!$H:$H))),1)),0))"),0.0)</f>
        <v>0</v>
      </c>
      <c r="H2881" s="3">
        <f>IFERROR(__xludf.DUMMYFUNCTION("IFERROR(INDEX(FILTER('cost master'!$E:$E,('cost master'!$B:$B=C2881)*('cost master'!$D:$D=""Storage cost per pallet / week"")*('cost master'!$G:$G&lt;=B2881)*(('cost master'!$H:$H&gt;=B2881)+ISBLANK('cost master'!$H:$H))),1),0)"),0.0)</f>
        <v>0</v>
      </c>
      <c r="I2881" s="3">
        <f t="shared" si="4"/>
        <v>0</v>
      </c>
      <c r="J2881" s="27">
        <f t="shared" si="5"/>
        <v>693947</v>
      </c>
      <c r="K2881" s="27">
        <f t="shared" si="6"/>
        <v>693977</v>
      </c>
    </row>
    <row r="2882" hidden="1">
      <c r="A2882" s="3" t="str">
        <f t="shared" si="3"/>
        <v/>
      </c>
      <c r="B2882" s="2" t="str">
        <f t="array" ref="B2882">INDEX(helper!$A$3:$A3996,ROUNDUP((ROW()-1)/COUNTA(helper!$D$3:$D3996),0))</f>
        <v/>
      </c>
      <c r="C2882" s="5" t="str">
        <f t="array" ref="C2882">IF(B2882="","",INDEX(helper!$D$3:$D3996,MOD(ROW()-2,COUNTA(helper!$D$3:$D3996))+1))</f>
        <v/>
      </c>
      <c r="D2882" s="3" t="str">
        <f t="array" ref="D2882">IF(B2882="","",INDEX(helper!$E$3:$E3996,MOD(ROW()-2,COUNTA(helper!$D$3:$D3996))+1))</f>
        <v/>
      </c>
      <c r="E2882" s="3" t="str">
        <f t="array" ref="E2882">IF(B2882="","",INDEX(helper!$F$3:$F3996,MOD(ROW()-2,COUNTA(helper!$D$3:$D3996))+1))</f>
        <v/>
      </c>
      <c r="F2882" s="3" t="str">
        <f>IF(B2882="","",SUMIFS('inventory ledger'!$H:$H,'inventory ledger'!$C:$C,C2882,'inventory ledger'!$D:$D,D2882,'inventory ledger'!$E:$E,E2882,'inventory ledger'!$A:$A,"&lt;="&amp;B2882+TIME(23,59,59))-SUMIFS('inventory ledger'!$I:$I,'inventory ledger'!$C:$C,C2882,'inventory ledger'!$D:$D,D2882,'inventory ledger'!$E:$E,E2882,'inventory ledger'!$A:$A,"&lt;="&amp;B2882+TIME(23,59,59)))</f>
        <v/>
      </c>
      <c r="G2882" s="3">
        <f>IFERROR(__xludf.DUMMYFUNCTION("IF(F2882&lt;=0,0,IFERROR(ROUNDUP(F2882/INDEX(FILTER('warehouse config'!$D:$D,('warehouse config'!$B:$B=C2882)*('warehouse config'!$C:$C=D2882)*('warehouse config'!$G:$G&lt;=B2882)*(('warehouse config'!$H:$H&gt;=B2882)+ISBLANK('warehouse config'!$H:$H))),1)),0))"),0.0)</f>
        <v>0</v>
      </c>
      <c r="H2882" s="3">
        <f>IFERROR(__xludf.DUMMYFUNCTION("IFERROR(INDEX(FILTER('cost master'!$E:$E,('cost master'!$B:$B=C2882)*('cost master'!$D:$D=""Storage cost per pallet / week"")*('cost master'!$G:$G&lt;=B2882)*(('cost master'!$H:$H&gt;=B2882)+ISBLANK('cost master'!$H:$H))),1),0)"),0.0)</f>
        <v>0</v>
      </c>
      <c r="I2882" s="3">
        <f t="shared" si="4"/>
        <v>0</v>
      </c>
      <c r="J2882" s="27">
        <f t="shared" si="5"/>
        <v>693947</v>
      </c>
      <c r="K2882" s="27">
        <f t="shared" si="6"/>
        <v>693977</v>
      </c>
    </row>
    <row r="2883" hidden="1">
      <c r="A2883" s="3" t="str">
        <f t="shared" si="3"/>
        <v/>
      </c>
      <c r="B2883" s="2" t="str">
        <f t="array" ref="B2883">INDEX(helper!$A$3:$A3996,ROUNDUP((ROW()-1)/COUNTA(helper!$D$3:$D3996),0))</f>
        <v/>
      </c>
      <c r="C2883" s="5" t="str">
        <f t="array" ref="C2883">IF(B2883="","",INDEX(helper!$D$3:$D3996,MOD(ROW()-2,COUNTA(helper!$D$3:$D3996))+1))</f>
        <v/>
      </c>
      <c r="D2883" s="3" t="str">
        <f t="array" ref="D2883">IF(B2883="","",INDEX(helper!$E$3:$E3996,MOD(ROW()-2,COUNTA(helper!$D$3:$D3996))+1))</f>
        <v/>
      </c>
      <c r="E2883" s="3" t="str">
        <f t="array" ref="E2883">IF(B2883="","",INDEX(helper!$F$3:$F3996,MOD(ROW()-2,COUNTA(helper!$D$3:$D3996))+1))</f>
        <v/>
      </c>
      <c r="F2883" s="3" t="str">
        <f>IF(B2883="","",SUMIFS('inventory ledger'!$H:$H,'inventory ledger'!$C:$C,C2883,'inventory ledger'!$D:$D,D2883,'inventory ledger'!$E:$E,E2883,'inventory ledger'!$A:$A,"&lt;="&amp;B2883+TIME(23,59,59))-SUMIFS('inventory ledger'!$I:$I,'inventory ledger'!$C:$C,C2883,'inventory ledger'!$D:$D,D2883,'inventory ledger'!$E:$E,E2883,'inventory ledger'!$A:$A,"&lt;="&amp;B2883+TIME(23,59,59)))</f>
        <v/>
      </c>
      <c r="G2883" s="3">
        <f>IFERROR(__xludf.DUMMYFUNCTION("IF(F2883&lt;=0,0,IFERROR(ROUNDUP(F2883/INDEX(FILTER('warehouse config'!$D:$D,('warehouse config'!$B:$B=C2883)*('warehouse config'!$C:$C=D2883)*('warehouse config'!$G:$G&lt;=B2883)*(('warehouse config'!$H:$H&gt;=B2883)+ISBLANK('warehouse config'!$H:$H))),1)),0))"),0.0)</f>
        <v>0</v>
      </c>
      <c r="H2883" s="3">
        <f>IFERROR(__xludf.DUMMYFUNCTION("IFERROR(INDEX(FILTER('cost master'!$E:$E,('cost master'!$B:$B=C2883)*('cost master'!$D:$D=""Storage cost per pallet / week"")*('cost master'!$G:$G&lt;=B2883)*(('cost master'!$H:$H&gt;=B2883)+ISBLANK('cost master'!$H:$H))),1),0)"),0.0)</f>
        <v>0</v>
      </c>
      <c r="I2883" s="3">
        <f t="shared" si="4"/>
        <v>0</v>
      </c>
      <c r="J2883" s="27">
        <f t="shared" si="5"/>
        <v>693947</v>
      </c>
      <c r="K2883" s="27">
        <f t="shared" si="6"/>
        <v>693977</v>
      </c>
    </row>
    <row r="2884" hidden="1">
      <c r="A2884" s="3" t="str">
        <f t="shared" si="3"/>
        <v/>
      </c>
      <c r="B2884" s="2" t="str">
        <f t="array" ref="B2884">INDEX(helper!$A$3:$A3996,ROUNDUP((ROW()-1)/COUNTA(helper!$D$3:$D3996),0))</f>
        <v/>
      </c>
      <c r="C2884" s="5" t="str">
        <f t="array" ref="C2884">IF(B2884="","",INDEX(helper!$D$3:$D3996,MOD(ROW()-2,COUNTA(helper!$D$3:$D3996))+1))</f>
        <v/>
      </c>
      <c r="D2884" s="3" t="str">
        <f t="array" ref="D2884">IF(B2884="","",INDEX(helper!$E$3:$E3996,MOD(ROW()-2,COUNTA(helper!$D$3:$D3996))+1))</f>
        <v/>
      </c>
      <c r="E2884" s="3" t="str">
        <f t="array" ref="E2884">IF(B2884="","",INDEX(helper!$F$3:$F3996,MOD(ROW()-2,COUNTA(helper!$D$3:$D3996))+1))</f>
        <v/>
      </c>
      <c r="F2884" s="3" t="str">
        <f>IF(B2884="","",SUMIFS('inventory ledger'!$H:$H,'inventory ledger'!$C:$C,C2884,'inventory ledger'!$D:$D,D2884,'inventory ledger'!$E:$E,E2884,'inventory ledger'!$A:$A,"&lt;="&amp;B2884+TIME(23,59,59))-SUMIFS('inventory ledger'!$I:$I,'inventory ledger'!$C:$C,C2884,'inventory ledger'!$D:$D,D2884,'inventory ledger'!$E:$E,E2884,'inventory ledger'!$A:$A,"&lt;="&amp;B2884+TIME(23,59,59)))</f>
        <v/>
      </c>
      <c r="G2884" s="3">
        <f>IFERROR(__xludf.DUMMYFUNCTION("IF(F2884&lt;=0,0,IFERROR(ROUNDUP(F2884/INDEX(FILTER('warehouse config'!$D:$D,('warehouse config'!$B:$B=C2884)*('warehouse config'!$C:$C=D2884)*('warehouse config'!$G:$G&lt;=B2884)*(('warehouse config'!$H:$H&gt;=B2884)+ISBLANK('warehouse config'!$H:$H))),1)),0))"),0.0)</f>
        <v>0</v>
      </c>
      <c r="H2884" s="3">
        <f>IFERROR(__xludf.DUMMYFUNCTION("IFERROR(INDEX(FILTER('cost master'!$E:$E,('cost master'!$B:$B=C2884)*('cost master'!$D:$D=""Storage cost per pallet / week"")*('cost master'!$G:$G&lt;=B2884)*(('cost master'!$H:$H&gt;=B2884)+ISBLANK('cost master'!$H:$H))),1),0)"),0.0)</f>
        <v>0</v>
      </c>
      <c r="I2884" s="3">
        <f t="shared" si="4"/>
        <v>0</v>
      </c>
      <c r="J2884" s="27">
        <f t="shared" si="5"/>
        <v>693947</v>
      </c>
      <c r="K2884" s="27">
        <f t="shared" si="6"/>
        <v>693977</v>
      </c>
    </row>
    <row r="2885" hidden="1">
      <c r="A2885" s="3" t="str">
        <f t="shared" si="3"/>
        <v/>
      </c>
      <c r="B2885" s="2" t="str">
        <f t="array" ref="B2885">INDEX(helper!$A$3:$A3996,ROUNDUP((ROW()-1)/COUNTA(helper!$D$3:$D3996),0))</f>
        <v/>
      </c>
      <c r="C2885" s="5" t="str">
        <f t="array" ref="C2885">IF(B2885="","",INDEX(helper!$D$3:$D3996,MOD(ROW()-2,COUNTA(helper!$D$3:$D3996))+1))</f>
        <v/>
      </c>
      <c r="D2885" s="3" t="str">
        <f t="array" ref="D2885">IF(B2885="","",INDEX(helper!$E$3:$E3996,MOD(ROW()-2,COUNTA(helper!$D$3:$D3996))+1))</f>
        <v/>
      </c>
      <c r="E2885" s="3" t="str">
        <f t="array" ref="E2885">IF(B2885="","",INDEX(helper!$F$3:$F3996,MOD(ROW()-2,COUNTA(helper!$D$3:$D3996))+1))</f>
        <v/>
      </c>
      <c r="F2885" s="3" t="str">
        <f>IF(B2885="","",SUMIFS('inventory ledger'!$H:$H,'inventory ledger'!$C:$C,C2885,'inventory ledger'!$D:$D,D2885,'inventory ledger'!$E:$E,E2885,'inventory ledger'!$A:$A,"&lt;="&amp;B2885+TIME(23,59,59))-SUMIFS('inventory ledger'!$I:$I,'inventory ledger'!$C:$C,C2885,'inventory ledger'!$D:$D,D2885,'inventory ledger'!$E:$E,E2885,'inventory ledger'!$A:$A,"&lt;="&amp;B2885+TIME(23,59,59)))</f>
        <v/>
      </c>
      <c r="G2885" s="3">
        <f>IFERROR(__xludf.DUMMYFUNCTION("IF(F2885&lt;=0,0,IFERROR(ROUNDUP(F2885/INDEX(FILTER('warehouse config'!$D:$D,('warehouse config'!$B:$B=C2885)*('warehouse config'!$C:$C=D2885)*('warehouse config'!$G:$G&lt;=B2885)*(('warehouse config'!$H:$H&gt;=B2885)+ISBLANK('warehouse config'!$H:$H))),1)),0))"),0.0)</f>
        <v>0</v>
      </c>
      <c r="H2885" s="3">
        <f>IFERROR(__xludf.DUMMYFUNCTION("IFERROR(INDEX(FILTER('cost master'!$E:$E,('cost master'!$B:$B=C2885)*('cost master'!$D:$D=""Storage cost per pallet / week"")*('cost master'!$G:$G&lt;=B2885)*(('cost master'!$H:$H&gt;=B2885)+ISBLANK('cost master'!$H:$H))),1),0)"),0.0)</f>
        <v>0</v>
      </c>
      <c r="I2885" s="3">
        <f t="shared" si="4"/>
        <v>0</v>
      </c>
      <c r="J2885" s="27">
        <f t="shared" si="5"/>
        <v>693947</v>
      </c>
      <c r="K2885" s="27">
        <f t="shared" si="6"/>
        <v>693977</v>
      </c>
    </row>
    <row r="2886" hidden="1">
      <c r="A2886" s="3" t="str">
        <f t="shared" si="3"/>
        <v/>
      </c>
      <c r="B2886" s="2" t="str">
        <f t="array" ref="B2886">INDEX(helper!$A$3:$A3996,ROUNDUP((ROW()-1)/COUNTA(helper!$D$3:$D3996),0))</f>
        <v/>
      </c>
      <c r="C2886" s="5" t="str">
        <f t="array" ref="C2886">IF(B2886="","",INDEX(helper!$D$3:$D3996,MOD(ROW()-2,COUNTA(helper!$D$3:$D3996))+1))</f>
        <v/>
      </c>
      <c r="D2886" s="3" t="str">
        <f t="array" ref="D2886">IF(B2886="","",INDEX(helper!$E$3:$E3996,MOD(ROW()-2,COUNTA(helper!$D$3:$D3996))+1))</f>
        <v/>
      </c>
      <c r="E2886" s="3" t="str">
        <f t="array" ref="E2886">IF(B2886="","",INDEX(helper!$F$3:$F3996,MOD(ROW()-2,COUNTA(helper!$D$3:$D3996))+1))</f>
        <v/>
      </c>
      <c r="F2886" s="3" t="str">
        <f>IF(B2886="","",SUMIFS('inventory ledger'!$H:$H,'inventory ledger'!$C:$C,C2886,'inventory ledger'!$D:$D,D2886,'inventory ledger'!$E:$E,E2886,'inventory ledger'!$A:$A,"&lt;="&amp;B2886+TIME(23,59,59))-SUMIFS('inventory ledger'!$I:$I,'inventory ledger'!$C:$C,C2886,'inventory ledger'!$D:$D,D2886,'inventory ledger'!$E:$E,E2886,'inventory ledger'!$A:$A,"&lt;="&amp;B2886+TIME(23,59,59)))</f>
        <v/>
      </c>
      <c r="G2886" s="3">
        <f>IFERROR(__xludf.DUMMYFUNCTION("IF(F2886&lt;=0,0,IFERROR(ROUNDUP(F2886/INDEX(FILTER('warehouse config'!$D:$D,('warehouse config'!$B:$B=C2886)*('warehouse config'!$C:$C=D2886)*('warehouse config'!$G:$G&lt;=B2886)*(('warehouse config'!$H:$H&gt;=B2886)+ISBLANK('warehouse config'!$H:$H))),1)),0))"),0.0)</f>
        <v>0</v>
      </c>
      <c r="H2886" s="3">
        <f>IFERROR(__xludf.DUMMYFUNCTION("IFERROR(INDEX(FILTER('cost master'!$E:$E,('cost master'!$B:$B=C2886)*('cost master'!$D:$D=""Storage cost per pallet / week"")*('cost master'!$G:$G&lt;=B2886)*(('cost master'!$H:$H&gt;=B2886)+ISBLANK('cost master'!$H:$H))),1),0)"),0.0)</f>
        <v>0</v>
      </c>
      <c r="I2886" s="3">
        <f t="shared" si="4"/>
        <v>0</v>
      </c>
      <c r="J2886" s="27">
        <f t="shared" si="5"/>
        <v>693947</v>
      </c>
      <c r="K2886" s="27">
        <f t="shared" si="6"/>
        <v>693977</v>
      </c>
    </row>
    <row r="2887" hidden="1">
      <c r="A2887" s="3" t="str">
        <f t="shared" si="3"/>
        <v/>
      </c>
      <c r="B2887" s="2" t="str">
        <f t="array" ref="B2887">INDEX(helper!$A$3:$A3996,ROUNDUP((ROW()-1)/COUNTA(helper!$D$3:$D3996),0))</f>
        <v/>
      </c>
      <c r="C2887" s="5" t="str">
        <f t="array" ref="C2887">IF(B2887="","",INDEX(helper!$D$3:$D3996,MOD(ROW()-2,COUNTA(helper!$D$3:$D3996))+1))</f>
        <v/>
      </c>
      <c r="D2887" s="3" t="str">
        <f t="array" ref="D2887">IF(B2887="","",INDEX(helper!$E$3:$E3996,MOD(ROW()-2,COUNTA(helper!$D$3:$D3996))+1))</f>
        <v/>
      </c>
      <c r="E2887" s="3" t="str">
        <f t="array" ref="E2887">IF(B2887="","",INDEX(helper!$F$3:$F3996,MOD(ROW()-2,COUNTA(helper!$D$3:$D3996))+1))</f>
        <v/>
      </c>
      <c r="F2887" s="3" t="str">
        <f>IF(B2887="","",SUMIFS('inventory ledger'!$H:$H,'inventory ledger'!$C:$C,C2887,'inventory ledger'!$D:$D,D2887,'inventory ledger'!$E:$E,E2887,'inventory ledger'!$A:$A,"&lt;="&amp;B2887+TIME(23,59,59))-SUMIFS('inventory ledger'!$I:$I,'inventory ledger'!$C:$C,C2887,'inventory ledger'!$D:$D,D2887,'inventory ledger'!$E:$E,E2887,'inventory ledger'!$A:$A,"&lt;="&amp;B2887+TIME(23,59,59)))</f>
        <v/>
      </c>
      <c r="G2887" s="3">
        <f>IFERROR(__xludf.DUMMYFUNCTION("IF(F2887&lt;=0,0,IFERROR(ROUNDUP(F2887/INDEX(FILTER('warehouse config'!$D:$D,('warehouse config'!$B:$B=C2887)*('warehouse config'!$C:$C=D2887)*('warehouse config'!$G:$G&lt;=B2887)*(('warehouse config'!$H:$H&gt;=B2887)+ISBLANK('warehouse config'!$H:$H))),1)),0))"),0.0)</f>
        <v>0</v>
      </c>
      <c r="H2887" s="3">
        <f>IFERROR(__xludf.DUMMYFUNCTION("IFERROR(INDEX(FILTER('cost master'!$E:$E,('cost master'!$B:$B=C2887)*('cost master'!$D:$D=""Storage cost per pallet / week"")*('cost master'!$G:$G&lt;=B2887)*(('cost master'!$H:$H&gt;=B2887)+ISBLANK('cost master'!$H:$H))),1),0)"),0.0)</f>
        <v>0</v>
      </c>
      <c r="I2887" s="3">
        <f t="shared" si="4"/>
        <v>0</v>
      </c>
      <c r="J2887" s="27">
        <f t="shared" si="5"/>
        <v>693947</v>
      </c>
      <c r="K2887" s="27">
        <f t="shared" si="6"/>
        <v>693977</v>
      </c>
    </row>
    <row r="2888" hidden="1">
      <c r="A2888" s="3" t="str">
        <f t="shared" si="3"/>
        <v/>
      </c>
      <c r="B2888" s="2" t="str">
        <f t="array" ref="B2888">INDEX(helper!$A$3:$A3996,ROUNDUP((ROW()-1)/COUNTA(helper!$D$3:$D3996),0))</f>
        <v/>
      </c>
      <c r="C2888" s="5" t="str">
        <f t="array" ref="C2888">IF(B2888="","",INDEX(helper!$D$3:$D3996,MOD(ROW()-2,COUNTA(helper!$D$3:$D3996))+1))</f>
        <v/>
      </c>
      <c r="D2888" s="3" t="str">
        <f t="array" ref="D2888">IF(B2888="","",INDEX(helper!$E$3:$E3996,MOD(ROW()-2,COUNTA(helper!$D$3:$D3996))+1))</f>
        <v/>
      </c>
      <c r="E2888" s="3" t="str">
        <f t="array" ref="E2888">IF(B2888="","",INDEX(helper!$F$3:$F3996,MOD(ROW()-2,COUNTA(helper!$D$3:$D3996))+1))</f>
        <v/>
      </c>
      <c r="F2888" s="3" t="str">
        <f>IF(B2888="","",SUMIFS('inventory ledger'!$H:$H,'inventory ledger'!$C:$C,C2888,'inventory ledger'!$D:$D,D2888,'inventory ledger'!$E:$E,E2888,'inventory ledger'!$A:$A,"&lt;="&amp;B2888+TIME(23,59,59))-SUMIFS('inventory ledger'!$I:$I,'inventory ledger'!$C:$C,C2888,'inventory ledger'!$D:$D,D2888,'inventory ledger'!$E:$E,E2888,'inventory ledger'!$A:$A,"&lt;="&amp;B2888+TIME(23,59,59)))</f>
        <v/>
      </c>
      <c r="G2888" s="3">
        <f>IFERROR(__xludf.DUMMYFUNCTION("IF(F2888&lt;=0,0,IFERROR(ROUNDUP(F2888/INDEX(FILTER('warehouse config'!$D:$D,('warehouse config'!$B:$B=C2888)*('warehouse config'!$C:$C=D2888)*('warehouse config'!$G:$G&lt;=B2888)*(('warehouse config'!$H:$H&gt;=B2888)+ISBLANK('warehouse config'!$H:$H))),1)),0))"),0.0)</f>
        <v>0</v>
      </c>
      <c r="H2888" s="3">
        <f>IFERROR(__xludf.DUMMYFUNCTION("IFERROR(INDEX(FILTER('cost master'!$E:$E,('cost master'!$B:$B=C2888)*('cost master'!$D:$D=""Storage cost per pallet / week"")*('cost master'!$G:$G&lt;=B2888)*(('cost master'!$H:$H&gt;=B2888)+ISBLANK('cost master'!$H:$H))),1),0)"),0.0)</f>
        <v>0</v>
      </c>
      <c r="I2888" s="3">
        <f t="shared" si="4"/>
        <v>0</v>
      </c>
      <c r="J2888" s="27">
        <f t="shared" si="5"/>
        <v>693947</v>
      </c>
      <c r="K2888" s="27">
        <f t="shared" si="6"/>
        <v>693977</v>
      </c>
    </row>
    <row r="2889" hidden="1">
      <c r="A2889" s="3" t="str">
        <f t="shared" si="3"/>
        <v/>
      </c>
      <c r="B2889" s="2" t="str">
        <f t="array" ref="B2889">INDEX(helper!$A$3:$A3996,ROUNDUP((ROW()-1)/COUNTA(helper!$D$3:$D3996),0))</f>
        <v/>
      </c>
      <c r="C2889" s="5" t="str">
        <f t="array" ref="C2889">IF(B2889="","",INDEX(helper!$D$3:$D3996,MOD(ROW()-2,COUNTA(helper!$D$3:$D3996))+1))</f>
        <v/>
      </c>
      <c r="D2889" s="3" t="str">
        <f t="array" ref="D2889">IF(B2889="","",INDEX(helper!$E$3:$E3996,MOD(ROW()-2,COUNTA(helper!$D$3:$D3996))+1))</f>
        <v/>
      </c>
      <c r="E2889" s="3" t="str">
        <f t="array" ref="E2889">IF(B2889="","",INDEX(helper!$F$3:$F3996,MOD(ROW()-2,COUNTA(helper!$D$3:$D3996))+1))</f>
        <v/>
      </c>
      <c r="F2889" s="3" t="str">
        <f>IF(B2889="","",SUMIFS('inventory ledger'!$H:$H,'inventory ledger'!$C:$C,C2889,'inventory ledger'!$D:$D,D2889,'inventory ledger'!$E:$E,E2889,'inventory ledger'!$A:$A,"&lt;="&amp;B2889+TIME(23,59,59))-SUMIFS('inventory ledger'!$I:$I,'inventory ledger'!$C:$C,C2889,'inventory ledger'!$D:$D,D2889,'inventory ledger'!$E:$E,E2889,'inventory ledger'!$A:$A,"&lt;="&amp;B2889+TIME(23,59,59)))</f>
        <v/>
      </c>
      <c r="G2889" s="3">
        <f>IFERROR(__xludf.DUMMYFUNCTION("IF(F2889&lt;=0,0,IFERROR(ROUNDUP(F2889/INDEX(FILTER('warehouse config'!$D:$D,('warehouse config'!$B:$B=C2889)*('warehouse config'!$C:$C=D2889)*('warehouse config'!$G:$G&lt;=B2889)*(('warehouse config'!$H:$H&gt;=B2889)+ISBLANK('warehouse config'!$H:$H))),1)),0))"),0.0)</f>
        <v>0</v>
      </c>
      <c r="H2889" s="3">
        <f>IFERROR(__xludf.DUMMYFUNCTION("IFERROR(INDEX(FILTER('cost master'!$E:$E,('cost master'!$B:$B=C2889)*('cost master'!$D:$D=""Storage cost per pallet / week"")*('cost master'!$G:$G&lt;=B2889)*(('cost master'!$H:$H&gt;=B2889)+ISBLANK('cost master'!$H:$H))),1),0)"),0.0)</f>
        <v>0</v>
      </c>
      <c r="I2889" s="3">
        <f t="shared" si="4"/>
        <v>0</v>
      </c>
      <c r="J2889" s="27">
        <f t="shared" si="5"/>
        <v>693947</v>
      </c>
      <c r="K2889" s="27">
        <f t="shared" si="6"/>
        <v>693977</v>
      </c>
    </row>
    <row r="2890" hidden="1">
      <c r="A2890" s="3" t="str">
        <f t="shared" si="3"/>
        <v/>
      </c>
      <c r="B2890" s="2" t="str">
        <f t="array" ref="B2890">INDEX(helper!$A$3:$A3996,ROUNDUP((ROW()-1)/COUNTA(helper!$D$3:$D3996),0))</f>
        <v/>
      </c>
      <c r="C2890" s="5" t="str">
        <f t="array" ref="C2890">IF(B2890="","",INDEX(helper!$D$3:$D3996,MOD(ROW()-2,COUNTA(helper!$D$3:$D3996))+1))</f>
        <v/>
      </c>
      <c r="D2890" s="3" t="str">
        <f t="array" ref="D2890">IF(B2890="","",INDEX(helper!$E$3:$E3996,MOD(ROW()-2,COUNTA(helper!$D$3:$D3996))+1))</f>
        <v/>
      </c>
      <c r="E2890" s="3" t="str">
        <f t="array" ref="E2890">IF(B2890="","",INDEX(helper!$F$3:$F3996,MOD(ROW()-2,COUNTA(helper!$D$3:$D3996))+1))</f>
        <v/>
      </c>
      <c r="F2890" s="3" t="str">
        <f>IF(B2890="","",SUMIFS('inventory ledger'!$H:$H,'inventory ledger'!$C:$C,C2890,'inventory ledger'!$D:$D,D2890,'inventory ledger'!$E:$E,E2890,'inventory ledger'!$A:$A,"&lt;="&amp;B2890+TIME(23,59,59))-SUMIFS('inventory ledger'!$I:$I,'inventory ledger'!$C:$C,C2890,'inventory ledger'!$D:$D,D2890,'inventory ledger'!$E:$E,E2890,'inventory ledger'!$A:$A,"&lt;="&amp;B2890+TIME(23,59,59)))</f>
        <v/>
      </c>
      <c r="G2890" s="3">
        <f>IFERROR(__xludf.DUMMYFUNCTION("IF(F2890&lt;=0,0,IFERROR(ROUNDUP(F2890/INDEX(FILTER('warehouse config'!$D:$D,('warehouse config'!$B:$B=C2890)*('warehouse config'!$C:$C=D2890)*('warehouse config'!$G:$G&lt;=B2890)*(('warehouse config'!$H:$H&gt;=B2890)+ISBLANK('warehouse config'!$H:$H))),1)),0))"),0.0)</f>
        <v>0</v>
      </c>
      <c r="H2890" s="3">
        <f>IFERROR(__xludf.DUMMYFUNCTION("IFERROR(INDEX(FILTER('cost master'!$E:$E,('cost master'!$B:$B=C2890)*('cost master'!$D:$D=""Storage cost per pallet / week"")*('cost master'!$G:$G&lt;=B2890)*(('cost master'!$H:$H&gt;=B2890)+ISBLANK('cost master'!$H:$H))),1),0)"),0.0)</f>
        <v>0</v>
      </c>
      <c r="I2890" s="3">
        <f t="shared" si="4"/>
        <v>0</v>
      </c>
      <c r="J2890" s="27">
        <f t="shared" si="5"/>
        <v>693947</v>
      </c>
      <c r="K2890" s="27">
        <f t="shared" si="6"/>
        <v>693977</v>
      </c>
    </row>
    <row r="2891" hidden="1">
      <c r="A2891" s="3" t="str">
        <f t="shared" si="3"/>
        <v/>
      </c>
      <c r="B2891" s="2" t="str">
        <f t="array" ref="B2891">INDEX(helper!$A$3:$A3996,ROUNDUP((ROW()-1)/COUNTA(helper!$D$3:$D3996),0))</f>
        <v/>
      </c>
      <c r="C2891" s="5" t="str">
        <f t="array" ref="C2891">IF(B2891="","",INDEX(helper!$D$3:$D3996,MOD(ROW()-2,COUNTA(helper!$D$3:$D3996))+1))</f>
        <v/>
      </c>
      <c r="D2891" s="3" t="str">
        <f t="array" ref="D2891">IF(B2891="","",INDEX(helper!$E$3:$E3996,MOD(ROW()-2,COUNTA(helper!$D$3:$D3996))+1))</f>
        <v/>
      </c>
      <c r="E2891" s="3" t="str">
        <f t="array" ref="E2891">IF(B2891="","",INDEX(helper!$F$3:$F3996,MOD(ROW()-2,COUNTA(helper!$D$3:$D3996))+1))</f>
        <v/>
      </c>
      <c r="F2891" s="3" t="str">
        <f>IF(B2891="","",SUMIFS('inventory ledger'!$H:$H,'inventory ledger'!$C:$C,C2891,'inventory ledger'!$D:$D,D2891,'inventory ledger'!$E:$E,E2891,'inventory ledger'!$A:$A,"&lt;="&amp;B2891+TIME(23,59,59))-SUMIFS('inventory ledger'!$I:$I,'inventory ledger'!$C:$C,C2891,'inventory ledger'!$D:$D,D2891,'inventory ledger'!$E:$E,E2891,'inventory ledger'!$A:$A,"&lt;="&amp;B2891+TIME(23,59,59)))</f>
        <v/>
      </c>
      <c r="G2891" s="3">
        <f>IFERROR(__xludf.DUMMYFUNCTION("IF(F2891&lt;=0,0,IFERROR(ROUNDUP(F2891/INDEX(FILTER('warehouse config'!$D:$D,('warehouse config'!$B:$B=C2891)*('warehouse config'!$C:$C=D2891)*('warehouse config'!$G:$G&lt;=B2891)*(('warehouse config'!$H:$H&gt;=B2891)+ISBLANK('warehouse config'!$H:$H))),1)),0))"),0.0)</f>
        <v>0</v>
      </c>
      <c r="H2891" s="3">
        <f>IFERROR(__xludf.DUMMYFUNCTION("IFERROR(INDEX(FILTER('cost master'!$E:$E,('cost master'!$B:$B=C2891)*('cost master'!$D:$D=""Storage cost per pallet / week"")*('cost master'!$G:$G&lt;=B2891)*(('cost master'!$H:$H&gt;=B2891)+ISBLANK('cost master'!$H:$H))),1),0)"),0.0)</f>
        <v>0</v>
      </c>
      <c r="I2891" s="3">
        <f t="shared" si="4"/>
        <v>0</v>
      </c>
      <c r="J2891" s="27">
        <f t="shared" si="5"/>
        <v>693947</v>
      </c>
      <c r="K2891" s="27">
        <f t="shared" si="6"/>
        <v>693977</v>
      </c>
    </row>
    <row r="2892" hidden="1">
      <c r="A2892" s="3" t="str">
        <f t="shared" si="3"/>
        <v/>
      </c>
      <c r="B2892" s="2" t="str">
        <f t="array" ref="B2892">INDEX(helper!$A$3:$A3996,ROUNDUP((ROW()-1)/COUNTA(helper!$D$3:$D3996),0))</f>
        <v/>
      </c>
      <c r="C2892" s="5" t="str">
        <f t="array" ref="C2892">IF(B2892="","",INDEX(helper!$D$3:$D3996,MOD(ROW()-2,COUNTA(helper!$D$3:$D3996))+1))</f>
        <v/>
      </c>
      <c r="D2892" s="3" t="str">
        <f t="array" ref="D2892">IF(B2892="","",INDEX(helper!$E$3:$E3996,MOD(ROW()-2,COUNTA(helper!$D$3:$D3996))+1))</f>
        <v/>
      </c>
      <c r="E2892" s="3" t="str">
        <f t="array" ref="E2892">IF(B2892="","",INDEX(helper!$F$3:$F3996,MOD(ROW()-2,COUNTA(helper!$D$3:$D3996))+1))</f>
        <v/>
      </c>
      <c r="F2892" s="3" t="str">
        <f>IF(B2892="","",SUMIFS('inventory ledger'!$H:$H,'inventory ledger'!$C:$C,C2892,'inventory ledger'!$D:$D,D2892,'inventory ledger'!$E:$E,E2892,'inventory ledger'!$A:$A,"&lt;="&amp;B2892+TIME(23,59,59))-SUMIFS('inventory ledger'!$I:$I,'inventory ledger'!$C:$C,C2892,'inventory ledger'!$D:$D,D2892,'inventory ledger'!$E:$E,E2892,'inventory ledger'!$A:$A,"&lt;="&amp;B2892+TIME(23,59,59)))</f>
        <v/>
      </c>
      <c r="G2892" s="3">
        <f>IFERROR(__xludf.DUMMYFUNCTION("IF(F2892&lt;=0,0,IFERROR(ROUNDUP(F2892/INDEX(FILTER('warehouse config'!$D:$D,('warehouse config'!$B:$B=C2892)*('warehouse config'!$C:$C=D2892)*('warehouse config'!$G:$G&lt;=B2892)*(('warehouse config'!$H:$H&gt;=B2892)+ISBLANK('warehouse config'!$H:$H))),1)),0))"),0.0)</f>
        <v>0</v>
      </c>
      <c r="H2892" s="3">
        <f>IFERROR(__xludf.DUMMYFUNCTION("IFERROR(INDEX(FILTER('cost master'!$E:$E,('cost master'!$B:$B=C2892)*('cost master'!$D:$D=""Storage cost per pallet / week"")*('cost master'!$G:$G&lt;=B2892)*(('cost master'!$H:$H&gt;=B2892)+ISBLANK('cost master'!$H:$H))),1),0)"),0.0)</f>
        <v>0</v>
      </c>
      <c r="I2892" s="3">
        <f t="shared" si="4"/>
        <v>0</v>
      </c>
      <c r="J2892" s="27">
        <f t="shared" si="5"/>
        <v>693947</v>
      </c>
      <c r="K2892" s="27">
        <f t="shared" si="6"/>
        <v>693977</v>
      </c>
    </row>
    <row r="2893" hidden="1">
      <c r="A2893" s="3" t="str">
        <f t="shared" si="3"/>
        <v/>
      </c>
      <c r="B2893" s="2" t="str">
        <f t="array" ref="B2893">INDEX(helper!$A$3:$A3996,ROUNDUP((ROW()-1)/COUNTA(helper!$D$3:$D3996),0))</f>
        <v/>
      </c>
      <c r="C2893" s="5" t="str">
        <f t="array" ref="C2893">IF(B2893="","",INDEX(helper!$D$3:$D3996,MOD(ROW()-2,COUNTA(helper!$D$3:$D3996))+1))</f>
        <v/>
      </c>
      <c r="D2893" s="3" t="str">
        <f t="array" ref="D2893">IF(B2893="","",INDEX(helper!$E$3:$E3996,MOD(ROW()-2,COUNTA(helper!$D$3:$D3996))+1))</f>
        <v/>
      </c>
      <c r="E2893" s="3" t="str">
        <f t="array" ref="E2893">IF(B2893="","",INDEX(helper!$F$3:$F3996,MOD(ROW()-2,COUNTA(helper!$D$3:$D3996))+1))</f>
        <v/>
      </c>
      <c r="F2893" s="3" t="str">
        <f>IF(B2893="","",SUMIFS('inventory ledger'!$H:$H,'inventory ledger'!$C:$C,C2893,'inventory ledger'!$D:$D,D2893,'inventory ledger'!$E:$E,E2893,'inventory ledger'!$A:$A,"&lt;="&amp;B2893+TIME(23,59,59))-SUMIFS('inventory ledger'!$I:$I,'inventory ledger'!$C:$C,C2893,'inventory ledger'!$D:$D,D2893,'inventory ledger'!$E:$E,E2893,'inventory ledger'!$A:$A,"&lt;="&amp;B2893+TIME(23,59,59)))</f>
        <v/>
      </c>
      <c r="G2893" s="3">
        <f>IFERROR(__xludf.DUMMYFUNCTION("IF(F2893&lt;=0,0,IFERROR(ROUNDUP(F2893/INDEX(FILTER('warehouse config'!$D:$D,('warehouse config'!$B:$B=C2893)*('warehouse config'!$C:$C=D2893)*('warehouse config'!$G:$G&lt;=B2893)*(('warehouse config'!$H:$H&gt;=B2893)+ISBLANK('warehouse config'!$H:$H))),1)),0))"),0.0)</f>
        <v>0</v>
      </c>
      <c r="H2893" s="3">
        <f>IFERROR(__xludf.DUMMYFUNCTION("IFERROR(INDEX(FILTER('cost master'!$E:$E,('cost master'!$B:$B=C2893)*('cost master'!$D:$D=""Storage cost per pallet / week"")*('cost master'!$G:$G&lt;=B2893)*(('cost master'!$H:$H&gt;=B2893)+ISBLANK('cost master'!$H:$H))),1),0)"),0.0)</f>
        <v>0</v>
      </c>
      <c r="I2893" s="3">
        <f t="shared" si="4"/>
        <v>0</v>
      </c>
      <c r="J2893" s="27">
        <f t="shared" si="5"/>
        <v>693947</v>
      </c>
      <c r="K2893" s="27">
        <f t="shared" si="6"/>
        <v>693977</v>
      </c>
    </row>
    <row r="2894" hidden="1">
      <c r="A2894" s="3" t="str">
        <f t="shared" si="3"/>
        <v/>
      </c>
      <c r="B2894" s="2" t="str">
        <f t="array" ref="B2894">INDEX(helper!$A$3:$A3996,ROUNDUP((ROW()-1)/COUNTA(helper!$D$3:$D3996),0))</f>
        <v/>
      </c>
      <c r="C2894" s="5" t="str">
        <f t="array" ref="C2894">IF(B2894="","",INDEX(helper!$D$3:$D3996,MOD(ROW()-2,COUNTA(helper!$D$3:$D3996))+1))</f>
        <v/>
      </c>
      <c r="D2894" s="3" t="str">
        <f t="array" ref="D2894">IF(B2894="","",INDEX(helper!$E$3:$E3996,MOD(ROW()-2,COUNTA(helper!$D$3:$D3996))+1))</f>
        <v/>
      </c>
      <c r="E2894" s="3" t="str">
        <f t="array" ref="E2894">IF(B2894="","",INDEX(helper!$F$3:$F3996,MOD(ROW()-2,COUNTA(helper!$D$3:$D3996))+1))</f>
        <v/>
      </c>
      <c r="F2894" s="3" t="str">
        <f>IF(B2894="","",SUMIFS('inventory ledger'!$H:$H,'inventory ledger'!$C:$C,C2894,'inventory ledger'!$D:$D,D2894,'inventory ledger'!$E:$E,E2894,'inventory ledger'!$A:$A,"&lt;="&amp;B2894+TIME(23,59,59))-SUMIFS('inventory ledger'!$I:$I,'inventory ledger'!$C:$C,C2894,'inventory ledger'!$D:$D,D2894,'inventory ledger'!$E:$E,E2894,'inventory ledger'!$A:$A,"&lt;="&amp;B2894+TIME(23,59,59)))</f>
        <v/>
      </c>
      <c r="G2894" s="3">
        <f>IFERROR(__xludf.DUMMYFUNCTION("IF(F2894&lt;=0,0,IFERROR(ROUNDUP(F2894/INDEX(FILTER('warehouse config'!$D:$D,('warehouse config'!$B:$B=C2894)*('warehouse config'!$C:$C=D2894)*('warehouse config'!$G:$G&lt;=B2894)*(('warehouse config'!$H:$H&gt;=B2894)+ISBLANK('warehouse config'!$H:$H))),1)),0))"),0.0)</f>
        <v>0</v>
      </c>
      <c r="H2894" s="3">
        <f>IFERROR(__xludf.DUMMYFUNCTION("IFERROR(INDEX(FILTER('cost master'!$E:$E,('cost master'!$B:$B=C2894)*('cost master'!$D:$D=""Storage cost per pallet / week"")*('cost master'!$G:$G&lt;=B2894)*(('cost master'!$H:$H&gt;=B2894)+ISBLANK('cost master'!$H:$H))),1),0)"),0.0)</f>
        <v>0</v>
      </c>
      <c r="I2894" s="3">
        <f t="shared" si="4"/>
        <v>0</v>
      </c>
      <c r="J2894" s="27">
        <f t="shared" si="5"/>
        <v>693947</v>
      </c>
      <c r="K2894" s="27">
        <f t="shared" si="6"/>
        <v>693977</v>
      </c>
    </row>
    <row r="2895" hidden="1">
      <c r="A2895" s="3" t="str">
        <f t="shared" si="3"/>
        <v/>
      </c>
      <c r="B2895" s="2" t="str">
        <f t="array" ref="B2895">INDEX(helper!$A$3:$A3996,ROUNDUP((ROW()-1)/COUNTA(helper!$D$3:$D3996),0))</f>
        <v/>
      </c>
      <c r="C2895" s="5" t="str">
        <f t="array" ref="C2895">IF(B2895="","",INDEX(helper!$D$3:$D3996,MOD(ROW()-2,COUNTA(helper!$D$3:$D3996))+1))</f>
        <v/>
      </c>
      <c r="D2895" s="3" t="str">
        <f t="array" ref="D2895">IF(B2895="","",INDEX(helper!$E$3:$E3996,MOD(ROW()-2,COUNTA(helper!$D$3:$D3996))+1))</f>
        <v/>
      </c>
      <c r="E2895" s="3" t="str">
        <f t="array" ref="E2895">IF(B2895="","",INDEX(helper!$F$3:$F3996,MOD(ROW()-2,COUNTA(helper!$D$3:$D3996))+1))</f>
        <v/>
      </c>
      <c r="F2895" s="3" t="str">
        <f>IF(B2895="","",SUMIFS('inventory ledger'!$H:$H,'inventory ledger'!$C:$C,C2895,'inventory ledger'!$D:$D,D2895,'inventory ledger'!$E:$E,E2895,'inventory ledger'!$A:$A,"&lt;="&amp;B2895+TIME(23,59,59))-SUMIFS('inventory ledger'!$I:$I,'inventory ledger'!$C:$C,C2895,'inventory ledger'!$D:$D,D2895,'inventory ledger'!$E:$E,E2895,'inventory ledger'!$A:$A,"&lt;="&amp;B2895+TIME(23,59,59)))</f>
        <v/>
      </c>
      <c r="G2895" s="3">
        <f>IFERROR(__xludf.DUMMYFUNCTION("IF(F2895&lt;=0,0,IFERROR(ROUNDUP(F2895/INDEX(FILTER('warehouse config'!$D:$D,('warehouse config'!$B:$B=C2895)*('warehouse config'!$C:$C=D2895)*('warehouse config'!$G:$G&lt;=B2895)*(('warehouse config'!$H:$H&gt;=B2895)+ISBLANK('warehouse config'!$H:$H))),1)),0))"),0.0)</f>
        <v>0</v>
      </c>
      <c r="H2895" s="3">
        <f>IFERROR(__xludf.DUMMYFUNCTION("IFERROR(INDEX(FILTER('cost master'!$E:$E,('cost master'!$B:$B=C2895)*('cost master'!$D:$D=""Storage cost per pallet / week"")*('cost master'!$G:$G&lt;=B2895)*(('cost master'!$H:$H&gt;=B2895)+ISBLANK('cost master'!$H:$H))),1),0)"),0.0)</f>
        <v>0</v>
      </c>
      <c r="I2895" s="3">
        <f t="shared" si="4"/>
        <v>0</v>
      </c>
      <c r="J2895" s="27">
        <f t="shared" si="5"/>
        <v>693947</v>
      </c>
      <c r="K2895" s="27">
        <f t="shared" si="6"/>
        <v>693977</v>
      </c>
    </row>
    <row r="2896" hidden="1">
      <c r="A2896" s="3" t="str">
        <f t="shared" si="3"/>
        <v/>
      </c>
      <c r="B2896" s="2" t="str">
        <f t="array" ref="B2896">INDEX(helper!$A$3:$A3996,ROUNDUP((ROW()-1)/COUNTA(helper!$D$3:$D3996),0))</f>
        <v/>
      </c>
      <c r="C2896" s="5" t="str">
        <f t="array" ref="C2896">IF(B2896="","",INDEX(helper!$D$3:$D3996,MOD(ROW()-2,COUNTA(helper!$D$3:$D3996))+1))</f>
        <v/>
      </c>
      <c r="D2896" s="3" t="str">
        <f t="array" ref="D2896">IF(B2896="","",INDEX(helper!$E$3:$E3996,MOD(ROW()-2,COUNTA(helper!$D$3:$D3996))+1))</f>
        <v/>
      </c>
      <c r="E2896" s="3" t="str">
        <f t="array" ref="E2896">IF(B2896="","",INDEX(helper!$F$3:$F3996,MOD(ROW()-2,COUNTA(helper!$D$3:$D3996))+1))</f>
        <v/>
      </c>
      <c r="F2896" s="3" t="str">
        <f>IF(B2896="","",SUMIFS('inventory ledger'!$H:$H,'inventory ledger'!$C:$C,C2896,'inventory ledger'!$D:$D,D2896,'inventory ledger'!$E:$E,E2896,'inventory ledger'!$A:$A,"&lt;="&amp;B2896+TIME(23,59,59))-SUMIFS('inventory ledger'!$I:$I,'inventory ledger'!$C:$C,C2896,'inventory ledger'!$D:$D,D2896,'inventory ledger'!$E:$E,E2896,'inventory ledger'!$A:$A,"&lt;="&amp;B2896+TIME(23,59,59)))</f>
        <v/>
      </c>
      <c r="G2896" s="3">
        <f>IFERROR(__xludf.DUMMYFUNCTION("IF(F2896&lt;=0,0,IFERROR(ROUNDUP(F2896/INDEX(FILTER('warehouse config'!$D:$D,('warehouse config'!$B:$B=C2896)*('warehouse config'!$C:$C=D2896)*('warehouse config'!$G:$G&lt;=B2896)*(('warehouse config'!$H:$H&gt;=B2896)+ISBLANK('warehouse config'!$H:$H))),1)),0))"),0.0)</f>
        <v>0</v>
      </c>
      <c r="H2896" s="3">
        <f>IFERROR(__xludf.DUMMYFUNCTION("IFERROR(INDEX(FILTER('cost master'!$E:$E,('cost master'!$B:$B=C2896)*('cost master'!$D:$D=""Storage cost per pallet / week"")*('cost master'!$G:$G&lt;=B2896)*(('cost master'!$H:$H&gt;=B2896)+ISBLANK('cost master'!$H:$H))),1),0)"),0.0)</f>
        <v>0</v>
      </c>
      <c r="I2896" s="3">
        <f t="shared" si="4"/>
        <v>0</v>
      </c>
      <c r="J2896" s="27">
        <f t="shared" si="5"/>
        <v>693947</v>
      </c>
      <c r="K2896" s="27">
        <f t="shared" si="6"/>
        <v>693977</v>
      </c>
    </row>
    <row r="2897" hidden="1">
      <c r="A2897" s="3" t="str">
        <f t="shared" si="3"/>
        <v/>
      </c>
      <c r="B2897" s="2" t="str">
        <f t="array" ref="B2897">INDEX(helper!$A$3:$A3996,ROUNDUP((ROW()-1)/COUNTA(helper!$D$3:$D3996),0))</f>
        <v/>
      </c>
      <c r="C2897" s="5" t="str">
        <f t="array" ref="C2897">IF(B2897="","",INDEX(helper!$D$3:$D3996,MOD(ROW()-2,COUNTA(helper!$D$3:$D3996))+1))</f>
        <v/>
      </c>
      <c r="D2897" s="3" t="str">
        <f t="array" ref="D2897">IF(B2897="","",INDEX(helper!$E$3:$E3996,MOD(ROW()-2,COUNTA(helper!$D$3:$D3996))+1))</f>
        <v/>
      </c>
      <c r="E2897" s="3" t="str">
        <f t="array" ref="E2897">IF(B2897="","",INDEX(helper!$F$3:$F3996,MOD(ROW()-2,COUNTA(helper!$D$3:$D3996))+1))</f>
        <v/>
      </c>
      <c r="F2897" s="3" t="str">
        <f>IF(B2897="","",SUMIFS('inventory ledger'!$H:$H,'inventory ledger'!$C:$C,C2897,'inventory ledger'!$D:$D,D2897,'inventory ledger'!$E:$E,E2897,'inventory ledger'!$A:$A,"&lt;="&amp;B2897+TIME(23,59,59))-SUMIFS('inventory ledger'!$I:$I,'inventory ledger'!$C:$C,C2897,'inventory ledger'!$D:$D,D2897,'inventory ledger'!$E:$E,E2897,'inventory ledger'!$A:$A,"&lt;="&amp;B2897+TIME(23,59,59)))</f>
        <v/>
      </c>
      <c r="G2897" s="3">
        <f>IFERROR(__xludf.DUMMYFUNCTION("IF(F2897&lt;=0,0,IFERROR(ROUNDUP(F2897/INDEX(FILTER('warehouse config'!$D:$D,('warehouse config'!$B:$B=C2897)*('warehouse config'!$C:$C=D2897)*('warehouse config'!$G:$G&lt;=B2897)*(('warehouse config'!$H:$H&gt;=B2897)+ISBLANK('warehouse config'!$H:$H))),1)),0))"),0.0)</f>
        <v>0</v>
      </c>
      <c r="H2897" s="3">
        <f>IFERROR(__xludf.DUMMYFUNCTION("IFERROR(INDEX(FILTER('cost master'!$E:$E,('cost master'!$B:$B=C2897)*('cost master'!$D:$D=""Storage cost per pallet / week"")*('cost master'!$G:$G&lt;=B2897)*(('cost master'!$H:$H&gt;=B2897)+ISBLANK('cost master'!$H:$H))),1),0)"),0.0)</f>
        <v>0</v>
      </c>
      <c r="I2897" s="3">
        <f t="shared" si="4"/>
        <v>0</v>
      </c>
      <c r="J2897" s="27">
        <f t="shared" si="5"/>
        <v>693947</v>
      </c>
      <c r="K2897" s="27">
        <f t="shared" si="6"/>
        <v>693977</v>
      </c>
    </row>
    <row r="2898" hidden="1">
      <c r="A2898" s="3" t="str">
        <f t="shared" si="3"/>
        <v/>
      </c>
      <c r="B2898" s="2" t="str">
        <f t="array" ref="B2898">INDEX(helper!$A$3:$A3996,ROUNDUP((ROW()-1)/COUNTA(helper!$D$3:$D3996),0))</f>
        <v/>
      </c>
      <c r="C2898" s="5" t="str">
        <f t="array" ref="C2898">IF(B2898="","",INDEX(helper!$D$3:$D3996,MOD(ROW()-2,COUNTA(helper!$D$3:$D3996))+1))</f>
        <v/>
      </c>
      <c r="D2898" s="3" t="str">
        <f t="array" ref="D2898">IF(B2898="","",INDEX(helper!$E$3:$E3996,MOD(ROW()-2,COUNTA(helper!$D$3:$D3996))+1))</f>
        <v/>
      </c>
      <c r="E2898" s="3" t="str">
        <f t="array" ref="E2898">IF(B2898="","",INDEX(helper!$F$3:$F3996,MOD(ROW()-2,COUNTA(helper!$D$3:$D3996))+1))</f>
        <v/>
      </c>
      <c r="F2898" s="3" t="str">
        <f>IF(B2898="","",SUMIFS('inventory ledger'!$H:$H,'inventory ledger'!$C:$C,C2898,'inventory ledger'!$D:$D,D2898,'inventory ledger'!$E:$E,E2898,'inventory ledger'!$A:$A,"&lt;="&amp;B2898+TIME(23,59,59))-SUMIFS('inventory ledger'!$I:$I,'inventory ledger'!$C:$C,C2898,'inventory ledger'!$D:$D,D2898,'inventory ledger'!$E:$E,E2898,'inventory ledger'!$A:$A,"&lt;="&amp;B2898+TIME(23,59,59)))</f>
        <v/>
      </c>
      <c r="G2898" s="3">
        <f>IFERROR(__xludf.DUMMYFUNCTION("IF(F2898&lt;=0,0,IFERROR(ROUNDUP(F2898/INDEX(FILTER('warehouse config'!$D:$D,('warehouse config'!$B:$B=C2898)*('warehouse config'!$C:$C=D2898)*('warehouse config'!$G:$G&lt;=B2898)*(('warehouse config'!$H:$H&gt;=B2898)+ISBLANK('warehouse config'!$H:$H))),1)),0))"),0.0)</f>
        <v>0</v>
      </c>
      <c r="H2898" s="3">
        <f>IFERROR(__xludf.DUMMYFUNCTION("IFERROR(INDEX(FILTER('cost master'!$E:$E,('cost master'!$B:$B=C2898)*('cost master'!$D:$D=""Storage cost per pallet / week"")*('cost master'!$G:$G&lt;=B2898)*(('cost master'!$H:$H&gt;=B2898)+ISBLANK('cost master'!$H:$H))),1),0)"),0.0)</f>
        <v>0</v>
      </c>
      <c r="I2898" s="3">
        <f t="shared" si="4"/>
        <v>0</v>
      </c>
      <c r="J2898" s="27">
        <f t="shared" si="5"/>
        <v>693947</v>
      </c>
      <c r="K2898" s="27">
        <f t="shared" si="6"/>
        <v>693977</v>
      </c>
    </row>
    <row r="2899" hidden="1">
      <c r="A2899" s="3" t="str">
        <f t="shared" si="3"/>
        <v/>
      </c>
      <c r="B2899" s="2" t="str">
        <f t="array" ref="B2899">INDEX(helper!$A$3:$A3996,ROUNDUP((ROW()-1)/COUNTA(helper!$D$3:$D3996),0))</f>
        <v/>
      </c>
      <c r="C2899" s="5" t="str">
        <f t="array" ref="C2899">IF(B2899="","",INDEX(helper!$D$3:$D3996,MOD(ROW()-2,COUNTA(helper!$D$3:$D3996))+1))</f>
        <v/>
      </c>
      <c r="D2899" s="3" t="str">
        <f t="array" ref="D2899">IF(B2899="","",INDEX(helper!$E$3:$E3996,MOD(ROW()-2,COUNTA(helper!$D$3:$D3996))+1))</f>
        <v/>
      </c>
      <c r="E2899" s="3" t="str">
        <f t="array" ref="E2899">IF(B2899="","",INDEX(helper!$F$3:$F3996,MOD(ROW()-2,COUNTA(helper!$D$3:$D3996))+1))</f>
        <v/>
      </c>
      <c r="F2899" s="3" t="str">
        <f>IF(B2899="","",SUMIFS('inventory ledger'!$H:$H,'inventory ledger'!$C:$C,C2899,'inventory ledger'!$D:$D,D2899,'inventory ledger'!$E:$E,E2899,'inventory ledger'!$A:$A,"&lt;="&amp;B2899+TIME(23,59,59))-SUMIFS('inventory ledger'!$I:$I,'inventory ledger'!$C:$C,C2899,'inventory ledger'!$D:$D,D2899,'inventory ledger'!$E:$E,E2899,'inventory ledger'!$A:$A,"&lt;="&amp;B2899+TIME(23,59,59)))</f>
        <v/>
      </c>
      <c r="G2899" s="3">
        <f>IFERROR(__xludf.DUMMYFUNCTION("IF(F2899&lt;=0,0,IFERROR(ROUNDUP(F2899/INDEX(FILTER('warehouse config'!$D:$D,('warehouse config'!$B:$B=C2899)*('warehouse config'!$C:$C=D2899)*('warehouse config'!$G:$G&lt;=B2899)*(('warehouse config'!$H:$H&gt;=B2899)+ISBLANK('warehouse config'!$H:$H))),1)),0))"),0.0)</f>
        <v>0</v>
      </c>
      <c r="H2899" s="3">
        <f>IFERROR(__xludf.DUMMYFUNCTION("IFERROR(INDEX(FILTER('cost master'!$E:$E,('cost master'!$B:$B=C2899)*('cost master'!$D:$D=""Storage cost per pallet / week"")*('cost master'!$G:$G&lt;=B2899)*(('cost master'!$H:$H&gt;=B2899)+ISBLANK('cost master'!$H:$H))),1),0)"),0.0)</f>
        <v>0</v>
      </c>
      <c r="I2899" s="3">
        <f t="shared" si="4"/>
        <v>0</v>
      </c>
      <c r="J2899" s="27">
        <f t="shared" si="5"/>
        <v>693947</v>
      </c>
      <c r="K2899" s="27">
        <f t="shared" si="6"/>
        <v>693977</v>
      </c>
    </row>
    <row r="2900" hidden="1">
      <c r="A2900" s="3" t="str">
        <f t="shared" si="3"/>
        <v/>
      </c>
      <c r="B2900" s="2" t="str">
        <f t="array" ref="B2900">INDEX(helper!$A$3:$A3996,ROUNDUP((ROW()-1)/COUNTA(helper!$D$3:$D3996),0))</f>
        <v/>
      </c>
      <c r="C2900" s="5" t="str">
        <f t="array" ref="C2900">IF(B2900="","",INDEX(helper!$D$3:$D3996,MOD(ROW()-2,COUNTA(helper!$D$3:$D3996))+1))</f>
        <v/>
      </c>
      <c r="D2900" s="3" t="str">
        <f t="array" ref="D2900">IF(B2900="","",INDEX(helper!$E$3:$E3996,MOD(ROW()-2,COUNTA(helper!$D$3:$D3996))+1))</f>
        <v/>
      </c>
      <c r="E2900" s="3" t="str">
        <f t="array" ref="E2900">IF(B2900="","",INDEX(helper!$F$3:$F3996,MOD(ROW()-2,COUNTA(helper!$D$3:$D3996))+1))</f>
        <v/>
      </c>
      <c r="F2900" s="3" t="str">
        <f>IF(B2900="","",SUMIFS('inventory ledger'!$H:$H,'inventory ledger'!$C:$C,C2900,'inventory ledger'!$D:$D,D2900,'inventory ledger'!$E:$E,E2900,'inventory ledger'!$A:$A,"&lt;="&amp;B2900+TIME(23,59,59))-SUMIFS('inventory ledger'!$I:$I,'inventory ledger'!$C:$C,C2900,'inventory ledger'!$D:$D,D2900,'inventory ledger'!$E:$E,E2900,'inventory ledger'!$A:$A,"&lt;="&amp;B2900+TIME(23,59,59)))</f>
        <v/>
      </c>
      <c r="G2900" s="3">
        <f>IFERROR(__xludf.DUMMYFUNCTION("IF(F2900&lt;=0,0,IFERROR(ROUNDUP(F2900/INDEX(FILTER('warehouse config'!$D:$D,('warehouse config'!$B:$B=C2900)*('warehouse config'!$C:$C=D2900)*('warehouse config'!$G:$G&lt;=B2900)*(('warehouse config'!$H:$H&gt;=B2900)+ISBLANK('warehouse config'!$H:$H))),1)),0))"),0.0)</f>
        <v>0</v>
      </c>
      <c r="H2900" s="3">
        <f>IFERROR(__xludf.DUMMYFUNCTION("IFERROR(INDEX(FILTER('cost master'!$E:$E,('cost master'!$B:$B=C2900)*('cost master'!$D:$D=""Storage cost per pallet / week"")*('cost master'!$G:$G&lt;=B2900)*(('cost master'!$H:$H&gt;=B2900)+ISBLANK('cost master'!$H:$H))),1),0)"),0.0)</f>
        <v>0</v>
      </c>
      <c r="I2900" s="3">
        <f t="shared" si="4"/>
        <v>0</v>
      </c>
      <c r="J2900" s="27">
        <f t="shared" si="5"/>
        <v>693947</v>
      </c>
      <c r="K2900" s="27">
        <f t="shared" si="6"/>
        <v>693977</v>
      </c>
    </row>
    <row r="2901" hidden="1">
      <c r="A2901" s="3" t="str">
        <f t="shared" si="3"/>
        <v/>
      </c>
      <c r="B2901" s="2" t="str">
        <f t="array" ref="B2901">INDEX(helper!$A$3:$A3996,ROUNDUP((ROW()-1)/COUNTA(helper!$D$3:$D3996),0))</f>
        <v/>
      </c>
      <c r="C2901" s="5" t="str">
        <f t="array" ref="C2901">IF(B2901="","",INDEX(helper!$D$3:$D3996,MOD(ROW()-2,COUNTA(helper!$D$3:$D3996))+1))</f>
        <v/>
      </c>
      <c r="D2901" s="3" t="str">
        <f t="array" ref="D2901">IF(B2901="","",INDEX(helper!$E$3:$E3996,MOD(ROW()-2,COUNTA(helper!$D$3:$D3996))+1))</f>
        <v/>
      </c>
      <c r="E2901" s="3" t="str">
        <f t="array" ref="E2901">IF(B2901="","",INDEX(helper!$F$3:$F3996,MOD(ROW()-2,COUNTA(helper!$D$3:$D3996))+1))</f>
        <v/>
      </c>
      <c r="F2901" s="3" t="str">
        <f>IF(B2901="","",SUMIFS('inventory ledger'!$H:$H,'inventory ledger'!$C:$C,C2901,'inventory ledger'!$D:$D,D2901,'inventory ledger'!$E:$E,E2901,'inventory ledger'!$A:$A,"&lt;="&amp;B2901+TIME(23,59,59))-SUMIFS('inventory ledger'!$I:$I,'inventory ledger'!$C:$C,C2901,'inventory ledger'!$D:$D,D2901,'inventory ledger'!$E:$E,E2901,'inventory ledger'!$A:$A,"&lt;="&amp;B2901+TIME(23,59,59)))</f>
        <v/>
      </c>
      <c r="G2901" s="3">
        <f>IFERROR(__xludf.DUMMYFUNCTION("IF(F2901&lt;=0,0,IFERROR(ROUNDUP(F2901/INDEX(FILTER('warehouse config'!$D:$D,('warehouse config'!$B:$B=C2901)*('warehouse config'!$C:$C=D2901)*('warehouse config'!$G:$G&lt;=B2901)*(('warehouse config'!$H:$H&gt;=B2901)+ISBLANK('warehouse config'!$H:$H))),1)),0))"),0.0)</f>
        <v>0</v>
      </c>
      <c r="H2901" s="3">
        <f>IFERROR(__xludf.DUMMYFUNCTION("IFERROR(INDEX(FILTER('cost master'!$E:$E,('cost master'!$B:$B=C2901)*('cost master'!$D:$D=""Storage cost per pallet / week"")*('cost master'!$G:$G&lt;=B2901)*(('cost master'!$H:$H&gt;=B2901)+ISBLANK('cost master'!$H:$H))),1),0)"),0.0)</f>
        <v>0</v>
      </c>
      <c r="I2901" s="3">
        <f t="shared" si="4"/>
        <v>0</v>
      </c>
      <c r="J2901" s="27">
        <f t="shared" si="5"/>
        <v>693947</v>
      </c>
      <c r="K2901" s="27">
        <f t="shared" si="6"/>
        <v>693977</v>
      </c>
    </row>
    <row r="2902" hidden="1">
      <c r="A2902" s="3" t="str">
        <f t="shared" si="3"/>
        <v/>
      </c>
      <c r="B2902" s="2" t="str">
        <f t="array" ref="B2902">INDEX(helper!$A$3:$A3996,ROUNDUP((ROW()-1)/COUNTA(helper!$D$3:$D3996),0))</f>
        <v/>
      </c>
      <c r="C2902" s="5" t="str">
        <f t="array" ref="C2902">IF(B2902="","",INDEX(helper!$D$3:$D3996,MOD(ROW()-2,COUNTA(helper!$D$3:$D3996))+1))</f>
        <v/>
      </c>
      <c r="D2902" s="3" t="str">
        <f t="array" ref="D2902">IF(B2902="","",INDEX(helper!$E$3:$E3996,MOD(ROW()-2,COUNTA(helper!$D$3:$D3996))+1))</f>
        <v/>
      </c>
      <c r="E2902" s="3" t="str">
        <f t="array" ref="E2902">IF(B2902="","",INDEX(helper!$F$3:$F3996,MOD(ROW()-2,COUNTA(helper!$D$3:$D3996))+1))</f>
        <v/>
      </c>
      <c r="F2902" s="3" t="str">
        <f>IF(B2902="","",SUMIFS('inventory ledger'!$H:$H,'inventory ledger'!$C:$C,C2902,'inventory ledger'!$D:$D,D2902,'inventory ledger'!$E:$E,E2902,'inventory ledger'!$A:$A,"&lt;="&amp;B2902+TIME(23,59,59))-SUMIFS('inventory ledger'!$I:$I,'inventory ledger'!$C:$C,C2902,'inventory ledger'!$D:$D,D2902,'inventory ledger'!$E:$E,E2902,'inventory ledger'!$A:$A,"&lt;="&amp;B2902+TIME(23,59,59)))</f>
        <v/>
      </c>
      <c r="G2902" s="3">
        <f>IFERROR(__xludf.DUMMYFUNCTION("IF(F2902&lt;=0,0,IFERROR(ROUNDUP(F2902/INDEX(FILTER('warehouse config'!$D:$D,('warehouse config'!$B:$B=C2902)*('warehouse config'!$C:$C=D2902)*('warehouse config'!$G:$G&lt;=B2902)*(('warehouse config'!$H:$H&gt;=B2902)+ISBLANK('warehouse config'!$H:$H))),1)),0))"),0.0)</f>
        <v>0</v>
      </c>
      <c r="H2902" s="3">
        <f>IFERROR(__xludf.DUMMYFUNCTION("IFERROR(INDEX(FILTER('cost master'!$E:$E,('cost master'!$B:$B=C2902)*('cost master'!$D:$D=""Storage cost per pallet / week"")*('cost master'!$G:$G&lt;=B2902)*(('cost master'!$H:$H&gt;=B2902)+ISBLANK('cost master'!$H:$H))),1),0)"),0.0)</f>
        <v>0</v>
      </c>
      <c r="I2902" s="3">
        <f t="shared" si="4"/>
        <v>0</v>
      </c>
      <c r="J2902" s="27">
        <f t="shared" si="5"/>
        <v>693947</v>
      </c>
      <c r="K2902" s="27">
        <f t="shared" si="6"/>
        <v>693977</v>
      </c>
    </row>
    <row r="2903" hidden="1">
      <c r="A2903" s="3" t="str">
        <f t="shared" si="3"/>
        <v/>
      </c>
      <c r="B2903" s="2" t="str">
        <f t="array" ref="B2903">INDEX(helper!$A$3:$A3996,ROUNDUP((ROW()-1)/COUNTA(helper!$D$3:$D3996),0))</f>
        <v/>
      </c>
      <c r="C2903" s="5" t="str">
        <f t="array" ref="C2903">IF(B2903="","",INDEX(helper!$D$3:$D3996,MOD(ROW()-2,COUNTA(helper!$D$3:$D3996))+1))</f>
        <v/>
      </c>
      <c r="D2903" s="3" t="str">
        <f t="array" ref="D2903">IF(B2903="","",INDEX(helper!$E$3:$E3996,MOD(ROW()-2,COUNTA(helper!$D$3:$D3996))+1))</f>
        <v/>
      </c>
      <c r="E2903" s="3" t="str">
        <f t="array" ref="E2903">IF(B2903="","",INDEX(helper!$F$3:$F3996,MOD(ROW()-2,COUNTA(helper!$D$3:$D3996))+1))</f>
        <v/>
      </c>
      <c r="F2903" s="3" t="str">
        <f>IF(B2903="","",SUMIFS('inventory ledger'!$H:$H,'inventory ledger'!$C:$C,C2903,'inventory ledger'!$D:$D,D2903,'inventory ledger'!$E:$E,E2903,'inventory ledger'!$A:$A,"&lt;="&amp;B2903+TIME(23,59,59))-SUMIFS('inventory ledger'!$I:$I,'inventory ledger'!$C:$C,C2903,'inventory ledger'!$D:$D,D2903,'inventory ledger'!$E:$E,E2903,'inventory ledger'!$A:$A,"&lt;="&amp;B2903+TIME(23,59,59)))</f>
        <v/>
      </c>
      <c r="G2903" s="3">
        <f>IFERROR(__xludf.DUMMYFUNCTION("IF(F2903&lt;=0,0,IFERROR(ROUNDUP(F2903/INDEX(FILTER('warehouse config'!$D:$D,('warehouse config'!$B:$B=C2903)*('warehouse config'!$C:$C=D2903)*('warehouse config'!$G:$G&lt;=B2903)*(('warehouse config'!$H:$H&gt;=B2903)+ISBLANK('warehouse config'!$H:$H))),1)),0))"),0.0)</f>
        <v>0</v>
      </c>
      <c r="H2903" s="3">
        <f>IFERROR(__xludf.DUMMYFUNCTION("IFERROR(INDEX(FILTER('cost master'!$E:$E,('cost master'!$B:$B=C2903)*('cost master'!$D:$D=""Storage cost per pallet / week"")*('cost master'!$G:$G&lt;=B2903)*(('cost master'!$H:$H&gt;=B2903)+ISBLANK('cost master'!$H:$H))),1),0)"),0.0)</f>
        <v>0</v>
      </c>
      <c r="I2903" s="3">
        <f t="shared" si="4"/>
        <v>0</v>
      </c>
      <c r="J2903" s="27">
        <f t="shared" si="5"/>
        <v>693947</v>
      </c>
      <c r="K2903" s="27">
        <f t="shared" si="6"/>
        <v>693977</v>
      </c>
    </row>
    <row r="2904" hidden="1">
      <c r="A2904" s="3" t="str">
        <f t="shared" si="3"/>
        <v/>
      </c>
      <c r="B2904" s="2" t="str">
        <f t="array" ref="B2904">INDEX(helper!$A$3:$A3996,ROUNDUP((ROW()-1)/COUNTA(helper!$D$3:$D3996),0))</f>
        <v/>
      </c>
      <c r="C2904" s="5" t="str">
        <f t="array" ref="C2904">IF(B2904="","",INDEX(helper!$D$3:$D3996,MOD(ROW()-2,COUNTA(helper!$D$3:$D3996))+1))</f>
        <v/>
      </c>
      <c r="D2904" s="3" t="str">
        <f t="array" ref="D2904">IF(B2904="","",INDEX(helper!$E$3:$E3996,MOD(ROW()-2,COUNTA(helper!$D$3:$D3996))+1))</f>
        <v/>
      </c>
      <c r="E2904" s="3" t="str">
        <f t="array" ref="E2904">IF(B2904="","",INDEX(helper!$F$3:$F3996,MOD(ROW()-2,COUNTA(helper!$D$3:$D3996))+1))</f>
        <v/>
      </c>
      <c r="F2904" s="3" t="str">
        <f>IF(B2904="","",SUMIFS('inventory ledger'!$H:$H,'inventory ledger'!$C:$C,C2904,'inventory ledger'!$D:$D,D2904,'inventory ledger'!$E:$E,E2904,'inventory ledger'!$A:$A,"&lt;="&amp;B2904+TIME(23,59,59))-SUMIFS('inventory ledger'!$I:$I,'inventory ledger'!$C:$C,C2904,'inventory ledger'!$D:$D,D2904,'inventory ledger'!$E:$E,E2904,'inventory ledger'!$A:$A,"&lt;="&amp;B2904+TIME(23,59,59)))</f>
        <v/>
      </c>
      <c r="G2904" s="3">
        <f>IFERROR(__xludf.DUMMYFUNCTION("IF(F2904&lt;=0,0,IFERROR(ROUNDUP(F2904/INDEX(FILTER('warehouse config'!$D:$D,('warehouse config'!$B:$B=C2904)*('warehouse config'!$C:$C=D2904)*('warehouse config'!$G:$G&lt;=B2904)*(('warehouse config'!$H:$H&gt;=B2904)+ISBLANK('warehouse config'!$H:$H))),1)),0))"),0.0)</f>
        <v>0</v>
      </c>
      <c r="H2904" s="3">
        <f>IFERROR(__xludf.DUMMYFUNCTION("IFERROR(INDEX(FILTER('cost master'!$E:$E,('cost master'!$B:$B=C2904)*('cost master'!$D:$D=""Storage cost per pallet / week"")*('cost master'!$G:$G&lt;=B2904)*(('cost master'!$H:$H&gt;=B2904)+ISBLANK('cost master'!$H:$H))),1),0)"),0.0)</f>
        <v>0</v>
      </c>
      <c r="I2904" s="3">
        <f t="shared" si="4"/>
        <v>0</v>
      </c>
      <c r="J2904" s="27">
        <f t="shared" si="5"/>
        <v>693947</v>
      </c>
      <c r="K2904" s="27">
        <f t="shared" si="6"/>
        <v>693977</v>
      </c>
    </row>
    <row r="2905" hidden="1">
      <c r="A2905" s="3" t="str">
        <f t="shared" si="3"/>
        <v/>
      </c>
      <c r="B2905" s="2" t="str">
        <f t="array" ref="B2905">INDEX(helper!$A$3:$A3996,ROUNDUP((ROW()-1)/COUNTA(helper!$D$3:$D3996),0))</f>
        <v/>
      </c>
      <c r="C2905" s="5" t="str">
        <f t="array" ref="C2905">IF(B2905="","",INDEX(helper!$D$3:$D3996,MOD(ROW()-2,COUNTA(helper!$D$3:$D3996))+1))</f>
        <v/>
      </c>
      <c r="D2905" s="3" t="str">
        <f t="array" ref="D2905">IF(B2905="","",INDEX(helper!$E$3:$E3996,MOD(ROW()-2,COUNTA(helper!$D$3:$D3996))+1))</f>
        <v/>
      </c>
      <c r="E2905" s="3" t="str">
        <f t="array" ref="E2905">IF(B2905="","",INDEX(helper!$F$3:$F3996,MOD(ROW()-2,COUNTA(helper!$D$3:$D3996))+1))</f>
        <v/>
      </c>
      <c r="F2905" s="3" t="str">
        <f>IF(B2905="","",SUMIFS('inventory ledger'!$H:$H,'inventory ledger'!$C:$C,C2905,'inventory ledger'!$D:$D,D2905,'inventory ledger'!$E:$E,E2905,'inventory ledger'!$A:$A,"&lt;="&amp;B2905+TIME(23,59,59))-SUMIFS('inventory ledger'!$I:$I,'inventory ledger'!$C:$C,C2905,'inventory ledger'!$D:$D,D2905,'inventory ledger'!$E:$E,E2905,'inventory ledger'!$A:$A,"&lt;="&amp;B2905+TIME(23,59,59)))</f>
        <v/>
      </c>
      <c r="G2905" s="3">
        <f>IFERROR(__xludf.DUMMYFUNCTION("IF(F2905&lt;=0,0,IFERROR(ROUNDUP(F2905/INDEX(FILTER('warehouse config'!$D:$D,('warehouse config'!$B:$B=C2905)*('warehouse config'!$C:$C=D2905)*('warehouse config'!$G:$G&lt;=B2905)*(('warehouse config'!$H:$H&gt;=B2905)+ISBLANK('warehouse config'!$H:$H))),1)),0))"),0.0)</f>
        <v>0</v>
      </c>
      <c r="H2905" s="3">
        <f>IFERROR(__xludf.DUMMYFUNCTION("IFERROR(INDEX(FILTER('cost master'!$E:$E,('cost master'!$B:$B=C2905)*('cost master'!$D:$D=""Storage cost per pallet / week"")*('cost master'!$G:$G&lt;=B2905)*(('cost master'!$H:$H&gt;=B2905)+ISBLANK('cost master'!$H:$H))),1),0)"),0.0)</f>
        <v>0</v>
      </c>
      <c r="I2905" s="3">
        <f t="shared" si="4"/>
        <v>0</v>
      </c>
      <c r="J2905" s="27">
        <f t="shared" si="5"/>
        <v>693947</v>
      </c>
      <c r="K2905" s="27">
        <f t="shared" si="6"/>
        <v>693977</v>
      </c>
    </row>
    <row r="2906" hidden="1">
      <c r="A2906" s="3" t="str">
        <f t="shared" si="3"/>
        <v/>
      </c>
      <c r="B2906" s="2" t="str">
        <f t="array" ref="B2906">INDEX(helper!$A$3:$A3996,ROUNDUP((ROW()-1)/COUNTA(helper!$D$3:$D3996),0))</f>
        <v/>
      </c>
      <c r="C2906" s="5" t="str">
        <f t="array" ref="C2906">IF(B2906="","",INDEX(helper!$D$3:$D3996,MOD(ROW()-2,COUNTA(helper!$D$3:$D3996))+1))</f>
        <v/>
      </c>
      <c r="D2906" s="3" t="str">
        <f t="array" ref="D2906">IF(B2906="","",INDEX(helper!$E$3:$E3996,MOD(ROW()-2,COUNTA(helper!$D$3:$D3996))+1))</f>
        <v/>
      </c>
      <c r="E2906" s="3" t="str">
        <f t="array" ref="E2906">IF(B2906="","",INDEX(helper!$F$3:$F3996,MOD(ROW()-2,COUNTA(helper!$D$3:$D3996))+1))</f>
        <v/>
      </c>
      <c r="F2906" s="3" t="str">
        <f>IF(B2906="","",SUMIFS('inventory ledger'!$H:$H,'inventory ledger'!$C:$C,C2906,'inventory ledger'!$D:$D,D2906,'inventory ledger'!$E:$E,E2906,'inventory ledger'!$A:$A,"&lt;="&amp;B2906+TIME(23,59,59))-SUMIFS('inventory ledger'!$I:$I,'inventory ledger'!$C:$C,C2906,'inventory ledger'!$D:$D,D2906,'inventory ledger'!$E:$E,E2906,'inventory ledger'!$A:$A,"&lt;="&amp;B2906+TIME(23,59,59)))</f>
        <v/>
      </c>
      <c r="G2906" s="3">
        <f>IFERROR(__xludf.DUMMYFUNCTION("IF(F2906&lt;=0,0,IFERROR(ROUNDUP(F2906/INDEX(FILTER('warehouse config'!$D:$D,('warehouse config'!$B:$B=C2906)*('warehouse config'!$C:$C=D2906)*('warehouse config'!$G:$G&lt;=B2906)*(('warehouse config'!$H:$H&gt;=B2906)+ISBLANK('warehouse config'!$H:$H))),1)),0))"),0.0)</f>
        <v>0</v>
      </c>
      <c r="H2906" s="3">
        <f>IFERROR(__xludf.DUMMYFUNCTION("IFERROR(INDEX(FILTER('cost master'!$E:$E,('cost master'!$B:$B=C2906)*('cost master'!$D:$D=""Storage cost per pallet / week"")*('cost master'!$G:$G&lt;=B2906)*(('cost master'!$H:$H&gt;=B2906)+ISBLANK('cost master'!$H:$H))),1),0)"),0.0)</f>
        <v>0</v>
      </c>
      <c r="I2906" s="3">
        <f t="shared" si="4"/>
        <v>0</v>
      </c>
      <c r="J2906" s="27">
        <f t="shared" si="5"/>
        <v>693947</v>
      </c>
      <c r="K2906" s="27">
        <f t="shared" si="6"/>
        <v>693977</v>
      </c>
    </row>
    <row r="2907" hidden="1">
      <c r="A2907" s="3" t="str">
        <f t="shared" si="3"/>
        <v/>
      </c>
      <c r="B2907" s="2" t="str">
        <f t="array" ref="B2907">INDEX(helper!$A$3:$A3996,ROUNDUP((ROW()-1)/COUNTA(helper!$D$3:$D3996),0))</f>
        <v/>
      </c>
      <c r="C2907" s="5" t="str">
        <f t="array" ref="C2907">IF(B2907="","",INDEX(helper!$D$3:$D3996,MOD(ROW()-2,COUNTA(helper!$D$3:$D3996))+1))</f>
        <v/>
      </c>
      <c r="D2907" s="3" t="str">
        <f t="array" ref="D2907">IF(B2907="","",INDEX(helper!$E$3:$E3996,MOD(ROW()-2,COUNTA(helper!$D$3:$D3996))+1))</f>
        <v/>
      </c>
      <c r="E2907" s="3" t="str">
        <f t="array" ref="E2907">IF(B2907="","",INDEX(helper!$F$3:$F3996,MOD(ROW()-2,COUNTA(helper!$D$3:$D3996))+1))</f>
        <v/>
      </c>
      <c r="F2907" s="3" t="str">
        <f>IF(B2907="","",SUMIFS('inventory ledger'!$H:$H,'inventory ledger'!$C:$C,C2907,'inventory ledger'!$D:$D,D2907,'inventory ledger'!$E:$E,E2907,'inventory ledger'!$A:$A,"&lt;="&amp;B2907+TIME(23,59,59))-SUMIFS('inventory ledger'!$I:$I,'inventory ledger'!$C:$C,C2907,'inventory ledger'!$D:$D,D2907,'inventory ledger'!$E:$E,E2907,'inventory ledger'!$A:$A,"&lt;="&amp;B2907+TIME(23,59,59)))</f>
        <v/>
      </c>
      <c r="G2907" s="3">
        <f>IFERROR(__xludf.DUMMYFUNCTION("IF(F2907&lt;=0,0,IFERROR(ROUNDUP(F2907/INDEX(FILTER('warehouse config'!$D:$D,('warehouse config'!$B:$B=C2907)*('warehouse config'!$C:$C=D2907)*('warehouse config'!$G:$G&lt;=B2907)*(('warehouse config'!$H:$H&gt;=B2907)+ISBLANK('warehouse config'!$H:$H))),1)),0))"),0.0)</f>
        <v>0</v>
      </c>
      <c r="H2907" s="3">
        <f>IFERROR(__xludf.DUMMYFUNCTION("IFERROR(INDEX(FILTER('cost master'!$E:$E,('cost master'!$B:$B=C2907)*('cost master'!$D:$D=""Storage cost per pallet / week"")*('cost master'!$G:$G&lt;=B2907)*(('cost master'!$H:$H&gt;=B2907)+ISBLANK('cost master'!$H:$H))),1),0)"),0.0)</f>
        <v>0</v>
      </c>
      <c r="I2907" s="3">
        <f t="shared" si="4"/>
        <v>0</v>
      </c>
      <c r="J2907" s="27">
        <f t="shared" si="5"/>
        <v>693947</v>
      </c>
      <c r="K2907" s="27">
        <f t="shared" si="6"/>
        <v>693977</v>
      </c>
    </row>
    <row r="2908" hidden="1">
      <c r="A2908" s="3" t="str">
        <f t="shared" si="3"/>
        <v/>
      </c>
      <c r="B2908" s="2" t="str">
        <f t="array" ref="B2908">INDEX(helper!$A$3:$A3996,ROUNDUP((ROW()-1)/COUNTA(helper!$D$3:$D3996),0))</f>
        <v/>
      </c>
      <c r="C2908" s="5" t="str">
        <f t="array" ref="C2908">IF(B2908="","",INDEX(helper!$D$3:$D3996,MOD(ROW()-2,COUNTA(helper!$D$3:$D3996))+1))</f>
        <v/>
      </c>
      <c r="D2908" s="3" t="str">
        <f t="array" ref="D2908">IF(B2908="","",INDEX(helper!$E$3:$E3996,MOD(ROW()-2,COUNTA(helper!$D$3:$D3996))+1))</f>
        <v/>
      </c>
      <c r="E2908" s="3" t="str">
        <f t="array" ref="E2908">IF(B2908="","",INDEX(helper!$F$3:$F3996,MOD(ROW()-2,COUNTA(helper!$D$3:$D3996))+1))</f>
        <v/>
      </c>
      <c r="F2908" s="3" t="str">
        <f>IF(B2908="","",SUMIFS('inventory ledger'!$H:$H,'inventory ledger'!$C:$C,C2908,'inventory ledger'!$D:$D,D2908,'inventory ledger'!$E:$E,E2908,'inventory ledger'!$A:$A,"&lt;="&amp;B2908+TIME(23,59,59))-SUMIFS('inventory ledger'!$I:$I,'inventory ledger'!$C:$C,C2908,'inventory ledger'!$D:$D,D2908,'inventory ledger'!$E:$E,E2908,'inventory ledger'!$A:$A,"&lt;="&amp;B2908+TIME(23,59,59)))</f>
        <v/>
      </c>
      <c r="G2908" s="3">
        <f>IFERROR(__xludf.DUMMYFUNCTION("IF(F2908&lt;=0,0,IFERROR(ROUNDUP(F2908/INDEX(FILTER('warehouse config'!$D:$D,('warehouse config'!$B:$B=C2908)*('warehouse config'!$C:$C=D2908)*('warehouse config'!$G:$G&lt;=B2908)*(('warehouse config'!$H:$H&gt;=B2908)+ISBLANK('warehouse config'!$H:$H))),1)),0))"),0.0)</f>
        <v>0</v>
      </c>
      <c r="H2908" s="3">
        <f>IFERROR(__xludf.DUMMYFUNCTION("IFERROR(INDEX(FILTER('cost master'!$E:$E,('cost master'!$B:$B=C2908)*('cost master'!$D:$D=""Storage cost per pallet / week"")*('cost master'!$G:$G&lt;=B2908)*(('cost master'!$H:$H&gt;=B2908)+ISBLANK('cost master'!$H:$H))),1),0)"),0.0)</f>
        <v>0</v>
      </c>
      <c r="I2908" s="3">
        <f t="shared" si="4"/>
        <v>0</v>
      </c>
      <c r="J2908" s="27">
        <f t="shared" si="5"/>
        <v>693947</v>
      </c>
      <c r="K2908" s="27">
        <f t="shared" si="6"/>
        <v>693977</v>
      </c>
    </row>
    <row r="2909" hidden="1">
      <c r="A2909" s="3" t="str">
        <f t="shared" si="3"/>
        <v/>
      </c>
      <c r="B2909" s="2" t="str">
        <f t="array" ref="B2909">INDEX(helper!$A$3:$A3996,ROUNDUP((ROW()-1)/COUNTA(helper!$D$3:$D3996),0))</f>
        <v/>
      </c>
      <c r="C2909" s="5" t="str">
        <f t="array" ref="C2909">IF(B2909="","",INDEX(helper!$D$3:$D3996,MOD(ROW()-2,COUNTA(helper!$D$3:$D3996))+1))</f>
        <v/>
      </c>
      <c r="D2909" s="3" t="str">
        <f t="array" ref="D2909">IF(B2909="","",INDEX(helper!$E$3:$E3996,MOD(ROW()-2,COUNTA(helper!$D$3:$D3996))+1))</f>
        <v/>
      </c>
      <c r="E2909" s="3" t="str">
        <f t="array" ref="E2909">IF(B2909="","",INDEX(helper!$F$3:$F3996,MOD(ROW()-2,COUNTA(helper!$D$3:$D3996))+1))</f>
        <v/>
      </c>
      <c r="F2909" s="3" t="str">
        <f>IF(B2909="","",SUMIFS('inventory ledger'!$H:$H,'inventory ledger'!$C:$C,C2909,'inventory ledger'!$D:$D,D2909,'inventory ledger'!$E:$E,E2909,'inventory ledger'!$A:$A,"&lt;="&amp;B2909+TIME(23,59,59))-SUMIFS('inventory ledger'!$I:$I,'inventory ledger'!$C:$C,C2909,'inventory ledger'!$D:$D,D2909,'inventory ledger'!$E:$E,E2909,'inventory ledger'!$A:$A,"&lt;="&amp;B2909+TIME(23,59,59)))</f>
        <v/>
      </c>
      <c r="G2909" s="3">
        <f>IFERROR(__xludf.DUMMYFUNCTION("IF(F2909&lt;=0,0,IFERROR(ROUNDUP(F2909/INDEX(FILTER('warehouse config'!$D:$D,('warehouse config'!$B:$B=C2909)*('warehouse config'!$C:$C=D2909)*('warehouse config'!$G:$G&lt;=B2909)*(('warehouse config'!$H:$H&gt;=B2909)+ISBLANK('warehouse config'!$H:$H))),1)),0))"),0.0)</f>
        <v>0</v>
      </c>
      <c r="H2909" s="3">
        <f>IFERROR(__xludf.DUMMYFUNCTION("IFERROR(INDEX(FILTER('cost master'!$E:$E,('cost master'!$B:$B=C2909)*('cost master'!$D:$D=""Storage cost per pallet / week"")*('cost master'!$G:$G&lt;=B2909)*(('cost master'!$H:$H&gt;=B2909)+ISBLANK('cost master'!$H:$H))),1),0)"),0.0)</f>
        <v>0</v>
      </c>
      <c r="I2909" s="3">
        <f t="shared" si="4"/>
        <v>0</v>
      </c>
      <c r="J2909" s="27">
        <f t="shared" si="5"/>
        <v>693947</v>
      </c>
      <c r="K2909" s="27">
        <f t="shared" si="6"/>
        <v>693977</v>
      </c>
    </row>
    <row r="2910" hidden="1">
      <c r="A2910" s="3" t="str">
        <f t="shared" si="3"/>
        <v/>
      </c>
      <c r="B2910" s="2" t="str">
        <f t="array" ref="B2910">INDEX(helper!$A$3:$A3996,ROUNDUP((ROW()-1)/COUNTA(helper!$D$3:$D3996),0))</f>
        <v/>
      </c>
      <c r="C2910" s="5" t="str">
        <f t="array" ref="C2910">IF(B2910="","",INDEX(helper!$D$3:$D3996,MOD(ROW()-2,COUNTA(helper!$D$3:$D3996))+1))</f>
        <v/>
      </c>
      <c r="D2910" s="3" t="str">
        <f t="array" ref="D2910">IF(B2910="","",INDEX(helper!$E$3:$E3996,MOD(ROW()-2,COUNTA(helper!$D$3:$D3996))+1))</f>
        <v/>
      </c>
      <c r="E2910" s="3" t="str">
        <f t="array" ref="E2910">IF(B2910="","",INDEX(helper!$F$3:$F3996,MOD(ROW()-2,COUNTA(helper!$D$3:$D3996))+1))</f>
        <v/>
      </c>
      <c r="F2910" s="3" t="str">
        <f>IF(B2910="","",SUMIFS('inventory ledger'!$H:$H,'inventory ledger'!$C:$C,C2910,'inventory ledger'!$D:$D,D2910,'inventory ledger'!$E:$E,E2910,'inventory ledger'!$A:$A,"&lt;="&amp;B2910+TIME(23,59,59))-SUMIFS('inventory ledger'!$I:$I,'inventory ledger'!$C:$C,C2910,'inventory ledger'!$D:$D,D2910,'inventory ledger'!$E:$E,E2910,'inventory ledger'!$A:$A,"&lt;="&amp;B2910+TIME(23,59,59)))</f>
        <v/>
      </c>
      <c r="G2910" s="3">
        <f>IFERROR(__xludf.DUMMYFUNCTION("IF(F2910&lt;=0,0,IFERROR(ROUNDUP(F2910/INDEX(FILTER('warehouse config'!$D:$D,('warehouse config'!$B:$B=C2910)*('warehouse config'!$C:$C=D2910)*('warehouse config'!$G:$G&lt;=B2910)*(('warehouse config'!$H:$H&gt;=B2910)+ISBLANK('warehouse config'!$H:$H))),1)),0))"),0.0)</f>
        <v>0</v>
      </c>
      <c r="H2910" s="3">
        <f>IFERROR(__xludf.DUMMYFUNCTION("IFERROR(INDEX(FILTER('cost master'!$E:$E,('cost master'!$B:$B=C2910)*('cost master'!$D:$D=""Storage cost per pallet / week"")*('cost master'!$G:$G&lt;=B2910)*(('cost master'!$H:$H&gt;=B2910)+ISBLANK('cost master'!$H:$H))),1),0)"),0.0)</f>
        <v>0</v>
      </c>
      <c r="I2910" s="3">
        <f t="shared" si="4"/>
        <v>0</v>
      </c>
      <c r="J2910" s="27">
        <f t="shared" si="5"/>
        <v>693947</v>
      </c>
      <c r="K2910" s="27">
        <f t="shared" si="6"/>
        <v>693977</v>
      </c>
    </row>
    <row r="2911" hidden="1">
      <c r="A2911" s="3" t="str">
        <f t="shared" si="3"/>
        <v/>
      </c>
      <c r="B2911" s="2" t="str">
        <f t="array" ref="B2911">INDEX(helper!$A$3:$A3996,ROUNDUP((ROW()-1)/COUNTA(helper!$D$3:$D3996),0))</f>
        <v/>
      </c>
      <c r="C2911" s="5" t="str">
        <f t="array" ref="C2911">IF(B2911="","",INDEX(helper!$D$3:$D3996,MOD(ROW()-2,COUNTA(helper!$D$3:$D3996))+1))</f>
        <v/>
      </c>
      <c r="D2911" s="3" t="str">
        <f t="array" ref="D2911">IF(B2911="","",INDEX(helper!$E$3:$E3996,MOD(ROW()-2,COUNTA(helper!$D$3:$D3996))+1))</f>
        <v/>
      </c>
      <c r="E2911" s="3" t="str">
        <f t="array" ref="E2911">IF(B2911="","",INDEX(helper!$F$3:$F3996,MOD(ROW()-2,COUNTA(helper!$D$3:$D3996))+1))</f>
        <v/>
      </c>
      <c r="F2911" s="3" t="str">
        <f>IF(B2911="","",SUMIFS('inventory ledger'!$H:$H,'inventory ledger'!$C:$C,C2911,'inventory ledger'!$D:$D,D2911,'inventory ledger'!$E:$E,E2911,'inventory ledger'!$A:$A,"&lt;="&amp;B2911+TIME(23,59,59))-SUMIFS('inventory ledger'!$I:$I,'inventory ledger'!$C:$C,C2911,'inventory ledger'!$D:$D,D2911,'inventory ledger'!$E:$E,E2911,'inventory ledger'!$A:$A,"&lt;="&amp;B2911+TIME(23,59,59)))</f>
        <v/>
      </c>
      <c r="G2911" s="3">
        <f>IFERROR(__xludf.DUMMYFUNCTION("IF(F2911&lt;=0,0,IFERROR(ROUNDUP(F2911/INDEX(FILTER('warehouse config'!$D:$D,('warehouse config'!$B:$B=C2911)*('warehouse config'!$C:$C=D2911)*('warehouse config'!$G:$G&lt;=B2911)*(('warehouse config'!$H:$H&gt;=B2911)+ISBLANK('warehouse config'!$H:$H))),1)),0))"),0.0)</f>
        <v>0</v>
      </c>
      <c r="H2911" s="3">
        <f>IFERROR(__xludf.DUMMYFUNCTION("IFERROR(INDEX(FILTER('cost master'!$E:$E,('cost master'!$B:$B=C2911)*('cost master'!$D:$D=""Storage cost per pallet / week"")*('cost master'!$G:$G&lt;=B2911)*(('cost master'!$H:$H&gt;=B2911)+ISBLANK('cost master'!$H:$H))),1),0)"),0.0)</f>
        <v>0</v>
      </c>
      <c r="I2911" s="3">
        <f t="shared" si="4"/>
        <v>0</v>
      </c>
      <c r="J2911" s="27">
        <f t="shared" si="5"/>
        <v>693947</v>
      </c>
      <c r="K2911" s="27">
        <f t="shared" si="6"/>
        <v>693977</v>
      </c>
    </row>
    <row r="2912" hidden="1">
      <c r="A2912" s="3" t="str">
        <f t="shared" si="3"/>
        <v/>
      </c>
      <c r="B2912" s="2" t="str">
        <f t="array" ref="B2912">INDEX(helper!$A$3:$A3996,ROUNDUP((ROW()-1)/COUNTA(helper!$D$3:$D3996),0))</f>
        <v/>
      </c>
      <c r="C2912" s="5" t="str">
        <f t="array" ref="C2912">IF(B2912="","",INDEX(helper!$D$3:$D3996,MOD(ROW()-2,COUNTA(helper!$D$3:$D3996))+1))</f>
        <v/>
      </c>
      <c r="D2912" s="3" t="str">
        <f t="array" ref="D2912">IF(B2912="","",INDEX(helper!$E$3:$E3996,MOD(ROW()-2,COUNTA(helper!$D$3:$D3996))+1))</f>
        <v/>
      </c>
      <c r="E2912" s="3" t="str">
        <f t="array" ref="E2912">IF(B2912="","",INDEX(helper!$F$3:$F3996,MOD(ROW()-2,COUNTA(helper!$D$3:$D3996))+1))</f>
        <v/>
      </c>
      <c r="F2912" s="3" t="str">
        <f>IF(B2912="","",SUMIFS('inventory ledger'!$H:$H,'inventory ledger'!$C:$C,C2912,'inventory ledger'!$D:$D,D2912,'inventory ledger'!$E:$E,E2912,'inventory ledger'!$A:$A,"&lt;="&amp;B2912+TIME(23,59,59))-SUMIFS('inventory ledger'!$I:$I,'inventory ledger'!$C:$C,C2912,'inventory ledger'!$D:$D,D2912,'inventory ledger'!$E:$E,E2912,'inventory ledger'!$A:$A,"&lt;="&amp;B2912+TIME(23,59,59)))</f>
        <v/>
      </c>
      <c r="G2912" s="3">
        <f>IFERROR(__xludf.DUMMYFUNCTION("IF(F2912&lt;=0,0,IFERROR(ROUNDUP(F2912/INDEX(FILTER('warehouse config'!$D:$D,('warehouse config'!$B:$B=C2912)*('warehouse config'!$C:$C=D2912)*('warehouse config'!$G:$G&lt;=B2912)*(('warehouse config'!$H:$H&gt;=B2912)+ISBLANK('warehouse config'!$H:$H))),1)),0))"),0.0)</f>
        <v>0</v>
      </c>
      <c r="H2912" s="3">
        <f>IFERROR(__xludf.DUMMYFUNCTION("IFERROR(INDEX(FILTER('cost master'!$E:$E,('cost master'!$B:$B=C2912)*('cost master'!$D:$D=""Storage cost per pallet / week"")*('cost master'!$G:$G&lt;=B2912)*(('cost master'!$H:$H&gt;=B2912)+ISBLANK('cost master'!$H:$H))),1),0)"),0.0)</f>
        <v>0</v>
      </c>
      <c r="I2912" s="3">
        <f t="shared" si="4"/>
        <v>0</v>
      </c>
      <c r="J2912" s="27">
        <f t="shared" si="5"/>
        <v>693947</v>
      </c>
      <c r="K2912" s="27">
        <f t="shared" si="6"/>
        <v>693977</v>
      </c>
    </row>
    <row r="2913" hidden="1">
      <c r="A2913" s="3" t="str">
        <f t="shared" si="3"/>
        <v/>
      </c>
      <c r="B2913" s="2" t="str">
        <f t="array" ref="B2913">INDEX(helper!$A$3:$A3996,ROUNDUP((ROW()-1)/COUNTA(helper!$D$3:$D3996),0))</f>
        <v/>
      </c>
      <c r="C2913" s="5" t="str">
        <f t="array" ref="C2913">IF(B2913="","",INDEX(helper!$D$3:$D3996,MOD(ROW()-2,COUNTA(helper!$D$3:$D3996))+1))</f>
        <v/>
      </c>
      <c r="D2913" s="3" t="str">
        <f t="array" ref="D2913">IF(B2913="","",INDEX(helper!$E$3:$E3996,MOD(ROW()-2,COUNTA(helper!$D$3:$D3996))+1))</f>
        <v/>
      </c>
      <c r="E2913" s="3" t="str">
        <f t="array" ref="E2913">IF(B2913="","",INDEX(helper!$F$3:$F3996,MOD(ROW()-2,COUNTA(helper!$D$3:$D3996))+1))</f>
        <v/>
      </c>
      <c r="F2913" s="3" t="str">
        <f>IF(B2913="","",SUMIFS('inventory ledger'!$H:$H,'inventory ledger'!$C:$C,C2913,'inventory ledger'!$D:$D,D2913,'inventory ledger'!$E:$E,E2913,'inventory ledger'!$A:$A,"&lt;="&amp;B2913+TIME(23,59,59))-SUMIFS('inventory ledger'!$I:$I,'inventory ledger'!$C:$C,C2913,'inventory ledger'!$D:$D,D2913,'inventory ledger'!$E:$E,E2913,'inventory ledger'!$A:$A,"&lt;="&amp;B2913+TIME(23,59,59)))</f>
        <v/>
      </c>
      <c r="G2913" s="3">
        <f>IFERROR(__xludf.DUMMYFUNCTION("IF(F2913&lt;=0,0,IFERROR(ROUNDUP(F2913/INDEX(FILTER('warehouse config'!$D:$D,('warehouse config'!$B:$B=C2913)*('warehouse config'!$C:$C=D2913)*('warehouse config'!$G:$G&lt;=B2913)*(('warehouse config'!$H:$H&gt;=B2913)+ISBLANK('warehouse config'!$H:$H))),1)),0))"),0.0)</f>
        <v>0</v>
      </c>
      <c r="H2913" s="3">
        <f>IFERROR(__xludf.DUMMYFUNCTION("IFERROR(INDEX(FILTER('cost master'!$E:$E,('cost master'!$B:$B=C2913)*('cost master'!$D:$D=""Storage cost per pallet / week"")*('cost master'!$G:$G&lt;=B2913)*(('cost master'!$H:$H&gt;=B2913)+ISBLANK('cost master'!$H:$H))),1),0)"),0.0)</f>
        <v>0</v>
      </c>
      <c r="I2913" s="3">
        <f t="shared" si="4"/>
        <v>0</v>
      </c>
      <c r="J2913" s="27">
        <f t="shared" si="5"/>
        <v>693947</v>
      </c>
      <c r="K2913" s="27">
        <f t="shared" si="6"/>
        <v>693977</v>
      </c>
    </row>
    <row r="2914" hidden="1">
      <c r="A2914" s="3" t="str">
        <f t="shared" si="3"/>
        <v/>
      </c>
      <c r="B2914" s="2" t="str">
        <f t="array" ref="B2914">INDEX(helper!$A$3:$A3996,ROUNDUP((ROW()-1)/COUNTA(helper!$D$3:$D3996),0))</f>
        <v/>
      </c>
      <c r="C2914" s="5" t="str">
        <f t="array" ref="C2914">IF(B2914="","",INDEX(helper!$D$3:$D3996,MOD(ROW()-2,COUNTA(helper!$D$3:$D3996))+1))</f>
        <v/>
      </c>
      <c r="D2914" s="3" t="str">
        <f t="array" ref="D2914">IF(B2914="","",INDEX(helper!$E$3:$E3996,MOD(ROW()-2,COUNTA(helper!$D$3:$D3996))+1))</f>
        <v/>
      </c>
      <c r="E2914" s="3" t="str">
        <f t="array" ref="E2914">IF(B2914="","",INDEX(helper!$F$3:$F3996,MOD(ROW()-2,COUNTA(helper!$D$3:$D3996))+1))</f>
        <v/>
      </c>
      <c r="F2914" s="3" t="str">
        <f>IF(B2914="","",SUMIFS('inventory ledger'!$H:$H,'inventory ledger'!$C:$C,C2914,'inventory ledger'!$D:$D,D2914,'inventory ledger'!$E:$E,E2914,'inventory ledger'!$A:$A,"&lt;="&amp;B2914+TIME(23,59,59))-SUMIFS('inventory ledger'!$I:$I,'inventory ledger'!$C:$C,C2914,'inventory ledger'!$D:$D,D2914,'inventory ledger'!$E:$E,E2914,'inventory ledger'!$A:$A,"&lt;="&amp;B2914+TIME(23,59,59)))</f>
        <v/>
      </c>
      <c r="G2914" s="3">
        <f>IFERROR(__xludf.DUMMYFUNCTION("IF(F2914&lt;=0,0,IFERROR(ROUNDUP(F2914/INDEX(FILTER('warehouse config'!$D:$D,('warehouse config'!$B:$B=C2914)*('warehouse config'!$C:$C=D2914)*('warehouse config'!$G:$G&lt;=B2914)*(('warehouse config'!$H:$H&gt;=B2914)+ISBLANK('warehouse config'!$H:$H))),1)),0))"),0.0)</f>
        <v>0</v>
      </c>
      <c r="H2914" s="3">
        <f>IFERROR(__xludf.DUMMYFUNCTION("IFERROR(INDEX(FILTER('cost master'!$E:$E,('cost master'!$B:$B=C2914)*('cost master'!$D:$D=""Storage cost per pallet / week"")*('cost master'!$G:$G&lt;=B2914)*(('cost master'!$H:$H&gt;=B2914)+ISBLANK('cost master'!$H:$H))),1),0)"),0.0)</f>
        <v>0</v>
      </c>
      <c r="I2914" s="3">
        <f t="shared" si="4"/>
        <v>0</v>
      </c>
      <c r="J2914" s="27">
        <f t="shared" si="5"/>
        <v>693947</v>
      </c>
      <c r="K2914" s="27">
        <f t="shared" si="6"/>
        <v>693977</v>
      </c>
    </row>
    <row r="2915" hidden="1">
      <c r="A2915" s="3" t="str">
        <f t="shared" si="3"/>
        <v/>
      </c>
      <c r="B2915" s="2" t="str">
        <f t="array" ref="B2915">INDEX(helper!$A$3:$A3996,ROUNDUP((ROW()-1)/COUNTA(helper!$D$3:$D3996),0))</f>
        <v/>
      </c>
      <c r="C2915" s="5" t="str">
        <f t="array" ref="C2915">IF(B2915="","",INDEX(helper!$D$3:$D3996,MOD(ROW()-2,COUNTA(helper!$D$3:$D3996))+1))</f>
        <v/>
      </c>
      <c r="D2915" s="3" t="str">
        <f t="array" ref="D2915">IF(B2915="","",INDEX(helper!$E$3:$E3996,MOD(ROW()-2,COUNTA(helper!$D$3:$D3996))+1))</f>
        <v/>
      </c>
      <c r="E2915" s="3" t="str">
        <f t="array" ref="E2915">IF(B2915="","",INDEX(helper!$F$3:$F3996,MOD(ROW()-2,COUNTA(helper!$D$3:$D3996))+1))</f>
        <v/>
      </c>
      <c r="F2915" s="3" t="str">
        <f>IF(B2915="","",SUMIFS('inventory ledger'!$H:$H,'inventory ledger'!$C:$C,C2915,'inventory ledger'!$D:$D,D2915,'inventory ledger'!$E:$E,E2915,'inventory ledger'!$A:$A,"&lt;="&amp;B2915+TIME(23,59,59))-SUMIFS('inventory ledger'!$I:$I,'inventory ledger'!$C:$C,C2915,'inventory ledger'!$D:$D,D2915,'inventory ledger'!$E:$E,E2915,'inventory ledger'!$A:$A,"&lt;="&amp;B2915+TIME(23,59,59)))</f>
        <v/>
      </c>
      <c r="G2915" s="3">
        <f>IFERROR(__xludf.DUMMYFUNCTION("IF(F2915&lt;=0,0,IFERROR(ROUNDUP(F2915/INDEX(FILTER('warehouse config'!$D:$D,('warehouse config'!$B:$B=C2915)*('warehouse config'!$C:$C=D2915)*('warehouse config'!$G:$G&lt;=B2915)*(('warehouse config'!$H:$H&gt;=B2915)+ISBLANK('warehouse config'!$H:$H))),1)),0))"),0.0)</f>
        <v>0</v>
      </c>
      <c r="H2915" s="3">
        <f>IFERROR(__xludf.DUMMYFUNCTION("IFERROR(INDEX(FILTER('cost master'!$E:$E,('cost master'!$B:$B=C2915)*('cost master'!$D:$D=""Storage cost per pallet / week"")*('cost master'!$G:$G&lt;=B2915)*(('cost master'!$H:$H&gt;=B2915)+ISBLANK('cost master'!$H:$H))),1),0)"),0.0)</f>
        <v>0</v>
      </c>
      <c r="I2915" s="3">
        <f t="shared" si="4"/>
        <v>0</v>
      </c>
      <c r="J2915" s="27">
        <f t="shared" si="5"/>
        <v>693947</v>
      </c>
      <c r="K2915" s="27">
        <f t="shared" si="6"/>
        <v>693977</v>
      </c>
    </row>
    <row r="2916" hidden="1">
      <c r="A2916" s="3" t="str">
        <f t="shared" si="3"/>
        <v/>
      </c>
      <c r="B2916" s="2" t="str">
        <f t="array" ref="B2916">INDEX(helper!$A$3:$A3996,ROUNDUP((ROW()-1)/COUNTA(helper!$D$3:$D3996),0))</f>
        <v/>
      </c>
      <c r="C2916" s="5" t="str">
        <f t="array" ref="C2916">IF(B2916="","",INDEX(helper!$D$3:$D3996,MOD(ROW()-2,COUNTA(helper!$D$3:$D3996))+1))</f>
        <v/>
      </c>
      <c r="D2916" s="3" t="str">
        <f t="array" ref="D2916">IF(B2916="","",INDEX(helper!$E$3:$E3996,MOD(ROW()-2,COUNTA(helper!$D$3:$D3996))+1))</f>
        <v/>
      </c>
      <c r="E2916" s="3" t="str">
        <f t="array" ref="E2916">IF(B2916="","",INDEX(helper!$F$3:$F3996,MOD(ROW()-2,COUNTA(helper!$D$3:$D3996))+1))</f>
        <v/>
      </c>
      <c r="F2916" s="3" t="str">
        <f>IF(B2916="","",SUMIFS('inventory ledger'!$H:$H,'inventory ledger'!$C:$C,C2916,'inventory ledger'!$D:$D,D2916,'inventory ledger'!$E:$E,E2916,'inventory ledger'!$A:$A,"&lt;="&amp;B2916+TIME(23,59,59))-SUMIFS('inventory ledger'!$I:$I,'inventory ledger'!$C:$C,C2916,'inventory ledger'!$D:$D,D2916,'inventory ledger'!$E:$E,E2916,'inventory ledger'!$A:$A,"&lt;="&amp;B2916+TIME(23,59,59)))</f>
        <v/>
      </c>
      <c r="G2916" s="3">
        <f>IFERROR(__xludf.DUMMYFUNCTION("IF(F2916&lt;=0,0,IFERROR(ROUNDUP(F2916/INDEX(FILTER('warehouse config'!$D:$D,('warehouse config'!$B:$B=C2916)*('warehouse config'!$C:$C=D2916)*('warehouse config'!$G:$G&lt;=B2916)*(('warehouse config'!$H:$H&gt;=B2916)+ISBLANK('warehouse config'!$H:$H))),1)),0))"),0.0)</f>
        <v>0</v>
      </c>
      <c r="H2916" s="3">
        <f>IFERROR(__xludf.DUMMYFUNCTION("IFERROR(INDEX(FILTER('cost master'!$E:$E,('cost master'!$B:$B=C2916)*('cost master'!$D:$D=""Storage cost per pallet / week"")*('cost master'!$G:$G&lt;=B2916)*(('cost master'!$H:$H&gt;=B2916)+ISBLANK('cost master'!$H:$H))),1),0)"),0.0)</f>
        <v>0</v>
      </c>
      <c r="I2916" s="3">
        <f t="shared" si="4"/>
        <v>0</v>
      </c>
      <c r="J2916" s="27">
        <f t="shared" si="5"/>
        <v>693947</v>
      </c>
      <c r="K2916" s="27">
        <f t="shared" si="6"/>
        <v>693977</v>
      </c>
    </row>
    <row r="2917" hidden="1">
      <c r="A2917" s="3" t="str">
        <f t="shared" si="3"/>
        <v/>
      </c>
      <c r="B2917" s="2" t="str">
        <f t="array" ref="B2917">INDEX(helper!$A$3:$A3996,ROUNDUP((ROW()-1)/COUNTA(helper!$D$3:$D3996),0))</f>
        <v/>
      </c>
      <c r="C2917" s="5" t="str">
        <f t="array" ref="C2917">IF(B2917="","",INDEX(helper!$D$3:$D3996,MOD(ROW()-2,COUNTA(helper!$D$3:$D3996))+1))</f>
        <v/>
      </c>
      <c r="D2917" s="3" t="str">
        <f t="array" ref="D2917">IF(B2917="","",INDEX(helper!$E$3:$E3996,MOD(ROW()-2,COUNTA(helper!$D$3:$D3996))+1))</f>
        <v/>
      </c>
      <c r="E2917" s="3" t="str">
        <f t="array" ref="E2917">IF(B2917="","",INDEX(helper!$F$3:$F3996,MOD(ROW()-2,COUNTA(helper!$D$3:$D3996))+1))</f>
        <v/>
      </c>
      <c r="F2917" s="3" t="str">
        <f>IF(B2917="","",SUMIFS('inventory ledger'!$H:$H,'inventory ledger'!$C:$C,C2917,'inventory ledger'!$D:$D,D2917,'inventory ledger'!$E:$E,E2917,'inventory ledger'!$A:$A,"&lt;="&amp;B2917+TIME(23,59,59))-SUMIFS('inventory ledger'!$I:$I,'inventory ledger'!$C:$C,C2917,'inventory ledger'!$D:$D,D2917,'inventory ledger'!$E:$E,E2917,'inventory ledger'!$A:$A,"&lt;="&amp;B2917+TIME(23,59,59)))</f>
        <v/>
      </c>
      <c r="G2917" s="3">
        <f>IFERROR(__xludf.DUMMYFUNCTION("IF(F2917&lt;=0,0,IFERROR(ROUNDUP(F2917/INDEX(FILTER('warehouse config'!$D:$D,('warehouse config'!$B:$B=C2917)*('warehouse config'!$C:$C=D2917)*('warehouse config'!$G:$G&lt;=B2917)*(('warehouse config'!$H:$H&gt;=B2917)+ISBLANK('warehouse config'!$H:$H))),1)),0))"),0.0)</f>
        <v>0</v>
      </c>
      <c r="H2917" s="3">
        <f>IFERROR(__xludf.DUMMYFUNCTION("IFERROR(INDEX(FILTER('cost master'!$E:$E,('cost master'!$B:$B=C2917)*('cost master'!$D:$D=""Storage cost per pallet / week"")*('cost master'!$G:$G&lt;=B2917)*(('cost master'!$H:$H&gt;=B2917)+ISBLANK('cost master'!$H:$H))),1),0)"),0.0)</f>
        <v>0</v>
      </c>
      <c r="I2917" s="3">
        <f t="shared" si="4"/>
        <v>0</v>
      </c>
      <c r="J2917" s="27">
        <f t="shared" si="5"/>
        <v>693947</v>
      </c>
      <c r="K2917" s="27">
        <f t="shared" si="6"/>
        <v>693977</v>
      </c>
    </row>
    <row r="2918" hidden="1">
      <c r="A2918" s="3" t="str">
        <f t="shared" si="3"/>
        <v/>
      </c>
      <c r="B2918" s="2" t="str">
        <f t="array" ref="B2918">INDEX(helper!$A$3:$A3996,ROUNDUP((ROW()-1)/COUNTA(helper!$D$3:$D3996),0))</f>
        <v/>
      </c>
      <c r="C2918" s="5" t="str">
        <f t="array" ref="C2918">IF(B2918="","",INDEX(helper!$D$3:$D3996,MOD(ROW()-2,COUNTA(helper!$D$3:$D3996))+1))</f>
        <v/>
      </c>
      <c r="D2918" s="3" t="str">
        <f t="array" ref="D2918">IF(B2918="","",INDEX(helper!$E$3:$E3996,MOD(ROW()-2,COUNTA(helper!$D$3:$D3996))+1))</f>
        <v/>
      </c>
      <c r="E2918" s="3" t="str">
        <f t="array" ref="E2918">IF(B2918="","",INDEX(helper!$F$3:$F3996,MOD(ROW()-2,COUNTA(helper!$D$3:$D3996))+1))</f>
        <v/>
      </c>
      <c r="F2918" s="3" t="str">
        <f>IF(B2918="","",SUMIFS('inventory ledger'!$H:$H,'inventory ledger'!$C:$C,C2918,'inventory ledger'!$D:$D,D2918,'inventory ledger'!$E:$E,E2918,'inventory ledger'!$A:$A,"&lt;="&amp;B2918+TIME(23,59,59))-SUMIFS('inventory ledger'!$I:$I,'inventory ledger'!$C:$C,C2918,'inventory ledger'!$D:$D,D2918,'inventory ledger'!$E:$E,E2918,'inventory ledger'!$A:$A,"&lt;="&amp;B2918+TIME(23,59,59)))</f>
        <v/>
      </c>
      <c r="G2918" s="3">
        <f>IFERROR(__xludf.DUMMYFUNCTION("IF(F2918&lt;=0,0,IFERROR(ROUNDUP(F2918/INDEX(FILTER('warehouse config'!$D:$D,('warehouse config'!$B:$B=C2918)*('warehouse config'!$C:$C=D2918)*('warehouse config'!$G:$G&lt;=B2918)*(('warehouse config'!$H:$H&gt;=B2918)+ISBLANK('warehouse config'!$H:$H))),1)),0))"),0.0)</f>
        <v>0</v>
      </c>
      <c r="H2918" s="3">
        <f>IFERROR(__xludf.DUMMYFUNCTION("IFERROR(INDEX(FILTER('cost master'!$E:$E,('cost master'!$B:$B=C2918)*('cost master'!$D:$D=""Storage cost per pallet / week"")*('cost master'!$G:$G&lt;=B2918)*(('cost master'!$H:$H&gt;=B2918)+ISBLANK('cost master'!$H:$H))),1),0)"),0.0)</f>
        <v>0</v>
      </c>
      <c r="I2918" s="3">
        <f t="shared" si="4"/>
        <v>0</v>
      </c>
      <c r="J2918" s="27">
        <f t="shared" si="5"/>
        <v>693947</v>
      </c>
      <c r="K2918" s="27">
        <f t="shared" si="6"/>
        <v>693977</v>
      </c>
    </row>
    <row r="2919" hidden="1">
      <c r="A2919" s="3" t="str">
        <f t="shared" si="3"/>
        <v/>
      </c>
      <c r="B2919" s="2" t="str">
        <f t="array" ref="B2919">INDEX(helper!$A$3:$A3996,ROUNDUP((ROW()-1)/COUNTA(helper!$D$3:$D3996),0))</f>
        <v/>
      </c>
      <c r="C2919" s="5" t="str">
        <f t="array" ref="C2919">IF(B2919="","",INDEX(helper!$D$3:$D3996,MOD(ROW()-2,COUNTA(helper!$D$3:$D3996))+1))</f>
        <v/>
      </c>
      <c r="D2919" s="3" t="str">
        <f t="array" ref="D2919">IF(B2919="","",INDEX(helper!$E$3:$E3996,MOD(ROW()-2,COUNTA(helper!$D$3:$D3996))+1))</f>
        <v/>
      </c>
      <c r="E2919" s="3" t="str">
        <f t="array" ref="E2919">IF(B2919="","",INDEX(helper!$F$3:$F3996,MOD(ROW()-2,COUNTA(helper!$D$3:$D3996))+1))</f>
        <v/>
      </c>
      <c r="F2919" s="3" t="str">
        <f>IF(B2919="","",SUMIFS('inventory ledger'!$H:$H,'inventory ledger'!$C:$C,C2919,'inventory ledger'!$D:$D,D2919,'inventory ledger'!$E:$E,E2919,'inventory ledger'!$A:$A,"&lt;="&amp;B2919+TIME(23,59,59))-SUMIFS('inventory ledger'!$I:$I,'inventory ledger'!$C:$C,C2919,'inventory ledger'!$D:$D,D2919,'inventory ledger'!$E:$E,E2919,'inventory ledger'!$A:$A,"&lt;="&amp;B2919+TIME(23,59,59)))</f>
        <v/>
      </c>
      <c r="G2919" s="3">
        <f>IFERROR(__xludf.DUMMYFUNCTION("IF(F2919&lt;=0,0,IFERROR(ROUNDUP(F2919/INDEX(FILTER('warehouse config'!$D:$D,('warehouse config'!$B:$B=C2919)*('warehouse config'!$C:$C=D2919)*('warehouse config'!$G:$G&lt;=B2919)*(('warehouse config'!$H:$H&gt;=B2919)+ISBLANK('warehouse config'!$H:$H))),1)),0))"),0.0)</f>
        <v>0</v>
      </c>
      <c r="H2919" s="3">
        <f>IFERROR(__xludf.DUMMYFUNCTION("IFERROR(INDEX(FILTER('cost master'!$E:$E,('cost master'!$B:$B=C2919)*('cost master'!$D:$D=""Storage cost per pallet / week"")*('cost master'!$G:$G&lt;=B2919)*(('cost master'!$H:$H&gt;=B2919)+ISBLANK('cost master'!$H:$H))),1),0)"),0.0)</f>
        <v>0</v>
      </c>
      <c r="I2919" s="3">
        <f t="shared" si="4"/>
        <v>0</v>
      </c>
      <c r="J2919" s="27">
        <f t="shared" si="5"/>
        <v>693947</v>
      </c>
      <c r="K2919" s="27">
        <f t="shared" si="6"/>
        <v>693977</v>
      </c>
    </row>
    <row r="2920" hidden="1">
      <c r="A2920" s="3" t="str">
        <f t="shared" si="3"/>
        <v/>
      </c>
      <c r="B2920" s="2" t="str">
        <f t="array" ref="B2920">INDEX(helper!$A$3:$A3996,ROUNDUP((ROW()-1)/COUNTA(helper!$D$3:$D3996),0))</f>
        <v/>
      </c>
      <c r="C2920" s="5" t="str">
        <f t="array" ref="C2920">IF(B2920="","",INDEX(helper!$D$3:$D3996,MOD(ROW()-2,COUNTA(helper!$D$3:$D3996))+1))</f>
        <v/>
      </c>
      <c r="D2920" s="3" t="str">
        <f t="array" ref="D2920">IF(B2920="","",INDEX(helper!$E$3:$E3996,MOD(ROW()-2,COUNTA(helper!$D$3:$D3996))+1))</f>
        <v/>
      </c>
      <c r="E2920" s="3" t="str">
        <f t="array" ref="E2920">IF(B2920="","",INDEX(helper!$F$3:$F3996,MOD(ROW()-2,COUNTA(helper!$D$3:$D3996))+1))</f>
        <v/>
      </c>
      <c r="F2920" s="3" t="str">
        <f>IF(B2920="","",SUMIFS('inventory ledger'!$H:$H,'inventory ledger'!$C:$C,C2920,'inventory ledger'!$D:$D,D2920,'inventory ledger'!$E:$E,E2920,'inventory ledger'!$A:$A,"&lt;="&amp;B2920+TIME(23,59,59))-SUMIFS('inventory ledger'!$I:$I,'inventory ledger'!$C:$C,C2920,'inventory ledger'!$D:$D,D2920,'inventory ledger'!$E:$E,E2920,'inventory ledger'!$A:$A,"&lt;="&amp;B2920+TIME(23,59,59)))</f>
        <v/>
      </c>
      <c r="G2920" s="3">
        <f>IFERROR(__xludf.DUMMYFUNCTION("IF(F2920&lt;=0,0,IFERROR(ROUNDUP(F2920/INDEX(FILTER('warehouse config'!$D:$D,('warehouse config'!$B:$B=C2920)*('warehouse config'!$C:$C=D2920)*('warehouse config'!$G:$G&lt;=B2920)*(('warehouse config'!$H:$H&gt;=B2920)+ISBLANK('warehouse config'!$H:$H))),1)),0))"),0.0)</f>
        <v>0</v>
      </c>
      <c r="H2920" s="3">
        <f>IFERROR(__xludf.DUMMYFUNCTION("IFERROR(INDEX(FILTER('cost master'!$E:$E,('cost master'!$B:$B=C2920)*('cost master'!$D:$D=""Storage cost per pallet / week"")*('cost master'!$G:$G&lt;=B2920)*(('cost master'!$H:$H&gt;=B2920)+ISBLANK('cost master'!$H:$H))),1),0)"),0.0)</f>
        <v>0</v>
      </c>
      <c r="I2920" s="3">
        <f t="shared" si="4"/>
        <v>0</v>
      </c>
      <c r="J2920" s="27">
        <f t="shared" si="5"/>
        <v>693947</v>
      </c>
      <c r="K2920" s="27">
        <f t="shared" si="6"/>
        <v>693977</v>
      </c>
    </row>
    <row r="2921" hidden="1">
      <c r="A2921" s="3" t="str">
        <f t="shared" si="3"/>
        <v/>
      </c>
      <c r="B2921" s="2" t="str">
        <f t="array" ref="B2921">INDEX(helper!$A$3:$A3996,ROUNDUP((ROW()-1)/COUNTA(helper!$D$3:$D3996),0))</f>
        <v/>
      </c>
      <c r="C2921" s="5" t="str">
        <f t="array" ref="C2921">IF(B2921="","",INDEX(helper!$D$3:$D3996,MOD(ROW()-2,COUNTA(helper!$D$3:$D3996))+1))</f>
        <v/>
      </c>
      <c r="D2921" s="3" t="str">
        <f t="array" ref="D2921">IF(B2921="","",INDEX(helper!$E$3:$E3996,MOD(ROW()-2,COUNTA(helper!$D$3:$D3996))+1))</f>
        <v/>
      </c>
      <c r="E2921" s="3" t="str">
        <f t="array" ref="E2921">IF(B2921="","",INDEX(helper!$F$3:$F3996,MOD(ROW()-2,COUNTA(helper!$D$3:$D3996))+1))</f>
        <v/>
      </c>
      <c r="F2921" s="3" t="str">
        <f>IF(B2921="","",SUMIFS('inventory ledger'!$H:$H,'inventory ledger'!$C:$C,C2921,'inventory ledger'!$D:$D,D2921,'inventory ledger'!$E:$E,E2921,'inventory ledger'!$A:$A,"&lt;="&amp;B2921+TIME(23,59,59))-SUMIFS('inventory ledger'!$I:$I,'inventory ledger'!$C:$C,C2921,'inventory ledger'!$D:$D,D2921,'inventory ledger'!$E:$E,E2921,'inventory ledger'!$A:$A,"&lt;="&amp;B2921+TIME(23,59,59)))</f>
        <v/>
      </c>
      <c r="G2921" s="3">
        <f>IFERROR(__xludf.DUMMYFUNCTION("IF(F2921&lt;=0,0,IFERROR(ROUNDUP(F2921/INDEX(FILTER('warehouse config'!$D:$D,('warehouse config'!$B:$B=C2921)*('warehouse config'!$C:$C=D2921)*('warehouse config'!$G:$G&lt;=B2921)*(('warehouse config'!$H:$H&gt;=B2921)+ISBLANK('warehouse config'!$H:$H))),1)),0))"),0.0)</f>
        <v>0</v>
      </c>
      <c r="H2921" s="3">
        <f>IFERROR(__xludf.DUMMYFUNCTION("IFERROR(INDEX(FILTER('cost master'!$E:$E,('cost master'!$B:$B=C2921)*('cost master'!$D:$D=""Storage cost per pallet / week"")*('cost master'!$G:$G&lt;=B2921)*(('cost master'!$H:$H&gt;=B2921)+ISBLANK('cost master'!$H:$H))),1),0)"),0.0)</f>
        <v>0</v>
      </c>
      <c r="I2921" s="3">
        <f t="shared" si="4"/>
        <v>0</v>
      </c>
      <c r="J2921" s="27">
        <f t="shared" si="5"/>
        <v>693947</v>
      </c>
      <c r="K2921" s="27">
        <f t="shared" si="6"/>
        <v>693977</v>
      </c>
    </row>
    <row r="2922" hidden="1">
      <c r="A2922" s="3" t="str">
        <f t="shared" si="3"/>
        <v/>
      </c>
      <c r="B2922" s="2" t="str">
        <f t="array" ref="B2922">INDEX(helper!$A$3:$A3996,ROUNDUP((ROW()-1)/COUNTA(helper!$D$3:$D3996),0))</f>
        <v/>
      </c>
      <c r="C2922" s="5" t="str">
        <f t="array" ref="C2922">IF(B2922="","",INDEX(helper!$D$3:$D3996,MOD(ROW()-2,COUNTA(helper!$D$3:$D3996))+1))</f>
        <v/>
      </c>
      <c r="D2922" s="3" t="str">
        <f t="array" ref="D2922">IF(B2922="","",INDEX(helper!$E$3:$E3996,MOD(ROW()-2,COUNTA(helper!$D$3:$D3996))+1))</f>
        <v/>
      </c>
      <c r="E2922" s="3" t="str">
        <f t="array" ref="E2922">IF(B2922="","",INDEX(helper!$F$3:$F3996,MOD(ROW()-2,COUNTA(helper!$D$3:$D3996))+1))</f>
        <v/>
      </c>
      <c r="F2922" s="3" t="str">
        <f>IF(B2922="","",SUMIFS('inventory ledger'!$H:$H,'inventory ledger'!$C:$C,C2922,'inventory ledger'!$D:$D,D2922,'inventory ledger'!$E:$E,E2922,'inventory ledger'!$A:$A,"&lt;="&amp;B2922+TIME(23,59,59))-SUMIFS('inventory ledger'!$I:$I,'inventory ledger'!$C:$C,C2922,'inventory ledger'!$D:$D,D2922,'inventory ledger'!$E:$E,E2922,'inventory ledger'!$A:$A,"&lt;="&amp;B2922+TIME(23,59,59)))</f>
        <v/>
      </c>
      <c r="G2922" s="3">
        <f>IFERROR(__xludf.DUMMYFUNCTION("IF(F2922&lt;=0,0,IFERROR(ROUNDUP(F2922/INDEX(FILTER('warehouse config'!$D:$D,('warehouse config'!$B:$B=C2922)*('warehouse config'!$C:$C=D2922)*('warehouse config'!$G:$G&lt;=B2922)*(('warehouse config'!$H:$H&gt;=B2922)+ISBLANK('warehouse config'!$H:$H))),1)),0))"),0.0)</f>
        <v>0</v>
      </c>
      <c r="H2922" s="3">
        <f>IFERROR(__xludf.DUMMYFUNCTION("IFERROR(INDEX(FILTER('cost master'!$E:$E,('cost master'!$B:$B=C2922)*('cost master'!$D:$D=""Storage cost per pallet / week"")*('cost master'!$G:$G&lt;=B2922)*(('cost master'!$H:$H&gt;=B2922)+ISBLANK('cost master'!$H:$H))),1),0)"),0.0)</f>
        <v>0</v>
      </c>
      <c r="I2922" s="3">
        <f t="shared" si="4"/>
        <v>0</v>
      </c>
      <c r="J2922" s="27">
        <f t="shared" si="5"/>
        <v>693947</v>
      </c>
      <c r="K2922" s="27">
        <f t="shared" si="6"/>
        <v>693977</v>
      </c>
    </row>
    <row r="2923" hidden="1">
      <c r="A2923" s="3" t="str">
        <f t="shared" si="3"/>
        <v/>
      </c>
      <c r="B2923" s="2" t="str">
        <f t="array" ref="B2923">INDEX(helper!$A$3:$A3996,ROUNDUP((ROW()-1)/COUNTA(helper!$D$3:$D3996),0))</f>
        <v/>
      </c>
      <c r="C2923" s="5" t="str">
        <f t="array" ref="C2923">IF(B2923="","",INDEX(helper!$D$3:$D3996,MOD(ROW()-2,COUNTA(helper!$D$3:$D3996))+1))</f>
        <v/>
      </c>
      <c r="D2923" s="3" t="str">
        <f t="array" ref="D2923">IF(B2923="","",INDEX(helper!$E$3:$E3996,MOD(ROW()-2,COUNTA(helper!$D$3:$D3996))+1))</f>
        <v/>
      </c>
      <c r="E2923" s="3" t="str">
        <f t="array" ref="E2923">IF(B2923="","",INDEX(helper!$F$3:$F3996,MOD(ROW()-2,COUNTA(helper!$D$3:$D3996))+1))</f>
        <v/>
      </c>
      <c r="F2923" s="3" t="str">
        <f>IF(B2923="","",SUMIFS('inventory ledger'!$H:$H,'inventory ledger'!$C:$C,C2923,'inventory ledger'!$D:$D,D2923,'inventory ledger'!$E:$E,E2923,'inventory ledger'!$A:$A,"&lt;="&amp;B2923+TIME(23,59,59))-SUMIFS('inventory ledger'!$I:$I,'inventory ledger'!$C:$C,C2923,'inventory ledger'!$D:$D,D2923,'inventory ledger'!$E:$E,E2923,'inventory ledger'!$A:$A,"&lt;="&amp;B2923+TIME(23,59,59)))</f>
        <v/>
      </c>
      <c r="G2923" s="3">
        <f>IFERROR(__xludf.DUMMYFUNCTION("IF(F2923&lt;=0,0,IFERROR(ROUNDUP(F2923/INDEX(FILTER('warehouse config'!$D:$D,('warehouse config'!$B:$B=C2923)*('warehouse config'!$C:$C=D2923)*('warehouse config'!$G:$G&lt;=B2923)*(('warehouse config'!$H:$H&gt;=B2923)+ISBLANK('warehouse config'!$H:$H))),1)),0))"),0.0)</f>
        <v>0</v>
      </c>
      <c r="H2923" s="3">
        <f>IFERROR(__xludf.DUMMYFUNCTION("IFERROR(INDEX(FILTER('cost master'!$E:$E,('cost master'!$B:$B=C2923)*('cost master'!$D:$D=""Storage cost per pallet / week"")*('cost master'!$G:$G&lt;=B2923)*(('cost master'!$H:$H&gt;=B2923)+ISBLANK('cost master'!$H:$H))),1),0)"),0.0)</f>
        <v>0</v>
      </c>
      <c r="I2923" s="3">
        <f t="shared" si="4"/>
        <v>0</v>
      </c>
      <c r="J2923" s="27">
        <f t="shared" si="5"/>
        <v>693947</v>
      </c>
      <c r="K2923" s="27">
        <f t="shared" si="6"/>
        <v>693977</v>
      </c>
    </row>
    <row r="2924" hidden="1">
      <c r="A2924" s="3" t="str">
        <f t="shared" si="3"/>
        <v/>
      </c>
      <c r="B2924" s="2" t="str">
        <f t="array" ref="B2924">INDEX(helper!$A$3:$A3996,ROUNDUP((ROW()-1)/COUNTA(helper!$D$3:$D3996),0))</f>
        <v/>
      </c>
      <c r="C2924" s="5" t="str">
        <f t="array" ref="C2924">IF(B2924="","",INDEX(helper!$D$3:$D3996,MOD(ROW()-2,COUNTA(helper!$D$3:$D3996))+1))</f>
        <v/>
      </c>
      <c r="D2924" s="3" t="str">
        <f t="array" ref="D2924">IF(B2924="","",INDEX(helper!$E$3:$E3996,MOD(ROW()-2,COUNTA(helper!$D$3:$D3996))+1))</f>
        <v/>
      </c>
      <c r="E2924" s="3" t="str">
        <f t="array" ref="E2924">IF(B2924="","",INDEX(helper!$F$3:$F3996,MOD(ROW()-2,COUNTA(helper!$D$3:$D3996))+1))</f>
        <v/>
      </c>
      <c r="F2924" s="3" t="str">
        <f>IF(B2924="","",SUMIFS('inventory ledger'!$H:$H,'inventory ledger'!$C:$C,C2924,'inventory ledger'!$D:$D,D2924,'inventory ledger'!$E:$E,E2924,'inventory ledger'!$A:$A,"&lt;="&amp;B2924+TIME(23,59,59))-SUMIFS('inventory ledger'!$I:$I,'inventory ledger'!$C:$C,C2924,'inventory ledger'!$D:$D,D2924,'inventory ledger'!$E:$E,E2924,'inventory ledger'!$A:$A,"&lt;="&amp;B2924+TIME(23,59,59)))</f>
        <v/>
      </c>
      <c r="G2924" s="3">
        <f>IFERROR(__xludf.DUMMYFUNCTION("IF(F2924&lt;=0,0,IFERROR(ROUNDUP(F2924/INDEX(FILTER('warehouse config'!$D:$D,('warehouse config'!$B:$B=C2924)*('warehouse config'!$C:$C=D2924)*('warehouse config'!$G:$G&lt;=B2924)*(('warehouse config'!$H:$H&gt;=B2924)+ISBLANK('warehouse config'!$H:$H))),1)),0))"),0.0)</f>
        <v>0</v>
      </c>
      <c r="H2924" s="3">
        <f>IFERROR(__xludf.DUMMYFUNCTION("IFERROR(INDEX(FILTER('cost master'!$E:$E,('cost master'!$B:$B=C2924)*('cost master'!$D:$D=""Storage cost per pallet / week"")*('cost master'!$G:$G&lt;=B2924)*(('cost master'!$H:$H&gt;=B2924)+ISBLANK('cost master'!$H:$H))),1),0)"),0.0)</f>
        <v>0</v>
      </c>
      <c r="I2924" s="3">
        <f t="shared" si="4"/>
        <v>0</v>
      </c>
      <c r="J2924" s="27">
        <f t="shared" si="5"/>
        <v>693947</v>
      </c>
      <c r="K2924" s="27">
        <f t="shared" si="6"/>
        <v>693977</v>
      </c>
    </row>
    <row r="2925" hidden="1">
      <c r="A2925" s="3" t="str">
        <f t="shared" si="3"/>
        <v/>
      </c>
      <c r="B2925" s="2" t="str">
        <f t="array" ref="B2925">INDEX(helper!$A$3:$A3996,ROUNDUP((ROW()-1)/COUNTA(helper!$D$3:$D3996),0))</f>
        <v/>
      </c>
      <c r="C2925" s="5" t="str">
        <f t="array" ref="C2925">IF(B2925="","",INDEX(helper!$D$3:$D3996,MOD(ROW()-2,COUNTA(helper!$D$3:$D3996))+1))</f>
        <v/>
      </c>
      <c r="D2925" s="3" t="str">
        <f t="array" ref="D2925">IF(B2925="","",INDEX(helper!$E$3:$E3996,MOD(ROW()-2,COUNTA(helper!$D$3:$D3996))+1))</f>
        <v/>
      </c>
      <c r="E2925" s="3" t="str">
        <f t="array" ref="E2925">IF(B2925="","",INDEX(helper!$F$3:$F3996,MOD(ROW()-2,COUNTA(helper!$D$3:$D3996))+1))</f>
        <v/>
      </c>
      <c r="F2925" s="3" t="str">
        <f>IF(B2925="","",SUMIFS('inventory ledger'!$H:$H,'inventory ledger'!$C:$C,C2925,'inventory ledger'!$D:$D,D2925,'inventory ledger'!$E:$E,E2925,'inventory ledger'!$A:$A,"&lt;="&amp;B2925+TIME(23,59,59))-SUMIFS('inventory ledger'!$I:$I,'inventory ledger'!$C:$C,C2925,'inventory ledger'!$D:$D,D2925,'inventory ledger'!$E:$E,E2925,'inventory ledger'!$A:$A,"&lt;="&amp;B2925+TIME(23,59,59)))</f>
        <v/>
      </c>
      <c r="G2925" s="3">
        <f>IFERROR(__xludf.DUMMYFUNCTION("IF(F2925&lt;=0,0,IFERROR(ROUNDUP(F2925/INDEX(FILTER('warehouse config'!$D:$D,('warehouse config'!$B:$B=C2925)*('warehouse config'!$C:$C=D2925)*('warehouse config'!$G:$G&lt;=B2925)*(('warehouse config'!$H:$H&gt;=B2925)+ISBLANK('warehouse config'!$H:$H))),1)),0))"),0.0)</f>
        <v>0</v>
      </c>
      <c r="H2925" s="3">
        <f>IFERROR(__xludf.DUMMYFUNCTION("IFERROR(INDEX(FILTER('cost master'!$E:$E,('cost master'!$B:$B=C2925)*('cost master'!$D:$D=""Storage cost per pallet / week"")*('cost master'!$G:$G&lt;=B2925)*(('cost master'!$H:$H&gt;=B2925)+ISBLANK('cost master'!$H:$H))),1),0)"),0.0)</f>
        <v>0</v>
      </c>
      <c r="I2925" s="3">
        <f t="shared" si="4"/>
        <v>0</v>
      </c>
      <c r="J2925" s="27">
        <f t="shared" si="5"/>
        <v>693947</v>
      </c>
      <c r="K2925" s="27">
        <f t="shared" si="6"/>
        <v>693977</v>
      </c>
    </row>
    <row r="2926" hidden="1">
      <c r="A2926" s="3" t="str">
        <f t="shared" si="3"/>
        <v/>
      </c>
      <c r="B2926" s="2" t="str">
        <f t="array" ref="B2926">INDEX(helper!$A$3:$A3996,ROUNDUP((ROW()-1)/COUNTA(helper!$D$3:$D3996),0))</f>
        <v/>
      </c>
      <c r="C2926" s="5" t="str">
        <f t="array" ref="C2926">IF(B2926="","",INDEX(helper!$D$3:$D3996,MOD(ROW()-2,COUNTA(helper!$D$3:$D3996))+1))</f>
        <v/>
      </c>
      <c r="D2926" s="3" t="str">
        <f t="array" ref="D2926">IF(B2926="","",INDEX(helper!$E$3:$E3996,MOD(ROW()-2,COUNTA(helper!$D$3:$D3996))+1))</f>
        <v/>
      </c>
      <c r="E2926" s="3" t="str">
        <f t="array" ref="E2926">IF(B2926="","",INDEX(helper!$F$3:$F3996,MOD(ROW()-2,COUNTA(helper!$D$3:$D3996))+1))</f>
        <v/>
      </c>
      <c r="F2926" s="3" t="str">
        <f>IF(B2926="","",SUMIFS('inventory ledger'!$H:$H,'inventory ledger'!$C:$C,C2926,'inventory ledger'!$D:$D,D2926,'inventory ledger'!$E:$E,E2926,'inventory ledger'!$A:$A,"&lt;="&amp;B2926+TIME(23,59,59))-SUMIFS('inventory ledger'!$I:$I,'inventory ledger'!$C:$C,C2926,'inventory ledger'!$D:$D,D2926,'inventory ledger'!$E:$E,E2926,'inventory ledger'!$A:$A,"&lt;="&amp;B2926+TIME(23,59,59)))</f>
        <v/>
      </c>
      <c r="G2926" s="3">
        <f>IFERROR(__xludf.DUMMYFUNCTION("IF(F2926&lt;=0,0,IFERROR(ROUNDUP(F2926/INDEX(FILTER('warehouse config'!$D:$D,('warehouse config'!$B:$B=C2926)*('warehouse config'!$C:$C=D2926)*('warehouse config'!$G:$G&lt;=B2926)*(('warehouse config'!$H:$H&gt;=B2926)+ISBLANK('warehouse config'!$H:$H))),1)),0))"),0.0)</f>
        <v>0</v>
      </c>
      <c r="H2926" s="3">
        <f>IFERROR(__xludf.DUMMYFUNCTION("IFERROR(INDEX(FILTER('cost master'!$E:$E,('cost master'!$B:$B=C2926)*('cost master'!$D:$D=""Storage cost per pallet / week"")*('cost master'!$G:$G&lt;=B2926)*(('cost master'!$H:$H&gt;=B2926)+ISBLANK('cost master'!$H:$H))),1),0)"),0.0)</f>
        <v>0</v>
      </c>
      <c r="I2926" s="3">
        <f t="shared" si="4"/>
        <v>0</v>
      </c>
      <c r="J2926" s="27">
        <f t="shared" si="5"/>
        <v>693947</v>
      </c>
      <c r="K2926" s="27">
        <f t="shared" si="6"/>
        <v>693977</v>
      </c>
    </row>
    <row r="2927" hidden="1">
      <c r="A2927" s="3" t="str">
        <f t="shared" si="3"/>
        <v/>
      </c>
      <c r="B2927" s="2" t="str">
        <f t="array" ref="B2927">INDEX(helper!$A$3:$A3996,ROUNDUP((ROW()-1)/COUNTA(helper!$D$3:$D3996),0))</f>
        <v/>
      </c>
      <c r="C2927" s="5" t="str">
        <f t="array" ref="C2927">IF(B2927="","",INDEX(helper!$D$3:$D3996,MOD(ROW()-2,COUNTA(helper!$D$3:$D3996))+1))</f>
        <v/>
      </c>
      <c r="D2927" s="3" t="str">
        <f t="array" ref="D2927">IF(B2927="","",INDEX(helper!$E$3:$E3996,MOD(ROW()-2,COUNTA(helper!$D$3:$D3996))+1))</f>
        <v/>
      </c>
      <c r="E2927" s="3" t="str">
        <f t="array" ref="E2927">IF(B2927="","",INDEX(helper!$F$3:$F3996,MOD(ROW()-2,COUNTA(helper!$D$3:$D3996))+1))</f>
        <v/>
      </c>
      <c r="F2927" s="3" t="str">
        <f>IF(B2927="","",SUMIFS('inventory ledger'!$H:$H,'inventory ledger'!$C:$C,C2927,'inventory ledger'!$D:$D,D2927,'inventory ledger'!$E:$E,E2927,'inventory ledger'!$A:$A,"&lt;="&amp;B2927+TIME(23,59,59))-SUMIFS('inventory ledger'!$I:$I,'inventory ledger'!$C:$C,C2927,'inventory ledger'!$D:$D,D2927,'inventory ledger'!$E:$E,E2927,'inventory ledger'!$A:$A,"&lt;="&amp;B2927+TIME(23,59,59)))</f>
        <v/>
      </c>
      <c r="G2927" s="3">
        <f>IFERROR(__xludf.DUMMYFUNCTION("IF(F2927&lt;=0,0,IFERROR(ROUNDUP(F2927/INDEX(FILTER('warehouse config'!$D:$D,('warehouse config'!$B:$B=C2927)*('warehouse config'!$C:$C=D2927)*('warehouse config'!$G:$G&lt;=B2927)*(('warehouse config'!$H:$H&gt;=B2927)+ISBLANK('warehouse config'!$H:$H))),1)),0))"),0.0)</f>
        <v>0</v>
      </c>
      <c r="H2927" s="3">
        <f>IFERROR(__xludf.DUMMYFUNCTION("IFERROR(INDEX(FILTER('cost master'!$E:$E,('cost master'!$B:$B=C2927)*('cost master'!$D:$D=""Storage cost per pallet / week"")*('cost master'!$G:$G&lt;=B2927)*(('cost master'!$H:$H&gt;=B2927)+ISBLANK('cost master'!$H:$H))),1),0)"),0.0)</f>
        <v>0</v>
      </c>
      <c r="I2927" s="3">
        <f t="shared" si="4"/>
        <v>0</v>
      </c>
      <c r="J2927" s="27">
        <f t="shared" si="5"/>
        <v>693947</v>
      </c>
      <c r="K2927" s="27">
        <f t="shared" si="6"/>
        <v>693977</v>
      </c>
    </row>
    <row r="2928" hidden="1">
      <c r="A2928" s="3" t="str">
        <f t="shared" si="3"/>
        <v/>
      </c>
      <c r="B2928" s="2" t="str">
        <f t="array" ref="B2928">INDEX(helper!$A$3:$A3996,ROUNDUP((ROW()-1)/COUNTA(helper!$D$3:$D3996),0))</f>
        <v/>
      </c>
      <c r="C2928" s="5" t="str">
        <f t="array" ref="C2928">IF(B2928="","",INDEX(helper!$D$3:$D3996,MOD(ROW()-2,COUNTA(helper!$D$3:$D3996))+1))</f>
        <v/>
      </c>
      <c r="D2928" s="3" t="str">
        <f t="array" ref="D2928">IF(B2928="","",INDEX(helper!$E$3:$E3996,MOD(ROW()-2,COUNTA(helper!$D$3:$D3996))+1))</f>
        <v/>
      </c>
      <c r="E2928" s="3" t="str">
        <f t="array" ref="E2928">IF(B2928="","",INDEX(helper!$F$3:$F3996,MOD(ROW()-2,COUNTA(helper!$D$3:$D3996))+1))</f>
        <v/>
      </c>
      <c r="F2928" s="3" t="str">
        <f>IF(B2928="","",SUMIFS('inventory ledger'!$H:$H,'inventory ledger'!$C:$C,C2928,'inventory ledger'!$D:$D,D2928,'inventory ledger'!$E:$E,E2928,'inventory ledger'!$A:$A,"&lt;="&amp;B2928+TIME(23,59,59))-SUMIFS('inventory ledger'!$I:$I,'inventory ledger'!$C:$C,C2928,'inventory ledger'!$D:$D,D2928,'inventory ledger'!$E:$E,E2928,'inventory ledger'!$A:$A,"&lt;="&amp;B2928+TIME(23,59,59)))</f>
        <v/>
      </c>
      <c r="G2928" s="3">
        <f>IFERROR(__xludf.DUMMYFUNCTION("IF(F2928&lt;=0,0,IFERROR(ROUNDUP(F2928/INDEX(FILTER('warehouse config'!$D:$D,('warehouse config'!$B:$B=C2928)*('warehouse config'!$C:$C=D2928)*('warehouse config'!$G:$G&lt;=B2928)*(('warehouse config'!$H:$H&gt;=B2928)+ISBLANK('warehouse config'!$H:$H))),1)),0))"),0.0)</f>
        <v>0</v>
      </c>
      <c r="H2928" s="3">
        <f>IFERROR(__xludf.DUMMYFUNCTION("IFERROR(INDEX(FILTER('cost master'!$E:$E,('cost master'!$B:$B=C2928)*('cost master'!$D:$D=""Storage cost per pallet / week"")*('cost master'!$G:$G&lt;=B2928)*(('cost master'!$H:$H&gt;=B2928)+ISBLANK('cost master'!$H:$H))),1),0)"),0.0)</f>
        <v>0</v>
      </c>
      <c r="I2928" s="3">
        <f t="shared" si="4"/>
        <v>0</v>
      </c>
      <c r="J2928" s="27">
        <f t="shared" si="5"/>
        <v>693947</v>
      </c>
      <c r="K2928" s="27">
        <f t="shared" si="6"/>
        <v>693977</v>
      </c>
    </row>
    <row r="2929" hidden="1">
      <c r="A2929" s="3" t="str">
        <f t="shared" si="3"/>
        <v/>
      </c>
      <c r="B2929" s="2" t="str">
        <f t="array" ref="B2929">INDEX(helper!$A$3:$A3996,ROUNDUP((ROW()-1)/COUNTA(helper!$D$3:$D3996),0))</f>
        <v/>
      </c>
      <c r="C2929" s="5" t="str">
        <f t="array" ref="C2929">IF(B2929="","",INDEX(helper!$D$3:$D3996,MOD(ROW()-2,COUNTA(helper!$D$3:$D3996))+1))</f>
        <v/>
      </c>
      <c r="D2929" s="3" t="str">
        <f t="array" ref="D2929">IF(B2929="","",INDEX(helper!$E$3:$E3996,MOD(ROW()-2,COUNTA(helper!$D$3:$D3996))+1))</f>
        <v/>
      </c>
      <c r="E2929" s="3" t="str">
        <f t="array" ref="E2929">IF(B2929="","",INDEX(helper!$F$3:$F3996,MOD(ROW()-2,COUNTA(helper!$D$3:$D3996))+1))</f>
        <v/>
      </c>
      <c r="F2929" s="3" t="str">
        <f>IF(B2929="","",SUMIFS('inventory ledger'!$H:$H,'inventory ledger'!$C:$C,C2929,'inventory ledger'!$D:$D,D2929,'inventory ledger'!$E:$E,E2929,'inventory ledger'!$A:$A,"&lt;="&amp;B2929+TIME(23,59,59))-SUMIFS('inventory ledger'!$I:$I,'inventory ledger'!$C:$C,C2929,'inventory ledger'!$D:$D,D2929,'inventory ledger'!$E:$E,E2929,'inventory ledger'!$A:$A,"&lt;="&amp;B2929+TIME(23,59,59)))</f>
        <v/>
      </c>
      <c r="G2929" s="3">
        <f>IFERROR(__xludf.DUMMYFUNCTION("IF(F2929&lt;=0,0,IFERROR(ROUNDUP(F2929/INDEX(FILTER('warehouse config'!$D:$D,('warehouse config'!$B:$B=C2929)*('warehouse config'!$C:$C=D2929)*('warehouse config'!$G:$G&lt;=B2929)*(('warehouse config'!$H:$H&gt;=B2929)+ISBLANK('warehouse config'!$H:$H))),1)),0))"),0.0)</f>
        <v>0</v>
      </c>
      <c r="H2929" s="3">
        <f>IFERROR(__xludf.DUMMYFUNCTION("IFERROR(INDEX(FILTER('cost master'!$E:$E,('cost master'!$B:$B=C2929)*('cost master'!$D:$D=""Storage cost per pallet / week"")*('cost master'!$G:$G&lt;=B2929)*(('cost master'!$H:$H&gt;=B2929)+ISBLANK('cost master'!$H:$H))),1),0)"),0.0)</f>
        <v>0</v>
      </c>
      <c r="I2929" s="3">
        <f t="shared" si="4"/>
        <v>0</v>
      </c>
      <c r="J2929" s="27">
        <f t="shared" si="5"/>
        <v>693947</v>
      </c>
      <c r="K2929" s="27">
        <f t="shared" si="6"/>
        <v>693977</v>
      </c>
    </row>
    <row r="2930" hidden="1">
      <c r="A2930" s="3" t="str">
        <f t="shared" si="3"/>
        <v/>
      </c>
      <c r="B2930" s="2" t="str">
        <f t="array" ref="B2930">INDEX(helper!$A$3:$A3996,ROUNDUP((ROW()-1)/COUNTA(helper!$D$3:$D3996),0))</f>
        <v/>
      </c>
      <c r="C2930" s="5" t="str">
        <f t="array" ref="C2930">IF(B2930="","",INDEX(helper!$D$3:$D3996,MOD(ROW()-2,COUNTA(helper!$D$3:$D3996))+1))</f>
        <v/>
      </c>
      <c r="D2930" s="3" t="str">
        <f t="array" ref="D2930">IF(B2930="","",INDEX(helper!$E$3:$E3996,MOD(ROW()-2,COUNTA(helper!$D$3:$D3996))+1))</f>
        <v/>
      </c>
      <c r="E2930" s="3" t="str">
        <f t="array" ref="E2930">IF(B2930="","",INDEX(helper!$F$3:$F3996,MOD(ROW()-2,COUNTA(helper!$D$3:$D3996))+1))</f>
        <v/>
      </c>
      <c r="F2930" s="3" t="str">
        <f>IF(B2930="","",SUMIFS('inventory ledger'!$H:$H,'inventory ledger'!$C:$C,C2930,'inventory ledger'!$D:$D,D2930,'inventory ledger'!$E:$E,E2930,'inventory ledger'!$A:$A,"&lt;="&amp;B2930+TIME(23,59,59))-SUMIFS('inventory ledger'!$I:$I,'inventory ledger'!$C:$C,C2930,'inventory ledger'!$D:$D,D2930,'inventory ledger'!$E:$E,E2930,'inventory ledger'!$A:$A,"&lt;="&amp;B2930+TIME(23,59,59)))</f>
        <v/>
      </c>
      <c r="G2930" s="3">
        <f>IFERROR(__xludf.DUMMYFUNCTION("IF(F2930&lt;=0,0,IFERROR(ROUNDUP(F2930/INDEX(FILTER('warehouse config'!$D:$D,('warehouse config'!$B:$B=C2930)*('warehouse config'!$C:$C=D2930)*('warehouse config'!$G:$G&lt;=B2930)*(('warehouse config'!$H:$H&gt;=B2930)+ISBLANK('warehouse config'!$H:$H))),1)),0))"),0.0)</f>
        <v>0</v>
      </c>
      <c r="H2930" s="3">
        <f>IFERROR(__xludf.DUMMYFUNCTION("IFERROR(INDEX(FILTER('cost master'!$E:$E,('cost master'!$B:$B=C2930)*('cost master'!$D:$D=""Storage cost per pallet / week"")*('cost master'!$G:$G&lt;=B2930)*(('cost master'!$H:$H&gt;=B2930)+ISBLANK('cost master'!$H:$H))),1),0)"),0.0)</f>
        <v>0</v>
      </c>
      <c r="I2930" s="3">
        <f t="shared" si="4"/>
        <v>0</v>
      </c>
      <c r="J2930" s="27">
        <f t="shared" si="5"/>
        <v>693947</v>
      </c>
      <c r="K2930" s="27">
        <f t="shared" si="6"/>
        <v>693977</v>
      </c>
    </row>
    <row r="2931" hidden="1">
      <c r="A2931" s="3" t="str">
        <f t="shared" si="3"/>
        <v/>
      </c>
      <c r="B2931" s="2" t="str">
        <f t="array" ref="B2931">INDEX(helper!$A$3:$A3996,ROUNDUP((ROW()-1)/COUNTA(helper!$D$3:$D3996),0))</f>
        <v/>
      </c>
      <c r="C2931" s="5" t="str">
        <f t="array" ref="C2931">IF(B2931="","",INDEX(helper!$D$3:$D3996,MOD(ROW()-2,COUNTA(helper!$D$3:$D3996))+1))</f>
        <v/>
      </c>
      <c r="D2931" s="3" t="str">
        <f t="array" ref="D2931">IF(B2931="","",INDEX(helper!$E$3:$E3996,MOD(ROW()-2,COUNTA(helper!$D$3:$D3996))+1))</f>
        <v/>
      </c>
      <c r="E2931" s="3" t="str">
        <f t="array" ref="E2931">IF(B2931="","",INDEX(helper!$F$3:$F3996,MOD(ROW()-2,COUNTA(helper!$D$3:$D3996))+1))</f>
        <v/>
      </c>
      <c r="F2931" s="3" t="str">
        <f>IF(B2931="","",SUMIFS('inventory ledger'!$H:$H,'inventory ledger'!$C:$C,C2931,'inventory ledger'!$D:$D,D2931,'inventory ledger'!$E:$E,E2931,'inventory ledger'!$A:$A,"&lt;="&amp;B2931+TIME(23,59,59))-SUMIFS('inventory ledger'!$I:$I,'inventory ledger'!$C:$C,C2931,'inventory ledger'!$D:$D,D2931,'inventory ledger'!$E:$E,E2931,'inventory ledger'!$A:$A,"&lt;="&amp;B2931+TIME(23,59,59)))</f>
        <v/>
      </c>
      <c r="G2931" s="3">
        <f>IFERROR(__xludf.DUMMYFUNCTION("IF(F2931&lt;=0,0,IFERROR(ROUNDUP(F2931/INDEX(FILTER('warehouse config'!$D:$D,('warehouse config'!$B:$B=C2931)*('warehouse config'!$C:$C=D2931)*('warehouse config'!$G:$G&lt;=B2931)*(('warehouse config'!$H:$H&gt;=B2931)+ISBLANK('warehouse config'!$H:$H))),1)),0))"),0.0)</f>
        <v>0</v>
      </c>
      <c r="H2931" s="3">
        <f>IFERROR(__xludf.DUMMYFUNCTION("IFERROR(INDEX(FILTER('cost master'!$E:$E,('cost master'!$B:$B=C2931)*('cost master'!$D:$D=""Storage cost per pallet / week"")*('cost master'!$G:$G&lt;=B2931)*(('cost master'!$H:$H&gt;=B2931)+ISBLANK('cost master'!$H:$H))),1),0)"),0.0)</f>
        <v>0</v>
      </c>
      <c r="I2931" s="3">
        <f t="shared" si="4"/>
        <v>0</v>
      </c>
      <c r="J2931" s="27">
        <f t="shared" si="5"/>
        <v>693947</v>
      </c>
      <c r="K2931" s="27">
        <f t="shared" si="6"/>
        <v>693977</v>
      </c>
    </row>
    <row r="2932" hidden="1">
      <c r="A2932" s="3" t="str">
        <f t="shared" si="3"/>
        <v/>
      </c>
      <c r="B2932" s="2" t="str">
        <f t="array" ref="B2932">INDEX(helper!$A$3:$A3996,ROUNDUP((ROW()-1)/COUNTA(helper!$D$3:$D3996),0))</f>
        <v/>
      </c>
      <c r="C2932" s="5" t="str">
        <f t="array" ref="C2932">IF(B2932="","",INDEX(helper!$D$3:$D3996,MOD(ROW()-2,COUNTA(helper!$D$3:$D3996))+1))</f>
        <v/>
      </c>
      <c r="D2932" s="3" t="str">
        <f t="array" ref="D2932">IF(B2932="","",INDEX(helper!$E$3:$E3996,MOD(ROW()-2,COUNTA(helper!$D$3:$D3996))+1))</f>
        <v/>
      </c>
      <c r="E2932" s="3" t="str">
        <f t="array" ref="E2932">IF(B2932="","",INDEX(helper!$F$3:$F3996,MOD(ROW()-2,COUNTA(helper!$D$3:$D3996))+1))</f>
        <v/>
      </c>
      <c r="F2932" s="3" t="str">
        <f>IF(B2932="","",SUMIFS('inventory ledger'!$H:$H,'inventory ledger'!$C:$C,C2932,'inventory ledger'!$D:$D,D2932,'inventory ledger'!$E:$E,E2932,'inventory ledger'!$A:$A,"&lt;="&amp;B2932+TIME(23,59,59))-SUMIFS('inventory ledger'!$I:$I,'inventory ledger'!$C:$C,C2932,'inventory ledger'!$D:$D,D2932,'inventory ledger'!$E:$E,E2932,'inventory ledger'!$A:$A,"&lt;="&amp;B2932+TIME(23,59,59)))</f>
        <v/>
      </c>
      <c r="G2932" s="3">
        <f>IFERROR(__xludf.DUMMYFUNCTION("IF(F2932&lt;=0,0,IFERROR(ROUNDUP(F2932/INDEX(FILTER('warehouse config'!$D:$D,('warehouse config'!$B:$B=C2932)*('warehouse config'!$C:$C=D2932)*('warehouse config'!$G:$G&lt;=B2932)*(('warehouse config'!$H:$H&gt;=B2932)+ISBLANK('warehouse config'!$H:$H))),1)),0))"),0.0)</f>
        <v>0</v>
      </c>
      <c r="H2932" s="3">
        <f>IFERROR(__xludf.DUMMYFUNCTION("IFERROR(INDEX(FILTER('cost master'!$E:$E,('cost master'!$B:$B=C2932)*('cost master'!$D:$D=""Storage cost per pallet / week"")*('cost master'!$G:$G&lt;=B2932)*(('cost master'!$H:$H&gt;=B2932)+ISBLANK('cost master'!$H:$H))),1),0)"),0.0)</f>
        <v>0</v>
      </c>
      <c r="I2932" s="3">
        <f t="shared" si="4"/>
        <v>0</v>
      </c>
      <c r="J2932" s="27">
        <f t="shared" si="5"/>
        <v>693947</v>
      </c>
      <c r="K2932" s="27">
        <f t="shared" si="6"/>
        <v>693977</v>
      </c>
    </row>
    <row r="2933" hidden="1">
      <c r="A2933" s="3" t="str">
        <f t="shared" si="3"/>
        <v/>
      </c>
      <c r="B2933" s="2" t="str">
        <f t="array" ref="B2933">INDEX(helper!$A$3:$A3996,ROUNDUP((ROW()-1)/COUNTA(helper!$D$3:$D3996),0))</f>
        <v/>
      </c>
      <c r="C2933" s="5" t="str">
        <f t="array" ref="C2933">IF(B2933="","",INDEX(helper!$D$3:$D3996,MOD(ROW()-2,COUNTA(helper!$D$3:$D3996))+1))</f>
        <v/>
      </c>
      <c r="D2933" s="3" t="str">
        <f t="array" ref="D2933">IF(B2933="","",INDEX(helper!$E$3:$E3996,MOD(ROW()-2,COUNTA(helper!$D$3:$D3996))+1))</f>
        <v/>
      </c>
      <c r="E2933" s="3" t="str">
        <f t="array" ref="E2933">IF(B2933="","",INDEX(helper!$F$3:$F3996,MOD(ROW()-2,COUNTA(helper!$D$3:$D3996))+1))</f>
        <v/>
      </c>
      <c r="F2933" s="3" t="str">
        <f>IF(B2933="","",SUMIFS('inventory ledger'!$H:$H,'inventory ledger'!$C:$C,C2933,'inventory ledger'!$D:$D,D2933,'inventory ledger'!$E:$E,E2933,'inventory ledger'!$A:$A,"&lt;="&amp;B2933+TIME(23,59,59))-SUMIFS('inventory ledger'!$I:$I,'inventory ledger'!$C:$C,C2933,'inventory ledger'!$D:$D,D2933,'inventory ledger'!$E:$E,E2933,'inventory ledger'!$A:$A,"&lt;="&amp;B2933+TIME(23,59,59)))</f>
        <v/>
      </c>
      <c r="G2933" s="3">
        <f>IFERROR(__xludf.DUMMYFUNCTION("IF(F2933&lt;=0,0,IFERROR(ROUNDUP(F2933/INDEX(FILTER('warehouse config'!$D:$D,('warehouse config'!$B:$B=C2933)*('warehouse config'!$C:$C=D2933)*('warehouse config'!$G:$G&lt;=B2933)*(('warehouse config'!$H:$H&gt;=B2933)+ISBLANK('warehouse config'!$H:$H))),1)),0))"),0.0)</f>
        <v>0</v>
      </c>
      <c r="H2933" s="3">
        <f>IFERROR(__xludf.DUMMYFUNCTION("IFERROR(INDEX(FILTER('cost master'!$E:$E,('cost master'!$B:$B=C2933)*('cost master'!$D:$D=""Storage cost per pallet / week"")*('cost master'!$G:$G&lt;=B2933)*(('cost master'!$H:$H&gt;=B2933)+ISBLANK('cost master'!$H:$H))),1),0)"),0.0)</f>
        <v>0</v>
      </c>
      <c r="I2933" s="3">
        <f t="shared" si="4"/>
        <v>0</v>
      </c>
      <c r="J2933" s="27">
        <f t="shared" si="5"/>
        <v>693947</v>
      </c>
      <c r="K2933" s="27">
        <f t="shared" si="6"/>
        <v>693977</v>
      </c>
    </row>
    <row r="2934" hidden="1">
      <c r="A2934" s="3" t="str">
        <f t="shared" si="3"/>
        <v/>
      </c>
      <c r="B2934" s="2" t="str">
        <f t="array" ref="B2934">INDEX(helper!$A$3:$A3996,ROUNDUP((ROW()-1)/COUNTA(helper!$D$3:$D3996),0))</f>
        <v/>
      </c>
      <c r="C2934" s="5" t="str">
        <f t="array" ref="C2934">IF(B2934="","",INDEX(helper!$D$3:$D3996,MOD(ROW()-2,COUNTA(helper!$D$3:$D3996))+1))</f>
        <v/>
      </c>
      <c r="D2934" s="3" t="str">
        <f t="array" ref="D2934">IF(B2934="","",INDEX(helper!$E$3:$E3996,MOD(ROW()-2,COUNTA(helper!$D$3:$D3996))+1))</f>
        <v/>
      </c>
      <c r="E2934" s="3" t="str">
        <f t="array" ref="E2934">IF(B2934="","",INDEX(helper!$F$3:$F3996,MOD(ROW()-2,COUNTA(helper!$D$3:$D3996))+1))</f>
        <v/>
      </c>
      <c r="F2934" s="3" t="str">
        <f>IF(B2934="","",SUMIFS('inventory ledger'!$H:$H,'inventory ledger'!$C:$C,C2934,'inventory ledger'!$D:$D,D2934,'inventory ledger'!$E:$E,E2934,'inventory ledger'!$A:$A,"&lt;="&amp;B2934+TIME(23,59,59))-SUMIFS('inventory ledger'!$I:$I,'inventory ledger'!$C:$C,C2934,'inventory ledger'!$D:$D,D2934,'inventory ledger'!$E:$E,E2934,'inventory ledger'!$A:$A,"&lt;="&amp;B2934+TIME(23,59,59)))</f>
        <v/>
      </c>
      <c r="G2934" s="3">
        <f>IFERROR(__xludf.DUMMYFUNCTION("IF(F2934&lt;=0,0,IFERROR(ROUNDUP(F2934/INDEX(FILTER('warehouse config'!$D:$D,('warehouse config'!$B:$B=C2934)*('warehouse config'!$C:$C=D2934)*('warehouse config'!$G:$G&lt;=B2934)*(('warehouse config'!$H:$H&gt;=B2934)+ISBLANK('warehouse config'!$H:$H))),1)),0))"),0.0)</f>
        <v>0</v>
      </c>
      <c r="H2934" s="3">
        <f>IFERROR(__xludf.DUMMYFUNCTION("IFERROR(INDEX(FILTER('cost master'!$E:$E,('cost master'!$B:$B=C2934)*('cost master'!$D:$D=""Storage cost per pallet / week"")*('cost master'!$G:$G&lt;=B2934)*(('cost master'!$H:$H&gt;=B2934)+ISBLANK('cost master'!$H:$H))),1),0)"),0.0)</f>
        <v>0</v>
      </c>
      <c r="I2934" s="3">
        <f t="shared" si="4"/>
        <v>0</v>
      </c>
      <c r="J2934" s="27">
        <f t="shared" si="5"/>
        <v>693947</v>
      </c>
      <c r="K2934" s="27">
        <f t="shared" si="6"/>
        <v>693977</v>
      </c>
    </row>
    <row r="2935" hidden="1">
      <c r="A2935" s="3" t="str">
        <f t="shared" si="3"/>
        <v/>
      </c>
      <c r="B2935" s="2" t="str">
        <f t="array" ref="B2935">INDEX(helper!$A$3:$A3996,ROUNDUP((ROW()-1)/COUNTA(helper!$D$3:$D3996),0))</f>
        <v/>
      </c>
      <c r="C2935" s="5" t="str">
        <f t="array" ref="C2935">IF(B2935="","",INDEX(helper!$D$3:$D3996,MOD(ROW()-2,COUNTA(helper!$D$3:$D3996))+1))</f>
        <v/>
      </c>
      <c r="D2935" s="3" t="str">
        <f t="array" ref="D2935">IF(B2935="","",INDEX(helper!$E$3:$E3996,MOD(ROW()-2,COUNTA(helper!$D$3:$D3996))+1))</f>
        <v/>
      </c>
      <c r="E2935" s="3" t="str">
        <f t="array" ref="E2935">IF(B2935="","",INDEX(helper!$F$3:$F3996,MOD(ROW()-2,COUNTA(helper!$D$3:$D3996))+1))</f>
        <v/>
      </c>
      <c r="F2935" s="3" t="str">
        <f>IF(B2935="","",SUMIFS('inventory ledger'!$H:$H,'inventory ledger'!$C:$C,C2935,'inventory ledger'!$D:$D,D2935,'inventory ledger'!$E:$E,E2935,'inventory ledger'!$A:$A,"&lt;="&amp;B2935+TIME(23,59,59))-SUMIFS('inventory ledger'!$I:$I,'inventory ledger'!$C:$C,C2935,'inventory ledger'!$D:$D,D2935,'inventory ledger'!$E:$E,E2935,'inventory ledger'!$A:$A,"&lt;="&amp;B2935+TIME(23,59,59)))</f>
        <v/>
      </c>
      <c r="G2935" s="3">
        <f>IFERROR(__xludf.DUMMYFUNCTION("IF(F2935&lt;=0,0,IFERROR(ROUNDUP(F2935/INDEX(FILTER('warehouse config'!$D:$D,('warehouse config'!$B:$B=C2935)*('warehouse config'!$C:$C=D2935)*('warehouse config'!$G:$G&lt;=B2935)*(('warehouse config'!$H:$H&gt;=B2935)+ISBLANK('warehouse config'!$H:$H))),1)),0))"),0.0)</f>
        <v>0</v>
      </c>
      <c r="H2935" s="3">
        <f>IFERROR(__xludf.DUMMYFUNCTION("IFERROR(INDEX(FILTER('cost master'!$E:$E,('cost master'!$B:$B=C2935)*('cost master'!$D:$D=""Storage cost per pallet / week"")*('cost master'!$G:$G&lt;=B2935)*(('cost master'!$H:$H&gt;=B2935)+ISBLANK('cost master'!$H:$H))),1),0)"),0.0)</f>
        <v>0</v>
      </c>
      <c r="I2935" s="3">
        <f t="shared" si="4"/>
        <v>0</v>
      </c>
      <c r="J2935" s="27">
        <f t="shared" si="5"/>
        <v>693947</v>
      </c>
      <c r="K2935" s="27">
        <f t="shared" si="6"/>
        <v>693977</v>
      </c>
    </row>
    <row r="2936" hidden="1">
      <c r="A2936" s="3" t="str">
        <f t="shared" si="3"/>
        <v/>
      </c>
      <c r="B2936" s="2" t="str">
        <f t="array" ref="B2936">INDEX(helper!$A$3:$A3996,ROUNDUP((ROW()-1)/COUNTA(helper!$D$3:$D3996),0))</f>
        <v/>
      </c>
      <c r="C2936" s="5" t="str">
        <f t="array" ref="C2936">IF(B2936="","",INDEX(helper!$D$3:$D3996,MOD(ROW()-2,COUNTA(helper!$D$3:$D3996))+1))</f>
        <v/>
      </c>
      <c r="D2936" s="3" t="str">
        <f t="array" ref="D2936">IF(B2936="","",INDEX(helper!$E$3:$E3996,MOD(ROW()-2,COUNTA(helper!$D$3:$D3996))+1))</f>
        <v/>
      </c>
      <c r="E2936" s="3" t="str">
        <f t="array" ref="E2936">IF(B2936="","",INDEX(helper!$F$3:$F3996,MOD(ROW()-2,COUNTA(helper!$D$3:$D3996))+1))</f>
        <v/>
      </c>
      <c r="F2936" s="3" t="str">
        <f>IF(B2936="","",SUMIFS('inventory ledger'!$H:$H,'inventory ledger'!$C:$C,C2936,'inventory ledger'!$D:$D,D2936,'inventory ledger'!$E:$E,E2936,'inventory ledger'!$A:$A,"&lt;="&amp;B2936+TIME(23,59,59))-SUMIFS('inventory ledger'!$I:$I,'inventory ledger'!$C:$C,C2936,'inventory ledger'!$D:$D,D2936,'inventory ledger'!$E:$E,E2936,'inventory ledger'!$A:$A,"&lt;="&amp;B2936+TIME(23,59,59)))</f>
        <v/>
      </c>
      <c r="G2936" s="3">
        <f>IFERROR(__xludf.DUMMYFUNCTION("IF(F2936&lt;=0,0,IFERROR(ROUNDUP(F2936/INDEX(FILTER('warehouse config'!$D:$D,('warehouse config'!$B:$B=C2936)*('warehouse config'!$C:$C=D2936)*('warehouse config'!$G:$G&lt;=B2936)*(('warehouse config'!$H:$H&gt;=B2936)+ISBLANK('warehouse config'!$H:$H))),1)),0))"),0.0)</f>
        <v>0</v>
      </c>
      <c r="H2936" s="3">
        <f>IFERROR(__xludf.DUMMYFUNCTION("IFERROR(INDEX(FILTER('cost master'!$E:$E,('cost master'!$B:$B=C2936)*('cost master'!$D:$D=""Storage cost per pallet / week"")*('cost master'!$G:$G&lt;=B2936)*(('cost master'!$H:$H&gt;=B2936)+ISBLANK('cost master'!$H:$H))),1),0)"),0.0)</f>
        <v>0</v>
      </c>
      <c r="I2936" s="3">
        <f t="shared" si="4"/>
        <v>0</v>
      </c>
      <c r="J2936" s="27">
        <f t="shared" si="5"/>
        <v>693947</v>
      </c>
      <c r="K2936" s="27">
        <f t="shared" si="6"/>
        <v>693977</v>
      </c>
    </row>
    <row r="2937" hidden="1">
      <c r="A2937" s="3" t="str">
        <f t="shared" si="3"/>
        <v/>
      </c>
      <c r="B2937" s="2" t="str">
        <f t="array" ref="B2937">INDEX(helper!$A$3:$A3996,ROUNDUP((ROW()-1)/COUNTA(helper!$D$3:$D3996),0))</f>
        <v/>
      </c>
      <c r="C2937" s="5" t="str">
        <f t="array" ref="C2937">IF(B2937="","",INDEX(helper!$D$3:$D3996,MOD(ROW()-2,COUNTA(helper!$D$3:$D3996))+1))</f>
        <v/>
      </c>
      <c r="D2937" s="3" t="str">
        <f t="array" ref="D2937">IF(B2937="","",INDEX(helper!$E$3:$E3996,MOD(ROW()-2,COUNTA(helper!$D$3:$D3996))+1))</f>
        <v/>
      </c>
      <c r="E2937" s="3" t="str">
        <f t="array" ref="E2937">IF(B2937="","",INDEX(helper!$F$3:$F3996,MOD(ROW()-2,COUNTA(helper!$D$3:$D3996))+1))</f>
        <v/>
      </c>
      <c r="F2937" s="3" t="str">
        <f>IF(B2937="","",SUMIFS('inventory ledger'!$H:$H,'inventory ledger'!$C:$C,C2937,'inventory ledger'!$D:$D,D2937,'inventory ledger'!$E:$E,E2937,'inventory ledger'!$A:$A,"&lt;="&amp;B2937+TIME(23,59,59))-SUMIFS('inventory ledger'!$I:$I,'inventory ledger'!$C:$C,C2937,'inventory ledger'!$D:$D,D2937,'inventory ledger'!$E:$E,E2937,'inventory ledger'!$A:$A,"&lt;="&amp;B2937+TIME(23,59,59)))</f>
        <v/>
      </c>
      <c r="G2937" s="3">
        <f>IFERROR(__xludf.DUMMYFUNCTION("IF(F2937&lt;=0,0,IFERROR(ROUNDUP(F2937/INDEX(FILTER('warehouse config'!$D:$D,('warehouse config'!$B:$B=C2937)*('warehouse config'!$C:$C=D2937)*('warehouse config'!$G:$G&lt;=B2937)*(('warehouse config'!$H:$H&gt;=B2937)+ISBLANK('warehouse config'!$H:$H))),1)),0))"),0.0)</f>
        <v>0</v>
      </c>
      <c r="H2937" s="3">
        <f>IFERROR(__xludf.DUMMYFUNCTION("IFERROR(INDEX(FILTER('cost master'!$E:$E,('cost master'!$B:$B=C2937)*('cost master'!$D:$D=""Storage cost per pallet / week"")*('cost master'!$G:$G&lt;=B2937)*(('cost master'!$H:$H&gt;=B2937)+ISBLANK('cost master'!$H:$H))),1),0)"),0.0)</f>
        <v>0</v>
      </c>
      <c r="I2937" s="3">
        <f t="shared" si="4"/>
        <v>0</v>
      </c>
      <c r="J2937" s="27">
        <f t="shared" si="5"/>
        <v>693947</v>
      </c>
      <c r="K2937" s="27">
        <f t="shared" si="6"/>
        <v>693977</v>
      </c>
    </row>
    <row r="2938" hidden="1">
      <c r="A2938" s="3" t="str">
        <f t="shared" si="3"/>
        <v/>
      </c>
      <c r="B2938" s="2" t="str">
        <f t="array" ref="B2938">INDEX(helper!$A$3:$A3996,ROUNDUP((ROW()-1)/COUNTA(helper!$D$3:$D3996),0))</f>
        <v/>
      </c>
      <c r="C2938" s="5" t="str">
        <f t="array" ref="C2938">IF(B2938="","",INDEX(helper!$D$3:$D3996,MOD(ROW()-2,COUNTA(helper!$D$3:$D3996))+1))</f>
        <v/>
      </c>
      <c r="D2938" s="3" t="str">
        <f t="array" ref="D2938">IF(B2938="","",INDEX(helper!$E$3:$E3996,MOD(ROW()-2,COUNTA(helper!$D$3:$D3996))+1))</f>
        <v/>
      </c>
      <c r="E2938" s="3" t="str">
        <f t="array" ref="E2938">IF(B2938="","",INDEX(helper!$F$3:$F3996,MOD(ROW()-2,COUNTA(helper!$D$3:$D3996))+1))</f>
        <v/>
      </c>
      <c r="F2938" s="3" t="str">
        <f>IF(B2938="","",SUMIFS('inventory ledger'!$H:$H,'inventory ledger'!$C:$C,C2938,'inventory ledger'!$D:$D,D2938,'inventory ledger'!$E:$E,E2938,'inventory ledger'!$A:$A,"&lt;="&amp;B2938+TIME(23,59,59))-SUMIFS('inventory ledger'!$I:$I,'inventory ledger'!$C:$C,C2938,'inventory ledger'!$D:$D,D2938,'inventory ledger'!$E:$E,E2938,'inventory ledger'!$A:$A,"&lt;="&amp;B2938+TIME(23,59,59)))</f>
        <v/>
      </c>
      <c r="G2938" s="3">
        <f>IFERROR(__xludf.DUMMYFUNCTION("IF(F2938&lt;=0,0,IFERROR(ROUNDUP(F2938/INDEX(FILTER('warehouse config'!$D:$D,('warehouse config'!$B:$B=C2938)*('warehouse config'!$C:$C=D2938)*('warehouse config'!$G:$G&lt;=B2938)*(('warehouse config'!$H:$H&gt;=B2938)+ISBLANK('warehouse config'!$H:$H))),1)),0))"),0.0)</f>
        <v>0</v>
      </c>
      <c r="H2938" s="3">
        <f>IFERROR(__xludf.DUMMYFUNCTION("IFERROR(INDEX(FILTER('cost master'!$E:$E,('cost master'!$B:$B=C2938)*('cost master'!$D:$D=""Storage cost per pallet / week"")*('cost master'!$G:$G&lt;=B2938)*(('cost master'!$H:$H&gt;=B2938)+ISBLANK('cost master'!$H:$H))),1),0)"),0.0)</f>
        <v>0</v>
      </c>
      <c r="I2938" s="3">
        <f t="shared" si="4"/>
        <v>0</v>
      </c>
      <c r="J2938" s="27">
        <f t="shared" si="5"/>
        <v>693947</v>
      </c>
      <c r="K2938" s="27">
        <f t="shared" si="6"/>
        <v>693977</v>
      </c>
    </row>
    <row r="2939" hidden="1">
      <c r="A2939" s="3" t="str">
        <f t="shared" si="3"/>
        <v/>
      </c>
      <c r="B2939" s="2" t="str">
        <f t="array" ref="B2939">INDEX(helper!$A$3:$A3996,ROUNDUP((ROW()-1)/COUNTA(helper!$D$3:$D3996),0))</f>
        <v/>
      </c>
      <c r="C2939" s="5" t="str">
        <f t="array" ref="C2939">IF(B2939="","",INDEX(helper!$D$3:$D3996,MOD(ROW()-2,COUNTA(helper!$D$3:$D3996))+1))</f>
        <v/>
      </c>
      <c r="D2939" s="3" t="str">
        <f t="array" ref="D2939">IF(B2939="","",INDEX(helper!$E$3:$E3996,MOD(ROW()-2,COUNTA(helper!$D$3:$D3996))+1))</f>
        <v/>
      </c>
      <c r="E2939" s="3" t="str">
        <f t="array" ref="E2939">IF(B2939="","",INDEX(helper!$F$3:$F3996,MOD(ROW()-2,COUNTA(helper!$D$3:$D3996))+1))</f>
        <v/>
      </c>
      <c r="F2939" s="3" t="str">
        <f>IF(B2939="","",SUMIFS('inventory ledger'!$H:$H,'inventory ledger'!$C:$C,C2939,'inventory ledger'!$D:$D,D2939,'inventory ledger'!$E:$E,E2939,'inventory ledger'!$A:$A,"&lt;="&amp;B2939+TIME(23,59,59))-SUMIFS('inventory ledger'!$I:$I,'inventory ledger'!$C:$C,C2939,'inventory ledger'!$D:$D,D2939,'inventory ledger'!$E:$E,E2939,'inventory ledger'!$A:$A,"&lt;="&amp;B2939+TIME(23,59,59)))</f>
        <v/>
      </c>
      <c r="G2939" s="3">
        <f>IFERROR(__xludf.DUMMYFUNCTION("IF(F2939&lt;=0,0,IFERROR(ROUNDUP(F2939/INDEX(FILTER('warehouse config'!$D:$D,('warehouse config'!$B:$B=C2939)*('warehouse config'!$C:$C=D2939)*('warehouse config'!$G:$G&lt;=B2939)*(('warehouse config'!$H:$H&gt;=B2939)+ISBLANK('warehouse config'!$H:$H))),1)),0))"),0.0)</f>
        <v>0</v>
      </c>
      <c r="H2939" s="3">
        <f>IFERROR(__xludf.DUMMYFUNCTION("IFERROR(INDEX(FILTER('cost master'!$E:$E,('cost master'!$B:$B=C2939)*('cost master'!$D:$D=""Storage cost per pallet / week"")*('cost master'!$G:$G&lt;=B2939)*(('cost master'!$H:$H&gt;=B2939)+ISBLANK('cost master'!$H:$H))),1),0)"),0.0)</f>
        <v>0</v>
      </c>
      <c r="I2939" s="3">
        <f t="shared" si="4"/>
        <v>0</v>
      </c>
      <c r="J2939" s="27">
        <f t="shared" si="5"/>
        <v>693947</v>
      </c>
      <c r="K2939" s="27">
        <f t="shared" si="6"/>
        <v>693977</v>
      </c>
    </row>
    <row r="2940" hidden="1">
      <c r="A2940" s="3" t="str">
        <f t="shared" si="3"/>
        <v/>
      </c>
      <c r="B2940" s="2" t="str">
        <f t="array" ref="B2940">INDEX(helper!$A$3:$A3996,ROUNDUP((ROW()-1)/COUNTA(helper!$D$3:$D3996),0))</f>
        <v/>
      </c>
      <c r="C2940" s="5" t="str">
        <f t="array" ref="C2940">IF(B2940="","",INDEX(helper!$D$3:$D3996,MOD(ROW()-2,COUNTA(helper!$D$3:$D3996))+1))</f>
        <v/>
      </c>
      <c r="D2940" s="3" t="str">
        <f t="array" ref="D2940">IF(B2940="","",INDEX(helper!$E$3:$E3996,MOD(ROW()-2,COUNTA(helper!$D$3:$D3996))+1))</f>
        <v/>
      </c>
      <c r="E2940" s="3" t="str">
        <f t="array" ref="E2940">IF(B2940="","",INDEX(helper!$F$3:$F3996,MOD(ROW()-2,COUNTA(helper!$D$3:$D3996))+1))</f>
        <v/>
      </c>
      <c r="F2940" s="3" t="str">
        <f>IF(B2940="","",SUMIFS('inventory ledger'!$H:$H,'inventory ledger'!$C:$C,C2940,'inventory ledger'!$D:$D,D2940,'inventory ledger'!$E:$E,E2940,'inventory ledger'!$A:$A,"&lt;="&amp;B2940+TIME(23,59,59))-SUMIFS('inventory ledger'!$I:$I,'inventory ledger'!$C:$C,C2940,'inventory ledger'!$D:$D,D2940,'inventory ledger'!$E:$E,E2940,'inventory ledger'!$A:$A,"&lt;="&amp;B2940+TIME(23,59,59)))</f>
        <v/>
      </c>
      <c r="G2940" s="3">
        <f>IFERROR(__xludf.DUMMYFUNCTION("IF(F2940&lt;=0,0,IFERROR(ROUNDUP(F2940/INDEX(FILTER('warehouse config'!$D:$D,('warehouse config'!$B:$B=C2940)*('warehouse config'!$C:$C=D2940)*('warehouse config'!$G:$G&lt;=B2940)*(('warehouse config'!$H:$H&gt;=B2940)+ISBLANK('warehouse config'!$H:$H))),1)),0))"),0.0)</f>
        <v>0</v>
      </c>
      <c r="H2940" s="3">
        <f>IFERROR(__xludf.DUMMYFUNCTION("IFERROR(INDEX(FILTER('cost master'!$E:$E,('cost master'!$B:$B=C2940)*('cost master'!$D:$D=""Storage cost per pallet / week"")*('cost master'!$G:$G&lt;=B2940)*(('cost master'!$H:$H&gt;=B2940)+ISBLANK('cost master'!$H:$H))),1),0)"),0.0)</f>
        <v>0</v>
      </c>
      <c r="I2940" s="3">
        <f t="shared" si="4"/>
        <v>0</v>
      </c>
      <c r="J2940" s="27">
        <f t="shared" si="5"/>
        <v>693947</v>
      </c>
      <c r="K2940" s="27">
        <f t="shared" si="6"/>
        <v>693977</v>
      </c>
    </row>
    <row r="2941" hidden="1">
      <c r="A2941" s="3" t="str">
        <f t="shared" si="3"/>
        <v/>
      </c>
      <c r="B2941" s="2" t="str">
        <f t="array" ref="B2941">INDEX(helper!$A$3:$A3996,ROUNDUP((ROW()-1)/COUNTA(helper!$D$3:$D3996),0))</f>
        <v/>
      </c>
      <c r="C2941" s="5" t="str">
        <f t="array" ref="C2941">IF(B2941="","",INDEX(helper!$D$3:$D3996,MOD(ROW()-2,COUNTA(helper!$D$3:$D3996))+1))</f>
        <v/>
      </c>
      <c r="D2941" s="3" t="str">
        <f t="array" ref="D2941">IF(B2941="","",INDEX(helper!$E$3:$E3996,MOD(ROW()-2,COUNTA(helper!$D$3:$D3996))+1))</f>
        <v/>
      </c>
      <c r="E2941" s="3" t="str">
        <f t="array" ref="E2941">IF(B2941="","",INDEX(helper!$F$3:$F3996,MOD(ROW()-2,COUNTA(helper!$D$3:$D3996))+1))</f>
        <v/>
      </c>
      <c r="F2941" s="3" t="str">
        <f>IF(B2941="","",SUMIFS('inventory ledger'!$H:$H,'inventory ledger'!$C:$C,C2941,'inventory ledger'!$D:$D,D2941,'inventory ledger'!$E:$E,E2941,'inventory ledger'!$A:$A,"&lt;="&amp;B2941+TIME(23,59,59))-SUMIFS('inventory ledger'!$I:$I,'inventory ledger'!$C:$C,C2941,'inventory ledger'!$D:$D,D2941,'inventory ledger'!$E:$E,E2941,'inventory ledger'!$A:$A,"&lt;="&amp;B2941+TIME(23,59,59)))</f>
        <v/>
      </c>
      <c r="G2941" s="3">
        <f>IFERROR(__xludf.DUMMYFUNCTION("IF(F2941&lt;=0,0,IFERROR(ROUNDUP(F2941/INDEX(FILTER('warehouse config'!$D:$D,('warehouse config'!$B:$B=C2941)*('warehouse config'!$C:$C=D2941)*('warehouse config'!$G:$G&lt;=B2941)*(('warehouse config'!$H:$H&gt;=B2941)+ISBLANK('warehouse config'!$H:$H))),1)),0))"),0.0)</f>
        <v>0</v>
      </c>
      <c r="H2941" s="3">
        <f>IFERROR(__xludf.DUMMYFUNCTION("IFERROR(INDEX(FILTER('cost master'!$E:$E,('cost master'!$B:$B=C2941)*('cost master'!$D:$D=""Storage cost per pallet / week"")*('cost master'!$G:$G&lt;=B2941)*(('cost master'!$H:$H&gt;=B2941)+ISBLANK('cost master'!$H:$H))),1),0)"),0.0)</f>
        <v>0</v>
      </c>
      <c r="I2941" s="3">
        <f t="shared" si="4"/>
        <v>0</v>
      </c>
      <c r="J2941" s="27">
        <f t="shared" si="5"/>
        <v>693947</v>
      </c>
      <c r="K2941" s="27">
        <f t="shared" si="6"/>
        <v>693977</v>
      </c>
    </row>
    <row r="2942" hidden="1">
      <c r="A2942" s="3" t="str">
        <f t="shared" si="3"/>
        <v/>
      </c>
      <c r="B2942" s="2" t="str">
        <f t="array" ref="B2942">INDEX(helper!$A$3:$A3996,ROUNDUP((ROW()-1)/COUNTA(helper!$D$3:$D3996),0))</f>
        <v/>
      </c>
      <c r="C2942" s="5" t="str">
        <f t="array" ref="C2942">IF(B2942="","",INDEX(helper!$D$3:$D3996,MOD(ROW()-2,COUNTA(helper!$D$3:$D3996))+1))</f>
        <v/>
      </c>
      <c r="D2942" s="3" t="str">
        <f t="array" ref="D2942">IF(B2942="","",INDEX(helper!$E$3:$E3996,MOD(ROW()-2,COUNTA(helper!$D$3:$D3996))+1))</f>
        <v/>
      </c>
      <c r="E2942" s="3" t="str">
        <f t="array" ref="E2942">IF(B2942="","",INDEX(helper!$F$3:$F3996,MOD(ROW()-2,COUNTA(helper!$D$3:$D3996))+1))</f>
        <v/>
      </c>
      <c r="F2942" s="3" t="str">
        <f>IF(B2942="","",SUMIFS('inventory ledger'!$H:$H,'inventory ledger'!$C:$C,C2942,'inventory ledger'!$D:$D,D2942,'inventory ledger'!$E:$E,E2942,'inventory ledger'!$A:$A,"&lt;="&amp;B2942+TIME(23,59,59))-SUMIFS('inventory ledger'!$I:$I,'inventory ledger'!$C:$C,C2942,'inventory ledger'!$D:$D,D2942,'inventory ledger'!$E:$E,E2942,'inventory ledger'!$A:$A,"&lt;="&amp;B2942+TIME(23,59,59)))</f>
        <v/>
      </c>
      <c r="G2942" s="3">
        <f>IFERROR(__xludf.DUMMYFUNCTION("IF(F2942&lt;=0,0,IFERROR(ROUNDUP(F2942/INDEX(FILTER('warehouse config'!$D:$D,('warehouse config'!$B:$B=C2942)*('warehouse config'!$C:$C=D2942)*('warehouse config'!$G:$G&lt;=B2942)*(('warehouse config'!$H:$H&gt;=B2942)+ISBLANK('warehouse config'!$H:$H))),1)),0))"),0.0)</f>
        <v>0</v>
      </c>
      <c r="H2942" s="3">
        <f>IFERROR(__xludf.DUMMYFUNCTION("IFERROR(INDEX(FILTER('cost master'!$E:$E,('cost master'!$B:$B=C2942)*('cost master'!$D:$D=""Storage cost per pallet / week"")*('cost master'!$G:$G&lt;=B2942)*(('cost master'!$H:$H&gt;=B2942)+ISBLANK('cost master'!$H:$H))),1),0)"),0.0)</f>
        <v>0</v>
      </c>
      <c r="I2942" s="3">
        <f t="shared" si="4"/>
        <v>0</v>
      </c>
      <c r="J2942" s="27">
        <f t="shared" si="5"/>
        <v>693947</v>
      </c>
      <c r="K2942" s="27">
        <f t="shared" si="6"/>
        <v>693977</v>
      </c>
    </row>
    <row r="2943" hidden="1">
      <c r="A2943" s="3" t="str">
        <f t="shared" si="3"/>
        <v/>
      </c>
      <c r="B2943" s="2" t="str">
        <f t="array" ref="B2943">INDEX(helper!$A$3:$A3996,ROUNDUP((ROW()-1)/COUNTA(helper!$D$3:$D3996),0))</f>
        <v/>
      </c>
      <c r="C2943" s="5" t="str">
        <f t="array" ref="C2943">IF(B2943="","",INDEX(helper!$D$3:$D3996,MOD(ROW()-2,COUNTA(helper!$D$3:$D3996))+1))</f>
        <v/>
      </c>
      <c r="D2943" s="3" t="str">
        <f t="array" ref="D2943">IF(B2943="","",INDEX(helper!$E$3:$E3996,MOD(ROW()-2,COUNTA(helper!$D$3:$D3996))+1))</f>
        <v/>
      </c>
      <c r="E2943" s="3" t="str">
        <f t="array" ref="E2943">IF(B2943="","",INDEX(helper!$F$3:$F3996,MOD(ROW()-2,COUNTA(helper!$D$3:$D3996))+1))</f>
        <v/>
      </c>
      <c r="F2943" s="3" t="str">
        <f>IF(B2943="","",SUMIFS('inventory ledger'!$H:$H,'inventory ledger'!$C:$C,C2943,'inventory ledger'!$D:$D,D2943,'inventory ledger'!$E:$E,E2943,'inventory ledger'!$A:$A,"&lt;="&amp;B2943+TIME(23,59,59))-SUMIFS('inventory ledger'!$I:$I,'inventory ledger'!$C:$C,C2943,'inventory ledger'!$D:$D,D2943,'inventory ledger'!$E:$E,E2943,'inventory ledger'!$A:$A,"&lt;="&amp;B2943+TIME(23,59,59)))</f>
        <v/>
      </c>
      <c r="G2943" s="3">
        <f>IFERROR(__xludf.DUMMYFUNCTION("IF(F2943&lt;=0,0,IFERROR(ROUNDUP(F2943/INDEX(FILTER('warehouse config'!$D:$D,('warehouse config'!$B:$B=C2943)*('warehouse config'!$C:$C=D2943)*('warehouse config'!$G:$G&lt;=B2943)*(('warehouse config'!$H:$H&gt;=B2943)+ISBLANK('warehouse config'!$H:$H))),1)),0))"),0.0)</f>
        <v>0</v>
      </c>
      <c r="H2943" s="3">
        <f>IFERROR(__xludf.DUMMYFUNCTION("IFERROR(INDEX(FILTER('cost master'!$E:$E,('cost master'!$B:$B=C2943)*('cost master'!$D:$D=""Storage cost per pallet / week"")*('cost master'!$G:$G&lt;=B2943)*(('cost master'!$H:$H&gt;=B2943)+ISBLANK('cost master'!$H:$H))),1),0)"),0.0)</f>
        <v>0</v>
      </c>
      <c r="I2943" s="3">
        <f t="shared" si="4"/>
        <v>0</v>
      </c>
      <c r="J2943" s="27">
        <f t="shared" si="5"/>
        <v>693947</v>
      </c>
      <c r="K2943" s="27">
        <f t="shared" si="6"/>
        <v>693977</v>
      </c>
    </row>
    <row r="2944" hidden="1">
      <c r="A2944" s="3" t="str">
        <f t="shared" si="3"/>
        <v/>
      </c>
      <c r="B2944" s="2" t="str">
        <f t="array" ref="B2944">INDEX(helper!$A$3:$A3996,ROUNDUP((ROW()-1)/COUNTA(helper!$D$3:$D3996),0))</f>
        <v/>
      </c>
      <c r="C2944" s="5" t="str">
        <f t="array" ref="C2944">IF(B2944="","",INDEX(helper!$D$3:$D3996,MOD(ROW()-2,COUNTA(helper!$D$3:$D3996))+1))</f>
        <v/>
      </c>
      <c r="D2944" s="3" t="str">
        <f t="array" ref="D2944">IF(B2944="","",INDEX(helper!$E$3:$E3996,MOD(ROW()-2,COUNTA(helper!$D$3:$D3996))+1))</f>
        <v/>
      </c>
      <c r="E2944" s="3" t="str">
        <f t="array" ref="E2944">IF(B2944="","",INDEX(helper!$F$3:$F3996,MOD(ROW()-2,COUNTA(helper!$D$3:$D3996))+1))</f>
        <v/>
      </c>
      <c r="F2944" s="3" t="str">
        <f>IF(B2944="","",SUMIFS('inventory ledger'!$H:$H,'inventory ledger'!$C:$C,C2944,'inventory ledger'!$D:$D,D2944,'inventory ledger'!$E:$E,E2944,'inventory ledger'!$A:$A,"&lt;="&amp;B2944+TIME(23,59,59))-SUMIFS('inventory ledger'!$I:$I,'inventory ledger'!$C:$C,C2944,'inventory ledger'!$D:$D,D2944,'inventory ledger'!$E:$E,E2944,'inventory ledger'!$A:$A,"&lt;="&amp;B2944+TIME(23,59,59)))</f>
        <v/>
      </c>
      <c r="G2944" s="3">
        <f>IFERROR(__xludf.DUMMYFUNCTION("IF(F2944&lt;=0,0,IFERROR(ROUNDUP(F2944/INDEX(FILTER('warehouse config'!$D:$D,('warehouse config'!$B:$B=C2944)*('warehouse config'!$C:$C=D2944)*('warehouse config'!$G:$G&lt;=B2944)*(('warehouse config'!$H:$H&gt;=B2944)+ISBLANK('warehouse config'!$H:$H))),1)),0))"),0.0)</f>
        <v>0</v>
      </c>
      <c r="H2944" s="3">
        <f>IFERROR(__xludf.DUMMYFUNCTION("IFERROR(INDEX(FILTER('cost master'!$E:$E,('cost master'!$B:$B=C2944)*('cost master'!$D:$D=""Storage cost per pallet / week"")*('cost master'!$G:$G&lt;=B2944)*(('cost master'!$H:$H&gt;=B2944)+ISBLANK('cost master'!$H:$H))),1),0)"),0.0)</f>
        <v>0</v>
      </c>
      <c r="I2944" s="3">
        <f t="shared" si="4"/>
        <v>0</v>
      </c>
      <c r="J2944" s="27">
        <f t="shared" si="5"/>
        <v>693947</v>
      </c>
      <c r="K2944" s="27">
        <f t="shared" si="6"/>
        <v>693977</v>
      </c>
    </row>
    <row r="2945" hidden="1">
      <c r="A2945" s="3" t="str">
        <f t="shared" si="3"/>
        <v/>
      </c>
      <c r="B2945" s="2" t="str">
        <f t="array" ref="B2945">INDEX(helper!$A$3:$A3996,ROUNDUP((ROW()-1)/COUNTA(helper!$D$3:$D3996),0))</f>
        <v/>
      </c>
      <c r="C2945" s="5" t="str">
        <f t="array" ref="C2945">IF(B2945="","",INDEX(helper!$D$3:$D3996,MOD(ROW()-2,COUNTA(helper!$D$3:$D3996))+1))</f>
        <v/>
      </c>
      <c r="D2945" s="3" t="str">
        <f t="array" ref="D2945">IF(B2945="","",INDEX(helper!$E$3:$E3996,MOD(ROW()-2,COUNTA(helper!$D$3:$D3996))+1))</f>
        <v/>
      </c>
      <c r="E2945" s="3" t="str">
        <f t="array" ref="E2945">IF(B2945="","",INDEX(helper!$F$3:$F3996,MOD(ROW()-2,COUNTA(helper!$D$3:$D3996))+1))</f>
        <v/>
      </c>
      <c r="F2945" s="3" t="str">
        <f>IF(B2945="","",SUMIFS('inventory ledger'!$H:$H,'inventory ledger'!$C:$C,C2945,'inventory ledger'!$D:$D,D2945,'inventory ledger'!$E:$E,E2945,'inventory ledger'!$A:$A,"&lt;="&amp;B2945+TIME(23,59,59))-SUMIFS('inventory ledger'!$I:$I,'inventory ledger'!$C:$C,C2945,'inventory ledger'!$D:$D,D2945,'inventory ledger'!$E:$E,E2945,'inventory ledger'!$A:$A,"&lt;="&amp;B2945+TIME(23,59,59)))</f>
        <v/>
      </c>
      <c r="G2945" s="3">
        <f>IFERROR(__xludf.DUMMYFUNCTION("IF(F2945&lt;=0,0,IFERROR(ROUNDUP(F2945/INDEX(FILTER('warehouse config'!$D:$D,('warehouse config'!$B:$B=C2945)*('warehouse config'!$C:$C=D2945)*('warehouse config'!$G:$G&lt;=B2945)*(('warehouse config'!$H:$H&gt;=B2945)+ISBLANK('warehouse config'!$H:$H))),1)),0))"),0.0)</f>
        <v>0</v>
      </c>
      <c r="H2945" s="3">
        <f>IFERROR(__xludf.DUMMYFUNCTION("IFERROR(INDEX(FILTER('cost master'!$E:$E,('cost master'!$B:$B=C2945)*('cost master'!$D:$D=""Storage cost per pallet / week"")*('cost master'!$G:$G&lt;=B2945)*(('cost master'!$H:$H&gt;=B2945)+ISBLANK('cost master'!$H:$H))),1),0)"),0.0)</f>
        <v>0</v>
      </c>
      <c r="I2945" s="3">
        <f t="shared" si="4"/>
        <v>0</v>
      </c>
      <c r="J2945" s="27">
        <f t="shared" si="5"/>
        <v>693947</v>
      </c>
      <c r="K2945" s="27">
        <f t="shared" si="6"/>
        <v>693977</v>
      </c>
    </row>
    <row r="2946" hidden="1">
      <c r="A2946" s="3" t="str">
        <f t="shared" si="3"/>
        <v/>
      </c>
      <c r="B2946" s="2" t="str">
        <f t="array" ref="B2946">INDEX(helper!$A$3:$A3996,ROUNDUP((ROW()-1)/COUNTA(helper!$D$3:$D3996),0))</f>
        <v/>
      </c>
      <c r="C2946" s="5" t="str">
        <f t="array" ref="C2946">IF(B2946="","",INDEX(helper!$D$3:$D3996,MOD(ROW()-2,COUNTA(helper!$D$3:$D3996))+1))</f>
        <v/>
      </c>
      <c r="D2946" s="3" t="str">
        <f t="array" ref="D2946">IF(B2946="","",INDEX(helper!$E$3:$E3996,MOD(ROW()-2,COUNTA(helper!$D$3:$D3996))+1))</f>
        <v/>
      </c>
      <c r="E2946" s="3" t="str">
        <f t="array" ref="E2946">IF(B2946="","",INDEX(helper!$F$3:$F3996,MOD(ROW()-2,COUNTA(helper!$D$3:$D3996))+1))</f>
        <v/>
      </c>
      <c r="F2946" s="3" t="str">
        <f>IF(B2946="","",SUMIFS('inventory ledger'!$H:$H,'inventory ledger'!$C:$C,C2946,'inventory ledger'!$D:$D,D2946,'inventory ledger'!$E:$E,E2946,'inventory ledger'!$A:$A,"&lt;="&amp;B2946+TIME(23,59,59))-SUMIFS('inventory ledger'!$I:$I,'inventory ledger'!$C:$C,C2946,'inventory ledger'!$D:$D,D2946,'inventory ledger'!$E:$E,E2946,'inventory ledger'!$A:$A,"&lt;="&amp;B2946+TIME(23,59,59)))</f>
        <v/>
      </c>
      <c r="G2946" s="3">
        <f>IFERROR(__xludf.DUMMYFUNCTION("IF(F2946&lt;=0,0,IFERROR(ROUNDUP(F2946/INDEX(FILTER('warehouse config'!$D:$D,('warehouse config'!$B:$B=C2946)*('warehouse config'!$C:$C=D2946)*('warehouse config'!$G:$G&lt;=B2946)*(('warehouse config'!$H:$H&gt;=B2946)+ISBLANK('warehouse config'!$H:$H))),1)),0))"),0.0)</f>
        <v>0</v>
      </c>
      <c r="H2946" s="3">
        <f>IFERROR(__xludf.DUMMYFUNCTION("IFERROR(INDEX(FILTER('cost master'!$E:$E,('cost master'!$B:$B=C2946)*('cost master'!$D:$D=""Storage cost per pallet / week"")*('cost master'!$G:$G&lt;=B2946)*(('cost master'!$H:$H&gt;=B2946)+ISBLANK('cost master'!$H:$H))),1),0)"),0.0)</f>
        <v>0</v>
      </c>
      <c r="I2946" s="3">
        <f t="shared" si="4"/>
        <v>0</v>
      </c>
      <c r="J2946" s="27">
        <f t="shared" si="5"/>
        <v>693947</v>
      </c>
      <c r="K2946" s="27">
        <f t="shared" si="6"/>
        <v>693977</v>
      </c>
    </row>
    <row r="2947" hidden="1">
      <c r="A2947" s="3" t="str">
        <f t="shared" si="3"/>
        <v/>
      </c>
      <c r="B2947" s="2" t="str">
        <f t="array" ref="B2947">INDEX(helper!$A$3:$A3996,ROUNDUP((ROW()-1)/COUNTA(helper!$D$3:$D3996),0))</f>
        <v/>
      </c>
      <c r="C2947" s="5" t="str">
        <f t="array" ref="C2947">IF(B2947="","",INDEX(helper!$D$3:$D3996,MOD(ROW()-2,COUNTA(helper!$D$3:$D3996))+1))</f>
        <v/>
      </c>
      <c r="D2947" s="3" t="str">
        <f t="array" ref="D2947">IF(B2947="","",INDEX(helper!$E$3:$E3996,MOD(ROW()-2,COUNTA(helper!$D$3:$D3996))+1))</f>
        <v/>
      </c>
      <c r="E2947" s="3" t="str">
        <f t="array" ref="E2947">IF(B2947="","",INDEX(helper!$F$3:$F3996,MOD(ROW()-2,COUNTA(helper!$D$3:$D3996))+1))</f>
        <v/>
      </c>
      <c r="F2947" s="3" t="str">
        <f>IF(B2947="","",SUMIFS('inventory ledger'!$H:$H,'inventory ledger'!$C:$C,C2947,'inventory ledger'!$D:$D,D2947,'inventory ledger'!$E:$E,E2947,'inventory ledger'!$A:$A,"&lt;="&amp;B2947+TIME(23,59,59))-SUMIFS('inventory ledger'!$I:$I,'inventory ledger'!$C:$C,C2947,'inventory ledger'!$D:$D,D2947,'inventory ledger'!$E:$E,E2947,'inventory ledger'!$A:$A,"&lt;="&amp;B2947+TIME(23,59,59)))</f>
        <v/>
      </c>
      <c r="G2947" s="3">
        <f>IFERROR(__xludf.DUMMYFUNCTION("IF(F2947&lt;=0,0,IFERROR(ROUNDUP(F2947/INDEX(FILTER('warehouse config'!$D:$D,('warehouse config'!$B:$B=C2947)*('warehouse config'!$C:$C=D2947)*('warehouse config'!$G:$G&lt;=B2947)*(('warehouse config'!$H:$H&gt;=B2947)+ISBLANK('warehouse config'!$H:$H))),1)),0))"),0.0)</f>
        <v>0</v>
      </c>
      <c r="H2947" s="3">
        <f>IFERROR(__xludf.DUMMYFUNCTION("IFERROR(INDEX(FILTER('cost master'!$E:$E,('cost master'!$B:$B=C2947)*('cost master'!$D:$D=""Storage cost per pallet / week"")*('cost master'!$G:$G&lt;=B2947)*(('cost master'!$H:$H&gt;=B2947)+ISBLANK('cost master'!$H:$H))),1),0)"),0.0)</f>
        <v>0</v>
      </c>
      <c r="I2947" s="3">
        <f t="shared" si="4"/>
        <v>0</v>
      </c>
      <c r="J2947" s="27">
        <f t="shared" si="5"/>
        <v>693947</v>
      </c>
      <c r="K2947" s="27">
        <f t="shared" si="6"/>
        <v>693977</v>
      </c>
    </row>
    <row r="2948" hidden="1">
      <c r="A2948" s="3" t="str">
        <f t="shared" si="3"/>
        <v/>
      </c>
      <c r="B2948" s="2" t="str">
        <f t="array" ref="B2948">INDEX(helper!$A$3:$A3996,ROUNDUP((ROW()-1)/COUNTA(helper!$D$3:$D3996),0))</f>
        <v/>
      </c>
      <c r="C2948" s="5" t="str">
        <f t="array" ref="C2948">IF(B2948="","",INDEX(helper!$D$3:$D3996,MOD(ROW()-2,COUNTA(helper!$D$3:$D3996))+1))</f>
        <v/>
      </c>
      <c r="D2948" s="3" t="str">
        <f t="array" ref="D2948">IF(B2948="","",INDEX(helper!$E$3:$E3996,MOD(ROW()-2,COUNTA(helper!$D$3:$D3996))+1))</f>
        <v/>
      </c>
      <c r="E2948" s="3" t="str">
        <f t="array" ref="E2948">IF(B2948="","",INDEX(helper!$F$3:$F3996,MOD(ROW()-2,COUNTA(helper!$D$3:$D3996))+1))</f>
        <v/>
      </c>
      <c r="F2948" s="3" t="str">
        <f>IF(B2948="","",SUMIFS('inventory ledger'!$H:$H,'inventory ledger'!$C:$C,C2948,'inventory ledger'!$D:$D,D2948,'inventory ledger'!$E:$E,E2948,'inventory ledger'!$A:$A,"&lt;="&amp;B2948+TIME(23,59,59))-SUMIFS('inventory ledger'!$I:$I,'inventory ledger'!$C:$C,C2948,'inventory ledger'!$D:$D,D2948,'inventory ledger'!$E:$E,E2948,'inventory ledger'!$A:$A,"&lt;="&amp;B2948+TIME(23,59,59)))</f>
        <v/>
      </c>
      <c r="G2948" s="3">
        <f>IFERROR(__xludf.DUMMYFUNCTION("IF(F2948&lt;=0,0,IFERROR(ROUNDUP(F2948/INDEX(FILTER('warehouse config'!$D:$D,('warehouse config'!$B:$B=C2948)*('warehouse config'!$C:$C=D2948)*('warehouse config'!$G:$G&lt;=B2948)*(('warehouse config'!$H:$H&gt;=B2948)+ISBLANK('warehouse config'!$H:$H))),1)),0))"),0.0)</f>
        <v>0</v>
      </c>
      <c r="H2948" s="3">
        <f>IFERROR(__xludf.DUMMYFUNCTION("IFERROR(INDEX(FILTER('cost master'!$E:$E,('cost master'!$B:$B=C2948)*('cost master'!$D:$D=""Storage cost per pallet / week"")*('cost master'!$G:$G&lt;=B2948)*(('cost master'!$H:$H&gt;=B2948)+ISBLANK('cost master'!$H:$H))),1),0)"),0.0)</f>
        <v>0</v>
      </c>
      <c r="I2948" s="3">
        <f t="shared" si="4"/>
        <v>0</v>
      </c>
      <c r="J2948" s="27">
        <f t="shared" si="5"/>
        <v>693947</v>
      </c>
      <c r="K2948" s="27">
        <f t="shared" si="6"/>
        <v>693977</v>
      </c>
    </row>
    <row r="2949" hidden="1">
      <c r="A2949" s="3" t="str">
        <f t="shared" si="3"/>
        <v/>
      </c>
      <c r="B2949" s="2" t="str">
        <f t="array" ref="B2949">INDEX(helper!$A$3:$A3996,ROUNDUP((ROW()-1)/COUNTA(helper!$D$3:$D3996),0))</f>
        <v/>
      </c>
      <c r="C2949" s="5" t="str">
        <f t="array" ref="C2949">IF(B2949="","",INDEX(helper!$D$3:$D3996,MOD(ROW()-2,COUNTA(helper!$D$3:$D3996))+1))</f>
        <v/>
      </c>
      <c r="D2949" s="3" t="str">
        <f t="array" ref="D2949">IF(B2949="","",INDEX(helper!$E$3:$E3996,MOD(ROW()-2,COUNTA(helper!$D$3:$D3996))+1))</f>
        <v/>
      </c>
      <c r="E2949" s="3" t="str">
        <f t="array" ref="E2949">IF(B2949="","",INDEX(helper!$F$3:$F3996,MOD(ROW()-2,COUNTA(helper!$D$3:$D3996))+1))</f>
        <v/>
      </c>
      <c r="F2949" s="3" t="str">
        <f>IF(B2949="","",SUMIFS('inventory ledger'!$H:$H,'inventory ledger'!$C:$C,C2949,'inventory ledger'!$D:$D,D2949,'inventory ledger'!$E:$E,E2949,'inventory ledger'!$A:$A,"&lt;="&amp;B2949+TIME(23,59,59))-SUMIFS('inventory ledger'!$I:$I,'inventory ledger'!$C:$C,C2949,'inventory ledger'!$D:$D,D2949,'inventory ledger'!$E:$E,E2949,'inventory ledger'!$A:$A,"&lt;="&amp;B2949+TIME(23,59,59)))</f>
        <v/>
      </c>
      <c r="G2949" s="3">
        <f>IFERROR(__xludf.DUMMYFUNCTION("IF(F2949&lt;=0,0,IFERROR(ROUNDUP(F2949/INDEX(FILTER('warehouse config'!$D:$D,('warehouse config'!$B:$B=C2949)*('warehouse config'!$C:$C=D2949)*('warehouse config'!$G:$G&lt;=B2949)*(('warehouse config'!$H:$H&gt;=B2949)+ISBLANK('warehouse config'!$H:$H))),1)),0))"),0.0)</f>
        <v>0</v>
      </c>
      <c r="H2949" s="3">
        <f>IFERROR(__xludf.DUMMYFUNCTION("IFERROR(INDEX(FILTER('cost master'!$E:$E,('cost master'!$B:$B=C2949)*('cost master'!$D:$D=""Storage cost per pallet / week"")*('cost master'!$G:$G&lt;=B2949)*(('cost master'!$H:$H&gt;=B2949)+ISBLANK('cost master'!$H:$H))),1),0)"),0.0)</f>
        <v>0</v>
      </c>
      <c r="I2949" s="3">
        <f t="shared" si="4"/>
        <v>0</v>
      </c>
      <c r="J2949" s="27">
        <f t="shared" si="5"/>
        <v>693947</v>
      </c>
      <c r="K2949" s="27">
        <f t="shared" si="6"/>
        <v>693977</v>
      </c>
    </row>
    <row r="2950" hidden="1">
      <c r="A2950" s="3" t="str">
        <f t="shared" si="3"/>
        <v/>
      </c>
      <c r="B2950" s="2" t="str">
        <f t="array" ref="B2950">INDEX(helper!$A$3:$A3996,ROUNDUP((ROW()-1)/COUNTA(helper!$D$3:$D3996),0))</f>
        <v/>
      </c>
      <c r="C2950" s="5" t="str">
        <f t="array" ref="C2950">IF(B2950="","",INDEX(helper!$D$3:$D3996,MOD(ROW()-2,COUNTA(helper!$D$3:$D3996))+1))</f>
        <v/>
      </c>
      <c r="D2950" s="3" t="str">
        <f t="array" ref="D2950">IF(B2950="","",INDEX(helper!$E$3:$E3996,MOD(ROW()-2,COUNTA(helper!$D$3:$D3996))+1))</f>
        <v/>
      </c>
      <c r="E2950" s="3" t="str">
        <f t="array" ref="E2950">IF(B2950="","",INDEX(helper!$F$3:$F3996,MOD(ROW()-2,COUNTA(helper!$D$3:$D3996))+1))</f>
        <v/>
      </c>
      <c r="F2950" s="3" t="str">
        <f>IF(B2950="","",SUMIFS('inventory ledger'!$H:$H,'inventory ledger'!$C:$C,C2950,'inventory ledger'!$D:$D,D2950,'inventory ledger'!$E:$E,E2950,'inventory ledger'!$A:$A,"&lt;="&amp;B2950+TIME(23,59,59))-SUMIFS('inventory ledger'!$I:$I,'inventory ledger'!$C:$C,C2950,'inventory ledger'!$D:$D,D2950,'inventory ledger'!$E:$E,E2950,'inventory ledger'!$A:$A,"&lt;="&amp;B2950+TIME(23,59,59)))</f>
        <v/>
      </c>
      <c r="G2950" s="3">
        <f>IFERROR(__xludf.DUMMYFUNCTION("IF(F2950&lt;=0,0,IFERROR(ROUNDUP(F2950/INDEX(FILTER('warehouse config'!$D:$D,('warehouse config'!$B:$B=C2950)*('warehouse config'!$C:$C=D2950)*('warehouse config'!$G:$G&lt;=B2950)*(('warehouse config'!$H:$H&gt;=B2950)+ISBLANK('warehouse config'!$H:$H))),1)),0))"),0.0)</f>
        <v>0</v>
      </c>
      <c r="H2950" s="3">
        <f>IFERROR(__xludf.DUMMYFUNCTION("IFERROR(INDEX(FILTER('cost master'!$E:$E,('cost master'!$B:$B=C2950)*('cost master'!$D:$D=""Storage cost per pallet / week"")*('cost master'!$G:$G&lt;=B2950)*(('cost master'!$H:$H&gt;=B2950)+ISBLANK('cost master'!$H:$H))),1),0)"),0.0)</f>
        <v>0</v>
      </c>
      <c r="I2950" s="3">
        <f t="shared" si="4"/>
        <v>0</v>
      </c>
      <c r="J2950" s="27">
        <f t="shared" si="5"/>
        <v>693947</v>
      </c>
      <c r="K2950" s="27">
        <f t="shared" si="6"/>
        <v>693977</v>
      </c>
    </row>
    <row r="2951" hidden="1">
      <c r="A2951" s="3" t="str">
        <f t="shared" si="3"/>
        <v/>
      </c>
      <c r="B2951" s="2" t="str">
        <f t="array" ref="B2951">INDEX(helper!$A$3:$A3996,ROUNDUP((ROW()-1)/COUNTA(helper!$D$3:$D3996),0))</f>
        <v/>
      </c>
      <c r="C2951" s="5" t="str">
        <f t="array" ref="C2951">IF(B2951="","",INDEX(helper!$D$3:$D3996,MOD(ROW()-2,COUNTA(helper!$D$3:$D3996))+1))</f>
        <v/>
      </c>
      <c r="D2951" s="3" t="str">
        <f t="array" ref="D2951">IF(B2951="","",INDEX(helper!$E$3:$E3996,MOD(ROW()-2,COUNTA(helper!$D$3:$D3996))+1))</f>
        <v/>
      </c>
      <c r="E2951" s="3" t="str">
        <f t="array" ref="E2951">IF(B2951="","",INDEX(helper!$F$3:$F3996,MOD(ROW()-2,COUNTA(helper!$D$3:$D3996))+1))</f>
        <v/>
      </c>
      <c r="F2951" s="3" t="str">
        <f>IF(B2951="","",SUMIFS('inventory ledger'!$H:$H,'inventory ledger'!$C:$C,C2951,'inventory ledger'!$D:$D,D2951,'inventory ledger'!$E:$E,E2951,'inventory ledger'!$A:$A,"&lt;="&amp;B2951+TIME(23,59,59))-SUMIFS('inventory ledger'!$I:$I,'inventory ledger'!$C:$C,C2951,'inventory ledger'!$D:$D,D2951,'inventory ledger'!$E:$E,E2951,'inventory ledger'!$A:$A,"&lt;="&amp;B2951+TIME(23,59,59)))</f>
        <v/>
      </c>
      <c r="G2951" s="3">
        <f>IFERROR(__xludf.DUMMYFUNCTION("IF(F2951&lt;=0,0,IFERROR(ROUNDUP(F2951/INDEX(FILTER('warehouse config'!$D:$D,('warehouse config'!$B:$B=C2951)*('warehouse config'!$C:$C=D2951)*('warehouse config'!$G:$G&lt;=B2951)*(('warehouse config'!$H:$H&gt;=B2951)+ISBLANK('warehouse config'!$H:$H))),1)),0))"),0.0)</f>
        <v>0</v>
      </c>
      <c r="H2951" s="3">
        <f>IFERROR(__xludf.DUMMYFUNCTION("IFERROR(INDEX(FILTER('cost master'!$E:$E,('cost master'!$B:$B=C2951)*('cost master'!$D:$D=""Storage cost per pallet / week"")*('cost master'!$G:$G&lt;=B2951)*(('cost master'!$H:$H&gt;=B2951)+ISBLANK('cost master'!$H:$H))),1),0)"),0.0)</f>
        <v>0</v>
      </c>
      <c r="I2951" s="3">
        <f t="shared" si="4"/>
        <v>0</v>
      </c>
      <c r="J2951" s="27">
        <f t="shared" si="5"/>
        <v>693947</v>
      </c>
      <c r="K2951" s="27">
        <f t="shared" si="6"/>
        <v>693977</v>
      </c>
    </row>
    <row r="2952" hidden="1">
      <c r="A2952" s="3" t="str">
        <f t="shared" si="3"/>
        <v/>
      </c>
      <c r="B2952" s="2" t="str">
        <f t="array" ref="B2952">INDEX(helper!$A$3:$A3996,ROUNDUP((ROW()-1)/COUNTA(helper!$D$3:$D3996),0))</f>
        <v/>
      </c>
      <c r="C2952" s="5" t="str">
        <f t="array" ref="C2952">IF(B2952="","",INDEX(helper!$D$3:$D3996,MOD(ROW()-2,COUNTA(helper!$D$3:$D3996))+1))</f>
        <v/>
      </c>
      <c r="D2952" s="3" t="str">
        <f t="array" ref="D2952">IF(B2952="","",INDEX(helper!$E$3:$E3996,MOD(ROW()-2,COUNTA(helper!$D$3:$D3996))+1))</f>
        <v/>
      </c>
      <c r="E2952" s="3" t="str">
        <f t="array" ref="E2952">IF(B2952="","",INDEX(helper!$F$3:$F3996,MOD(ROW()-2,COUNTA(helper!$D$3:$D3996))+1))</f>
        <v/>
      </c>
      <c r="F2952" s="3" t="str">
        <f>IF(B2952="","",SUMIFS('inventory ledger'!$H:$H,'inventory ledger'!$C:$C,C2952,'inventory ledger'!$D:$D,D2952,'inventory ledger'!$E:$E,E2952,'inventory ledger'!$A:$A,"&lt;="&amp;B2952+TIME(23,59,59))-SUMIFS('inventory ledger'!$I:$I,'inventory ledger'!$C:$C,C2952,'inventory ledger'!$D:$D,D2952,'inventory ledger'!$E:$E,E2952,'inventory ledger'!$A:$A,"&lt;="&amp;B2952+TIME(23,59,59)))</f>
        <v/>
      </c>
      <c r="G2952" s="3">
        <f>IFERROR(__xludf.DUMMYFUNCTION("IF(F2952&lt;=0,0,IFERROR(ROUNDUP(F2952/INDEX(FILTER('warehouse config'!$D:$D,('warehouse config'!$B:$B=C2952)*('warehouse config'!$C:$C=D2952)*('warehouse config'!$G:$G&lt;=B2952)*(('warehouse config'!$H:$H&gt;=B2952)+ISBLANK('warehouse config'!$H:$H))),1)),0))"),0.0)</f>
        <v>0</v>
      </c>
      <c r="H2952" s="3">
        <f>IFERROR(__xludf.DUMMYFUNCTION("IFERROR(INDEX(FILTER('cost master'!$E:$E,('cost master'!$B:$B=C2952)*('cost master'!$D:$D=""Storage cost per pallet / week"")*('cost master'!$G:$G&lt;=B2952)*(('cost master'!$H:$H&gt;=B2952)+ISBLANK('cost master'!$H:$H))),1),0)"),0.0)</f>
        <v>0</v>
      </c>
      <c r="I2952" s="3">
        <f t="shared" si="4"/>
        <v>0</v>
      </c>
      <c r="J2952" s="27">
        <f t="shared" si="5"/>
        <v>693947</v>
      </c>
      <c r="K2952" s="27">
        <f t="shared" si="6"/>
        <v>693977</v>
      </c>
    </row>
    <row r="2953" hidden="1">
      <c r="A2953" s="3" t="str">
        <f t="shared" si="3"/>
        <v/>
      </c>
      <c r="B2953" s="2" t="str">
        <f t="array" ref="B2953">INDEX(helper!$A$3:$A3996,ROUNDUP((ROW()-1)/COUNTA(helper!$D$3:$D3996),0))</f>
        <v/>
      </c>
      <c r="C2953" s="5" t="str">
        <f t="array" ref="C2953">IF(B2953="","",INDEX(helper!$D$3:$D3996,MOD(ROW()-2,COUNTA(helper!$D$3:$D3996))+1))</f>
        <v/>
      </c>
      <c r="D2953" s="3" t="str">
        <f t="array" ref="D2953">IF(B2953="","",INDEX(helper!$E$3:$E3996,MOD(ROW()-2,COUNTA(helper!$D$3:$D3996))+1))</f>
        <v/>
      </c>
      <c r="E2953" s="3" t="str">
        <f t="array" ref="E2953">IF(B2953="","",INDEX(helper!$F$3:$F3996,MOD(ROW()-2,COUNTA(helper!$D$3:$D3996))+1))</f>
        <v/>
      </c>
      <c r="F2953" s="3" t="str">
        <f>IF(B2953="","",SUMIFS('inventory ledger'!$H:$H,'inventory ledger'!$C:$C,C2953,'inventory ledger'!$D:$D,D2953,'inventory ledger'!$E:$E,E2953,'inventory ledger'!$A:$A,"&lt;="&amp;B2953+TIME(23,59,59))-SUMIFS('inventory ledger'!$I:$I,'inventory ledger'!$C:$C,C2953,'inventory ledger'!$D:$D,D2953,'inventory ledger'!$E:$E,E2953,'inventory ledger'!$A:$A,"&lt;="&amp;B2953+TIME(23,59,59)))</f>
        <v/>
      </c>
      <c r="G2953" s="3">
        <f>IFERROR(__xludf.DUMMYFUNCTION("IF(F2953&lt;=0,0,IFERROR(ROUNDUP(F2953/INDEX(FILTER('warehouse config'!$D:$D,('warehouse config'!$B:$B=C2953)*('warehouse config'!$C:$C=D2953)*('warehouse config'!$G:$G&lt;=B2953)*(('warehouse config'!$H:$H&gt;=B2953)+ISBLANK('warehouse config'!$H:$H))),1)),0))"),0.0)</f>
        <v>0</v>
      </c>
      <c r="H2953" s="3">
        <f>IFERROR(__xludf.DUMMYFUNCTION("IFERROR(INDEX(FILTER('cost master'!$E:$E,('cost master'!$B:$B=C2953)*('cost master'!$D:$D=""Storage cost per pallet / week"")*('cost master'!$G:$G&lt;=B2953)*(('cost master'!$H:$H&gt;=B2953)+ISBLANK('cost master'!$H:$H))),1),0)"),0.0)</f>
        <v>0</v>
      </c>
      <c r="I2953" s="3">
        <f t="shared" si="4"/>
        <v>0</v>
      </c>
      <c r="J2953" s="27">
        <f t="shared" si="5"/>
        <v>693947</v>
      </c>
      <c r="K2953" s="27">
        <f t="shared" si="6"/>
        <v>693977</v>
      </c>
    </row>
    <row r="2954" hidden="1">
      <c r="A2954" s="3" t="str">
        <f t="shared" si="3"/>
        <v/>
      </c>
      <c r="B2954" s="2" t="str">
        <f t="array" ref="B2954">INDEX(helper!$A$3:$A3996,ROUNDUP((ROW()-1)/COUNTA(helper!$D$3:$D3996),0))</f>
        <v/>
      </c>
      <c r="C2954" s="5" t="str">
        <f t="array" ref="C2954">IF(B2954="","",INDEX(helper!$D$3:$D3996,MOD(ROW()-2,COUNTA(helper!$D$3:$D3996))+1))</f>
        <v/>
      </c>
      <c r="D2954" s="3" t="str">
        <f t="array" ref="D2954">IF(B2954="","",INDEX(helper!$E$3:$E3996,MOD(ROW()-2,COUNTA(helper!$D$3:$D3996))+1))</f>
        <v/>
      </c>
      <c r="E2954" s="3" t="str">
        <f t="array" ref="E2954">IF(B2954="","",INDEX(helper!$F$3:$F3996,MOD(ROW()-2,COUNTA(helper!$D$3:$D3996))+1))</f>
        <v/>
      </c>
      <c r="F2954" s="3" t="str">
        <f>IF(B2954="","",SUMIFS('inventory ledger'!$H:$H,'inventory ledger'!$C:$C,C2954,'inventory ledger'!$D:$D,D2954,'inventory ledger'!$E:$E,E2954,'inventory ledger'!$A:$A,"&lt;="&amp;B2954+TIME(23,59,59))-SUMIFS('inventory ledger'!$I:$I,'inventory ledger'!$C:$C,C2954,'inventory ledger'!$D:$D,D2954,'inventory ledger'!$E:$E,E2954,'inventory ledger'!$A:$A,"&lt;="&amp;B2954+TIME(23,59,59)))</f>
        <v/>
      </c>
      <c r="G2954" s="3">
        <f>IFERROR(__xludf.DUMMYFUNCTION("IF(F2954&lt;=0,0,IFERROR(ROUNDUP(F2954/INDEX(FILTER('warehouse config'!$D:$D,('warehouse config'!$B:$B=C2954)*('warehouse config'!$C:$C=D2954)*('warehouse config'!$G:$G&lt;=B2954)*(('warehouse config'!$H:$H&gt;=B2954)+ISBLANK('warehouse config'!$H:$H))),1)),0))"),0.0)</f>
        <v>0</v>
      </c>
      <c r="H2954" s="3">
        <f>IFERROR(__xludf.DUMMYFUNCTION("IFERROR(INDEX(FILTER('cost master'!$E:$E,('cost master'!$B:$B=C2954)*('cost master'!$D:$D=""Storage cost per pallet / week"")*('cost master'!$G:$G&lt;=B2954)*(('cost master'!$H:$H&gt;=B2954)+ISBLANK('cost master'!$H:$H))),1),0)"),0.0)</f>
        <v>0</v>
      </c>
      <c r="I2954" s="3">
        <f t="shared" si="4"/>
        <v>0</v>
      </c>
      <c r="J2954" s="27">
        <f t="shared" si="5"/>
        <v>693947</v>
      </c>
      <c r="K2954" s="27">
        <f t="shared" si="6"/>
        <v>693977</v>
      </c>
    </row>
    <row r="2955" hidden="1">
      <c r="A2955" s="3" t="str">
        <f t="shared" si="3"/>
        <v/>
      </c>
      <c r="B2955" s="2" t="str">
        <f t="array" ref="B2955">INDEX(helper!$A$3:$A3996,ROUNDUP((ROW()-1)/COUNTA(helper!$D$3:$D3996),0))</f>
        <v/>
      </c>
      <c r="C2955" s="5" t="str">
        <f t="array" ref="C2955">IF(B2955="","",INDEX(helper!$D$3:$D3996,MOD(ROW()-2,COUNTA(helper!$D$3:$D3996))+1))</f>
        <v/>
      </c>
      <c r="D2955" s="3" t="str">
        <f t="array" ref="D2955">IF(B2955="","",INDEX(helper!$E$3:$E3996,MOD(ROW()-2,COUNTA(helper!$D$3:$D3996))+1))</f>
        <v/>
      </c>
      <c r="E2955" s="3" t="str">
        <f t="array" ref="E2955">IF(B2955="","",INDEX(helper!$F$3:$F3996,MOD(ROW()-2,COUNTA(helper!$D$3:$D3996))+1))</f>
        <v/>
      </c>
      <c r="F2955" s="3" t="str">
        <f>IF(B2955="","",SUMIFS('inventory ledger'!$H:$H,'inventory ledger'!$C:$C,C2955,'inventory ledger'!$D:$D,D2955,'inventory ledger'!$E:$E,E2955,'inventory ledger'!$A:$A,"&lt;="&amp;B2955+TIME(23,59,59))-SUMIFS('inventory ledger'!$I:$I,'inventory ledger'!$C:$C,C2955,'inventory ledger'!$D:$D,D2955,'inventory ledger'!$E:$E,E2955,'inventory ledger'!$A:$A,"&lt;="&amp;B2955+TIME(23,59,59)))</f>
        <v/>
      </c>
      <c r="G2955" s="3">
        <f>IFERROR(__xludf.DUMMYFUNCTION("IF(F2955&lt;=0,0,IFERROR(ROUNDUP(F2955/INDEX(FILTER('warehouse config'!$D:$D,('warehouse config'!$B:$B=C2955)*('warehouse config'!$C:$C=D2955)*('warehouse config'!$G:$G&lt;=B2955)*(('warehouse config'!$H:$H&gt;=B2955)+ISBLANK('warehouse config'!$H:$H))),1)),0))"),0.0)</f>
        <v>0</v>
      </c>
      <c r="H2955" s="3">
        <f>IFERROR(__xludf.DUMMYFUNCTION("IFERROR(INDEX(FILTER('cost master'!$E:$E,('cost master'!$B:$B=C2955)*('cost master'!$D:$D=""Storage cost per pallet / week"")*('cost master'!$G:$G&lt;=B2955)*(('cost master'!$H:$H&gt;=B2955)+ISBLANK('cost master'!$H:$H))),1),0)"),0.0)</f>
        <v>0</v>
      </c>
      <c r="I2955" s="3">
        <f t="shared" si="4"/>
        <v>0</v>
      </c>
      <c r="J2955" s="27">
        <f t="shared" si="5"/>
        <v>693947</v>
      </c>
      <c r="K2955" s="27">
        <f t="shared" si="6"/>
        <v>693977</v>
      </c>
    </row>
    <row r="2956" hidden="1">
      <c r="A2956" s="3" t="str">
        <f t="shared" si="3"/>
        <v/>
      </c>
      <c r="B2956" s="2" t="str">
        <f t="array" ref="B2956">INDEX(helper!$A$3:$A3996,ROUNDUP((ROW()-1)/COUNTA(helper!$D$3:$D3996),0))</f>
        <v/>
      </c>
      <c r="C2956" s="5" t="str">
        <f t="array" ref="C2956">IF(B2956="","",INDEX(helper!$D$3:$D3996,MOD(ROW()-2,COUNTA(helper!$D$3:$D3996))+1))</f>
        <v/>
      </c>
      <c r="D2956" s="3" t="str">
        <f t="array" ref="D2956">IF(B2956="","",INDEX(helper!$E$3:$E3996,MOD(ROW()-2,COUNTA(helper!$D$3:$D3996))+1))</f>
        <v/>
      </c>
      <c r="E2956" s="3" t="str">
        <f t="array" ref="E2956">IF(B2956="","",INDEX(helper!$F$3:$F3996,MOD(ROW()-2,COUNTA(helper!$D$3:$D3996))+1))</f>
        <v/>
      </c>
      <c r="F2956" s="3" t="str">
        <f>IF(B2956="","",SUMIFS('inventory ledger'!$H:$H,'inventory ledger'!$C:$C,C2956,'inventory ledger'!$D:$D,D2956,'inventory ledger'!$E:$E,E2956,'inventory ledger'!$A:$A,"&lt;="&amp;B2956+TIME(23,59,59))-SUMIFS('inventory ledger'!$I:$I,'inventory ledger'!$C:$C,C2956,'inventory ledger'!$D:$D,D2956,'inventory ledger'!$E:$E,E2956,'inventory ledger'!$A:$A,"&lt;="&amp;B2956+TIME(23,59,59)))</f>
        <v/>
      </c>
      <c r="G2956" s="3">
        <f>IFERROR(__xludf.DUMMYFUNCTION("IF(F2956&lt;=0,0,IFERROR(ROUNDUP(F2956/INDEX(FILTER('warehouse config'!$D:$D,('warehouse config'!$B:$B=C2956)*('warehouse config'!$C:$C=D2956)*('warehouse config'!$G:$G&lt;=B2956)*(('warehouse config'!$H:$H&gt;=B2956)+ISBLANK('warehouse config'!$H:$H))),1)),0))"),0.0)</f>
        <v>0</v>
      </c>
      <c r="H2956" s="3">
        <f>IFERROR(__xludf.DUMMYFUNCTION("IFERROR(INDEX(FILTER('cost master'!$E:$E,('cost master'!$B:$B=C2956)*('cost master'!$D:$D=""Storage cost per pallet / week"")*('cost master'!$G:$G&lt;=B2956)*(('cost master'!$H:$H&gt;=B2956)+ISBLANK('cost master'!$H:$H))),1),0)"),0.0)</f>
        <v>0</v>
      </c>
      <c r="I2956" s="3">
        <f t="shared" si="4"/>
        <v>0</v>
      </c>
      <c r="J2956" s="27">
        <f t="shared" si="5"/>
        <v>693947</v>
      </c>
      <c r="K2956" s="27">
        <f t="shared" si="6"/>
        <v>693977</v>
      </c>
    </row>
    <row r="2957" hidden="1">
      <c r="A2957" s="3" t="str">
        <f t="shared" si="3"/>
        <v/>
      </c>
      <c r="B2957" s="2" t="str">
        <f t="array" ref="B2957">INDEX(helper!$A$3:$A3996,ROUNDUP((ROW()-1)/COUNTA(helper!$D$3:$D3996),0))</f>
        <v/>
      </c>
      <c r="C2957" s="5" t="str">
        <f t="array" ref="C2957">IF(B2957="","",INDEX(helper!$D$3:$D3996,MOD(ROW()-2,COUNTA(helper!$D$3:$D3996))+1))</f>
        <v/>
      </c>
      <c r="D2957" s="3" t="str">
        <f t="array" ref="D2957">IF(B2957="","",INDEX(helper!$E$3:$E3996,MOD(ROW()-2,COUNTA(helper!$D$3:$D3996))+1))</f>
        <v/>
      </c>
      <c r="E2957" s="3" t="str">
        <f t="array" ref="E2957">IF(B2957="","",INDEX(helper!$F$3:$F3996,MOD(ROW()-2,COUNTA(helper!$D$3:$D3996))+1))</f>
        <v/>
      </c>
      <c r="F2957" s="3" t="str">
        <f>IF(B2957="","",SUMIFS('inventory ledger'!$H:$H,'inventory ledger'!$C:$C,C2957,'inventory ledger'!$D:$D,D2957,'inventory ledger'!$E:$E,E2957,'inventory ledger'!$A:$A,"&lt;="&amp;B2957+TIME(23,59,59))-SUMIFS('inventory ledger'!$I:$I,'inventory ledger'!$C:$C,C2957,'inventory ledger'!$D:$D,D2957,'inventory ledger'!$E:$E,E2957,'inventory ledger'!$A:$A,"&lt;="&amp;B2957+TIME(23,59,59)))</f>
        <v/>
      </c>
      <c r="G2957" s="3">
        <f>IFERROR(__xludf.DUMMYFUNCTION("IF(F2957&lt;=0,0,IFERROR(ROUNDUP(F2957/INDEX(FILTER('warehouse config'!$D:$D,('warehouse config'!$B:$B=C2957)*('warehouse config'!$C:$C=D2957)*('warehouse config'!$G:$G&lt;=B2957)*(('warehouse config'!$H:$H&gt;=B2957)+ISBLANK('warehouse config'!$H:$H))),1)),0))"),0.0)</f>
        <v>0</v>
      </c>
      <c r="H2957" s="3">
        <f>IFERROR(__xludf.DUMMYFUNCTION("IFERROR(INDEX(FILTER('cost master'!$E:$E,('cost master'!$B:$B=C2957)*('cost master'!$D:$D=""Storage cost per pallet / week"")*('cost master'!$G:$G&lt;=B2957)*(('cost master'!$H:$H&gt;=B2957)+ISBLANK('cost master'!$H:$H))),1),0)"),0.0)</f>
        <v>0</v>
      </c>
      <c r="I2957" s="3">
        <f t="shared" si="4"/>
        <v>0</v>
      </c>
      <c r="J2957" s="27">
        <f t="shared" si="5"/>
        <v>693947</v>
      </c>
      <c r="K2957" s="27">
        <f t="shared" si="6"/>
        <v>693977</v>
      </c>
    </row>
    <row r="2958" hidden="1">
      <c r="A2958" s="3" t="str">
        <f t="shared" si="3"/>
        <v/>
      </c>
      <c r="B2958" s="2" t="str">
        <f t="array" ref="B2958">INDEX(helper!$A$3:$A3996,ROUNDUP((ROW()-1)/COUNTA(helper!$D$3:$D3996),0))</f>
        <v/>
      </c>
      <c r="C2958" s="5" t="str">
        <f t="array" ref="C2958">IF(B2958="","",INDEX(helper!$D$3:$D3996,MOD(ROW()-2,COUNTA(helper!$D$3:$D3996))+1))</f>
        <v/>
      </c>
      <c r="D2958" s="3" t="str">
        <f t="array" ref="D2958">IF(B2958="","",INDEX(helper!$E$3:$E3996,MOD(ROW()-2,COUNTA(helper!$D$3:$D3996))+1))</f>
        <v/>
      </c>
      <c r="E2958" s="3" t="str">
        <f t="array" ref="E2958">IF(B2958="","",INDEX(helper!$F$3:$F3996,MOD(ROW()-2,COUNTA(helper!$D$3:$D3996))+1))</f>
        <v/>
      </c>
      <c r="F2958" s="3" t="str">
        <f>IF(B2958="","",SUMIFS('inventory ledger'!$H:$H,'inventory ledger'!$C:$C,C2958,'inventory ledger'!$D:$D,D2958,'inventory ledger'!$E:$E,E2958,'inventory ledger'!$A:$A,"&lt;="&amp;B2958+TIME(23,59,59))-SUMIFS('inventory ledger'!$I:$I,'inventory ledger'!$C:$C,C2958,'inventory ledger'!$D:$D,D2958,'inventory ledger'!$E:$E,E2958,'inventory ledger'!$A:$A,"&lt;="&amp;B2958+TIME(23,59,59)))</f>
        <v/>
      </c>
      <c r="G2958" s="3">
        <f>IFERROR(__xludf.DUMMYFUNCTION("IF(F2958&lt;=0,0,IFERROR(ROUNDUP(F2958/INDEX(FILTER('warehouse config'!$D:$D,('warehouse config'!$B:$B=C2958)*('warehouse config'!$C:$C=D2958)*('warehouse config'!$G:$G&lt;=B2958)*(('warehouse config'!$H:$H&gt;=B2958)+ISBLANK('warehouse config'!$H:$H))),1)),0))"),0.0)</f>
        <v>0</v>
      </c>
      <c r="H2958" s="3">
        <f>IFERROR(__xludf.DUMMYFUNCTION("IFERROR(INDEX(FILTER('cost master'!$E:$E,('cost master'!$B:$B=C2958)*('cost master'!$D:$D=""Storage cost per pallet / week"")*('cost master'!$G:$G&lt;=B2958)*(('cost master'!$H:$H&gt;=B2958)+ISBLANK('cost master'!$H:$H))),1),0)"),0.0)</f>
        <v>0</v>
      </c>
      <c r="I2958" s="3">
        <f t="shared" si="4"/>
        <v>0</v>
      </c>
      <c r="J2958" s="27">
        <f t="shared" si="5"/>
        <v>693947</v>
      </c>
      <c r="K2958" s="27">
        <f t="shared" si="6"/>
        <v>693977</v>
      </c>
    </row>
    <row r="2959" hidden="1">
      <c r="A2959" s="3" t="str">
        <f t="shared" si="3"/>
        <v/>
      </c>
      <c r="B2959" s="2" t="str">
        <f t="array" ref="B2959">INDEX(helper!$A$3:$A3996,ROUNDUP((ROW()-1)/COUNTA(helper!$D$3:$D3996),0))</f>
        <v/>
      </c>
      <c r="C2959" s="5" t="str">
        <f t="array" ref="C2959">IF(B2959="","",INDEX(helper!$D$3:$D3996,MOD(ROW()-2,COUNTA(helper!$D$3:$D3996))+1))</f>
        <v/>
      </c>
      <c r="D2959" s="3" t="str">
        <f t="array" ref="D2959">IF(B2959="","",INDEX(helper!$E$3:$E3996,MOD(ROW()-2,COUNTA(helper!$D$3:$D3996))+1))</f>
        <v/>
      </c>
      <c r="E2959" s="3" t="str">
        <f t="array" ref="E2959">IF(B2959="","",INDEX(helper!$F$3:$F3996,MOD(ROW()-2,COUNTA(helper!$D$3:$D3996))+1))</f>
        <v/>
      </c>
      <c r="F2959" s="3" t="str">
        <f>IF(B2959="","",SUMIFS('inventory ledger'!$H:$H,'inventory ledger'!$C:$C,C2959,'inventory ledger'!$D:$D,D2959,'inventory ledger'!$E:$E,E2959,'inventory ledger'!$A:$A,"&lt;="&amp;B2959+TIME(23,59,59))-SUMIFS('inventory ledger'!$I:$I,'inventory ledger'!$C:$C,C2959,'inventory ledger'!$D:$D,D2959,'inventory ledger'!$E:$E,E2959,'inventory ledger'!$A:$A,"&lt;="&amp;B2959+TIME(23,59,59)))</f>
        <v/>
      </c>
      <c r="G2959" s="3">
        <f>IFERROR(__xludf.DUMMYFUNCTION("IF(F2959&lt;=0,0,IFERROR(ROUNDUP(F2959/INDEX(FILTER('warehouse config'!$D:$D,('warehouse config'!$B:$B=C2959)*('warehouse config'!$C:$C=D2959)*('warehouse config'!$G:$G&lt;=B2959)*(('warehouse config'!$H:$H&gt;=B2959)+ISBLANK('warehouse config'!$H:$H))),1)),0))"),0.0)</f>
        <v>0</v>
      </c>
      <c r="H2959" s="3">
        <f>IFERROR(__xludf.DUMMYFUNCTION("IFERROR(INDEX(FILTER('cost master'!$E:$E,('cost master'!$B:$B=C2959)*('cost master'!$D:$D=""Storage cost per pallet / week"")*('cost master'!$G:$G&lt;=B2959)*(('cost master'!$H:$H&gt;=B2959)+ISBLANK('cost master'!$H:$H))),1),0)"),0.0)</f>
        <v>0</v>
      </c>
      <c r="I2959" s="3">
        <f t="shared" si="4"/>
        <v>0</v>
      </c>
      <c r="J2959" s="27">
        <f t="shared" si="5"/>
        <v>693947</v>
      </c>
      <c r="K2959" s="27">
        <f t="shared" si="6"/>
        <v>693977</v>
      </c>
    </row>
    <row r="2960" hidden="1">
      <c r="A2960" s="3" t="str">
        <f t="shared" si="3"/>
        <v/>
      </c>
      <c r="B2960" s="2" t="str">
        <f t="array" ref="B2960">INDEX(helper!$A$3:$A3996,ROUNDUP((ROW()-1)/COUNTA(helper!$D$3:$D3996),0))</f>
        <v/>
      </c>
      <c r="C2960" s="5" t="str">
        <f t="array" ref="C2960">IF(B2960="","",INDEX(helper!$D$3:$D3996,MOD(ROW()-2,COUNTA(helper!$D$3:$D3996))+1))</f>
        <v/>
      </c>
      <c r="D2960" s="3" t="str">
        <f t="array" ref="D2960">IF(B2960="","",INDEX(helper!$E$3:$E3996,MOD(ROW()-2,COUNTA(helper!$D$3:$D3996))+1))</f>
        <v/>
      </c>
      <c r="E2960" s="3" t="str">
        <f t="array" ref="E2960">IF(B2960="","",INDEX(helper!$F$3:$F3996,MOD(ROW()-2,COUNTA(helper!$D$3:$D3996))+1))</f>
        <v/>
      </c>
      <c r="F2960" s="3" t="str">
        <f>IF(B2960="","",SUMIFS('inventory ledger'!$H:$H,'inventory ledger'!$C:$C,C2960,'inventory ledger'!$D:$D,D2960,'inventory ledger'!$E:$E,E2960,'inventory ledger'!$A:$A,"&lt;="&amp;B2960+TIME(23,59,59))-SUMIFS('inventory ledger'!$I:$I,'inventory ledger'!$C:$C,C2960,'inventory ledger'!$D:$D,D2960,'inventory ledger'!$E:$E,E2960,'inventory ledger'!$A:$A,"&lt;="&amp;B2960+TIME(23,59,59)))</f>
        <v/>
      </c>
      <c r="G2960" s="3">
        <f>IFERROR(__xludf.DUMMYFUNCTION("IF(F2960&lt;=0,0,IFERROR(ROUNDUP(F2960/INDEX(FILTER('warehouse config'!$D:$D,('warehouse config'!$B:$B=C2960)*('warehouse config'!$C:$C=D2960)*('warehouse config'!$G:$G&lt;=B2960)*(('warehouse config'!$H:$H&gt;=B2960)+ISBLANK('warehouse config'!$H:$H))),1)),0))"),0.0)</f>
        <v>0</v>
      </c>
      <c r="H2960" s="3">
        <f>IFERROR(__xludf.DUMMYFUNCTION("IFERROR(INDEX(FILTER('cost master'!$E:$E,('cost master'!$B:$B=C2960)*('cost master'!$D:$D=""Storage cost per pallet / week"")*('cost master'!$G:$G&lt;=B2960)*(('cost master'!$H:$H&gt;=B2960)+ISBLANK('cost master'!$H:$H))),1),0)"),0.0)</f>
        <v>0</v>
      </c>
      <c r="I2960" s="3">
        <f t="shared" si="4"/>
        <v>0</v>
      </c>
      <c r="J2960" s="27">
        <f t="shared" si="5"/>
        <v>693947</v>
      </c>
      <c r="K2960" s="27">
        <f t="shared" si="6"/>
        <v>693977</v>
      </c>
    </row>
    <row r="2961" hidden="1">
      <c r="A2961" s="3" t="str">
        <f t="shared" si="3"/>
        <v/>
      </c>
      <c r="B2961" s="2" t="str">
        <f t="array" ref="B2961">INDEX(helper!$A$3:$A3996,ROUNDUP((ROW()-1)/COUNTA(helper!$D$3:$D3996),0))</f>
        <v/>
      </c>
      <c r="C2961" s="5" t="str">
        <f t="array" ref="C2961">IF(B2961="","",INDEX(helper!$D$3:$D3996,MOD(ROW()-2,COUNTA(helper!$D$3:$D3996))+1))</f>
        <v/>
      </c>
      <c r="D2961" s="3" t="str">
        <f t="array" ref="D2961">IF(B2961="","",INDEX(helper!$E$3:$E3996,MOD(ROW()-2,COUNTA(helper!$D$3:$D3996))+1))</f>
        <v/>
      </c>
      <c r="E2961" s="3" t="str">
        <f t="array" ref="E2961">IF(B2961="","",INDEX(helper!$F$3:$F3996,MOD(ROW()-2,COUNTA(helper!$D$3:$D3996))+1))</f>
        <v/>
      </c>
      <c r="F2961" s="3" t="str">
        <f>IF(B2961="","",SUMIFS('inventory ledger'!$H:$H,'inventory ledger'!$C:$C,C2961,'inventory ledger'!$D:$D,D2961,'inventory ledger'!$E:$E,E2961,'inventory ledger'!$A:$A,"&lt;="&amp;B2961+TIME(23,59,59))-SUMIFS('inventory ledger'!$I:$I,'inventory ledger'!$C:$C,C2961,'inventory ledger'!$D:$D,D2961,'inventory ledger'!$E:$E,E2961,'inventory ledger'!$A:$A,"&lt;="&amp;B2961+TIME(23,59,59)))</f>
        <v/>
      </c>
      <c r="G2961" s="3">
        <f>IFERROR(__xludf.DUMMYFUNCTION("IF(F2961&lt;=0,0,IFERROR(ROUNDUP(F2961/INDEX(FILTER('warehouse config'!$D:$D,('warehouse config'!$B:$B=C2961)*('warehouse config'!$C:$C=D2961)*('warehouse config'!$G:$G&lt;=B2961)*(('warehouse config'!$H:$H&gt;=B2961)+ISBLANK('warehouse config'!$H:$H))),1)),0))"),0.0)</f>
        <v>0</v>
      </c>
      <c r="H2961" s="3">
        <f>IFERROR(__xludf.DUMMYFUNCTION("IFERROR(INDEX(FILTER('cost master'!$E:$E,('cost master'!$B:$B=C2961)*('cost master'!$D:$D=""Storage cost per pallet / week"")*('cost master'!$G:$G&lt;=B2961)*(('cost master'!$H:$H&gt;=B2961)+ISBLANK('cost master'!$H:$H))),1),0)"),0.0)</f>
        <v>0</v>
      </c>
      <c r="I2961" s="3">
        <f t="shared" si="4"/>
        <v>0</v>
      </c>
      <c r="J2961" s="27">
        <f t="shared" si="5"/>
        <v>693947</v>
      </c>
      <c r="K2961" s="27">
        <f t="shared" si="6"/>
        <v>693977</v>
      </c>
    </row>
    <row r="2962" hidden="1">
      <c r="A2962" s="3" t="str">
        <f t="shared" si="3"/>
        <v/>
      </c>
      <c r="B2962" s="2" t="str">
        <f t="array" ref="B2962">INDEX(helper!$A$3:$A3996,ROUNDUP((ROW()-1)/COUNTA(helper!$D$3:$D3996),0))</f>
        <v/>
      </c>
      <c r="C2962" s="5" t="str">
        <f t="array" ref="C2962">IF(B2962="","",INDEX(helper!$D$3:$D3996,MOD(ROW()-2,COUNTA(helper!$D$3:$D3996))+1))</f>
        <v/>
      </c>
      <c r="D2962" s="3" t="str">
        <f t="array" ref="D2962">IF(B2962="","",INDEX(helper!$E$3:$E3996,MOD(ROW()-2,COUNTA(helper!$D$3:$D3996))+1))</f>
        <v/>
      </c>
      <c r="E2962" s="3" t="str">
        <f t="array" ref="E2962">IF(B2962="","",INDEX(helper!$F$3:$F3996,MOD(ROW()-2,COUNTA(helper!$D$3:$D3996))+1))</f>
        <v/>
      </c>
      <c r="F2962" s="3" t="str">
        <f>IF(B2962="","",SUMIFS('inventory ledger'!$H:$H,'inventory ledger'!$C:$C,C2962,'inventory ledger'!$D:$D,D2962,'inventory ledger'!$E:$E,E2962,'inventory ledger'!$A:$A,"&lt;="&amp;B2962+TIME(23,59,59))-SUMIFS('inventory ledger'!$I:$I,'inventory ledger'!$C:$C,C2962,'inventory ledger'!$D:$D,D2962,'inventory ledger'!$E:$E,E2962,'inventory ledger'!$A:$A,"&lt;="&amp;B2962+TIME(23,59,59)))</f>
        <v/>
      </c>
      <c r="G2962" s="3">
        <f>IFERROR(__xludf.DUMMYFUNCTION("IF(F2962&lt;=0,0,IFERROR(ROUNDUP(F2962/INDEX(FILTER('warehouse config'!$D:$D,('warehouse config'!$B:$B=C2962)*('warehouse config'!$C:$C=D2962)*('warehouse config'!$G:$G&lt;=B2962)*(('warehouse config'!$H:$H&gt;=B2962)+ISBLANK('warehouse config'!$H:$H))),1)),0))"),0.0)</f>
        <v>0</v>
      </c>
      <c r="H2962" s="3">
        <f>IFERROR(__xludf.DUMMYFUNCTION("IFERROR(INDEX(FILTER('cost master'!$E:$E,('cost master'!$B:$B=C2962)*('cost master'!$D:$D=""Storage cost per pallet / week"")*('cost master'!$G:$G&lt;=B2962)*(('cost master'!$H:$H&gt;=B2962)+ISBLANK('cost master'!$H:$H))),1),0)"),0.0)</f>
        <v>0</v>
      </c>
      <c r="I2962" s="3">
        <f t="shared" si="4"/>
        <v>0</v>
      </c>
      <c r="J2962" s="27">
        <f t="shared" si="5"/>
        <v>693947</v>
      </c>
      <c r="K2962" s="27">
        <f t="shared" si="6"/>
        <v>693977</v>
      </c>
    </row>
    <row r="2963" hidden="1">
      <c r="A2963" s="3" t="str">
        <f t="shared" si="3"/>
        <v/>
      </c>
      <c r="B2963" s="2" t="str">
        <f t="array" ref="B2963">INDEX(helper!$A$3:$A3996,ROUNDUP((ROW()-1)/COUNTA(helper!$D$3:$D3996),0))</f>
        <v/>
      </c>
      <c r="C2963" s="5" t="str">
        <f t="array" ref="C2963">IF(B2963="","",INDEX(helper!$D$3:$D3996,MOD(ROW()-2,COUNTA(helper!$D$3:$D3996))+1))</f>
        <v/>
      </c>
      <c r="D2963" s="3" t="str">
        <f t="array" ref="D2963">IF(B2963="","",INDEX(helper!$E$3:$E3996,MOD(ROW()-2,COUNTA(helper!$D$3:$D3996))+1))</f>
        <v/>
      </c>
      <c r="E2963" s="3" t="str">
        <f t="array" ref="E2963">IF(B2963="","",INDEX(helper!$F$3:$F3996,MOD(ROW()-2,COUNTA(helper!$D$3:$D3996))+1))</f>
        <v/>
      </c>
      <c r="F2963" s="3" t="str">
        <f>IF(B2963="","",SUMIFS('inventory ledger'!$H:$H,'inventory ledger'!$C:$C,C2963,'inventory ledger'!$D:$D,D2963,'inventory ledger'!$E:$E,E2963,'inventory ledger'!$A:$A,"&lt;="&amp;B2963+TIME(23,59,59))-SUMIFS('inventory ledger'!$I:$I,'inventory ledger'!$C:$C,C2963,'inventory ledger'!$D:$D,D2963,'inventory ledger'!$E:$E,E2963,'inventory ledger'!$A:$A,"&lt;="&amp;B2963+TIME(23,59,59)))</f>
        <v/>
      </c>
      <c r="G2963" s="3">
        <f>IFERROR(__xludf.DUMMYFUNCTION("IF(F2963&lt;=0,0,IFERROR(ROUNDUP(F2963/INDEX(FILTER('warehouse config'!$D:$D,('warehouse config'!$B:$B=C2963)*('warehouse config'!$C:$C=D2963)*('warehouse config'!$G:$G&lt;=B2963)*(('warehouse config'!$H:$H&gt;=B2963)+ISBLANK('warehouse config'!$H:$H))),1)),0))"),0.0)</f>
        <v>0</v>
      </c>
      <c r="H2963" s="3">
        <f>IFERROR(__xludf.DUMMYFUNCTION("IFERROR(INDEX(FILTER('cost master'!$E:$E,('cost master'!$B:$B=C2963)*('cost master'!$D:$D=""Storage cost per pallet / week"")*('cost master'!$G:$G&lt;=B2963)*(('cost master'!$H:$H&gt;=B2963)+ISBLANK('cost master'!$H:$H))),1),0)"),0.0)</f>
        <v>0</v>
      </c>
      <c r="I2963" s="3">
        <f t="shared" si="4"/>
        <v>0</v>
      </c>
      <c r="J2963" s="27">
        <f t="shared" si="5"/>
        <v>693947</v>
      </c>
      <c r="K2963" s="27">
        <f t="shared" si="6"/>
        <v>693977</v>
      </c>
    </row>
    <row r="2964" hidden="1">
      <c r="A2964" s="3" t="str">
        <f t="shared" si="3"/>
        <v/>
      </c>
      <c r="B2964" s="2" t="str">
        <f t="array" ref="B2964">INDEX(helper!$A$3:$A3996,ROUNDUP((ROW()-1)/COUNTA(helper!$D$3:$D3996),0))</f>
        <v/>
      </c>
      <c r="C2964" s="5" t="str">
        <f t="array" ref="C2964">IF(B2964="","",INDEX(helper!$D$3:$D3996,MOD(ROW()-2,COUNTA(helper!$D$3:$D3996))+1))</f>
        <v/>
      </c>
      <c r="D2964" s="3" t="str">
        <f t="array" ref="D2964">IF(B2964="","",INDEX(helper!$E$3:$E3996,MOD(ROW()-2,COUNTA(helper!$D$3:$D3996))+1))</f>
        <v/>
      </c>
      <c r="E2964" s="3" t="str">
        <f t="array" ref="E2964">IF(B2964="","",INDEX(helper!$F$3:$F3996,MOD(ROW()-2,COUNTA(helper!$D$3:$D3996))+1))</f>
        <v/>
      </c>
      <c r="F2964" s="3" t="str">
        <f>IF(B2964="","",SUMIFS('inventory ledger'!$H:$H,'inventory ledger'!$C:$C,C2964,'inventory ledger'!$D:$D,D2964,'inventory ledger'!$E:$E,E2964,'inventory ledger'!$A:$A,"&lt;="&amp;B2964+TIME(23,59,59))-SUMIFS('inventory ledger'!$I:$I,'inventory ledger'!$C:$C,C2964,'inventory ledger'!$D:$D,D2964,'inventory ledger'!$E:$E,E2964,'inventory ledger'!$A:$A,"&lt;="&amp;B2964+TIME(23,59,59)))</f>
        <v/>
      </c>
      <c r="G2964" s="3">
        <f>IFERROR(__xludf.DUMMYFUNCTION("IF(F2964&lt;=0,0,IFERROR(ROUNDUP(F2964/INDEX(FILTER('warehouse config'!$D:$D,('warehouse config'!$B:$B=C2964)*('warehouse config'!$C:$C=D2964)*('warehouse config'!$G:$G&lt;=B2964)*(('warehouse config'!$H:$H&gt;=B2964)+ISBLANK('warehouse config'!$H:$H))),1)),0))"),0.0)</f>
        <v>0</v>
      </c>
      <c r="H2964" s="3">
        <f>IFERROR(__xludf.DUMMYFUNCTION("IFERROR(INDEX(FILTER('cost master'!$E:$E,('cost master'!$B:$B=C2964)*('cost master'!$D:$D=""Storage cost per pallet / week"")*('cost master'!$G:$G&lt;=B2964)*(('cost master'!$H:$H&gt;=B2964)+ISBLANK('cost master'!$H:$H))),1),0)"),0.0)</f>
        <v>0</v>
      </c>
      <c r="I2964" s="3">
        <f t="shared" si="4"/>
        <v>0</v>
      </c>
      <c r="J2964" s="27">
        <f t="shared" si="5"/>
        <v>693947</v>
      </c>
      <c r="K2964" s="27">
        <f t="shared" si="6"/>
        <v>693977</v>
      </c>
    </row>
    <row r="2965" hidden="1">
      <c r="A2965" s="3" t="str">
        <f t="shared" si="3"/>
        <v/>
      </c>
      <c r="B2965" s="2" t="str">
        <f t="array" ref="B2965">INDEX(helper!$A$3:$A3996,ROUNDUP((ROW()-1)/COUNTA(helper!$D$3:$D3996),0))</f>
        <v/>
      </c>
      <c r="C2965" s="5" t="str">
        <f t="array" ref="C2965">IF(B2965="","",INDEX(helper!$D$3:$D3996,MOD(ROW()-2,COUNTA(helper!$D$3:$D3996))+1))</f>
        <v/>
      </c>
      <c r="D2965" s="3" t="str">
        <f t="array" ref="D2965">IF(B2965="","",INDEX(helper!$E$3:$E3996,MOD(ROW()-2,COUNTA(helper!$D$3:$D3996))+1))</f>
        <v/>
      </c>
      <c r="E2965" s="3" t="str">
        <f t="array" ref="E2965">IF(B2965="","",INDEX(helper!$F$3:$F3996,MOD(ROW()-2,COUNTA(helper!$D$3:$D3996))+1))</f>
        <v/>
      </c>
      <c r="F2965" s="3" t="str">
        <f>IF(B2965="","",SUMIFS('inventory ledger'!$H:$H,'inventory ledger'!$C:$C,C2965,'inventory ledger'!$D:$D,D2965,'inventory ledger'!$E:$E,E2965,'inventory ledger'!$A:$A,"&lt;="&amp;B2965+TIME(23,59,59))-SUMIFS('inventory ledger'!$I:$I,'inventory ledger'!$C:$C,C2965,'inventory ledger'!$D:$D,D2965,'inventory ledger'!$E:$E,E2965,'inventory ledger'!$A:$A,"&lt;="&amp;B2965+TIME(23,59,59)))</f>
        <v/>
      </c>
      <c r="G2965" s="3">
        <f>IFERROR(__xludf.DUMMYFUNCTION("IF(F2965&lt;=0,0,IFERROR(ROUNDUP(F2965/INDEX(FILTER('warehouse config'!$D:$D,('warehouse config'!$B:$B=C2965)*('warehouse config'!$C:$C=D2965)*('warehouse config'!$G:$G&lt;=B2965)*(('warehouse config'!$H:$H&gt;=B2965)+ISBLANK('warehouse config'!$H:$H))),1)),0))"),0.0)</f>
        <v>0</v>
      </c>
      <c r="H2965" s="3">
        <f>IFERROR(__xludf.DUMMYFUNCTION("IFERROR(INDEX(FILTER('cost master'!$E:$E,('cost master'!$B:$B=C2965)*('cost master'!$D:$D=""Storage cost per pallet / week"")*('cost master'!$G:$G&lt;=B2965)*(('cost master'!$H:$H&gt;=B2965)+ISBLANK('cost master'!$H:$H))),1),0)"),0.0)</f>
        <v>0</v>
      </c>
      <c r="I2965" s="3">
        <f t="shared" si="4"/>
        <v>0</v>
      </c>
      <c r="J2965" s="27">
        <f t="shared" si="5"/>
        <v>693947</v>
      </c>
      <c r="K2965" s="27">
        <f t="shared" si="6"/>
        <v>693977</v>
      </c>
    </row>
    <row r="2966" hidden="1">
      <c r="A2966" s="3" t="str">
        <f t="shared" si="3"/>
        <v/>
      </c>
      <c r="B2966" s="2" t="str">
        <f t="array" ref="B2966">INDEX(helper!$A$3:$A3996,ROUNDUP((ROW()-1)/COUNTA(helper!$D$3:$D3996),0))</f>
        <v/>
      </c>
      <c r="C2966" s="5" t="str">
        <f t="array" ref="C2966">IF(B2966="","",INDEX(helper!$D$3:$D3996,MOD(ROW()-2,COUNTA(helper!$D$3:$D3996))+1))</f>
        <v/>
      </c>
      <c r="D2966" s="3" t="str">
        <f t="array" ref="D2966">IF(B2966="","",INDEX(helper!$E$3:$E3996,MOD(ROW()-2,COUNTA(helper!$D$3:$D3996))+1))</f>
        <v/>
      </c>
      <c r="E2966" s="3" t="str">
        <f t="array" ref="E2966">IF(B2966="","",INDEX(helper!$F$3:$F3996,MOD(ROW()-2,COUNTA(helper!$D$3:$D3996))+1))</f>
        <v/>
      </c>
      <c r="F2966" s="3" t="str">
        <f>IF(B2966="","",SUMIFS('inventory ledger'!$H:$H,'inventory ledger'!$C:$C,C2966,'inventory ledger'!$D:$D,D2966,'inventory ledger'!$E:$E,E2966,'inventory ledger'!$A:$A,"&lt;="&amp;B2966+TIME(23,59,59))-SUMIFS('inventory ledger'!$I:$I,'inventory ledger'!$C:$C,C2966,'inventory ledger'!$D:$D,D2966,'inventory ledger'!$E:$E,E2966,'inventory ledger'!$A:$A,"&lt;="&amp;B2966+TIME(23,59,59)))</f>
        <v/>
      </c>
      <c r="G2966" s="3">
        <f>IFERROR(__xludf.DUMMYFUNCTION("IF(F2966&lt;=0,0,IFERROR(ROUNDUP(F2966/INDEX(FILTER('warehouse config'!$D:$D,('warehouse config'!$B:$B=C2966)*('warehouse config'!$C:$C=D2966)*('warehouse config'!$G:$G&lt;=B2966)*(('warehouse config'!$H:$H&gt;=B2966)+ISBLANK('warehouse config'!$H:$H))),1)),0))"),0.0)</f>
        <v>0</v>
      </c>
      <c r="H2966" s="3">
        <f>IFERROR(__xludf.DUMMYFUNCTION("IFERROR(INDEX(FILTER('cost master'!$E:$E,('cost master'!$B:$B=C2966)*('cost master'!$D:$D=""Storage cost per pallet / week"")*('cost master'!$G:$G&lt;=B2966)*(('cost master'!$H:$H&gt;=B2966)+ISBLANK('cost master'!$H:$H))),1),0)"),0.0)</f>
        <v>0</v>
      </c>
      <c r="I2966" s="3">
        <f t="shared" si="4"/>
        <v>0</v>
      </c>
      <c r="J2966" s="27">
        <f t="shared" si="5"/>
        <v>693947</v>
      </c>
      <c r="K2966" s="27">
        <f t="shared" si="6"/>
        <v>693977</v>
      </c>
    </row>
    <row r="2967" hidden="1">
      <c r="A2967" s="3" t="str">
        <f t="shared" si="3"/>
        <v/>
      </c>
      <c r="B2967" s="2" t="str">
        <f t="array" ref="B2967">INDEX(helper!$A$3:$A3996,ROUNDUP((ROW()-1)/COUNTA(helper!$D$3:$D3996),0))</f>
        <v/>
      </c>
      <c r="C2967" s="5" t="str">
        <f t="array" ref="C2967">IF(B2967="","",INDEX(helper!$D$3:$D3996,MOD(ROW()-2,COUNTA(helper!$D$3:$D3996))+1))</f>
        <v/>
      </c>
      <c r="D2967" s="3" t="str">
        <f t="array" ref="D2967">IF(B2967="","",INDEX(helper!$E$3:$E3996,MOD(ROW()-2,COUNTA(helper!$D$3:$D3996))+1))</f>
        <v/>
      </c>
      <c r="E2967" s="3" t="str">
        <f t="array" ref="E2967">IF(B2967="","",INDEX(helper!$F$3:$F3996,MOD(ROW()-2,COUNTA(helper!$D$3:$D3996))+1))</f>
        <v/>
      </c>
      <c r="F2967" s="3" t="str">
        <f>IF(B2967="","",SUMIFS('inventory ledger'!$H:$H,'inventory ledger'!$C:$C,C2967,'inventory ledger'!$D:$D,D2967,'inventory ledger'!$E:$E,E2967,'inventory ledger'!$A:$A,"&lt;="&amp;B2967+TIME(23,59,59))-SUMIFS('inventory ledger'!$I:$I,'inventory ledger'!$C:$C,C2967,'inventory ledger'!$D:$D,D2967,'inventory ledger'!$E:$E,E2967,'inventory ledger'!$A:$A,"&lt;="&amp;B2967+TIME(23,59,59)))</f>
        <v/>
      </c>
      <c r="G2967" s="3">
        <f>IFERROR(__xludf.DUMMYFUNCTION("IF(F2967&lt;=0,0,IFERROR(ROUNDUP(F2967/INDEX(FILTER('warehouse config'!$D:$D,('warehouse config'!$B:$B=C2967)*('warehouse config'!$C:$C=D2967)*('warehouse config'!$G:$G&lt;=B2967)*(('warehouse config'!$H:$H&gt;=B2967)+ISBLANK('warehouse config'!$H:$H))),1)),0))"),0.0)</f>
        <v>0</v>
      </c>
      <c r="H2967" s="3">
        <f>IFERROR(__xludf.DUMMYFUNCTION("IFERROR(INDEX(FILTER('cost master'!$E:$E,('cost master'!$B:$B=C2967)*('cost master'!$D:$D=""Storage cost per pallet / week"")*('cost master'!$G:$G&lt;=B2967)*(('cost master'!$H:$H&gt;=B2967)+ISBLANK('cost master'!$H:$H))),1),0)"),0.0)</f>
        <v>0</v>
      </c>
      <c r="I2967" s="3">
        <f t="shared" si="4"/>
        <v>0</v>
      </c>
      <c r="J2967" s="27">
        <f t="shared" si="5"/>
        <v>693947</v>
      </c>
      <c r="K2967" s="27">
        <f t="shared" si="6"/>
        <v>693977</v>
      </c>
    </row>
    <row r="2968" hidden="1">
      <c r="A2968" s="3" t="str">
        <f t="shared" si="3"/>
        <v/>
      </c>
      <c r="B2968" s="2" t="str">
        <f t="array" ref="B2968">INDEX(helper!$A$3:$A3996,ROUNDUP((ROW()-1)/COUNTA(helper!$D$3:$D3996),0))</f>
        <v/>
      </c>
      <c r="C2968" s="5" t="str">
        <f t="array" ref="C2968">IF(B2968="","",INDEX(helper!$D$3:$D3996,MOD(ROW()-2,COUNTA(helper!$D$3:$D3996))+1))</f>
        <v/>
      </c>
      <c r="D2968" s="3" t="str">
        <f t="array" ref="D2968">IF(B2968="","",INDEX(helper!$E$3:$E3996,MOD(ROW()-2,COUNTA(helper!$D$3:$D3996))+1))</f>
        <v/>
      </c>
      <c r="E2968" s="3" t="str">
        <f t="array" ref="E2968">IF(B2968="","",INDEX(helper!$F$3:$F3996,MOD(ROW()-2,COUNTA(helper!$D$3:$D3996))+1))</f>
        <v/>
      </c>
      <c r="F2968" s="3" t="str">
        <f>IF(B2968="","",SUMIFS('inventory ledger'!$H:$H,'inventory ledger'!$C:$C,C2968,'inventory ledger'!$D:$D,D2968,'inventory ledger'!$E:$E,E2968,'inventory ledger'!$A:$A,"&lt;="&amp;B2968+TIME(23,59,59))-SUMIFS('inventory ledger'!$I:$I,'inventory ledger'!$C:$C,C2968,'inventory ledger'!$D:$D,D2968,'inventory ledger'!$E:$E,E2968,'inventory ledger'!$A:$A,"&lt;="&amp;B2968+TIME(23,59,59)))</f>
        <v/>
      </c>
      <c r="G2968" s="3">
        <f>IFERROR(__xludf.DUMMYFUNCTION("IF(F2968&lt;=0,0,IFERROR(ROUNDUP(F2968/INDEX(FILTER('warehouse config'!$D:$D,('warehouse config'!$B:$B=C2968)*('warehouse config'!$C:$C=D2968)*('warehouse config'!$G:$G&lt;=B2968)*(('warehouse config'!$H:$H&gt;=B2968)+ISBLANK('warehouse config'!$H:$H))),1)),0))"),0.0)</f>
        <v>0</v>
      </c>
      <c r="H2968" s="3">
        <f>IFERROR(__xludf.DUMMYFUNCTION("IFERROR(INDEX(FILTER('cost master'!$E:$E,('cost master'!$B:$B=C2968)*('cost master'!$D:$D=""Storage cost per pallet / week"")*('cost master'!$G:$G&lt;=B2968)*(('cost master'!$H:$H&gt;=B2968)+ISBLANK('cost master'!$H:$H))),1),0)"),0.0)</f>
        <v>0</v>
      </c>
      <c r="I2968" s="3">
        <f t="shared" si="4"/>
        <v>0</v>
      </c>
      <c r="J2968" s="27">
        <f t="shared" si="5"/>
        <v>693947</v>
      </c>
      <c r="K2968" s="27">
        <f t="shared" si="6"/>
        <v>693977</v>
      </c>
    </row>
    <row r="2969" hidden="1">
      <c r="A2969" s="3" t="str">
        <f t="shared" si="3"/>
        <v/>
      </c>
      <c r="B2969" s="2" t="str">
        <f t="array" ref="B2969">INDEX(helper!$A$3:$A3996,ROUNDUP((ROW()-1)/COUNTA(helper!$D$3:$D3996),0))</f>
        <v/>
      </c>
      <c r="C2969" s="5" t="str">
        <f t="array" ref="C2969">IF(B2969="","",INDEX(helper!$D$3:$D3996,MOD(ROW()-2,COUNTA(helper!$D$3:$D3996))+1))</f>
        <v/>
      </c>
      <c r="D2969" s="3" t="str">
        <f t="array" ref="D2969">IF(B2969="","",INDEX(helper!$E$3:$E3996,MOD(ROW()-2,COUNTA(helper!$D$3:$D3996))+1))</f>
        <v/>
      </c>
      <c r="E2969" s="3" t="str">
        <f t="array" ref="E2969">IF(B2969="","",INDEX(helper!$F$3:$F3996,MOD(ROW()-2,COUNTA(helper!$D$3:$D3996))+1))</f>
        <v/>
      </c>
      <c r="F2969" s="3" t="str">
        <f>IF(B2969="","",SUMIFS('inventory ledger'!$H:$H,'inventory ledger'!$C:$C,C2969,'inventory ledger'!$D:$D,D2969,'inventory ledger'!$E:$E,E2969,'inventory ledger'!$A:$A,"&lt;="&amp;B2969+TIME(23,59,59))-SUMIFS('inventory ledger'!$I:$I,'inventory ledger'!$C:$C,C2969,'inventory ledger'!$D:$D,D2969,'inventory ledger'!$E:$E,E2969,'inventory ledger'!$A:$A,"&lt;="&amp;B2969+TIME(23,59,59)))</f>
        <v/>
      </c>
      <c r="G2969" s="3">
        <f>IFERROR(__xludf.DUMMYFUNCTION("IF(F2969&lt;=0,0,IFERROR(ROUNDUP(F2969/INDEX(FILTER('warehouse config'!$D:$D,('warehouse config'!$B:$B=C2969)*('warehouse config'!$C:$C=D2969)*('warehouse config'!$G:$G&lt;=B2969)*(('warehouse config'!$H:$H&gt;=B2969)+ISBLANK('warehouse config'!$H:$H))),1)),0))"),0.0)</f>
        <v>0</v>
      </c>
      <c r="H2969" s="3">
        <f>IFERROR(__xludf.DUMMYFUNCTION("IFERROR(INDEX(FILTER('cost master'!$E:$E,('cost master'!$B:$B=C2969)*('cost master'!$D:$D=""Storage cost per pallet / week"")*('cost master'!$G:$G&lt;=B2969)*(('cost master'!$H:$H&gt;=B2969)+ISBLANK('cost master'!$H:$H))),1),0)"),0.0)</f>
        <v>0</v>
      </c>
      <c r="I2969" s="3">
        <f t="shared" si="4"/>
        <v>0</v>
      </c>
      <c r="J2969" s="27">
        <f t="shared" si="5"/>
        <v>693947</v>
      </c>
      <c r="K2969" s="27">
        <f t="shared" si="6"/>
        <v>693977</v>
      </c>
    </row>
    <row r="2970" hidden="1">
      <c r="A2970" s="3" t="str">
        <f t="shared" si="3"/>
        <v/>
      </c>
      <c r="B2970" s="2" t="str">
        <f t="array" ref="B2970">INDEX(helper!$A$3:$A3996,ROUNDUP((ROW()-1)/COUNTA(helper!$D$3:$D3996),0))</f>
        <v/>
      </c>
      <c r="C2970" s="5" t="str">
        <f t="array" ref="C2970">IF(B2970="","",INDEX(helper!$D$3:$D3996,MOD(ROW()-2,COUNTA(helper!$D$3:$D3996))+1))</f>
        <v/>
      </c>
      <c r="D2970" s="3" t="str">
        <f t="array" ref="D2970">IF(B2970="","",INDEX(helper!$E$3:$E3996,MOD(ROW()-2,COUNTA(helper!$D$3:$D3996))+1))</f>
        <v/>
      </c>
      <c r="E2970" s="3" t="str">
        <f t="array" ref="E2970">IF(B2970="","",INDEX(helper!$F$3:$F3996,MOD(ROW()-2,COUNTA(helper!$D$3:$D3996))+1))</f>
        <v/>
      </c>
      <c r="F2970" s="3" t="str">
        <f>IF(B2970="","",SUMIFS('inventory ledger'!$H:$H,'inventory ledger'!$C:$C,C2970,'inventory ledger'!$D:$D,D2970,'inventory ledger'!$E:$E,E2970,'inventory ledger'!$A:$A,"&lt;="&amp;B2970+TIME(23,59,59))-SUMIFS('inventory ledger'!$I:$I,'inventory ledger'!$C:$C,C2970,'inventory ledger'!$D:$D,D2970,'inventory ledger'!$E:$E,E2970,'inventory ledger'!$A:$A,"&lt;="&amp;B2970+TIME(23,59,59)))</f>
        <v/>
      </c>
      <c r="G2970" s="3">
        <f>IFERROR(__xludf.DUMMYFUNCTION("IF(F2970&lt;=0,0,IFERROR(ROUNDUP(F2970/INDEX(FILTER('warehouse config'!$D:$D,('warehouse config'!$B:$B=C2970)*('warehouse config'!$C:$C=D2970)*('warehouse config'!$G:$G&lt;=B2970)*(('warehouse config'!$H:$H&gt;=B2970)+ISBLANK('warehouse config'!$H:$H))),1)),0))"),0.0)</f>
        <v>0</v>
      </c>
      <c r="H2970" s="3">
        <f>IFERROR(__xludf.DUMMYFUNCTION("IFERROR(INDEX(FILTER('cost master'!$E:$E,('cost master'!$B:$B=C2970)*('cost master'!$D:$D=""Storage cost per pallet / week"")*('cost master'!$G:$G&lt;=B2970)*(('cost master'!$H:$H&gt;=B2970)+ISBLANK('cost master'!$H:$H))),1),0)"),0.0)</f>
        <v>0</v>
      </c>
      <c r="I2970" s="3">
        <f t="shared" si="4"/>
        <v>0</v>
      </c>
      <c r="J2970" s="27">
        <f t="shared" si="5"/>
        <v>693947</v>
      </c>
      <c r="K2970" s="27">
        <f t="shared" si="6"/>
        <v>693977</v>
      </c>
    </row>
    <row r="2971" hidden="1">
      <c r="A2971" s="3" t="str">
        <f t="shared" si="3"/>
        <v/>
      </c>
      <c r="B2971" s="2" t="str">
        <f t="array" ref="B2971">INDEX(helper!$A$3:$A3996,ROUNDUP((ROW()-1)/COUNTA(helper!$D$3:$D3996),0))</f>
        <v/>
      </c>
      <c r="C2971" s="5" t="str">
        <f t="array" ref="C2971">IF(B2971="","",INDEX(helper!$D$3:$D3996,MOD(ROW()-2,COUNTA(helper!$D$3:$D3996))+1))</f>
        <v/>
      </c>
      <c r="D2971" s="3" t="str">
        <f t="array" ref="D2971">IF(B2971="","",INDEX(helper!$E$3:$E3996,MOD(ROW()-2,COUNTA(helper!$D$3:$D3996))+1))</f>
        <v/>
      </c>
      <c r="E2971" s="3" t="str">
        <f t="array" ref="E2971">IF(B2971="","",INDEX(helper!$F$3:$F3996,MOD(ROW()-2,COUNTA(helper!$D$3:$D3996))+1))</f>
        <v/>
      </c>
      <c r="F2971" s="3" t="str">
        <f>IF(B2971="","",SUMIFS('inventory ledger'!$H:$H,'inventory ledger'!$C:$C,C2971,'inventory ledger'!$D:$D,D2971,'inventory ledger'!$E:$E,E2971,'inventory ledger'!$A:$A,"&lt;="&amp;B2971+TIME(23,59,59))-SUMIFS('inventory ledger'!$I:$I,'inventory ledger'!$C:$C,C2971,'inventory ledger'!$D:$D,D2971,'inventory ledger'!$E:$E,E2971,'inventory ledger'!$A:$A,"&lt;="&amp;B2971+TIME(23,59,59)))</f>
        <v/>
      </c>
      <c r="G2971" s="3">
        <f>IFERROR(__xludf.DUMMYFUNCTION("IF(F2971&lt;=0,0,IFERROR(ROUNDUP(F2971/INDEX(FILTER('warehouse config'!$D:$D,('warehouse config'!$B:$B=C2971)*('warehouse config'!$C:$C=D2971)*('warehouse config'!$G:$G&lt;=B2971)*(('warehouse config'!$H:$H&gt;=B2971)+ISBLANK('warehouse config'!$H:$H))),1)),0))"),0.0)</f>
        <v>0</v>
      </c>
      <c r="H2971" s="3">
        <f>IFERROR(__xludf.DUMMYFUNCTION("IFERROR(INDEX(FILTER('cost master'!$E:$E,('cost master'!$B:$B=C2971)*('cost master'!$D:$D=""Storage cost per pallet / week"")*('cost master'!$G:$G&lt;=B2971)*(('cost master'!$H:$H&gt;=B2971)+ISBLANK('cost master'!$H:$H))),1),0)"),0.0)</f>
        <v>0</v>
      </c>
      <c r="I2971" s="3">
        <f t="shared" si="4"/>
        <v>0</v>
      </c>
      <c r="J2971" s="27">
        <f t="shared" si="5"/>
        <v>693947</v>
      </c>
      <c r="K2971" s="27">
        <f t="shared" si="6"/>
        <v>693977</v>
      </c>
    </row>
    <row r="2972" hidden="1">
      <c r="A2972" s="3" t="str">
        <f t="shared" si="3"/>
        <v/>
      </c>
      <c r="B2972" s="2" t="str">
        <f t="array" ref="B2972">INDEX(helper!$A$3:$A3996,ROUNDUP((ROW()-1)/COUNTA(helper!$D$3:$D3996),0))</f>
        <v/>
      </c>
      <c r="C2972" s="5" t="str">
        <f t="array" ref="C2972">IF(B2972="","",INDEX(helper!$D$3:$D3996,MOD(ROW()-2,COUNTA(helper!$D$3:$D3996))+1))</f>
        <v/>
      </c>
      <c r="D2972" s="3" t="str">
        <f t="array" ref="D2972">IF(B2972="","",INDEX(helper!$E$3:$E3996,MOD(ROW()-2,COUNTA(helper!$D$3:$D3996))+1))</f>
        <v/>
      </c>
      <c r="E2972" s="3" t="str">
        <f t="array" ref="E2972">IF(B2972="","",INDEX(helper!$F$3:$F3996,MOD(ROW()-2,COUNTA(helper!$D$3:$D3996))+1))</f>
        <v/>
      </c>
      <c r="F2972" s="3" t="str">
        <f>IF(B2972="","",SUMIFS('inventory ledger'!$H:$H,'inventory ledger'!$C:$C,C2972,'inventory ledger'!$D:$D,D2972,'inventory ledger'!$E:$E,E2972,'inventory ledger'!$A:$A,"&lt;="&amp;B2972+TIME(23,59,59))-SUMIFS('inventory ledger'!$I:$I,'inventory ledger'!$C:$C,C2972,'inventory ledger'!$D:$D,D2972,'inventory ledger'!$E:$E,E2972,'inventory ledger'!$A:$A,"&lt;="&amp;B2972+TIME(23,59,59)))</f>
        <v/>
      </c>
      <c r="G2972" s="3">
        <f>IFERROR(__xludf.DUMMYFUNCTION("IF(F2972&lt;=0,0,IFERROR(ROUNDUP(F2972/INDEX(FILTER('warehouse config'!$D:$D,('warehouse config'!$B:$B=C2972)*('warehouse config'!$C:$C=D2972)*('warehouse config'!$G:$G&lt;=B2972)*(('warehouse config'!$H:$H&gt;=B2972)+ISBLANK('warehouse config'!$H:$H))),1)),0))"),0.0)</f>
        <v>0</v>
      </c>
      <c r="H2972" s="3">
        <f>IFERROR(__xludf.DUMMYFUNCTION("IFERROR(INDEX(FILTER('cost master'!$E:$E,('cost master'!$B:$B=C2972)*('cost master'!$D:$D=""Storage cost per pallet / week"")*('cost master'!$G:$G&lt;=B2972)*(('cost master'!$H:$H&gt;=B2972)+ISBLANK('cost master'!$H:$H))),1),0)"),0.0)</f>
        <v>0</v>
      </c>
      <c r="I2972" s="3">
        <f t="shared" si="4"/>
        <v>0</v>
      </c>
      <c r="J2972" s="27">
        <f t="shared" si="5"/>
        <v>693947</v>
      </c>
      <c r="K2972" s="27">
        <f t="shared" si="6"/>
        <v>693977</v>
      </c>
    </row>
    <row r="2973" hidden="1">
      <c r="A2973" s="3" t="str">
        <f t="shared" si="3"/>
        <v/>
      </c>
      <c r="B2973" s="2" t="str">
        <f t="array" ref="B2973">INDEX(helper!$A$3:$A3996,ROUNDUP((ROW()-1)/COUNTA(helper!$D$3:$D3996),0))</f>
        <v/>
      </c>
      <c r="C2973" s="5" t="str">
        <f t="array" ref="C2973">IF(B2973="","",INDEX(helper!$D$3:$D3996,MOD(ROW()-2,COUNTA(helper!$D$3:$D3996))+1))</f>
        <v/>
      </c>
      <c r="D2973" s="3" t="str">
        <f t="array" ref="D2973">IF(B2973="","",INDEX(helper!$E$3:$E3996,MOD(ROW()-2,COUNTA(helper!$D$3:$D3996))+1))</f>
        <v/>
      </c>
      <c r="E2973" s="3" t="str">
        <f t="array" ref="E2973">IF(B2973="","",INDEX(helper!$F$3:$F3996,MOD(ROW()-2,COUNTA(helper!$D$3:$D3996))+1))</f>
        <v/>
      </c>
      <c r="F2973" s="3" t="str">
        <f>IF(B2973="","",SUMIFS('inventory ledger'!$H:$H,'inventory ledger'!$C:$C,C2973,'inventory ledger'!$D:$D,D2973,'inventory ledger'!$E:$E,E2973,'inventory ledger'!$A:$A,"&lt;="&amp;B2973+TIME(23,59,59))-SUMIFS('inventory ledger'!$I:$I,'inventory ledger'!$C:$C,C2973,'inventory ledger'!$D:$D,D2973,'inventory ledger'!$E:$E,E2973,'inventory ledger'!$A:$A,"&lt;="&amp;B2973+TIME(23,59,59)))</f>
        <v/>
      </c>
      <c r="G2973" s="3">
        <f>IFERROR(__xludf.DUMMYFUNCTION("IF(F2973&lt;=0,0,IFERROR(ROUNDUP(F2973/INDEX(FILTER('warehouse config'!$D:$D,('warehouse config'!$B:$B=C2973)*('warehouse config'!$C:$C=D2973)*('warehouse config'!$G:$G&lt;=B2973)*(('warehouse config'!$H:$H&gt;=B2973)+ISBLANK('warehouse config'!$H:$H))),1)),0))"),0.0)</f>
        <v>0</v>
      </c>
      <c r="H2973" s="3">
        <f>IFERROR(__xludf.DUMMYFUNCTION("IFERROR(INDEX(FILTER('cost master'!$E:$E,('cost master'!$B:$B=C2973)*('cost master'!$D:$D=""Storage cost per pallet / week"")*('cost master'!$G:$G&lt;=B2973)*(('cost master'!$H:$H&gt;=B2973)+ISBLANK('cost master'!$H:$H))),1),0)"),0.0)</f>
        <v>0</v>
      </c>
      <c r="I2973" s="3">
        <f t="shared" si="4"/>
        <v>0</v>
      </c>
      <c r="J2973" s="27">
        <f t="shared" si="5"/>
        <v>693947</v>
      </c>
      <c r="K2973" s="27">
        <f t="shared" si="6"/>
        <v>693977</v>
      </c>
    </row>
    <row r="2974" hidden="1">
      <c r="A2974" s="3" t="str">
        <f t="shared" si="3"/>
        <v/>
      </c>
      <c r="B2974" s="2" t="str">
        <f t="array" ref="B2974">INDEX(helper!$A$3:$A3996,ROUNDUP((ROW()-1)/COUNTA(helper!$D$3:$D3996),0))</f>
        <v/>
      </c>
      <c r="C2974" s="5" t="str">
        <f t="array" ref="C2974">IF(B2974="","",INDEX(helper!$D$3:$D3996,MOD(ROW()-2,COUNTA(helper!$D$3:$D3996))+1))</f>
        <v/>
      </c>
      <c r="D2974" s="3" t="str">
        <f t="array" ref="D2974">IF(B2974="","",INDEX(helper!$E$3:$E3996,MOD(ROW()-2,COUNTA(helper!$D$3:$D3996))+1))</f>
        <v/>
      </c>
      <c r="E2974" s="3" t="str">
        <f t="array" ref="E2974">IF(B2974="","",INDEX(helper!$F$3:$F3996,MOD(ROW()-2,COUNTA(helper!$D$3:$D3996))+1))</f>
        <v/>
      </c>
      <c r="F2974" s="3" t="str">
        <f>IF(B2974="","",SUMIFS('inventory ledger'!$H:$H,'inventory ledger'!$C:$C,C2974,'inventory ledger'!$D:$D,D2974,'inventory ledger'!$E:$E,E2974,'inventory ledger'!$A:$A,"&lt;="&amp;B2974+TIME(23,59,59))-SUMIFS('inventory ledger'!$I:$I,'inventory ledger'!$C:$C,C2974,'inventory ledger'!$D:$D,D2974,'inventory ledger'!$E:$E,E2974,'inventory ledger'!$A:$A,"&lt;="&amp;B2974+TIME(23,59,59)))</f>
        <v/>
      </c>
      <c r="G2974" s="3">
        <f>IFERROR(__xludf.DUMMYFUNCTION("IF(F2974&lt;=0,0,IFERROR(ROUNDUP(F2974/INDEX(FILTER('warehouse config'!$D:$D,('warehouse config'!$B:$B=C2974)*('warehouse config'!$C:$C=D2974)*('warehouse config'!$G:$G&lt;=B2974)*(('warehouse config'!$H:$H&gt;=B2974)+ISBLANK('warehouse config'!$H:$H))),1)),0))"),0.0)</f>
        <v>0</v>
      </c>
      <c r="H2974" s="3">
        <f>IFERROR(__xludf.DUMMYFUNCTION("IFERROR(INDEX(FILTER('cost master'!$E:$E,('cost master'!$B:$B=C2974)*('cost master'!$D:$D=""Storage cost per pallet / week"")*('cost master'!$G:$G&lt;=B2974)*(('cost master'!$H:$H&gt;=B2974)+ISBLANK('cost master'!$H:$H))),1),0)"),0.0)</f>
        <v>0</v>
      </c>
      <c r="I2974" s="3">
        <f t="shared" si="4"/>
        <v>0</v>
      </c>
      <c r="J2974" s="27">
        <f t="shared" si="5"/>
        <v>693947</v>
      </c>
      <c r="K2974" s="27">
        <f t="shared" si="6"/>
        <v>693977</v>
      </c>
    </row>
    <row r="2975" hidden="1">
      <c r="A2975" s="3" t="str">
        <f t="shared" si="3"/>
        <v/>
      </c>
      <c r="B2975" s="2" t="str">
        <f t="array" ref="B2975">INDEX(helper!$A$3:$A3996,ROUNDUP((ROW()-1)/COUNTA(helper!$D$3:$D3996),0))</f>
        <v/>
      </c>
      <c r="C2975" s="5" t="str">
        <f t="array" ref="C2975">IF(B2975="","",INDEX(helper!$D$3:$D3996,MOD(ROW()-2,COUNTA(helper!$D$3:$D3996))+1))</f>
        <v/>
      </c>
      <c r="D2975" s="3" t="str">
        <f t="array" ref="D2975">IF(B2975="","",INDEX(helper!$E$3:$E3996,MOD(ROW()-2,COUNTA(helper!$D$3:$D3996))+1))</f>
        <v/>
      </c>
      <c r="E2975" s="3" t="str">
        <f t="array" ref="E2975">IF(B2975="","",INDEX(helper!$F$3:$F3996,MOD(ROW()-2,COUNTA(helper!$D$3:$D3996))+1))</f>
        <v/>
      </c>
      <c r="F2975" s="3" t="str">
        <f>IF(B2975="","",SUMIFS('inventory ledger'!$H:$H,'inventory ledger'!$C:$C,C2975,'inventory ledger'!$D:$D,D2975,'inventory ledger'!$E:$E,E2975,'inventory ledger'!$A:$A,"&lt;="&amp;B2975+TIME(23,59,59))-SUMIFS('inventory ledger'!$I:$I,'inventory ledger'!$C:$C,C2975,'inventory ledger'!$D:$D,D2975,'inventory ledger'!$E:$E,E2975,'inventory ledger'!$A:$A,"&lt;="&amp;B2975+TIME(23,59,59)))</f>
        <v/>
      </c>
      <c r="G2975" s="3">
        <f>IFERROR(__xludf.DUMMYFUNCTION("IF(F2975&lt;=0,0,IFERROR(ROUNDUP(F2975/INDEX(FILTER('warehouse config'!$D:$D,('warehouse config'!$B:$B=C2975)*('warehouse config'!$C:$C=D2975)*('warehouse config'!$G:$G&lt;=B2975)*(('warehouse config'!$H:$H&gt;=B2975)+ISBLANK('warehouse config'!$H:$H))),1)),0))"),0.0)</f>
        <v>0</v>
      </c>
      <c r="H2975" s="3">
        <f>IFERROR(__xludf.DUMMYFUNCTION("IFERROR(INDEX(FILTER('cost master'!$E:$E,('cost master'!$B:$B=C2975)*('cost master'!$D:$D=""Storage cost per pallet / week"")*('cost master'!$G:$G&lt;=B2975)*(('cost master'!$H:$H&gt;=B2975)+ISBLANK('cost master'!$H:$H))),1),0)"),0.0)</f>
        <v>0</v>
      </c>
      <c r="I2975" s="3">
        <f t="shared" si="4"/>
        <v>0</v>
      </c>
      <c r="J2975" s="27">
        <f t="shared" si="5"/>
        <v>693947</v>
      </c>
      <c r="K2975" s="27">
        <f t="shared" si="6"/>
        <v>693977</v>
      </c>
    </row>
    <row r="2976" hidden="1">
      <c r="A2976" s="3" t="str">
        <f t="shared" si="3"/>
        <v/>
      </c>
      <c r="B2976" s="2" t="str">
        <f t="array" ref="B2976">INDEX(helper!$A$3:$A3996,ROUNDUP((ROW()-1)/COUNTA(helper!$D$3:$D3996),0))</f>
        <v/>
      </c>
      <c r="C2976" s="5" t="str">
        <f t="array" ref="C2976">IF(B2976="","",INDEX(helper!$D$3:$D3996,MOD(ROW()-2,COUNTA(helper!$D$3:$D3996))+1))</f>
        <v/>
      </c>
      <c r="D2976" s="3" t="str">
        <f t="array" ref="D2976">IF(B2976="","",INDEX(helper!$E$3:$E3996,MOD(ROW()-2,COUNTA(helper!$D$3:$D3996))+1))</f>
        <v/>
      </c>
      <c r="E2976" s="3" t="str">
        <f t="array" ref="E2976">IF(B2976="","",INDEX(helper!$F$3:$F3996,MOD(ROW()-2,COUNTA(helper!$D$3:$D3996))+1))</f>
        <v/>
      </c>
      <c r="F2976" s="3" t="str">
        <f>IF(B2976="","",SUMIFS('inventory ledger'!$H:$H,'inventory ledger'!$C:$C,C2976,'inventory ledger'!$D:$D,D2976,'inventory ledger'!$E:$E,E2976,'inventory ledger'!$A:$A,"&lt;="&amp;B2976+TIME(23,59,59))-SUMIFS('inventory ledger'!$I:$I,'inventory ledger'!$C:$C,C2976,'inventory ledger'!$D:$D,D2976,'inventory ledger'!$E:$E,E2976,'inventory ledger'!$A:$A,"&lt;="&amp;B2976+TIME(23,59,59)))</f>
        <v/>
      </c>
      <c r="G2976" s="3">
        <f>IFERROR(__xludf.DUMMYFUNCTION("IF(F2976&lt;=0,0,IFERROR(ROUNDUP(F2976/INDEX(FILTER('warehouse config'!$D:$D,('warehouse config'!$B:$B=C2976)*('warehouse config'!$C:$C=D2976)*('warehouse config'!$G:$G&lt;=B2976)*(('warehouse config'!$H:$H&gt;=B2976)+ISBLANK('warehouse config'!$H:$H))),1)),0))"),0.0)</f>
        <v>0</v>
      </c>
      <c r="H2976" s="3">
        <f>IFERROR(__xludf.DUMMYFUNCTION("IFERROR(INDEX(FILTER('cost master'!$E:$E,('cost master'!$B:$B=C2976)*('cost master'!$D:$D=""Storage cost per pallet / week"")*('cost master'!$G:$G&lt;=B2976)*(('cost master'!$H:$H&gt;=B2976)+ISBLANK('cost master'!$H:$H))),1),0)"),0.0)</f>
        <v>0</v>
      </c>
      <c r="I2976" s="3">
        <f t="shared" si="4"/>
        <v>0</v>
      </c>
      <c r="J2976" s="27">
        <f t="shared" si="5"/>
        <v>693947</v>
      </c>
      <c r="K2976" s="27">
        <f t="shared" si="6"/>
        <v>693977</v>
      </c>
    </row>
    <row r="2977" hidden="1">
      <c r="A2977" s="3" t="str">
        <f t="shared" si="3"/>
        <v/>
      </c>
      <c r="B2977" s="2" t="str">
        <f t="array" ref="B2977">INDEX(helper!$A$3:$A3996,ROUNDUP((ROW()-1)/COUNTA(helper!$D$3:$D3996),0))</f>
        <v/>
      </c>
      <c r="C2977" s="5" t="str">
        <f t="array" ref="C2977">IF(B2977="","",INDEX(helper!$D$3:$D3996,MOD(ROW()-2,COUNTA(helper!$D$3:$D3996))+1))</f>
        <v/>
      </c>
      <c r="D2977" s="3" t="str">
        <f t="array" ref="D2977">IF(B2977="","",INDEX(helper!$E$3:$E3996,MOD(ROW()-2,COUNTA(helper!$D$3:$D3996))+1))</f>
        <v/>
      </c>
      <c r="E2977" s="3" t="str">
        <f t="array" ref="E2977">IF(B2977="","",INDEX(helper!$F$3:$F3996,MOD(ROW()-2,COUNTA(helper!$D$3:$D3996))+1))</f>
        <v/>
      </c>
      <c r="F2977" s="3" t="str">
        <f>IF(B2977="","",SUMIFS('inventory ledger'!$H:$H,'inventory ledger'!$C:$C,C2977,'inventory ledger'!$D:$D,D2977,'inventory ledger'!$E:$E,E2977,'inventory ledger'!$A:$A,"&lt;="&amp;B2977+TIME(23,59,59))-SUMIFS('inventory ledger'!$I:$I,'inventory ledger'!$C:$C,C2977,'inventory ledger'!$D:$D,D2977,'inventory ledger'!$E:$E,E2977,'inventory ledger'!$A:$A,"&lt;="&amp;B2977+TIME(23,59,59)))</f>
        <v/>
      </c>
      <c r="G2977" s="3">
        <f>IFERROR(__xludf.DUMMYFUNCTION("IF(F2977&lt;=0,0,IFERROR(ROUNDUP(F2977/INDEX(FILTER('warehouse config'!$D:$D,('warehouse config'!$B:$B=C2977)*('warehouse config'!$C:$C=D2977)*('warehouse config'!$G:$G&lt;=B2977)*(('warehouse config'!$H:$H&gt;=B2977)+ISBLANK('warehouse config'!$H:$H))),1)),0))"),0.0)</f>
        <v>0</v>
      </c>
      <c r="H2977" s="3">
        <f>IFERROR(__xludf.DUMMYFUNCTION("IFERROR(INDEX(FILTER('cost master'!$E:$E,('cost master'!$B:$B=C2977)*('cost master'!$D:$D=""Storage cost per pallet / week"")*('cost master'!$G:$G&lt;=B2977)*(('cost master'!$H:$H&gt;=B2977)+ISBLANK('cost master'!$H:$H))),1),0)"),0.0)</f>
        <v>0</v>
      </c>
      <c r="I2977" s="3">
        <f t="shared" si="4"/>
        <v>0</v>
      </c>
      <c r="J2977" s="27">
        <f t="shared" si="5"/>
        <v>693947</v>
      </c>
      <c r="K2977" s="27">
        <f t="shared" si="6"/>
        <v>693977</v>
      </c>
    </row>
    <row r="2978" hidden="1">
      <c r="A2978" s="3" t="str">
        <f t="shared" si="3"/>
        <v/>
      </c>
      <c r="B2978" s="2" t="str">
        <f t="array" ref="B2978">INDEX(helper!$A$3:$A3996,ROUNDUP((ROW()-1)/COUNTA(helper!$D$3:$D3996),0))</f>
        <v/>
      </c>
      <c r="C2978" s="5" t="str">
        <f t="array" ref="C2978">IF(B2978="","",INDEX(helper!$D$3:$D3996,MOD(ROW()-2,COUNTA(helper!$D$3:$D3996))+1))</f>
        <v/>
      </c>
      <c r="D2978" s="3" t="str">
        <f t="array" ref="D2978">IF(B2978="","",INDEX(helper!$E$3:$E3996,MOD(ROW()-2,COUNTA(helper!$D$3:$D3996))+1))</f>
        <v/>
      </c>
      <c r="E2978" s="3" t="str">
        <f t="array" ref="E2978">IF(B2978="","",INDEX(helper!$F$3:$F3996,MOD(ROW()-2,COUNTA(helper!$D$3:$D3996))+1))</f>
        <v/>
      </c>
      <c r="F2978" s="3" t="str">
        <f>IF(B2978="","",SUMIFS('inventory ledger'!$H:$H,'inventory ledger'!$C:$C,C2978,'inventory ledger'!$D:$D,D2978,'inventory ledger'!$E:$E,E2978,'inventory ledger'!$A:$A,"&lt;="&amp;B2978+TIME(23,59,59))-SUMIFS('inventory ledger'!$I:$I,'inventory ledger'!$C:$C,C2978,'inventory ledger'!$D:$D,D2978,'inventory ledger'!$E:$E,E2978,'inventory ledger'!$A:$A,"&lt;="&amp;B2978+TIME(23,59,59)))</f>
        <v/>
      </c>
      <c r="G2978" s="3">
        <f>IFERROR(__xludf.DUMMYFUNCTION("IF(F2978&lt;=0,0,IFERROR(ROUNDUP(F2978/INDEX(FILTER('warehouse config'!$D:$D,('warehouse config'!$B:$B=C2978)*('warehouse config'!$C:$C=D2978)*('warehouse config'!$G:$G&lt;=B2978)*(('warehouse config'!$H:$H&gt;=B2978)+ISBLANK('warehouse config'!$H:$H))),1)),0))"),0.0)</f>
        <v>0</v>
      </c>
      <c r="H2978" s="3">
        <f>IFERROR(__xludf.DUMMYFUNCTION("IFERROR(INDEX(FILTER('cost master'!$E:$E,('cost master'!$B:$B=C2978)*('cost master'!$D:$D=""Storage cost per pallet / week"")*('cost master'!$G:$G&lt;=B2978)*(('cost master'!$H:$H&gt;=B2978)+ISBLANK('cost master'!$H:$H))),1),0)"),0.0)</f>
        <v>0</v>
      </c>
      <c r="I2978" s="3">
        <f t="shared" si="4"/>
        <v>0</v>
      </c>
      <c r="J2978" s="27">
        <f t="shared" si="5"/>
        <v>693947</v>
      </c>
      <c r="K2978" s="27">
        <f t="shared" si="6"/>
        <v>693977</v>
      </c>
    </row>
    <row r="2979" hidden="1">
      <c r="A2979" s="3" t="str">
        <f t="shared" si="3"/>
        <v/>
      </c>
      <c r="B2979" s="2" t="str">
        <f t="array" ref="B2979">INDEX(helper!$A$3:$A3996,ROUNDUP((ROW()-1)/COUNTA(helper!$D$3:$D3996),0))</f>
        <v/>
      </c>
      <c r="C2979" s="5" t="str">
        <f t="array" ref="C2979">IF(B2979="","",INDEX(helper!$D$3:$D3996,MOD(ROW()-2,COUNTA(helper!$D$3:$D3996))+1))</f>
        <v/>
      </c>
      <c r="D2979" s="3" t="str">
        <f t="array" ref="D2979">IF(B2979="","",INDEX(helper!$E$3:$E3996,MOD(ROW()-2,COUNTA(helper!$D$3:$D3996))+1))</f>
        <v/>
      </c>
      <c r="E2979" s="3" t="str">
        <f t="array" ref="E2979">IF(B2979="","",INDEX(helper!$F$3:$F3996,MOD(ROW()-2,COUNTA(helper!$D$3:$D3996))+1))</f>
        <v/>
      </c>
      <c r="F2979" s="3" t="str">
        <f>IF(B2979="","",SUMIFS('inventory ledger'!$H:$H,'inventory ledger'!$C:$C,C2979,'inventory ledger'!$D:$D,D2979,'inventory ledger'!$E:$E,E2979,'inventory ledger'!$A:$A,"&lt;="&amp;B2979+TIME(23,59,59))-SUMIFS('inventory ledger'!$I:$I,'inventory ledger'!$C:$C,C2979,'inventory ledger'!$D:$D,D2979,'inventory ledger'!$E:$E,E2979,'inventory ledger'!$A:$A,"&lt;="&amp;B2979+TIME(23,59,59)))</f>
        <v/>
      </c>
      <c r="G2979" s="3">
        <f>IFERROR(__xludf.DUMMYFUNCTION("IF(F2979&lt;=0,0,IFERROR(ROUNDUP(F2979/INDEX(FILTER('warehouse config'!$D:$D,('warehouse config'!$B:$B=C2979)*('warehouse config'!$C:$C=D2979)*('warehouse config'!$G:$G&lt;=B2979)*(('warehouse config'!$H:$H&gt;=B2979)+ISBLANK('warehouse config'!$H:$H))),1)),0))"),0.0)</f>
        <v>0</v>
      </c>
      <c r="H2979" s="3">
        <f>IFERROR(__xludf.DUMMYFUNCTION("IFERROR(INDEX(FILTER('cost master'!$E:$E,('cost master'!$B:$B=C2979)*('cost master'!$D:$D=""Storage cost per pallet / week"")*('cost master'!$G:$G&lt;=B2979)*(('cost master'!$H:$H&gt;=B2979)+ISBLANK('cost master'!$H:$H))),1),0)"),0.0)</f>
        <v>0</v>
      </c>
      <c r="I2979" s="3">
        <f t="shared" si="4"/>
        <v>0</v>
      </c>
      <c r="J2979" s="27">
        <f t="shared" si="5"/>
        <v>693947</v>
      </c>
      <c r="K2979" s="27">
        <f t="shared" si="6"/>
        <v>693977</v>
      </c>
    </row>
    <row r="2980" hidden="1">
      <c r="A2980" s="3" t="str">
        <f t="shared" si="3"/>
        <v/>
      </c>
      <c r="B2980" s="2" t="str">
        <f t="array" ref="B2980">INDEX(helper!$A$3:$A3996,ROUNDUP((ROW()-1)/COUNTA(helper!$D$3:$D3996),0))</f>
        <v/>
      </c>
      <c r="C2980" s="5" t="str">
        <f t="array" ref="C2980">IF(B2980="","",INDEX(helper!$D$3:$D3996,MOD(ROW()-2,COUNTA(helper!$D$3:$D3996))+1))</f>
        <v/>
      </c>
      <c r="D2980" s="3" t="str">
        <f t="array" ref="D2980">IF(B2980="","",INDEX(helper!$E$3:$E3996,MOD(ROW()-2,COUNTA(helper!$D$3:$D3996))+1))</f>
        <v/>
      </c>
      <c r="E2980" s="3" t="str">
        <f t="array" ref="E2980">IF(B2980="","",INDEX(helper!$F$3:$F3996,MOD(ROW()-2,COUNTA(helper!$D$3:$D3996))+1))</f>
        <v/>
      </c>
      <c r="F2980" s="3" t="str">
        <f>IF(B2980="","",SUMIFS('inventory ledger'!$H:$H,'inventory ledger'!$C:$C,C2980,'inventory ledger'!$D:$D,D2980,'inventory ledger'!$E:$E,E2980,'inventory ledger'!$A:$A,"&lt;="&amp;B2980+TIME(23,59,59))-SUMIFS('inventory ledger'!$I:$I,'inventory ledger'!$C:$C,C2980,'inventory ledger'!$D:$D,D2980,'inventory ledger'!$E:$E,E2980,'inventory ledger'!$A:$A,"&lt;="&amp;B2980+TIME(23,59,59)))</f>
        <v/>
      </c>
      <c r="G2980" s="3">
        <f>IFERROR(__xludf.DUMMYFUNCTION("IF(F2980&lt;=0,0,IFERROR(ROUNDUP(F2980/INDEX(FILTER('warehouse config'!$D:$D,('warehouse config'!$B:$B=C2980)*('warehouse config'!$C:$C=D2980)*('warehouse config'!$G:$G&lt;=B2980)*(('warehouse config'!$H:$H&gt;=B2980)+ISBLANK('warehouse config'!$H:$H))),1)),0))"),0.0)</f>
        <v>0</v>
      </c>
      <c r="H2980" s="3">
        <f>IFERROR(__xludf.DUMMYFUNCTION("IFERROR(INDEX(FILTER('cost master'!$E:$E,('cost master'!$B:$B=C2980)*('cost master'!$D:$D=""Storage cost per pallet / week"")*('cost master'!$G:$G&lt;=B2980)*(('cost master'!$H:$H&gt;=B2980)+ISBLANK('cost master'!$H:$H))),1),0)"),0.0)</f>
        <v>0</v>
      </c>
      <c r="I2980" s="3">
        <f t="shared" si="4"/>
        <v>0</v>
      </c>
      <c r="J2980" s="27">
        <f t="shared" si="5"/>
        <v>693947</v>
      </c>
      <c r="K2980" s="27">
        <f t="shared" si="6"/>
        <v>693977</v>
      </c>
    </row>
    <row r="2981" hidden="1">
      <c r="A2981" s="3" t="str">
        <f t="shared" si="3"/>
        <v/>
      </c>
      <c r="B2981" s="2" t="str">
        <f t="array" ref="B2981">INDEX(helper!$A$3:$A3996,ROUNDUP((ROW()-1)/COUNTA(helper!$D$3:$D3996),0))</f>
        <v/>
      </c>
      <c r="C2981" s="5" t="str">
        <f t="array" ref="C2981">IF(B2981="","",INDEX(helper!$D$3:$D3996,MOD(ROW()-2,COUNTA(helper!$D$3:$D3996))+1))</f>
        <v/>
      </c>
      <c r="D2981" s="3" t="str">
        <f t="array" ref="D2981">IF(B2981="","",INDEX(helper!$E$3:$E3996,MOD(ROW()-2,COUNTA(helper!$D$3:$D3996))+1))</f>
        <v/>
      </c>
      <c r="E2981" s="3" t="str">
        <f t="array" ref="E2981">IF(B2981="","",INDEX(helper!$F$3:$F3996,MOD(ROW()-2,COUNTA(helper!$D$3:$D3996))+1))</f>
        <v/>
      </c>
      <c r="F2981" s="3" t="str">
        <f>IF(B2981="","",SUMIFS('inventory ledger'!$H:$H,'inventory ledger'!$C:$C,C2981,'inventory ledger'!$D:$D,D2981,'inventory ledger'!$E:$E,E2981,'inventory ledger'!$A:$A,"&lt;="&amp;B2981+TIME(23,59,59))-SUMIFS('inventory ledger'!$I:$I,'inventory ledger'!$C:$C,C2981,'inventory ledger'!$D:$D,D2981,'inventory ledger'!$E:$E,E2981,'inventory ledger'!$A:$A,"&lt;="&amp;B2981+TIME(23,59,59)))</f>
        <v/>
      </c>
      <c r="G2981" s="3">
        <f>IFERROR(__xludf.DUMMYFUNCTION("IF(F2981&lt;=0,0,IFERROR(ROUNDUP(F2981/INDEX(FILTER('warehouse config'!$D:$D,('warehouse config'!$B:$B=C2981)*('warehouse config'!$C:$C=D2981)*('warehouse config'!$G:$G&lt;=B2981)*(('warehouse config'!$H:$H&gt;=B2981)+ISBLANK('warehouse config'!$H:$H))),1)),0))"),0.0)</f>
        <v>0</v>
      </c>
      <c r="H2981" s="3">
        <f>IFERROR(__xludf.DUMMYFUNCTION("IFERROR(INDEX(FILTER('cost master'!$E:$E,('cost master'!$B:$B=C2981)*('cost master'!$D:$D=""Storage cost per pallet / week"")*('cost master'!$G:$G&lt;=B2981)*(('cost master'!$H:$H&gt;=B2981)+ISBLANK('cost master'!$H:$H))),1),0)"),0.0)</f>
        <v>0</v>
      </c>
      <c r="I2981" s="3">
        <f t="shared" si="4"/>
        <v>0</v>
      </c>
      <c r="J2981" s="27">
        <f t="shared" si="5"/>
        <v>693947</v>
      </c>
      <c r="K2981" s="27">
        <f t="shared" si="6"/>
        <v>693977</v>
      </c>
    </row>
    <row r="2982" hidden="1">
      <c r="A2982" s="3" t="str">
        <f t="shared" si="3"/>
        <v/>
      </c>
      <c r="B2982" s="2" t="str">
        <f t="array" ref="B2982">INDEX(helper!$A$3:$A3996,ROUNDUP((ROW()-1)/COUNTA(helper!$D$3:$D3996),0))</f>
        <v/>
      </c>
      <c r="C2982" s="5" t="str">
        <f t="array" ref="C2982">IF(B2982="","",INDEX(helper!$D$3:$D3996,MOD(ROW()-2,COUNTA(helper!$D$3:$D3996))+1))</f>
        <v/>
      </c>
      <c r="D2982" s="3" t="str">
        <f t="array" ref="D2982">IF(B2982="","",INDEX(helper!$E$3:$E3996,MOD(ROW()-2,COUNTA(helper!$D$3:$D3996))+1))</f>
        <v/>
      </c>
      <c r="E2982" s="3" t="str">
        <f t="array" ref="E2982">IF(B2982="","",INDEX(helper!$F$3:$F3996,MOD(ROW()-2,COUNTA(helper!$D$3:$D3996))+1))</f>
        <v/>
      </c>
      <c r="F2982" s="3" t="str">
        <f>IF(B2982="","",SUMIFS('inventory ledger'!$H:$H,'inventory ledger'!$C:$C,C2982,'inventory ledger'!$D:$D,D2982,'inventory ledger'!$E:$E,E2982,'inventory ledger'!$A:$A,"&lt;="&amp;B2982+TIME(23,59,59))-SUMIFS('inventory ledger'!$I:$I,'inventory ledger'!$C:$C,C2982,'inventory ledger'!$D:$D,D2982,'inventory ledger'!$E:$E,E2982,'inventory ledger'!$A:$A,"&lt;="&amp;B2982+TIME(23,59,59)))</f>
        <v/>
      </c>
      <c r="G2982" s="3">
        <f>IFERROR(__xludf.DUMMYFUNCTION("IF(F2982&lt;=0,0,IFERROR(ROUNDUP(F2982/INDEX(FILTER('warehouse config'!$D:$D,('warehouse config'!$B:$B=C2982)*('warehouse config'!$C:$C=D2982)*('warehouse config'!$G:$G&lt;=B2982)*(('warehouse config'!$H:$H&gt;=B2982)+ISBLANK('warehouse config'!$H:$H))),1)),0))"),0.0)</f>
        <v>0</v>
      </c>
      <c r="H2982" s="3">
        <f>IFERROR(__xludf.DUMMYFUNCTION("IFERROR(INDEX(FILTER('cost master'!$E:$E,('cost master'!$B:$B=C2982)*('cost master'!$D:$D=""Storage cost per pallet / week"")*('cost master'!$G:$G&lt;=B2982)*(('cost master'!$H:$H&gt;=B2982)+ISBLANK('cost master'!$H:$H))),1),0)"),0.0)</f>
        <v>0</v>
      </c>
      <c r="I2982" s="3">
        <f t="shared" si="4"/>
        <v>0</v>
      </c>
      <c r="J2982" s="27">
        <f t="shared" si="5"/>
        <v>693947</v>
      </c>
      <c r="K2982" s="27">
        <f t="shared" si="6"/>
        <v>693977</v>
      </c>
    </row>
    <row r="2983" hidden="1">
      <c r="A2983" s="3" t="str">
        <f t="shared" si="3"/>
        <v/>
      </c>
      <c r="B2983" s="2" t="str">
        <f t="array" ref="B2983">INDEX(helper!$A$3:$A3996,ROUNDUP((ROW()-1)/COUNTA(helper!$D$3:$D3996),0))</f>
        <v/>
      </c>
      <c r="C2983" s="5" t="str">
        <f t="array" ref="C2983">IF(B2983="","",INDEX(helper!$D$3:$D3996,MOD(ROW()-2,COUNTA(helper!$D$3:$D3996))+1))</f>
        <v/>
      </c>
      <c r="D2983" s="3" t="str">
        <f t="array" ref="D2983">IF(B2983="","",INDEX(helper!$E$3:$E3996,MOD(ROW()-2,COUNTA(helper!$D$3:$D3996))+1))</f>
        <v/>
      </c>
      <c r="E2983" s="3" t="str">
        <f t="array" ref="E2983">IF(B2983="","",INDEX(helper!$F$3:$F3996,MOD(ROW()-2,COUNTA(helper!$D$3:$D3996))+1))</f>
        <v/>
      </c>
      <c r="F2983" s="3" t="str">
        <f>IF(B2983="","",SUMIFS('inventory ledger'!$H:$H,'inventory ledger'!$C:$C,C2983,'inventory ledger'!$D:$D,D2983,'inventory ledger'!$E:$E,E2983,'inventory ledger'!$A:$A,"&lt;="&amp;B2983+TIME(23,59,59))-SUMIFS('inventory ledger'!$I:$I,'inventory ledger'!$C:$C,C2983,'inventory ledger'!$D:$D,D2983,'inventory ledger'!$E:$E,E2983,'inventory ledger'!$A:$A,"&lt;="&amp;B2983+TIME(23,59,59)))</f>
        <v/>
      </c>
      <c r="G2983" s="3">
        <f>IFERROR(__xludf.DUMMYFUNCTION("IF(F2983&lt;=0,0,IFERROR(ROUNDUP(F2983/INDEX(FILTER('warehouse config'!$D:$D,('warehouse config'!$B:$B=C2983)*('warehouse config'!$C:$C=D2983)*('warehouse config'!$G:$G&lt;=B2983)*(('warehouse config'!$H:$H&gt;=B2983)+ISBLANK('warehouse config'!$H:$H))),1)),0))"),0.0)</f>
        <v>0</v>
      </c>
      <c r="H2983" s="3">
        <f>IFERROR(__xludf.DUMMYFUNCTION("IFERROR(INDEX(FILTER('cost master'!$E:$E,('cost master'!$B:$B=C2983)*('cost master'!$D:$D=""Storage cost per pallet / week"")*('cost master'!$G:$G&lt;=B2983)*(('cost master'!$H:$H&gt;=B2983)+ISBLANK('cost master'!$H:$H))),1),0)"),0.0)</f>
        <v>0</v>
      </c>
      <c r="I2983" s="3">
        <f t="shared" si="4"/>
        <v>0</v>
      </c>
      <c r="J2983" s="27">
        <f t="shared" si="5"/>
        <v>693947</v>
      </c>
      <c r="K2983" s="27">
        <f t="shared" si="6"/>
        <v>693977</v>
      </c>
    </row>
    <row r="2984" hidden="1">
      <c r="A2984" s="3" t="str">
        <f t="shared" si="3"/>
        <v/>
      </c>
      <c r="B2984" s="2" t="str">
        <f t="array" ref="B2984">INDEX(helper!$A$3:$A3996,ROUNDUP((ROW()-1)/COUNTA(helper!$D$3:$D3996),0))</f>
        <v/>
      </c>
      <c r="C2984" s="5" t="str">
        <f t="array" ref="C2984">IF(B2984="","",INDEX(helper!$D$3:$D3996,MOD(ROW()-2,COUNTA(helper!$D$3:$D3996))+1))</f>
        <v/>
      </c>
      <c r="D2984" s="3" t="str">
        <f t="array" ref="D2984">IF(B2984="","",INDEX(helper!$E$3:$E3996,MOD(ROW()-2,COUNTA(helper!$D$3:$D3996))+1))</f>
        <v/>
      </c>
      <c r="E2984" s="3" t="str">
        <f t="array" ref="E2984">IF(B2984="","",INDEX(helper!$F$3:$F3996,MOD(ROW()-2,COUNTA(helper!$D$3:$D3996))+1))</f>
        <v/>
      </c>
      <c r="F2984" s="3" t="str">
        <f>IF(B2984="","",SUMIFS('inventory ledger'!$H:$H,'inventory ledger'!$C:$C,C2984,'inventory ledger'!$D:$D,D2984,'inventory ledger'!$E:$E,E2984,'inventory ledger'!$A:$A,"&lt;="&amp;B2984+TIME(23,59,59))-SUMIFS('inventory ledger'!$I:$I,'inventory ledger'!$C:$C,C2984,'inventory ledger'!$D:$D,D2984,'inventory ledger'!$E:$E,E2984,'inventory ledger'!$A:$A,"&lt;="&amp;B2984+TIME(23,59,59)))</f>
        <v/>
      </c>
      <c r="G2984" s="3">
        <f>IFERROR(__xludf.DUMMYFUNCTION("IF(F2984&lt;=0,0,IFERROR(ROUNDUP(F2984/INDEX(FILTER('warehouse config'!$D:$D,('warehouse config'!$B:$B=C2984)*('warehouse config'!$C:$C=D2984)*('warehouse config'!$G:$G&lt;=B2984)*(('warehouse config'!$H:$H&gt;=B2984)+ISBLANK('warehouse config'!$H:$H))),1)),0))"),0.0)</f>
        <v>0</v>
      </c>
      <c r="H2984" s="3">
        <f>IFERROR(__xludf.DUMMYFUNCTION("IFERROR(INDEX(FILTER('cost master'!$E:$E,('cost master'!$B:$B=C2984)*('cost master'!$D:$D=""Storage cost per pallet / week"")*('cost master'!$G:$G&lt;=B2984)*(('cost master'!$H:$H&gt;=B2984)+ISBLANK('cost master'!$H:$H))),1),0)"),0.0)</f>
        <v>0</v>
      </c>
      <c r="I2984" s="3">
        <f t="shared" si="4"/>
        <v>0</v>
      </c>
      <c r="J2984" s="27">
        <f t="shared" si="5"/>
        <v>693947</v>
      </c>
      <c r="K2984" s="27">
        <f t="shared" si="6"/>
        <v>693977</v>
      </c>
    </row>
    <row r="2985" hidden="1">
      <c r="A2985" s="3" t="str">
        <f t="shared" si="3"/>
        <v/>
      </c>
      <c r="B2985" s="2" t="str">
        <f t="array" ref="B2985">INDEX(helper!$A$3:$A3996,ROUNDUP((ROW()-1)/COUNTA(helper!$D$3:$D3996),0))</f>
        <v/>
      </c>
      <c r="C2985" s="5" t="str">
        <f t="array" ref="C2985">IF(B2985="","",INDEX(helper!$D$3:$D3996,MOD(ROW()-2,COUNTA(helper!$D$3:$D3996))+1))</f>
        <v/>
      </c>
      <c r="D2985" s="3" t="str">
        <f t="array" ref="D2985">IF(B2985="","",INDEX(helper!$E$3:$E3996,MOD(ROW()-2,COUNTA(helper!$D$3:$D3996))+1))</f>
        <v/>
      </c>
      <c r="E2985" s="3" t="str">
        <f t="array" ref="E2985">IF(B2985="","",INDEX(helper!$F$3:$F3996,MOD(ROW()-2,COUNTA(helper!$D$3:$D3996))+1))</f>
        <v/>
      </c>
      <c r="F2985" s="3" t="str">
        <f>IF(B2985="","",SUMIFS('inventory ledger'!$H:$H,'inventory ledger'!$C:$C,C2985,'inventory ledger'!$D:$D,D2985,'inventory ledger'!$E:$E,E2985,'inventory ledger'!$A:$A,"&lt;="&amp;B2985+TIME(23,59,59))-SUMIFS('inventory ledger'!$I:$I,'inventory ledger'!$C:$C,C2985,'inventory ledger'!$D:$D,D2985,'inventory ledger'!$E:$E,E2985,'inventory ledger'!$A:$A,"&lt;="&amp;B2985+TIME(23,59,59)))</f>
        <v/>
      </c>
      <c r="G2985" s="3">
        <f>IFERROR(__xludf.DUMMYFUNCTION("IF(F2985&lt;=0,0,IFERROR(ROUNDUP(F2985/INDEX(FILTER('warehouse config'!$D:$D,('warehouse config'!$B:$B=C2985)*('warehouse config'!$C:$C=D2985)*('warehouse config'!$G:$G&lt;=B2985)*(('warehouse config'!$H:$H&gt;=B2985)+ISBLANK('warehouse config'!$H:$H))),1)),0))"),0.0)</f>
        <v>0</v>
      </c>
      <c r="H2985" s="3">
        <f>IFERROR(__xludf.DUMMYFUNCTION("IFERROR(INDEX(FILTER('cost master'!$E:$E,('cost master'!$B:$B=C2985)*('cost master'!$D:$D=""Storage cost per pallet / week"")*('cost master'!$G:$G&lt;=B2985)*(('cost master'!$H:$H&gt;=B2985)+ISBLANK('cost master'!$H:$H))),1),0)"),0.0)</f>
        <v>0</v>
      </c>
      <c r="I2985" s="3">
        <f t="shared" si="4"/>
        <v>0</v>
      </c>
      <c r="J2985" s="27">
        <f t="shared" si="5"/>
        <v>693947</v>
      </c>
      <c r="K2985" s="27">
        <f t="shared" si="6"/>
        <v>693977</v>
      </c>
    </row>
    <row r="2986" hidden="1">
      <c r="A2986" s="3" t="str">
        <f t="shared" si="3"/>
        <v/>
      </c>
      <c r="B2986" s="2" t="str">
        <f t="array" ref="B2986">INDEX(helper!$A$3:$A3996,ROUNDUP((ROW()-1)/COUNTA(helper!$D$3:$D3996),0))</f>
        <v/>
      </c>
      <c r="C2986" s="5" t="str">
        <f t="array" ref="C2986">IF(B2986="","",INDEX(helper!$D$3:$D3996,MOD(ROW()-2,COUNTA(helper!$D$3:$D3996))+1))</f>
        <v/>
      </c>
      <c r="D2986" s="3" t="str">
        <f t="array" ref="D2986">IF(B2986="","",INDEX(helper!$E$3:$E3996,MOD(ROW()-2,COUNTA(helper!$D$3:$D3996))+1))</f>
        <v/>
      </c>
      <c r="E2986" s="3" t="str">
        <f t="array" ref="E2986">IF(B2986="","",INDEX(helper!$F$3:$F3996,MOD(ROW()-2,COUNTA(helper!$D$3:$D3996))+1))</f>
        <v/>
      </c>
      <c r="F2986" s="3" t="str">
        <f>IF(B2986="","",SUMIFS('inventory ledger'!$H:$H,'inventory ledger'!$C:$C,C2986,'inventory ledger'!$D:$D,D2986,'inventory ledger'!$E:$E,E2986,'inventory ledger'!$A:$A,"&lt;="&amp;B2986+TIME(23,59,59))-SUMIFS('inventory ledger'!$I:$I,'inventory ledger'!$C:$C,C2986,'inventory ledger'!$D:$D,D2986,'inventory ledger'!$E:$E,E2986,'inventory ledger'!$A:$A,"&lt;="&amp;B2986+TIME(23,59,59)))</f>
        <v/>
      </c>
      <c r="G2986" s="3">
        <f>IFERROR(__xludf.DUMMYFUNCTION("IF(F2986&lt;=0,0,IFERROR(ROUNDUP(F2986/INDEX(FILTER('warehouse config'!$D:$D,('warehouse config'!$B:$B=C2986)*('warehouse config'!$C:$C=D2986)*('warehouse config'!$G:$G&lt;=B2986)*(('warehouse config'!$H:$H&gt;=B2986)+ISBLANK('warehouse config'!$H:$H))),1)),0))"),0.0)</f>
        <v>0</v>
      </c>
      <c r="H2986" s="3">
        <f>IFERROR(__xludf.DUMMYFUNCTION("IFERROR(INDEX(FILTER('cost master'!$E:$E,('cost master'!$B:$B=C2986)*('cost master'!$D:$D=""Storage cost per pallet / week"")*('cost master'!$G:$G&lt;=B2986)*(('cost master'!$H:$H&gt;=B2986)+ISBLANK('cost master'!$H:$H))),1),0)"),0.0)</f>
        <v>0</v>
      </c>
      <c r="I2986" s="3">
        <f t="shared" si="4"/>
        <v>0</v>
      </c>
      <c r="J2986" s="27">
        <f t="shared" si="5"/>
        <v>693947</v>
      </c>
      <c r="K2986" s="27">
        <f t="shared" si="6"/>
        <v>693977</v>
      </c>
    </row>
    <row r="2987" hidden="1">
      <c r="A2987" s="3" t="str">
        <f t="shared" si="3"/>
        <v/>
      </c>
      <c r="B2987" s="2" t="str">
        <f t="array" ref="B2987">INDEX(helper!$A$3:$A3996,ROUNDUP((ROW()-1)/COUNTA(helper!$D$3:$D3996),0))</f>
        <v/>
      </c>
      <c r="C2987" s="5" t="str">
        <f t="array" ref="C2987">IF(B2987="","",INDEX(helper!$D$3:$D3996,MOD(ROW()-2,COUNTA(helper!$D$3:$D3996))+1))</f>
        <v/>
      </c>
      <c r="D2987" s="3" t="str">
        <f t="array" ref="D2987">IF(B2987="","",INDEX(helper!$E$3:$E3996,MOD(ROW()-2,COUNTA(helper!$D$3:$D3996))+1))</f>
        <v/>
      </c>
      <c r="E2987" s="3" t="str">
        <f t="array" ref="E2987">IF(B2987="","",INDEX(helper!$F$3:$F3996,MOD(ROW()-2,COUNTA(helper!$D$3:$D3996))+1))</f>
        <v/>
      </c>
      <c r="F2987" s="3" t="str">
        <f>IF(B2987="","",SUMIFS('inventory ledger'!$H:$H,'inventory ledger'!$C:$C,C2987,'inventory ledger'!$D:$D,D2987,'inventory ledger'!$E:$E,E2987,'inventory ledger'!$A:$A,"&lt;="&amp;B2987+TIME(23,59,59))-SUMIFS('inventory ledger'!$I:$I,'inventory ledger'!$C:$C,C2987,'inventory ledger'!$D:$D,D2987,'inventory ledger'!$E:$E,E2987,'inventory ledger'!$A:$A,"&lt;="&amp;B2987+TIME(23,59,59)))</f>
        <v/>
      </c>
      <c r="G2987" s="3">
        <f>IFERROR(__xludf.DUMMYFUNCTION("IF(F2987&lt;=0,0,IFERROR(ROUNDUP(F2987/INDEX(FILTER('warehouse config'!$D:$D,('warehouse config'!$B:$B=C2987)*('warehouse config'!$C:$C=D2987)*('warehouse config'!$G:$G&lt;=B2987)*(('warehouse config'!$H:$H&gt;=B2987)+ISBLANK('warehouse config'!$H:$H))),1)),0))"),0.0)</f>
        <v>0</v>
      </c>
      <c r="H2987" s="3">
        <f>IFERROR(__xludf.DUMMYFUNCTION("IFERROR(INDEX(FILTER('cost master'!$E:$E,('cost master'!$B:$B=C2987)*('cost master'!$D:$D=""Storage cost per pallet / week"")*('cost master'!$G:$G&lt;=B2987)*(('cost master'!$H:$H&gt;=B2987)+ISBLANK('cost master'!$H:$H))),1),0)"),0.0)</f>
        <v>0</v>
      </c>
      <c r="I2987" s="3">
        <f t="shared" si="4"/>
        <v>0</v>
      </c>
      <c r="J2987" s="27">
        <f t="shared" si="5"/>
        <v>693947</v>
      </c>
      <c r="K2987" s="27">
        <f t="shared" si="6"/>
        <v>693977</v>
      </c>
    </row>
    <row r="2988" hidden="1">
      <c r="A2988" s="3" t="str">
        <f t="shared" si="3"/>
        <v/>
      </c>
      <c r="B2988" s="2" t="str">
        <f t="array" ref="B2988">INDEX(helper!$A$3:$A3996,ROUNDUP((ROW()-1)/COUNTA(helper!$D$3:$D3996),0))</f>
        <v/>
      </c>
      <c r="C2988" s="5" t="str">
        <f t="array" ref="C2988">IF(B2988="","",INDEX(helper!$D$3:$D3996,MOD(ROW()-2,COUNTA(helper!$D$3:$D3996))+1))</f>
        <v/>
      </c>
      <c r="D2988" s="3" t="str">
        <f t="array" ref="D2988">IF(B2988="","",INDEX(helper!$E$3:$E3996,MOD(ROW()-2,COUNTA(helper!$D$3:$D3996))+1))</f>
        <v/>
      </c>
      <c r="E2988" s="3" t="str">
        <f t="array" ref="E2988">IF(B2988="","",INDEX(helper!$F$3:$F3996,MOD(ROW()-2,COUNTA(helper!$D$3:$D3996))+1))</f>
        <v/>
      </c>
      <c r="F2988" s="3" t="str">
        <f>IF(B2988="","",SUMIFS('inventory ledger'!$H:$H,'inventory ledger'!$C:$C,C2988,'inventory ledger'!$D:$D,D2988,'inventory ledger'!$E:$E,E2988,'inventory ledger'!$A:$A,"&lt;="&amp;B2988+TIME(23,59,59))-SUMIFS('inventory ledger'!$I:$I,'inventory ledger'!$C:$C,C2988,'inventory ledger'!$D:$D,D2988,'inventory ledger'!$E:$E,E2988,'inventory ledger'!$A:$A,"&lt;="&amp;B2988+TIME(23,59,59)))</f>
        <v/>
      </c>
      <c r="G2988" s="3">
        <f>IFERROR(__xludf.DUMMYFUNCTION("IF(F2988&lt;=0,0,IFERROR(ROUNDUP(F2988/INDEX(FILTER('warehouse config'!$D:$D,('warehouse config'!$B:$B=C2988)*('warehouse config'!$C:$C=D2988)*('warehouse config'!$G:$G&lt;=B2988)*(('warehouse config'!$H:$H&gt;=B2988)+ISBLANK('warehouse config'!$H:$H))),1)),0))"),0.0)</f>
        <v>0</v>
      </c>
      <c r="H2988" s="3">
        <f>IFERROR(__xludf.DUMMYFUNCTION("IFERROR(INDEX(FILTER('cost master'!$E:$E,('cost master'!$B:$B=C2988)*('cost master'!$D:$D=""Storage cost per pallet / week"")*('cost master'!$G:$G&lt;=B2988)*(('cost master'!$H:$H&gt;=B2988)+ISBLANK('cost master'!$H:$H))),1),0)"),0.0)</f>
        <v>0</v>
      </c>
      <c r="I2988" s="3">
        <f t="shared" si="4"/>
        <v>0</v>
      </c>
      <c r="J2988" s="27">
        <f t="shared" si="5"/>
        <v>693947</v>
      </c>
      <c r="K2988" s="27">
        <f t="shared" si="6"/>
        <v>693977</v>
      </c>
    </row>
    <row r="2989" hidden="1">
      <c r="A2989" s="3" t="str">
        <f t="shared" si="3"/>
        <v/>
      </c>
      <c r="B2989" s="2" t="str">
        <f t="array" ref="B2989">INDEX(helper!$A$3:$A3996,ROUNDUP((ROW()-1)/COUNTA(helper!$D$3:$D3996),0))</f>
        <v/>
      </c>
      <c r="C2989" s="5" t="str">
        <f t="array" ref="C2989">IF(B2989="","",INDEX(helper!$D$3:$D3996,MOD(ROW()-2,COUNTA(helper!$D$3:$D3996))+1))</f>
        <v/>
      </c>
      <c r="D2989" s="3" t="str">
        <f t="array" ref="D2989">IF(B2989="","",INDEX(helper!$E$3:$E3996,MOD(ROW()-2,COUNTA(helper!$D$3:$D3996))+1))</f>
        <v/>
      </c>
      <c r="E2989" s="3" t="str">
        <f t="array" ref="E2989">IF(B2989="","",INDEX(helper!$F$3:$F3996,MOD(ROW()-2,COUNTA(helper!$D$3:$D3996))+1))</f>
        <v/>
      </c>
      <c r="F2989" s="3" t="str">
        <f>IF(B2989="","",SUMIFS('inventory ledger'!$H:$H,'inventory ledger'!$C:$C,C2989,'inventory ledger'!$D:$D,D2989,'inventory ledger'!$E:$E,E2989,'inventory ledger'!$A:$A,"&lt;="&amp;B2989+TIME(23,59,59))-SUMIFS('inventory ledger'!$I:$I,'inventory ledger'!$C:$C,C2989,'inventory ledger'!$D:$D,D2989,'inventory ledger'!$E:$E,E2989,'inventory ledger'!$A:$A,"&lt;="&amp;B2989+TIME(23,59,59)))</f>
        <v/>
      </c>
      <c r="G2989" s="3">
        <f>IFERROR(__xludf.DUMMYFUNCTION("IF(F2989&lt;=0,0,IFERROR(ROUNDUP(F2989/INDEX(FILTER('warehouse config'!$D:$D,('warehouse config'!$B:$B=C2989)*('warehouse config'!$C:$C=D2989)*('warehouse config'!$G:$G&lt;=B2989)*(('warehouse config'!$H:$H&gt;=B2989)+ISBLANK('warehouse config'!$H:$H))),1)),0))"),0.0)</f>
        <v>0</v>
      </c>
      <c r="H2989" s="3">
        <f>IFERROR(__xludf.DUMMYFUNCTION("IFERROR(INDEX(FILTER('cost master'!$E:$E,('cost master'!$B:$B=C2989)*('cost master'!$D:$D=""Storage cost per pallet / week"")*('cost master'!$G:$G&lt;=B2989)*(('cost master'!$H:$H&gt;=B2989)+ISBLANK('cost master'!$H:$H))),1),0)"),0.0)</f>
        <v>0</v>
      </c>
      <c r="I2989" s="3">
        <f t="shared" si="4"/>
        <v>0</v>
      </c>
      <c r="J2989" s="27">
        <f t="shared" si="5"/>
        <v>693947</v>
      </c>
      <c r="K2989" s="27">
        <f t="shared" si="6"/>
        <v>693977</v>
      </c>
    </row>
    <row r="2990" hidden="1">
      <c r="A2990" s="3" t="str">
        <f t="shared" si="3"/>
        <v/>
      </c>
      <c r="B2990" s="2" t="str">
        <f t="array" ref="B2990">INDEX(helper!$A$3:$A3996,ROUNDUP((ROW()-1)/COUNTA(helper!$D$3:$D3996),0))</f>
        <v/>
      </c>
      <c r="C2990" s="5" t="str">
        <f t="array" ref="C2990">IF(B2990="","",INDEX(helper!$D$3:$D3996,MOD(ROW()-2,COUNTA(helper!$D$3:$D3996))+1))</f>
        <v/>
      </c>
      <c r="D2990" s="3" t="str">
        <f t="array" ref="D2990">IF(B2990="","",INDEX(helper!$E$3:$E3996,MOD(ROW()-2,COUNTA(helper!$D$3:$D3996))+1))</f>
        <v/>
      </c>
      <c r="E2990" s="3" t="str">
        <f t="array" ref="E2990">IF(B2990="","",INDEX(helper!$F$3:$F3996,MOD(ROW()-2,COUNTA(helper!$D$3:$D3996))+1))</f>
        <v/>
      </c>
      <c r="F2990" s="3" t="str">
        <f>IF(B2990="","",SUMIFS('inventory ledger'!$H:$H,'inventory ledger'!$C:$C,C2990,'inventory ledger'!$D:$D,D2990,'inventory ledger'!$E:$E,E2990,'inventory ledger'!$A:$A,"&lt;="&amp;B2990+TIME(23,59,59))-SUMIFS('inventory ledger'!$I:$I,'inventory ledger'!$C:$C,C2990,'inventory ledger'!$D:$D,D2990,'inventory ledger'!$E:$E,E2990,'inventory ledger'!$A:$A,"&lt;="&amp;B2990+TIME(23,59,59)))</f>
        <v/>
      </c>
      <c r="G2990" s="3">
        <f>IFERROR(__xludf.DUMMYFUNCTION("IF(F2990&lt;=0,0,IFERROR(ROUNDUP(F2990/INDEX(FILTER('warehouse config'!$D:$D,('warehouse config'!$B:$B=C2990)*('warehouse config'!$C:$C=D2990)*('warehouse config'!$G:$G&lt;=B2990)*(('warehouse config'!$H:$H&gt;=B2990)+ISBLANK('warehouse config'!$H:$H))),1)),0))"),0.0)</f>
        <v>0</v>
      </c>
      <c r="H2990" s="3">
        <f>IFERROR(__xludf.DUMMYFUNCTION("IFERROR(INDEX(FILTER('cost master'!$E:$E,('cost master'!$B:$B=C2990)*('cost master'!$D:$D=""Storage cost per pallet / week"")*('cost master'!$G:$G&lt;=B2990)*(('cost master'!$H:$H&gt;=B2990)+ISBLANK('cost master'!$H:$H))),1),0)"),0.0)</f>
        <v>0</v>
      </c>
      <c r="I2990" s="3">
        <f t="shared" si="4"/>
        <v>0</v>
      </c>
      <c r="J2990" s="27">
        <f t="shared" si="5"/>
        <v>693947</v>
      </c>
      <c r="K2990" s="27">
        <f t="shared" si="6"/>
        <v>693977</v>
      </c>
    </row>
    <row r="2991" hidden="1">
      <c r="A2991" s="3" t="str">
        <f t="shared" si="3"/>
        <v/>
      </c>
      <c r="B2991" s="2" t="str">
        <f t="array" ref="B2991">INDEX(helper!$A$3:$A3996,ROUNDUP((ROW()-1)/COUNTA(helper!$D$3:$D3996),0))</f>
        <v/>
      </c>
      <c r="C2991" s="5" t="str">
        <f t="array" ref="C2991">IF(B2991="","",INDEX(helper!$D$3:$D3996,MOD(ROW()-2,COUNTA(helper!$D$3:$D3996))+1))</f>
        <v/>
      </c>
      <c r="D2991" s="3" t="str">
        <f t="array" ref="D2991">IF(B2991="","",INDEX(helper!$E$3:$E3996,MOD(ROW()-2,COUNTA(helper!$D$3:$D3996))+1))</f>
        <v/>
      </c>
      <c r="E2991" s="3" t="str">
        <f t="array" ref="E2991">IF(B2991="","",INDEX(helper!$F$3:$F3996,MOD(ROW()-2,COUNTA(helper!$D$3:$D3996))+1))</f>
        <v/>
      </c>
      <c r="F2991" s="3" t="str">
        <f>IF(B2991="","",SUMIFS('inventory ledger'!$H:$H,'inventory ledger'!$C:$C,C2991,'inventory ledger'!$D:$D,D2991,'inventory ledger'!$E:$E,E2991,'inventory ledger'!$A:$A,"&lt;="&amp;B2991+TIME(23,59,59))-SUMIFS('inventory ledger'!$I:$I,'inventory ledger'!$C:$C,C2991,'inventory ledger'!$D:$D,D2991,'inventory ledger'!$E:$E,E2991,'inventory ledger'!$A:$A,"&lt;="&amp;B2991+TIME(23,59,59)))</f>
        <v/>
      </c>
      <c r="G2991" s="3">
        <f>IFERROR(__xludf.DUMMYFUNCTION("IF(F2991&lt;=0,0,IFERROR(ROUNDUP(F2991/INDEX(FILTER('warehouse config'!$D:$D,('warehouse config'!$B:$B=C2991)*('warehouse config'!$C:$C=D2991)*('warehouse config'!$G:$G&lt;=B2991)*(('warehouse config'!$H:$H&gt;=B2991)+ISBLANK('warehouse config'!$H:$H))),1)),0))"),0.0)</f>
        <v>0</v>
      </c>
      <c r="H2991" s="3">
        <f>IFERROR(__xludf.DUMMYFUNCTION("IFERROR(INDEX(FILTER('cost master'!$E:$E,('cost master'!$B:$B=C2991)*('cost master'!$D:$D=""Storage cost per pallet / week"")*('cost master'!$G:$G&lt;=B2991)*(('cost master'!$H:$H&gt;=B2991)+ISBLANK('cost master'!$H:$H))),1),0)"),0.0)</f>
        <v>0</v>
      </c>
      <c r="I2991" s="3">
        <f t="shared" si="4"/>
        <v>0</v>
      </c>
      <c r="J2991" s="27">
        <f t="shared" si="5"/>
        <v>693947</v>
      </c>
      <c r="K2991" s="27">
        <f t="shared" si="6"/>
        <v>693977</v>
      </c>
    </row>
    <row r="2992" hidden="1">
      <c r="A2992" s="3" t="str">
        <f t="shared" si="3"/>
        <v/>
      </c>
      <c r="B2992" s="2" t="str">
        <f t="array" ref="B2992">INDEX(helper!$A$3:$A3996,ROUNDUP((ROW()-1)/COUNTA(helper!$D$3:$D3996),0))</f>
        <v/>
      </c>
      <c r="C2992" s="5" t="str">
        <f t="array" ref="C2992">IF(B2992="","",INDEX(helper!$D$3:$D3996,MOD(ROW()-2,COUNTA(helper!$D$3:$D3996))+1))</f>
        <v/>
      </c>
      <c r="D2992" s="3" t="str">
        <f t="array" ref="D2992">IF(B2992="","",INDEX(helper!$E$3:$E3996,MOD(ROW()-2,COUNTA(helper!$D$3:$D3996))+1))</f>
        <v/>
      </c>
      <c r="E2992" s="3" t="str">
        <f t="array" ref="E2992">IF(B2992="","",INDEX(helper!$F$3:$F3996,MOD(ROW()-2,COUNTA(helper!$D$3:$D3996))+1))</f>
        <v/>
      </c>
      <c r="F2992" s="3" t="str">
        <f>IF(B2992="","",SUMIFS('inventory ledger'!$H:$H,'inventory ledger'!$C:$C,C2992,'inventory ledger'!$D:$D,D2992,'inventory ledger'!$E:$E,E2992,'inventory ledger'!$A:$A,"&lt;="&amp;B2992+TIME(23,59,59))-SUMIFS('inventory ledger'!$I:$I,'inventory ledger'!$C:$C,C2992,'inventory ledger'!$D:$D,D2992,'inventory ledger'!$E:$E,E2992,'inventory ledger'!$A:$A,"&lt;="&amp;B2992+TIME(23,59,59)))</f>
        <v/>
      </c>
      <c r="G2992" s="3">
        <f>IFERROR(__xludf.DUMMYFUNCTION("IF(F2992&lt;=0,0,IFERROR(ROUNDUP(F2992/INDEX(FILTER('warehouse config'!$D:$D,('warehouse config'!$B:$B=C2992)*('warehouse config'!$C:$C=D2992)*('warehouse config'!$G:$G&lt;=B2992)*(('warehouse config'!$H:$H&gt;=B2992)+ISBLANK('warehouse config'!$H:$H))),1)),0))"),0.0)</f>
        <v>0</v>
      </c>
      <c r="H2992" s="3">
        <f>IFERROR(__xludf.DUMMYFUNCTION("IFERROR(INDEX(FILTER('cost master'!$E:$E,('cost master'!$B:$B=C2992)*('cost master'!$D:$D=""Storage cost per pallet / week"")*('cost master'!$G:$G&lt;=B2992)*(('cost master'!$H:$H&gt;=B2992)+ISBLANK('cost master'!$H:$H))),1),0)"),0.0)</f>
        <v>0</v>
      </c>
      <c r="I2992" s="3">
        <f t="shared" si="4"/>
        <v>0</v>
      </c>
      <c r="J2992" s="27">
        <f t="shared" si="5"/>
        <v>693947</v>
      </c>
      <c r="K2992" s="27">
        <f t="shared" si="6"/>
        <v>693977</v>
      </c>
    </row>
    <row r="2993" hidden="1">
      <c r="A2993" s="3" t="str">
        <f t="shared" si="3"/>
        <v/>
      </c>
      <c r="B2993" s="2" t="str">
        <f t="array" ref="B2993">INDEX(helper!$A$3:$A3996,ROUNDUP((ROW()-1)/COUNTA(helper!$D$3:$D3996),0))</f>
        <v/>
      </c>
      <c r="C2993" s="5" t="str">
        <f t="array" ref="C2993">IF(B2993="","",INDEX(helper!$D$3:$D3996,MOD(ROW()-2,COUNTA(helper!$D$3:$D3996))+1))</f>
        <v/>
      </c>
      <c r="D2993" s="3" t="str">
        <f t="array" ref="D2993">IF(B2993="","",INDEX(helper!$E$3:$E3996,MOD(ROW()-2,COUNTA(helper!$D$3:$D3996))+1))</f>
        <v/>
      </c>
      <c r="E2993" s="3" t="str">
        <f t="array" ref="E2993">IF(B2993="","",INDEX(helper!$F$3:$F3996,MOD(ROW()-2,COUNTA(helper!$D$3:$D3996))+1))</f>
        <v/>
      </c>
      <c r="F2993" s="3" t="str">
        <f>IF(B2993="","",SUMIFS('inventory ledger'!$H:$H,'inventory ledger'!$C:$C,C2993,'inventory ledger'!$D:$D,D2993,'inventory ledger'!$E:$E,E2993,'inventory ledger'!$A:$A,"&lt;="&amp;B2993+TIME(23,59,59))-SUMIFS('inventory ledger'!$I:$I,'inventory ledger'!$C:$C,C2993,'inventory ledger'!$D:$D,D2993,'inventory ledger'!$E:$E,E2993,'inventory ledger'!$A:$A,"&lt;="&amp;B2993+TIME(23,59,59)))</f>
        <v/>
      </c>
      <c r="G2993" s="3">
        <f>IFERROR(__xludf.DUMMYFUNCTION("IF(F2993&lt;=0,0,IFERROR(ROUNDUP(F2993/INDEX(FILTER('warehouse config'!$D:$D,('warehouse config'!$B:$B=C2993)*('warehouse config'!$C:$C=D2993)*('warehouse config'!$G:$G&lt;=B2993)*(('warehouse config'!$H:$H&gt;=B2993)+ISBLANK('warehouse config'!$H:$H))),1)),0))"),0.0)</f>
        <v>0</v>
      </c>
      <c r="H2993" s="3">
        <f>IFERROR(__xludf.DUMMYFUNCTION("IFERROR(INDEX(FILTER('cost master'!$E:$E,('cost master'!$B:$B=C2993)*('cost master'!$D:$D=""Storage cost per pallet / week"")*('cost master'!$G:$G&lt;=B2993)*(('cost master'!$H:$H&gt;=B2993)+ISBLANK('cost master'!$H:$H))),1),0)"),0.0)</f>
        <v>0</v>
      </c>
      <c r="I2993" s="3">
        <f t="shared" si="4"/>
        <v>0</v>
      </c>
      <c r="J2993" s="27">
        <f t="shared" si="5"/>
        <v>693947</v>
      </c>
      <c r="K2993" s="27">
        <f t="shared" si="6"/>
        <v>693977</v>
      </c>
    </row>
    <row r="2994" hidden="1">
      <c r="A2994" s="3" t="str">
        <f t="shared" si="3"/>
        <v/>
      </c>
      <c r="B2994" s="2" t="str">
        <f t="array" ref="B2994">INDEX(helper!$A$3:$A3996,ROUNDUP((ROW()-1)/COUNTA(helper!$D$3:$D3996),0))</f>
        <v/>
      </c>
      <c r="C2994" s="5" t="str">
        <f t="array" ref="C2994">IF(B2994="","",INDEX(helper!$D$3:$D3996,MOD(ROW()-2,COUNTA(helper!$D$3:$D3996))+1))</f>
        <v/>
      </c>
      <c r="D2994" s="3" t="str">
        <f t="array" ref="D2994">IF(B2994="","",INDEX(helper!$E$3:$E3996,MOD(ROW()-2,COUNTA(helper!$D$3:$D3996))+1))</f>
        <v/>
      </c>
      <c r="E2994" s="3" t="str">
        <f t="array" ref="E2994">IF(B2994="","",INDEX(helper!$F$3:$F3996,MOD(ROW()-2,COUNTA(helper!$D$3:$D3996))+1))</f>
        <v/>
      </c>
      <c r="F2994" s="3" t="str">
        <f>IF(B2994="","",SUMIFS('inventory ledger'!$H:$H,'inventory ledger'!$C:$C,C2994,'inventory ledger'!$D:$D,D2994,'inventory ledger'!$E:$E,E2994,'inventory ledger'!$A:$A,"&lt;="&amp;B2994+TIME(23,59,59))-SUMIFS('inventory ledger'!$I:$I,'inventory ledger'!$C:$C,C2994,'inventory ledger'!$D:$D,D2994,'inventory ledger'!$E:$E,E2994,'inventory ledger'!$A:$A,"&lt;="&amp;B2994+TIME(23,59,59)))</f>
        <v/>
      </c>
      <c r="G2994" s="3">
        <f>IFERROR(__xludf.DUMMYFUNCTION("IF(F2994&lt;=0,0,IFERROR(ROUNDUP(F2994/INDEX(FILTER('warehouse config'!$D:$D,('warehouse config'!$B:$B=C2994)*('warehouse config'!$C:$C=D2994)*('warehouse config'!$G:$G&lt;=B2994)*(('warehouse config'!$H:$H&gt;=B2994)+ISBLANK('warehouse config'!$H:$H))),1)),0))"),0.0)</f>
        <v>0</v>
      </c>
      <c r="H2994" s="3">
        <f>IFERROR(__xludf.DUMMYFUNCTION("IFERROR(INDEX(FILTER('cost master'!$E:$E,('cost master'!$B:$B=C2994)*('cost master'!$D:$D=""Storage cost per pallet / week"")*('cost master'!$G:$G&lt;=B2994)*(('cost master'!$H:$H&gt;=B2994)+ISBLANK('cost master'!$H:$H))),1),0)"),0.0)</f>
        <v>0</v>
      </c>
      <c r="I2994" s="3">
        <f t="shared" si="4"/>
        <v>0</v>
      </c>
      <c r="J2994" s="27">
        <f t="shared" si="5"/>
        <v>693947</v>
      </c>
      <c r="K2994" s="27">
        <f t="shared" si="6"/>
        <v>693977</v>
      </c>
    </row>
    <row r="2995" hidden="1">
      <c r="A2995" s="3" t="str">
        <f t="shared" si="3"/>
        <v/>
      </c>
      <c r="B2995" s="2" t="str">
        <f t="array" ref="B2995">INDEX(helper!$A$3:$A3996,ROUNDUP((ROW()-1)/COUNTA(helper!$D$3:$D3996),0))</f>
        <v/>
      </c>
      <c r="C2995" s="5" t="str">
        <f t="array" ref="C2995">IF(B2995="","",INDEX(helper!$D$3:$D3996,MOD(ROW()-2,COUNTA(helper!$D$3:$D3996))+1))</f>
        <v/>
      </c>
      <c r="D2995" s="3" t="str">
        <f t="array" ref="D2995">IF(B2995="","",INDEX(helper!$E$3:$E3996,MOD(ROW()-2,COUNTA(helper!$D$3:$D3996))+1))</f>
        <v/>
      </c>
      <c r="E2995" s="3" t="str">
        <f t="array" ref="E2995">IF(B2995="","",INDEX(helper!$F$3:$F3996,MOD(ROW()-2,COUNTA(helper!$D$3:$D3996))+1))</f>
        <v/>
      </c>
      <c r="F2995" s="3" t="str">
        <f>IF(B2995="","",SUMIFS('inventory ledger'!$H:$H,'inventory ledger'!$C:$C,C2995,'inventory ledger'!$D:$D,D2995,'inventory ledger'!$E:$E,E2995,'inventory ledger'!$A:$A,"&lt;="&amp;B2995+TIME(23,59,59))-SUMIFS('inventory ledger'!$I:$I,'inventory ledger'!$C:$C,C2995,'inventory ledger'!$D:$D,D2995,'inventory ledger'!$E:$E,E2995,'inventory ledger'!$A:$A,"&lt;="&amp;B2995+TIME(23,59,59)))</f>
        <v/>
      </c>
      <c r="G2995" s="3">
        <f>IFERROR(__xludf.DUMMYFUNCTION("IF(F2995&lt;=0,0,IFERROR(ROUNDUP(F2995/INDEX(FILTER('warehouse config'!$D:$D,('warehouse config'!$B:$B=C2995)*('warehouse config'!$C:$C=D2995)*('warehouse config'!$G:$G&lt;=B2995)*(('warehouse config'!$H:$H&gt;=B2995)+ISBLANK('warehouse config'!$H:$H))),1)),0))"),0.0)</f>
        <v>0</v>
      </c>
      <c r="H2995" s="3">
        <f>IFERROR(__xludf.DUMMYFUNCTION("IFERROR(INDEX(FILTER('cost master'!$E:$E,('cost master'!$B:$B=C2995)*('cost master'!$D:$D=""Storage cost per pallet / week"")*('cost master'!$G:$G&lt;=B2995)*(('cost master'!$H:$H&gt;=B2995)+ISBLANK('cost master'!$H:$H))),1),0)"),0.0)</f>
        <v>0</v>
      </c>
      <c r="I2995" s="3">
        <f t="shared" si="4"/>
        <v>0</v>
      </c>
      <c r="J2995" s="27">
        <f t="shared" si="5"/>
        <v>693947</v>
      </c>
      <c r="K2995" s="27">
        <f t="shared" si="6"/>
        <v>693977</v>
      </c>
    </row>
    <row r="2996" hidden="1">
      <c r="A2996" s="3" t="str">
        <f t="shared" si="3"/>
        <v/>
      </c>
      <c r="B2996" s="2" t="str">
        <f t="array" ref="B2996">INDEX(helper!$A$3:$A3996,ROUNDUP((ROW()-1)/COUNTA(helper!$D$3:$D3996),0))</f>
        <v/>
      </c>
      <c r="C2996" s="5" t="str">
        <f t="array" ref="C2996">IF(B2996="","",INDEX(helper!$D$3:$D3996,MOD(ROW()-2,COUNTA(helper!$D$3:$D3996))+1))</f>
        <v/>
      </c>
      <c r="D2996" s="3" t="str">
        <f t="array" ref="D2996">IF(B2996="","",INDEX(helper!$E$3:$E3996,MOD(ROW()-2,COUNTA(helper!$D$3:$D3996))+1))</f>
        <v/>
      </c>
      <c r="E2996" s="3" t="str">
        <f t="array" ref="E2996">IF(B2996="","",INDEX(helper!$F$3:$F3996,MOD(ROW()-2,COUNTA(helper!$D$3:$D3996))+1))</f>
        <v/>
      </c>
      <c r="F2996" s="3" t="str">
        <f>IF(B2996="","",SUMIFS('inventory ledger'!$H:$H,'inventory ledger'!$C:$C,C2996,'inventory ledger'!$D:$D,D2996,'inventory ledger'!$E:$E,E2996,'inventory ledger'!$A:$A,"&lt;="&amp;B2996+TIME(23,59,59))-SUMIFS('inventory ledger'!$I:$I,'inventory ledger'!$C:$C,C2996,'inventory ledger'!$D:$D,D2996,'inventory ledger'!$E:$E,E2996,'inventory ledger'!$A:$A,"&lt;="&amp;B2996+TIME(23,59,59)))</f>
        <v/>
      </c>
      <c r="G2996" s="3">
        <f>IFERROR(__xludf.DUMMYFUNCTION("IF(F2996&lt;=0,0,IFERROR(ROUNDUP(F2996/INDEX(FILTER('warehouse config'!$D:$D,('warehouse config'!$B:$B=C2996)*('warehouse config'!$C:$C=D2996)*('warehouse config'!$G:$G&lt;=B2996)*(('warehouse config'!$H:$H&gt;=B2996)+ISBLANK('warehouse config'!$H:$H))),1)),0))"),0.0)</f>
        <v>0</v>
      </c>
      <c r="H2996" s="3">
        <f>IFERROR(__xludf.DUMMYFUNCTION("IFERROR(INDEX(FILTER('cost master'!$E:$E,('cost master'!$B:$B=C2996)*('cost master'!$D:$D=""Storage cost per pallet / week"")*('cost master'!$G:$G&lt;=B2996)*(('cost master'!$H:$H&gt;=B2996)+ISBLANK('cost master'!$H:$H))),1),0)"),0.0)</f>
        <v>0</v>
      </c>
      <c r="I2996" s="3">
        <f t="shared" si="4"/>
        <v>0</v>
      </c>
      <c r="J2996" s="27">
        <f t="shared" si="5"/>
        <v>693947</v>
      </c>
      <c r="K2996" s="27">
        <f t="shared" si="6"/>
        <v>693977</v>
      </c>
    </row>
    <row r="2997" hidden="1">
      <c r="A2997" s="3" t="str">
        <f t="shared" si="3"/>
        <v/>
      </c>
      <c r="B2997" s="2" t="str">
        <f t="array" ref="B2997">INDEX(helper!$A$3:$A3996,ROUNDUP((ROW()-1)/COUNTA(helper!$D$3:$D3996),0))</f>
        <v/>
      </c>
      <c r="C2997" s="5" t="str">
        <f t="array" ref="C2997">IF(B2997="","",INDEX(helper!$D$3:$D3996,MOD(ROW()-2,COUNTA(helper!$D$3:$D3996))+1))</f>
        <v/>
      </c>
      <c r="D2997" s="3" t="str">
        <f t="array" ref="D2997">IF(B2997="","",INDEX(helper!$E$3:$E3996,MOD(ROW()-2,COUNTA(helper!$D$3:$D3996))+1))</f>
        <v/>
      </c>
      <c r="E2997" s="3" t="str">
        <f t="array" ref="E2997">IF(B2997="","",INDEX(helper!$F$3:$F3996,MOD(ROW()-2,COUNTA(helper!$D$3:$D3996))+1))</f>
        <v/>
      </c>
      <c r="F2997" s="3" t="str">
        <f>IF(B2997="","",SUMIFS('inventory ledger'!$H:$H,'inventory ledger'!$C:$C,C2997,'inventory ledger'!$D:$D,D2997,'inventory ledger'!$E:$E,E2997,'inventory ledger'!$A:$A,"&lt;="&amp;B2997+TIME(23,59,59))-SUMIFS('inventory ledger'!$I:$I,'inventory ledger'!$C:$C,C2997,'inventory ledger'!$D:$D,D2997,'inventory ledger'!$E:$E,E2997,'inventory ledger'!$A:$A,"&lt;="&amp;B2997+TIME(23,59,59)))</f>
        <v/>
      </c>
      <c r="G2997" s="3">
        <f>IFERROR(__xludf.DUMMYFUNCTION("IF(F2997&lt;=0,0,IFERROR(ROUNDUP(F2997/INDEX(FILTER('warehouse config'!$D:$D,('warehouse config'!$B:$B=C2997)*('warehouse config'!$C:$C=D2997)*('warehouse config'!$G:$G&lt;=B2997)*(('warehouse config'!$H:$H&gt;=B2997)+ISBLANK('warehouse config'!$H:$H))),1)),0))"),0.0)</f>
        <v>0</v>
      </c>
      <c r="H2997" s="3">
        <f>IFERROR(__xludf.DUMMYFUNCTION("IFERROR(INDEX(FILTER('cost master'!$E:$E,('cost master'!$B:$B=C2997)*('cost master'!$D:$D=""Storage cost per pallet / week"")*('cost master'!$G:$G&lt;=B2997)*(('cost master'!$H:$H&gt;=B2997)+ISBLANK('cost master'!$H:$H))),1),0)"),0.0)</f>
        <v>0</v>
      </c>
      <c r="I2997" s="3">
        <f t="shared" si="4"/>
        <v>0</v>
      </c>
      <c r="J2997" s="27">
        <f t="shared" si="5"/>
        <v>693947</v>
      </c>
      <c r="K2997" s="27">
        <f t="shared" si="6"/>
        <v>693977</v>
      </c>
    </row>
    <row r="2998" hidden="1">
      <c r="A2998" s="3" t="str">
        <f t="shared" si="3"/>
        <v/>
      </c>
      <c r="B2998" s="2" t="str">
        <f t="array" ref="B2998">INDEX(helper!$A$3:$A3996,ROUNDUP((ROW()-1)/COUNTA(helper!$D$3:$D3996),0))</f>
        <v/>
      </c>
      <c r="C2998" s="5" t="str">
        <f t="array" ref="C2998">IF(B2998="","",INDEX(helper!$D$3:$D3996,MOD(ROW()-2,COUNTA(helper!$D$3:$D3996))+1))</f>
        <v/>
      </c>
      <c r="D2998" s="3" t="str">
        <f t="array" ref="D2998">IF(B2998="","",INDEX(helper!$E$3:$E3996,MOD(ROW()-2,COUNTA(helper!$D$3:$D3996))+1))</f>
        <v/>
      </c>
      <c r="E2998" s="3" t="str">
        <f t="array" ref="E2998">IF(B2998="","",INDEX(helper!$F$3:$F3996,MOD(ROW()-2,COUNTA(helper!$D$3:$D3996))+1))</f>
        <v/>
      </c>
      <c r="F2998" s="3" t="str">
        <f>IF(B2998="","",SUMIFS('inventory ledger'!$H:$H,'inventory ledger'!$C:$C,C2998,'inventory ledger'!$D:$D,D2998,'inventory ledger'!$E:$E,E2998,'inventory ledger'!$A:$A,"&lt;="&amp;B2998+TIME(23,59,59))-SUMIFS('inventory ledger'!$I:$I,'inventory ledger'!$C:$C,C2998,'inventory ledger'!$D:$D,D2998,'inventory ledger'!$E:$E,E2998,'inventory ledger'!$A:$A,"&lt;="&amp;B2998+TIME(23,59,59)))</f>
        <v/>
      </c>
      <c r="G2998" s="3">
        <f>IFERROR(__xludf.DUMMYFUNCTION("IF(F2998&lt;=0,0,IFERROR(ROUNDUP(F2998/INDEX(FILTER('warehouse config'!$D:$D,('warehouse config'!$B:$B=C2998)*('warehouse config'!$C:$C=D2998)*('warehouse config'!$G:$G&lt;=B2998)*(('warehouse config'!$H:$H&gt;=B2998)+ISBLANK('warehouse config'!$H:$H))),1)),0))"),0.0)</f>
        <v>0</v>
      </c>
      <c r="H2998" s="3">
        <f>IFERROR(__xludf.DUMMYFUNCTION("IFERROR(INDEX(FILTER('cost master'!$E:$E,('cost master'!$B:$B=C2998)*('cost master'!$D:$D=""Storage cost per pallet / week"")*('cost master'!$G:$G&lt;=B2998)*(('cost master'!$H:$H&gt;=B2998)+ISBLANK('cost master'!$H:$H))),1),0)"),0.0)</f>
        <v>0</v>
      </c>
      <c r="I2998" s="3">
        <f t="shared" si="4"/>
        <v>0</v>
      </c>
      <c r="J2998" s="27">
        <f t="shared" si="5"/>
        <v>693947</v>
      </c>
      <c r="K2998" s="27">
        <f t="shared" si="6"/>
        <v>693977</v>
      </c>
    </row>
    <row r="2999" hidden="1">
      <c r="A2999" s="3" t="str">
        <f t="shared" si="3"/>
        <v/>
      </c>
      <c r="B2999" s="2" t="str">
        <f t="array" ref="B2999">INDEX(helper!$A$3:$A3996,ROUNDUP((ROW()-1)/COUNTA(helper!$D$3:$D3996),0))</f>
        <v/>
      </c>
      <c r="C2999" s="5" t="str">
        <f t="array" ref="C2999">IF(B2999="","",INDEX(helper!$D$3:$D3996,MOD(ROW()-2,COUNTA(helper!$D$3:$D3996))+1))</f>
        <v/>
      </c>
      <c r="D2999" s="3" t="str">
        <f t="array" ref="D2999">IF(B2999="","",INDEX(helper!$E$3:$E3996,MOD(ROW()-2,COUNTA(helper!$D$3:$D3996))+1))</f>
        <v/>
      </c>
      <c r="E2999" s="3" t="str">
        <f t="array" ref="E2999">IF(B2999="","",INDEX(helper!$F$3:$F3996,MOD(ROW()-2,COUNTA(helper!$D$3:$D3996))+1))</f>
        <v/>
      </c>
      <c r="F2999" s="3" t="str">
        <f>IF(B2999="","",SUMIFS('inventory ledger'!$H:$H,'inventory ledger'!$C:$C,C2999,'inventory ledger'!$D:$D,D2999,'inventory ledger'!$E:$E,E2999,'inventory ledger'!$A:$A,"&lt;="&amp;B2999+TIME(23,59,59))-SUMIFS('inventory ledger'!$I:$I,'inventory ledger'!$C:$C,C2999,'inventory ledger'!$D:$D,D2999,'inventory ledger'!$E:$E,E2999,'inventory ledger'!$A:$A,"&lt;="&amp;B2999+TIME(23,59,59)))</f>
        <v/>
      </c>
      <c r="G2999" s="3">
        <f>IFERROR(__xludf.DUMMYFUNCTION("IF(F2999&lt;=0,0,IFERROR(ROUNDUP(F2999/INDEX(FILTER('warehouse config'!$D:$D,('warehouse config'!$B:$B=C2999)*('warehouse config'!$C:$C=D2999)*('warehouse config'!$G:$G&lt;=B2999)*(('warehouse config'!$H:$H&gt;=B2999)+ISBLANK('warehouse config'!$H:$H))),1)),0))"),0.0)</f>
        <v>0</v>
      </c>
      <c r="H2999" s="3">
        <f>IFERROR(__xludf.DUMMYFUNCTION("IFERROR(INDEX(FILTER('cost master'!$E:$E,('cost master'!$B:$B=C2999)*('cost master'!$D:$D=""Storage cost per pallet / week"")*('cost master'!$G:$G&lt;=B2999)*(('cost master'!$H:$H&gt;=B2999)+ISBLANK('cost master'!$H:$H))),1),0)"),0.0)</f>
        <v>0</v>
      </c>
      <c r="I2999" s="3">
        <f t="shared" si="4"/>
        <v>0</v>
      </c>
      <c r="J2999" s="27">
        <f t="shared" si="5"/>
        <v>693947</v>
      </c>
      <c r="K2999" s="27">
        <f t="shared" si="6"/>
        <v>693977</v>
      </c>
    </row>
    <row r="3000" hidden="1">
      <c r="A3000" s="3" t="str">
        <f t="shared" si="3"/>
        <v/>
      </c>
      <c r="B3000" s="2" t="str">
        <f t="array" ref="B3000">INDEX(helper!$A$3:$A3996,ROUNDUP((ROW()-1)/COUNTA(helper!$D$3:$D3996),0))</f>
        <v/>
      </c>
      <c r="C3000" s="5" t="str">
        <f t="array" ref="C3000">IF(B3000="","",INDEX(helper!$D$3:$D3996,MOD(ROW()-2,COUNTA(helper!$D$3:$D3996))+1))</f>
        <v/>
      </c>
      <c r="D3000" s="3" t="str">
        <f t="array" ref="D3000">IF(B3000="","",INDEX(helper!$E$3:$E3996,MOD(ROW()-2,COUNTA(helper!$D$3:$D3996))+1))</f>
        <v/>
      </c>
      <c r="E3000" s="3" t="str">
        <f t="array" ref="E3000">IF(B3000="","",INDEX(helper!$F$3:$F3996,MOD(ROW()-2,COUNTA(helper!$D$3:$D3996))+1))</f>
        <v/>
      </c>
      <c r="F3000" s="3" t="str">
        <f>IF(B3000="","",SUMIFS('inventory ledger'!$H:$H,'inventory ledger'!$C:$C,C3000,'inventory ledger'!$D:$D,D3000,'inventory ledger'!$E:$E,E3000,'inventory ledger'!$A:$A,"&lt;="&amp;B3000+TIME(23,59,59))-SUMIFS('inventory ledger'!$I:$I,'inventory ledger'!$C:$C,C3000,'inventory ledger'!$D:$D,D3000,'inventory ledger'!$E:$E,E3000,'inventory ledger'!$A:$A,"&lt;="&amp;B3000+TIME(23,59,59)))</f>
        <v/>
      </c>
      <c r="G3000" s="3">
        <f>IFERROR(__xludf.DUMMYFUNCTION("IF(F3000&lt;=0,0,IFERROR(ROUNDUP(F3000/INDEX(FILTER('warehouse config'!$D:$D,('warehouse config'!$B:$B=C3000)*('warehouse config'!$C:$C=D3000)*('warehouse config'!$G:$G&lt;=B3000)*(('warehouse config'!$H:$H&gt;=B3000)+ISBLANK('warehouse config'!$H:$H))),1)),0))"),0.0)</f>
        <v>0</v>
      </c>
      <c r="H3000" s="3">
        <f>IFERROR(__xludf.DUMMYFUNCTION("IFERROR(INDEX(FILTER('cost master'!$E:$E,('cost master'!$B:$B=C3000)*('cost master'!$D:$D=""Storage cost per pallet / week"")*('cost master'!$G:$G&lt;=B3000)*(('cost master'!$H:$H&gt;=B3000)+ISBLANK('cost master'!$H:$H))),1),0)"),0.0)</f>
        <v>0</v>
      </c>
      <c r="I3000" s="3">
        <f t="shared" si="4"/>
        <v>0</v>
      </c>
      <c r="J3000" s="27">
        <f t="shared" si="5"/>
        <v>693947</v>
      </c>
      <c r="K3000" s="27">
        <f t="shared" si="6"/>
        <v>693977</v>
      </c>
    </row>
    <row r="3001" hidden="1">
      <c r="A3001" s="3" t="str">
        <f t="shared" si="3"/>
        <v/>
      </c>
      <c r="B3001" s="2" t="str">
        <f t="array" ref="B3001">INDEX(helper!$A$3:$A3996,ROUNDUP((ROW()-1)/COUNTA(helper!$D$3:$D3996),0))</f>
        <v/>
      </c>
      <c r="C3001" s="5" t="str">
        <f t="array" ref="C3001">IF(B3001="","",INDEX(helper!$D$3:$D3996,MOD(ROW()-2,COUNTA(helper!$D$3:$D3996))+1))</f>
        <v/>
      </c>
      <c r="D3001" s="3" t="str">
        <f t="array" ref="D3001">IF(B3001="","",INDEX(helper!$E$3:$E3996,MOD(ROW()-2,COUNTA(helper!$D$3:$D3996))+1))</f>
        <v/>
      </c>
      <c r="E3001" s="3" t="str">
        <f t="array" ref="E3001">IF(B3001="","",INDEX(helper!$F$3:$F3996,MOD(ROW()-2,COUNTA(helper!$D$3:$D3996))+1))</f>
        <v/>
      </c>
      <c r="F3001" s="3" t="str">
        <f>IF(B3001="","",SUMIFS('inventory ledger'!$H:$H,'inventory ledger'!$C:$C,C3001,'inventory ledger'!$D:$D,D3001,'inventory ledger'!$E:$E,E3001,'inventory ledger'!$A:$A,"&lt;="&amp;B3001+TIME(23,59,59))-SUMIFS('inventory ledger'!$I:$I,'inventory ledger'!$C:$C,C3001,'inventory ledger'!$D:$D,D3001,'inventory ledger'!$E:$E,E3001,'inventory ledger'!$A:$A,"&lt;="&amp;B3001+TIME(23,59,59)))</f>
        <v/>
      </c>
      <c r="G3001" s="3">
        <f>IFERROR(__xludf.DUMMYFUNCTION("IF(F3001&lt;=0,0,IFERROR(ROUNDUP(F3001/INDEX(FILTER('warehouse config'!$D:$D,('warehouse config'!$B:$B=C3001)*('warehouse config'!$C:$C=D3001)*('warehouse config'!$G:$G&lt;=B3001)*(('warehouse config'!$H:$H&gt;=B3001)+ISBLANK('warehouse config'!$H:$H))),1)),0))"),0.0)</f>
        <v>0</v>
      </c>
      <c r="H3001" s="3">
        <f>IFERROR(__xludf.DUMMYFUNCTION("IFERROR(INDEX(FILTER('cost master'!$E:$E,('cost master'!$B:$B=C3001)*('cost master'!$D:$D=""Storage cost per pallet / week"")*('cost master'!$G:$G&lt;=B3001)*(('cost master'!$H:$H&gt;=B3001)+ISBLANK('cost master'!$H:$H))),1),0)"),0.0)</f>
        <v>0</v>
      </c>
      <c r="I3001" s="3">
        <f t="shared" si="4"/>
        <v>0</v>
      </c>
      <c r="J3001" s="27">
        <f t="shared" si="5"/>
        <v>693947</v>
      </c>
      <c r="K3001" s="27">
        <f t="shared" si="6"/>
        <v>693977</v>
      </c>
    </row>
    <row r="3002" hidden="1">
      <c r="A3002" s="3" t="str">
        <f t="shared" si="3"/>
        <v/>
      </c>
      <c r="B3002" s="2" t="str">
        <f t="array" ref="B3002">INDEX(helper!$A$3:$A3996,ROUNDUP((ROW()-1)/COUNTA(helper!$D$3:$D3996),0))</f>
        <v/>
      </c>
      <c r="C3002" s="5" t="str">
        <f t="array" ref="C3002">IF(B3002="","",INDEX(helper!$D$3:$D3996,MOD(ROW()-2,COUNTA(helper!$D$3:$D3996))+1))</f>
        <v/>
      </c>
      <c r="D3002" s="3" t="str">
        <f t="array" ref="D3002">IF(B3002="","",INDEX(helper!$E$3:$E3996,MOD(ROW()-2,COUNTA(helper!$D$3:$D3996))+1))</f>
        <v/>
      </c>
      <c r="E3002" s="3" t="str">
        <f t="array" ref="E3002">IF(B3002="","",INDEX(helper!$F$3:$F3996,MOD(ROW()-2,COUNTA(helper!$D$3:$D3996))+1))</f>
        <v/>
      </c>
      <c r="F3002" s="3" t="str">
        <f>IF(B3002="","",SUMIFS('inventory ledger'!$H:$H,'inventory ledger'!$C:$C,C3002,'inventory ledger'!$D:$D,D3002,'inventory ledger'!$E:$E,E3002,'inventory ledger'!$A:$A,"&lt;="&amp;B3002+TIME(23,59,59))-SUMIFS('inventory ledger'!$I:$I,'inventory ledger'!$C:$C,C3002,'inventory ledger'!$D:$D,D3002,'inventory ledger'!$E:$E,E3002,'inventory ledger'!$A:$A,"&lt;="&amp;B3002+TIME(23,59,59)))</f>
        <v/>
      </c>
      <c r="G3002" s="3">
        <f>IFERROR(__xludf.DUMMYFUNCTION("IF(F3002&lt;=0,0,IFERROR(ROUNDUP(F3002/INDEX(FILTER('warehouse config'!$D:$D,('warehouse config'!$B:$B=C3002)*('warehouse config'!$C:$C=D3002)*('warehouse config'!$G:$G&lt;=B3002)*(('warehouse config'!$H:$H&gt;=B3002)+ISBLANK('warehouse config'!$H:$H))),1)),0))"),0.0)</f>
        <v>0</v>
      </c>
      <c r="H3002" s="3">
        <f>IFERROR(__xludf.DUMMYFUNCTION("IFERROR(INDEX(FILTER('cost master'!$E:$E,('cost master'!$B:$B=C3002)*('cost master'!$D:$D=""Storage cost per pallet / week"")*('cost master'!$G:$G&lt;=B3002)*(('cost master'!$H:$H&gt;=B3002)+ISBLANK('cost master'!$H:$H))),1),0)"),0.0)</f>
        <v>0</v>
      </c>
      <c r="I3002" s="3">
        <f t="shared" si="4"/>
        <v>0</v>
      </c>
      <c r="J3002" s="27">
        <f t="shared" si="5"/>
        <v>693947</v>
      </c>
      <c r="K3002" s="27">
        <f t="shared" si="6"/>
        <v>693977</v>
      </c>
    </row>
    <row r="3003" hidden="1">
      <c r="A3003" s="3" t="str">
        <f t="shared" si="3"/>
        <v/>
      </c>
      <c r="B3003" s="2" t="str">
        <f t="array" ref="B3003">INDEX(helper!$A$3:$A3996,ROUNDUP((ROW()-1)/COUNTA(helper!$D$3:$D3996),0))</f>
        <v/>
      </c>
      <c r="C3003" s="5" t="str">
        <f t="array" ref="C3003">IF(B3003="","",INDEX(helper!$D$3:$D3996,MOD(ROW()-2,COUNTA(helper!$D$3:$D3996))+1))</f>
        <v/>
      </c>
      <c r="D3003" s="3" t="str">
        <f t="array" ref="D3003">IF(B3003="","",INDEX(helper!$E$3:$E3996,MOD(ROW()-2,COUNTA(helper!$D$3:$D3996))+1))</f>
        <v/>
      </c>
      <c r="E3003" s="3" t="str">
        <f t="array" ref="E3003">IF(B3003="","",INDEX(helper!$F$3:$F3996,MOD(ROW()-2,COUNTA(helper!$D$3:$D3996))+1))</f>
        <v/>
      </c>
      <c r="F3003" s="3" t="str">
        <f>IF(B3003="","",SUMIFS('inventory ledger'!$H:$H,'inventory ledger'!$C:$C,C3003,'inventory ledger'!$D:$D,D3003,'inventory ledger'!$E:$E,E3003,'inventory ledger'!$A:$A,"&lt;="&amp;B3003+TIME(23,59,59))-SUMIFS('inventory ledger'!$I:$I,'inventory ledger'!$C:$C,C3003,'inventory ledger'!$D:$D,D3003,'inventory ledger'!$E:$E,E3003,'inventory ledger'!$A:$A,"&lt;="&amp;B3003+TIME(23,59,59)))</f>
        <v/>
      </c>
      <c r="G3003" s="3">
        <f>IFERROR(__xludf.DUMMYFUNCTION("IF(F3003&lt;=0,0,IFERROR(ROUNDUP(F3003/INDEX(FILTER('warehouse config'!$D:$D,('warehouse config'!$B:$B=C3003)*('warehouse config'!$C:$C=D3003)*('warehouse config'!$G:$G&lt;=B3003)*(('warehouse config'!$H:$H&gt;=B3003)+ISBLANK('warehouse config'!$H:$H))),1)),0))"),0.0)</f>
        <v>0</v>
      </c>
      <c r="H3003" s="3">
        <f>IFERROR(__xludf.DUMMYFUNCTION("IFERROR(INDEX(FILTER('cost master'!$E:$E,('cost master'!$B:$B=C3003)*('cost master'!$D:$D=""Storage cost per pallet / week"")*('cost master'!$G:$G&lt;=B3003)*(('cost master'!$H:$H&gt;=B3003)+ISBLANK('cost master'!$H:$H))),1),0)"),0.0)</f>
        <v>0</v>
      </c>
      <c r="I3003" s="3">
        <f t="shared" si="4"/>
        <v>0</v>
      </c>
      <c r="J3003" s="27">
        <f t="shared" si="5"/>
        <v>693947</v>
      </c>
      <c r="K3003" s="27">
        <f t="shared" si="6"/>
        <v>693977</v>
      </c>
    </row>
    <row r="3004" hidden="1">
      <c r="A3004" s="3" t="str">
        <f t="shared" si="3"/>
        <v/>
      </c>
      <c r="B3004" s="2" t="str">
        <f t="array" ref="B3004">INDEX(helper!$A$3:$A3996,ROUNDUP((ROW()-1)/COUNTA(helper!$D$3:$D3996),0))</f>
        <v/>
      </c>
      <c r="C3004" s="5" t="str">
        <f t="array" ref="C3004">IF(B3004="","",INDEX(helper!$D$3:$D3996,MOD(ROW()-2,COUNTA(helper!$D$3:$D3996))+1))</f>
        <v/>
      </c>
      <c r="D3004" s="3" t="str">
        <f t="array" ref="D3004">IF(B3004="","",INDEX(helper!$E$3:$E3996,MOD(ROW()-2,COUNTA(helper!$D$3:$D3996))+1))</f>
        <v/>
      </c>
      <c r="E3004" s="3" t="str">
        <f t="array" ref="E3004">IF(B3004="","",INDEX(helper!$F$3:$F3996,MOD(ROW()-2,COUNTA(helper!$D$3:$D3996))+1))</f>
        <v/>
      </c>
      <c r="F3004" s="3" t="str">
        <f>IF(B3004="","",SUMIFS('inventory ledger'!$H:$H,'inventory ledger'!$C:$C,C3004,'inventory ledger'!$D:$D,D3004,'inventory ledger'!$E:$E,E3004,'inventory ledger'!$A:$A,"&lt;="&amp;B3004+TIME(23,59,59))-SUMIFS('inventory ledger'!$I:$I,'inventory ledger'!$C:$C,C3004,'inventory ledger'!$D:$D,D3004,'inventory ledger'!$E:$E,E3004,'inventory ledger'!$A:$A,"&lt;="&amp;B3004+TIME(23,59,59)))</f>
        <v/>
      </c>
      <c r="G3004" s="3">
        <f>IFERROR(__xludf.DUMMYFUNCTION("IF(F3004&lt;=0,0,IFERROR(ROUNDUP(F3004/INDEX(FILTER('warehouse config'!$D:$D,('warehouse config'!$B:$B=C3004)*('warehouse config'!$C:$C=D3004)*('warehouse config'!$G:$G&lt;=B3004)*(('warehouse config'!$H:$H&gt;=B3004)+ISBLANK('warehouse config'!$H:$H))),1)),0))"),0.0)</f>
        <v>0</v>
      </c>
      <c r="H3004" s="3">
        <f>IFERROR(__xludf.DUMMYFUNCTION("IFERROR(INDEX(FILTER('cost master'!$E:$E,('cost master'!$B:$B=C3004)*('cost master'!$D:$D=""Storage cost per pallet / week"")*('cost master'!$G:$G&lt;=B3004)*(('cost master'!$H:$H&gt;=B3004)+ISBLANK('cost master'!$H:$H))),1),0)"),0.0)</f>
        <v>0</v>
      </c>
      <c r="I3004" s="3">
        <f t="shared" si="4"/>
        <v>0</v>
      </c>
      <c r="J3004" s="27">
        <f t="shared" si="5"/>
        <v>693947</v>
      </c>
      <c r="K3004" s="27">
        <f t="shared" si="6"/>
        <v>693977</v>
      </c>
    </row>
    <row r="3005" hidden="1">
      <c r="A3005" s="3" t="str">
        <f t="shared" si="3"/>
        <v/>
      </c>
      <c r="B3005" s="2" t="str">
        <f t="array" ref="B3005">INDEX(helper!$A$3:$A3996,ROUNDUP((ROW()-1)/COUNTA(helper!$D$3:$D3996),0))</f>
        <v/>
      </c>
      <c r="C3005" s="5" t="str">
        <f t="array" ref="C3005">IF(B3005="","",INDEX(helper!$D$3:$D3996,MOD(ROW()-2,COUNTA(helper!$D$3:$D3996))+1))</f>
        <v/>
      </c>
      <c r="D3005" s="3" t="str">
        <f t="array" ref="D3005">IF(B3005="","",INDEX(helper!$E$3:$E3996,MOD(ROW()-2,COUNTA(helper!$D$3:$D3996))+1))</f>
        <v/>
      </c>
      <c r="E3005" s="3" t="str">
        <f t="array" ref="E3005">IF(B3005="","",INDEX(helper!$F$3:$F3996,MOD(ROW()-2,COUNTA(helper!$D$3:$D3996))+1))</f>
        <v/>
      </c>
      <c r="F3005" s="3" t="str">
        <f>IF(B3005="","",SUMIFS('inventory ledger'!$H:$H,'inventory ledger'!$C:$C,C3005,'inventory ledger'!$D:$D,D3005,'inventory ledger'!$E:$E,E3005,'inventory ledger'!$A:$A,"&lt;="&amp;B3005+TIME(23,59,59))-SUMIFS('inventory ledger'!$I:$I,'inventory ledger'!$C:$C,C3005,'inventory ledger'!$D:$D,D3005,'inventory ledger'!$E:$E,E3005,'inventory ledger'!$A:$A,"&lt;="&amp;B3005+TIME(23,59,59)))</f>
        <v/>
      </c>
      <c r="G3005" s="3">
        <f>IFERROR(__xludf.DUMMYFUNCTION("IF(F3005&lt;=0,0,IFERROR(ROUNDUP(F3005/INDEX(FILTER('warehouse config'!$D:$D,('warehouse config'!$B:$B=C3005)*('warehouse config'!$C:$C=D3005)*('warehouse config'!$G:$G&lt;=B3005)*(('warehouse config'!$H:$H&gt;=B3005)+ISBLANK('warehouse config'!$H:$H))),1)),0))"),0.0)</f>
        <v>0</v>
      </c>
      <c r="H3005" s="3">
        <f>IFERROR(__xludf.DUMMYFUNCTION("IFERROR(INDEX(FILTER('cost master'!$E:$E,('cost master'!$B:$B=C3005)*('cost master'!$D:$D=""Storage cost per pallet / week"")*('cost master'!$G:$G&lt;=B3005)*(('cost master'!$H:$H&gt;=B3005)+ISBLANK('cost master'!$H:$H))),1),0)"),0.0)</f>
        <v>0</v>
      </c>
      <c r="I3005" s="3">
        <f t="shared" si="4"/>
        <v>0</v>
      </c>
      <c r="J3005" s="27">
        <f t="shared" si="5"/>
        <v>693947</v>
      </c>
      <c r="K3005" s="27">
        <f t="shared" si="6"/>
        <v>693977</v>
      </c>
    </row>
    <row r="3006" hidden="1">
      <c r="A3006" s="3" t="str">
        <f t="shared" si="3"/>
        <v/>
      </c>
      <c r="B3006" s="2" t="str">
        <f t="array" ref="B3006">INDEX(helper!$A$3:$A3996,ROUNDUP((ROW()-1)/COUNTA(helper!$D$3:$D3996),0))</f>
        <v/>
      </c>
      <c r="C3006" s="5" t="str">
        <f t="array" ref="C3006">IF(B3006="","",INDEX(helper!$D$3:$D3996,MOD(ROW()-2,COUNTA(helper!$D$3:$D3996))+1))</f>
        <v/>
      </c>
      <c r="D3006" s="3" t="str">
        <f t="array" ref="D3006">IF(B3006="","",INDEX(helper!$E$3:$E3996,MOD(ROW()-2,COUNTA(helper!$D$3:$D3996))+1))</f>
        <v/>
      </c>
      <c r="E3006" s="3" t="str">
        <f t="array" ref="E3006">IF(B3006="","",INDEX(helper!$F$3:$F3996,MOD(ROW()-2,COUNTA(helper!$D$3:$D3996))+1))</f>
        <v/>
      </c>
      <c r="F3006" s="3" t="str">
        <f>IF(B3006="","",SUMIFS('inventory ledger'!$H:$H,'inventory ledger'!$C:$C,C3006,'inventory ledger'!$D:$D,D3006,'inventory ledger'!$E:$E,E3006,'inventory ledger'!$A:$A,"&lt;="&amp;B3006+TIME(23,59,59))-SUMIFS('inventory ledger'!$I:$I,'inventory ledger'!$C:$C,C3006,'inventory ledger'!$D:$D,D3006,'inventory ledger'!$E:$E,E3006,'inventory ledger'!$A:$A,"&lt;="&amp;B3006+TIME(23,59,59)))</f>
        <v/>
      </c>
      <c r="G3006" s="3">
        <f>IFERROR(__xludf.DUMMYFUNCTION("IF(F3006&lt;=0,0,IFERROR(ROUNDUP(F3006/INDEX(FILTER('warehouse config'!$D:$D,('warehouse config'!$B:$B=C3006)*('warehouse config'!$C:$C=D3006)*('warehouse config'!$G:$G&lt;=B3006)*(('warehouse config'!$H:$H&gt;=B3006)+ISBLANK('warehouse config'!$H:$H))),1)),0))"),0.0)</f>
        <v>0</v>
      </c>
      <c r="H3006" s="3">
        <f>IFERROR(__xludf.DUMMYFUNCTION("IFERROR(INDEX(FILTER('cost master'!$E:$E,('cost master'!$B:$B=C3006)*('cost master'!$D:$D=""Storage cost per pallet / week"")*('cost master'!$G:$G&lt;=B3006)*(('cost master'!$H:$H&gt;=B3006)+ISBLANK('cost master'!$H:$H))),1),0)"),0.0)</f>
        <v>0</v>
      </c>
      <c r="I3006" s="3">
        <f t="shared" si="4"/>
        <v>0</v>
      </c>
      <c r="J3006" s="27">
        <f t="shared" si="5"/>
        <v>693947</v>
      </c>
      <c r="K3006" s="27">
        <f t="shared" si="6"/>
        <v>693977</v>
      </c>
    </row>
    <row r="3007" hidden="1">
      <c r="A3007" s="3" t="str">
        <f t="shared" si="3"/>
        <v/>
      </c>
      <c r="B3007" s="2" t="str">
        <f t="array" ref="B3007">INDEX(helper!$A$3:$A3996,ROUNDUP((ROW()-1)/COUNTA(helper!$D$3:$D3996),0))</f>
        <v/>
      </c>
      <c r="C3007" s="5" t="str">
        <f t="array" ref="C3007">IF(B3007="","",INDEX(helper!$D$3:$D3996,MOD(ROW()-2,COUNTA(helper!$D$3:$D3996))+1))</f>
        <v/>
      </c>
      <c r="D3007" s="3" t="str">
        <f t="array" ref="D3007">IF(B3007="","",INDEX(helper!$E$3:$E3996,MOD(ROW()-2,COUNTA(helper!$D$3:$D3996))+1))</f>
        <v/>
      </c>
      <c r="E3007" s="3" t="str">
        <f t="array" ref="E3007">IF(B3007="","",INDEX(helper!$F$3:$F3996,MOD(ROW()-2,COUNTA(helper!$D$3:$D3996))+1))</f>
        <v/>
      </c>
      <c r="F3007" s="3" t="str">
        <f>IF(B3007="","",SUMIFS('inventory ledger'!$H:$H,'inventory ledger'!$C:$C,C3007,'inventory ledger'!$D:$D,D3007,'inventory ledger'!$E:$E,E3007,'inventory ledger'!$A:$A,"&lt;="&amp;B3007+TIME(23,59,59))-SUMIFS('inventory ledger'!$I:$I,'inventory ledger'!$C:$C,C3007,'inventory ledger'!$D:$D,D3007,'inventory ledger'!$E:$E,E3007,'inventory ledger'!$A:$A,"&lt;="&amp;B3007+TIME(23,59,59)))</f>
        <v/>
      </c>
      <c r="G3007" s="3">
        <f>IFERROR(__xludf.DUMMYFUNCTION("IF(F3007&lt;=0,0,IFERROR(ROUNDUP(F3007/INDEX(FILTER('warehouse config'!$D:$D,('warehouse config'!$B:$B=C3007)*('warehouse config'!$C:$C=D3007)*('warehouse config'!$G:$G&lt;=B3007)*(('warehouse config'!$H:$H&gt;=B3007)+ISBLANK('warehouse config'!$H:$H))),1)),0))"),0.0)</f>
        <v>0</v>
      </c>
      <c r="H3007" s="3">
        <f>IFERROR(__xludf.DUMMYFUNCTION("IFERROR(INDEX(FILTER('cost master'!$E:$E,('cost master'!$B:$B=C3007)*('cost master'!$D:$D=""Storage cost per pallet / week"")*('cost master'!$G:$G&lt;=B3007)*(('cost master'!$H:$H&gt;=B3007)+ISBLANK('cost master'!$H:$H))),1),0)"),0.0)</f>
        <v>0</v>
      </c>
      <c r="I3007" s="3">
        <f t="shared" si="4"/>
        <v>0</v>
      </c>
      <c r="J3007" s="27">
        <f t="shared" si="5"/>
        <v>693947</v>
      </c>
      <c r="K3007" s="27">
        <f t="shared" si="6"/>
        <v>693977</v>
      </c>
    </row>
    <row r="3008" hidden="1">
      <c r="A3008" s="3" t="str">
        <f t="shared" si="3"/>
        <v/>
      </c>
      <c r="B3008" s="2" t="str">
        <f t="array" ref="B3008">INDEX(helper!$A$3:$A3996,ROUNDUP((ROW()-1)/COUNTA(helper!$D$3:$D3996),0))</f>
        <v/>
      </c>
      <c r="C3008" s="5" t="str">
        <f t="array" ref="C3008">IF(B3008="","",INDEX(helper!$D$3:$D3996,MOD(ROW()-2,COUNTA(helper!$D$3:$D3996))+1))</f>
        <v/>
      </c>
      <c r="D3008" s="3" t="str">
        <f t="array" ref="D3008">IF(B3008="","",INDEX(helper!$E$3:$E3996,MOD(ROW()-2,COUNTA(helper!$D$3:$D3996))+1))</f>
        <v/>
      </c>
      <c r="E3008" s="3" t="str">
        <f t="array" ref="E3008">IF(B3008="","",INDEX(helper!$F$3:$F3996,MOD(ROW()-2,COUNTA(helper!$D$3:$D3996))+1))</f>
        <v/>
      </c>
      <c r="F3008" s="3" t="str">
        <f>IF(B3008="","",SUMIFS('inventory ledger'!$H:$H,'inventory ledger'!$C:$C,C3008,'inventory ledger'!$D:$D,D3008,'inventory ledger'!$E:$E,E3008,'inventory ledger'!$A:$A,"&lt;="&amp;B3008+TIME(23,59,59))-SUMIFS('inventory ledger'!$I:$I,'inventory ledger'!$C:$C,C3008,'inventory ledger'!$D:$D,D3008,'inventory ledger'!$E:$E,E3008,'inventory ledger'!$A:$A,"&lt;="&amp;B3008+TIME(23,59,59)))</f>
        <v/>
      </c>
      <c r="G3008" s="3">
        <f>IFERROR(__xludf.DUMMYFUNCTION("IF(F3008&lt;=0,0,IFERROR(ROUNDUP(F3008/INDEX(FILTER('warehouse config'!$D:$D,('warehouse config'!$B:$B=C3008)*('warehouse config'!$C:$C=D3008)*('warehouse config'!$G:$G&lt;=B3008)*(('warehouse config'!$H:$H&gt;=B3008)+ISBLANK('warehouse config'!$H:$H))),1)),0))"),0.0)</f>
        <v>0</v>
      </c>
      <c r="H3008" s="3">
        <f>IFERROR(__xludf.DUMMYFUNCTION("IFERROR(INDEX(FILTER('cost master'!$E:$E,('cost master'!$B:$B=C3008)*('cost master'!$D:$D=""Storage cost per pallet / week"")*('cost master'!$G:$G&lt;=B3008)*(('cost master'!$H:$H&gt;=B3008)+ISBLANK('cost master'!$H:$H))),1),0)"),0.0)</f>
        <v>0</v>
      </c>
      <c r="I3008" s="3">
        <f t="shared" si="4"/>
        <v>0</v>
      </c>
      <c r="J3008" s="27">
        <f t="shared" si="5"/>
        <v>693947</v>
      </c>
      <c r="K3008" s="27">
        <f t="shared" si="6"/>
        <v>693977</v>
      </c>
    </row>
    <row r="3009" hidden="1">
      <c r="A3009" s="3" t="str">
        <f t="shared" si="3"/>
        <v/>
      </c>
      <c r="B3009" s="2" t="str">
        <f t="array" ref="B3009">INDEX(helper!$A$3:$A3996,ROUNDUP((ROW()-1)/COUNTA(helper!$D$3:$D3996),0))</f>
        <v/>
      </c>
      <c r="C3009" s="5" t="str">
        <f t="array" ref="C3009">IF(B3009="","",INDEX(helper!$D$3:$D3996,MOD(ROW()-2,COUNTA(helper!$D$3:$D3996))+1))</f>
        <v/>
      </c>
      <c r="D3009" s="3" t="str">
        <f t="array" ref="D3009">IF(B3009="","",INDEX(helper!$E$3:$E3996,MOD(ROW()-2,COUNTA(helper!$D$3:$D3996))+1))</f>
        <v/>
      </c>
      <c r="E3009" s="3" t="str">
        <f t="array" ref="E3009">IF(B3009="","",INDEX(helper!$F$3:$F3996,MOD(ROW()-2,COUNTA(helper!$D$3:$D3996))+1))</f>
        <v/>
      </c>
      <c r="F3009" s="3" t="str">
        <f>IF(B3009="","",SUMIFS('inventory ledger'!$H:$H,'inventory ledger'!$C:$C,C3009,'inventory ledger'!$D:$D,D3009,'inventory ledger'!$E:$E,E3009,'inventory ledger'!$A:$A,"&lt;="&amp;B3009+TIME(23,59,59))-SUMIFS('inventory ledger'!$I:$I,'inventory ledger'!$C:$C,C3009,'inventory ledger'!$D:$D,D3009,'inventory ledger'!$E:$E,E3009,'inventory ledger'!$A:$A,"&lt;="&amp;B3009+TIME(23,59,59)))</f>
        <v/>
      </c>
      <c r="G3009" s="3">
        <f>IFERROR(__xludf.DUMMYFUNCTION("IF(F3009&lt;=0,0,IFERROR(ROUNDUP(F3009/INDEX(FILTER('warehouse config'!$D:$D,('warehouse config'!$B:$B=C3009)*('warehouse config'!$C:$C=D3009)*('warehouse config'!$G:$G&lt;=B3009)*(('warehouse config'!$H:$H&gt;=B3009)+ISBLANK('warehouse config'!$H:$H))),1)),0))"),0.0)</f>
        <v>0</v>
      </c>
      <c r="H3009" s="3">
        <f>IFERROR(__xludf.DUMMYFUNCTION("IFERROR(INDEX(FILTER('cost master'!$E:$E,('cost master'!$B:$B=C3009)*('cost master'!$D:$D=""Storage cost per pallet / week"")*('cost master'!$G:$G&lt;=B3009)*(('cost master'!$H:$H&gt;=B3009)+ISBLANK('cost master'!$H:$H))),1),0)"),0.0)</f>
        <v>0</v>
      </c>
      <c r="I3009" s="3">
        <f t="shared" si="4"/>
        <v>0</v>
      </c>
      <c r="J3009" s="27">
        <f t="shared" si="5"/>
        <v>693947</v>
      </c>
      <c r="K3009" s="27">
        <f t="shared" si="6"/>
        <v>693977</v>
      </c>
    </row>
    <row r="3010" hidden="1">
      <c r="A3010" s="3" t="str">
        <f t="shared" si="3"/>
        <v/>
      </c>
      <c r="B3010" s="2" t="str">
        <f t="array" ref="B3010">INDEX(helper!$A$3:$A3996,ROUNDUP((ROW()-1)/COUNTA(helper!$D$3:$D3996),0))</f>
        <v/>
      </c>
      <c r="C3010" s="5" t="str">
        <f t="array" ref="C3010">IF(B3010="","",INDEX(helper!$D$3:$D3996,MOD(ROW()-2,COUNTA(helper!$D$3:$D3996))+1))</f>
        <v/>
      </c>
      <c r="D3010" s="3" t="str">
        <f t="array" ref="D3010">IF(B3010="","",INDEX(helper!$E$3:$E3996,MOD(ROW()-2,COUNTA(helper!$D$3:$D3996))+1))</f>
        <v/>
      </c>
      <c r="E3010" s="3" t="str">
        <f t="array" ref="E3010">IF(B3010="","",INDEX(helper!$F$3:$F3996,MOD(ROW()-2,COUNTA(helper!$D$3:$D3996))+1))</f>
        <v/>
      </c>
      <c r="F3010" s="3" t="str">
        <f>IF(B3010="","",SUMIFS('inventory ledger'!$H:$H,'inventory ledger'!$C:$C,C3010,'inventory ledger'!$D:$D,D3010,'inventory ledger'!$E:$E,E3010,'inventory ledger'!$A:$A,"&lt;="&amp;B3010+TIME(23,59,59))-SUMIFS('inventory ledger'!$I:$I,'inventory ledger'!$C:$C,C3010,'inventory ledger'!$D:$D,D3010,'inventory ledger'!$E:$E,E3010,'inventory ledger'!$A:$A,"&lt;="&amp;B3010+TIME(23,59,59)))</f>
        <v/>
      </c>
      <c r="G3010" s="3">
        <f>IFERROR(__xludf.DUMMYFUNCTION("IF(F3010&lt;=0,0,IFERROR(ROUNDUP(F3010/INDEX(FILTER('warehouse config'!$D:$D,('warehouse config'!$B:$B=C3010)*('warehouse config'!$C:$C=D3010)*('warehouse config'!$G:$G&lt;=B3010)*(('warehouse config'!$H:$H&gt;=B3010)+ISBLANK('warehouse config'!$H:$H))),1)),0))"),0.0)</f>
        <v>0</v>
      </c>
      <c r="H3010" s="3">
        <f>IFERROR(__xludf.DUMMYFUNCTION("IFERROR(INDEX(FILTER('cost master'!$E:$E,('cost master'!$B:$B=C3010)*('cost master'!$D:$D=""Storage cost per pallet / week"")*('cost master'!$G:$G&lt;=B3010)*(('cost master'!$H:$H&gt;=B3010)+ISBLANK('cost master'!$H:$H))),1),0)"),0.0)</f>
        <v>0</v>
      </c>
      <c r="I3010" s="3">
        <f t="shared" si="4"/>
        <v>0</v>
      </c>
      <c r="J3010" s="27">
        <f t="shared" si="5"/>
        <v>693947</v>
      </c>
      <c r="K3010" s="27">
        <f t="shared" si="6"/>
        <v>693977</v>
      </c>
    </row>
    <row r="3011" hidden="1">
      <c r="A3011" s="3" t="str">
        <f t="shared" si="3"/>
        <v/>
      </c>
      <c r="B3011" s="2" t="str">
        <f t="array" ref="B3011">INDEX(helper!$A$3:$A3996,ROUNDUP((ROW()-1)/COUNTA(helper!$D$3:$D3996),0))</f>
        <v/>
      </c>
      <c r="C3011" s="5" t="str">
        <f t="array" ref="C3011">IF(B3011="","",INDEX(helper!$D$3:$D3996,MOD(ROW()-2,COUNTA(helper!$D$3:$D3996))+1))</f>
        <v/>
      </c>
      <c r="D3011" s="3" t="str">
        <f t="array" ref="D3011">IF(B3011="","",INDEX(helper!$E$3:$E3996,MOD(ROW()-2,COUNTA(helper!$D$3:$D3996))+1))</f>
        <v/>
      </c>
      <c r="E3011" s="3" t="str">
        <f t="array" ref="E3011">IF(B3011="","",INDEX(helper!$F$3:$F3996,MOD(ROW()-2,COUNTA(helper!$D$3:$D3996))+1))</f>
        <v/>
      </c>
      <c r="F3011" s="3" t="str">
        <f>IF(B3011="","",SUMIFS('inventory ledger'!$H:$H,'inventory ledger'!$C:$C,C3011,'inventory ledger'!$D:$D,D3011,'inventory ledger'!$E:$E,E3011,'inventory ledger'!$A:$A,"&lt;="&amp;B3011+TIME(23,59,59))-SUMIFS('inventory ledger'!$I:$I,'inventory ledger'!$C:$C,C3011,'inventory ledger'!$D:$D,D3011,'inventory ledger'!$E:$E,E3011,'inventory ledger'!$A:$A,"&lt;="&amp;B3011+TIME(23,59,59)))</f>
        <v/>
      </c>
      <c r="G3011" s="3">
        <f>IFERROR(__xludf.DUMMYFUNCTION("IF(F3011&lt;=0,0,IFERROR(ROUNDUP(F3011/INDEX(FILTER('warehouse config'!$D:$D,('warehouse config'!$B:$B=C3011)*('warehouse config'!$C:$C=D3011)*('warehouse config'!$G:$G&lt;=B3011)*(('warehouse config'!$H:$H&gt;=B3011)+ISBLANK('warehouse config'!$H:$H))),1)),0))"),0.0)</f>
        <v>0</v>
      </c>
      <c r="H3011" s="3">
        <f>IFERROR(__xludf.DUMMYFUNCTION("IFERROR(INDEX(FILTER('cost master'!$E:$E,('cost master'!$B:$B=C3011)*('cost master'!$D:$D=""Storage cost per pallet / week"")*('cost master'!$G:$G&lt;=B3011)*(('cost master'!$H:$H&gt;=B3011)+ISBLANK('cost master'!$H:$H))),1),0)"),0.0)</f>
        <v>0</v>
      </c>
      <c r="I3011" s="3">
        <f t="shared" si="4"/>
        <v>0</v>
      </c>
      <c r="J3011" s="27">
        <f t="shared" si="5"/>
        <v>693947</v>
      </c>
      <c r="K3011" s="27">
        <f t="shared" si="6"/>
        <v>693977</v>
      </c>
    </row>
    <row r="3012" hidden="1">
      <c r="A3012" s="3" t="str">
        <f t="shared" si="3"/>
        <v/>
      </c>
      <c r="B3012" s="2" t="str">
        <f t="array" ref="B3012">INDEX(helper!$A$3:$A3996,ROUNDUP((ROW()-1)/COUNTA(helper!$D$3:$D3996),0))</f>
        <v/>
      </c>
      <c r="C3012" s="5" t="str">
        <f t="array" ref="C3012">IF(B3012="","",INDEX(helper!$D$3:$D3996,MOD(ROW()-2,COUNTA(helper!$D$3:$D3996))+1))</f>
        <v/>
      </c>
      <c r="D3012" s="3" t="str">
        <f t="array" ref="D3012">IF(B3012="","",INDEX(helper!$E$3:$E3996,MOD(ROW()-2,COUNTA(helper!$D$3:$D3996))+1))</f>
        <v/>
      </c>
      <c r="E3012" s="3" t="str">
        <f t="array" ref="E3012">IF(B3012="","",INDEX(helper!$F$3:$F3996,MOD(ROW()-2,COUNTA(helper!$D$3:$D3996))+1))</f>
        <v/>
      </c>
      <c r="F3012" s="3" t="str">
        <f>IF(B3012="","",SUMIFS('inventory ledger'!$H:$H,'inventory ledger'!$C:$C,C3012,'inventory ledger'!$D:$D,D3012,'inventory ledger'!$E:$E,E3012,'inventory ledger'!$A:$A,"&lt;="&amp;B3012+TIME(23,59,59))-SUMIFS('inventory ledger'!$I:$I,'inventory ledger'!$C:$C,C3012,'inventory ledger'!$D:$D,D3012,'inventory ledger'!$E:$E,E3012,'inventory ledger'!$A:$A,"&lt;="&amp;B3012+TIME(23,59,59)))</f>
        <v/>
      </c>
      <c r="G3012" s="3">
        <f>IFERROR(__xludf.DUMMYFUNCTION("IF(F3012&lt;=0,0,IFERROR(ROUNDUP(F3012/INDEX(FILTER('warehouse config'!$D:$D,('warehouse config'!$B:$B=C3012)*('warehouse config'!$C:$C=D3012)*('warehouse config'!$G:$G&lt;=B3012)*(('warehouse config'!$H:$H&gt;=B3012)+ISBLANK('warehouse config'!$H:$H))),1)),0))"),0.0)</f>
        <v>0</v>
      </c>
      <c r="H3012" s="3">
        <f>IFERROR(__xludf.DUMMYFUNCTION("IFERROR(INDEX(FILTER('cost master'!$E:$E,('cost master'!$B:$B=C3012)*('cost master'!$D:$D=""Storage cost per pallet / week"")*('cost master'!$G:$G&lt;=B3012)*(('cost master'!$H:$H&gt;=B3012)+ISBLANK('cost master'!$H:$H))),1),0)"),0.0)</f>
        <v>0</v>
      </c>
      <c r="I3012" s="3">
        <f t="shared" si="4"/>
        <v>0</v>
      </c>
      <c r="J3012" s="27">
        <f t="shared" si="5"/>
        <v>693947</v>
      </c>
      <c r="K3012" s="27">
        <f t="shared" si="6"/>
        <v>693977</v>
      </c>
    </row>
    <row r="3013" hidden="1">
      <c r="A3013" s="3" t="str">
        <f t="shared" si="3"/>
        <v/>
      </c>
      <c r="B3013" s="2" t="str">
        <f t="array" ref="B3013">INDEX(helper!$A$3:$A3996,ROUNDUP((ROW()-1)/COUNTA(helper!$D$3:$D3996),0))</f>
        <v/>
      </c>
      <c r="C3013" s="5" t="str">
        <f t="array" ref="C3013">IF(B3013="","",INDEX(helper!$D$3:$D3996,MOD(ROW()-2,COUNTA(helper!$D$3:$D3996))+1))</f>
        <v/>
      </c>
      <c r="D3013" s="3" t="str">
        <f t="array" ref="D3013">IF(B3013="","",INDEX(helper!$E$3:$E3996,MOD(ROW()-2,COUNTA(helper!$D$3:$D3996))+1))</f>
        <v/>
      </c>
      <c r="E3013" s="3" t="str">
        <f t="array" ref="E3013">IF(B3013="","",INDEX(helper!$F$3:$F3996,MOD(ROW()-2,COUNTA(helper!$D$3:$D3996))+1))</f>
        <v/>
      </c>
      <c r="F3013" s="3" t="str">
        <f>IF(B3013="","",SUMIFS('inventory ledger'!$H:$H,'inventory ledger'!$C:$C,C3013,'inventory ledger'!$D:$D,D3013,'inventory ledger'!$E:$E,E3013,'inventory ledger'!$A:$A,"&lt;="&amp;B3013+TIME(23,59,59))-SUMIFS('inventory ledger'!$I:$I,'inventory ledger'!$C:$C,C3013,'inventory ledger'!$D:$D,D3013,'inventory ledger'!$E:$E,E3013,'inventory ledger'!$A:$A,"&lt;="&amp;B3013+TIME(23,59,59)))</f>
        <v/>
      </c>
      <c r="G3013" s="3">
        <f>IFERROR(__xludf.DUMMYFUNCTION("IF(F3013&lt;=0,0,IFERROR(ROUNDUP(F3013/INDEX(FILTER('warehouse config'!$D:$D,('warehouse config'!$B:$B=C3013)*('warehouse config'!$C:$C=D3013)*('warehouse config'!$G:$G&lt;=B3013)*(('warehouse config'!$H:$H&gt;=B3013)+ISBLANK('warehouse config'!$H:$H))),1)),0))"),0.0)</f>
        <v>0</v>
      </c>
      <c r="H3013" s="3">
        <f>IFERROR(__xludf.DUMMYFUNCTION("IFERROR(INDEX(FILTER('cost master'!$E:$E,('cost master'!$B:$B=C3013)*('cost master'!$D:$D=""Storage cost per pallet / week"")*('cost master'!$G:$G&lt;=B3013)*(('cost master'!$H:$H&gt;=B3013)+ISBLANK('cost master'!$H:$H))),1),0)"),0.0)</f>
        <v>0</v>
      </c>
      <c r="I3013" s="3">
        <f t="shared" si="4"/>
        <v>0</v>
      </c>
      <c r="J3013" s="27">
        <f t="shared" si="5"/>
        <v>693947</v>
      </c>
      <c r="K3013" s="27">
        <f t="shared" si="6"/>
        <v>693977</v>
      </c>
    </row>
    <row r="3014" hidden="1">
      <c r="A3014" s="3" t="str">
        <f t="shared" si="3"/>
        <v/>
      </c>
      <c r="B3014" s="2" t="str">
        <f t="array" ref="B3014">INDEX(helper!$A$3:$A3996,ROUNDUP((ROW()-1)/COUNTA(helper!$D$3:$D3996),0))</f>
        <v/>
      </c>
      <c r="C3014" s="5" t="str">
        <f t="array" ref="C3014">IF(B3014="","",INDEX(helper!$D$3:$D3996,MOD(ROW()-2,COUNTA(helper!$D$3:$D3996))+1))</f>
        <v/>
      </c>
      <c r="D3014" s="3" t="str">
        <f t="array" ref="D3014">IF(B3014="","",INDEX(helper!$E$3:$E3996,MOD(ROW()-2,COUNTA(helper!$D$3:$D3996))+1))</f>
        <v/>
      </c>
      <c r="E3014" s="3" t="str">
        <f t="array" ref="E3014">IF(B3014="","",INDEX(helper!$F$3:$F3996,MOD(ROW()-2,COUNTA(helper!$D$3:$D3996))+1))</f>
        <v/>
      </c>
      <c r="F3014" s="3" t="str">
        <f>IF(B3014="","",SUMIFS('inventory ledger'!$H:$H,'inventory ledger'!$C:$C,C3014,'inventory ledger'!$D:$D,D3014,'inventory ledger'!$E:$E,E3014,'inventory ledger'!$A:$A,"&lt;="&amp;B3014+TIME(23,59,59))-SUMIFS('inventory ledger'!$I:$I,'inventory ledger'!$C:$C,C3014,'inventory ledger'!$D:$D,D3014,'inventory ledger'!$E:$E,E3014,'inventory ledger'!$A:$A,"&lt;="&amp;B3014+TIME(23,59,59)))</f>
        <v/>
      </c>
      <c r="G3014" s="3">
        <f>IFERROR(__xludf.DUMMYFUNCTION("IF(F3014&lt;=0,0,IFERROR(ROUNDUP(F3014/INDEX(FILTER('warehouse config'!$D:$D,('warehouse config'!$B:$B=C3014)*('warehouse config'!$C:$C=D3014)*('warehouse config'!$G:$G&lt;=B3014)*(('warehouse config'!$H:$H&gt;=B3014)+ISBLANK('warehouse config'!$H:$H))),1)),0))"),0.0)</f>
        <v>0</v>
      </c>
      <c r="H3014" s="3">
        <f>IFERROR(__xludf.DUMMYFUNCTION("IFERROR(INDEX(FILTER('cost master'!$E:$E,('cost master'!$B:$B=C3014)*('cost master'!$D:$D=""Storage cost per pallet / week"")*('cost master'!$G:$G&lt;=B3014)*(('cost master'!$H:$H&gt;=B3014)+ISBLANK('cost master'!$H:$H))),1),0)"),0.0)</f>
        <v>0</v>
      </c>
      <c r="I3014" s="3">
        <f t="shared" si="4"/>
        <v>0</v>
      </c>
      <c r="J3014" s="27">
        <f t="shared" si="5"/>
        <v>693947</v>
      </c>
      <c r="K3014" s="27">
        <f t="shared" si="6"/>
        <v>693977</v>
      </c>
    </row>
    <row r="3015" hidden="1">
      <c r="A3015" s="3" t="str">
        <f t="shared" si="3"/>
        <v/>
      </c>
      <c r="B3015" s="2" t="str">
        <f t="array" ref="B3015">INDEX(helper!$A$3:$A3996,ROUNDUP((ROW()-1)/COUNTA(helper!$D$3:$D3996),0))</f>
        <v/>
      </c>
      <c r="C3015" s="5" t="str">
        <f t="array" ref="C3015">IF(B3015="","",INDEX(helper!$D$3:$D3996,MOD(ROW()-2,COUNTA(helper!$D$3:$D3996))+1))</f>
        <v/>
      </c>
      <c r="D3015" s="3" t="str">
        <f t="array" ref="D3015">IF(B3015="","",INDEX(helper!$E$3:$E3996,MOD(ROW()-2,COUNTA(helper!$D$3:$D3996))+1))</f>
        <v/>
      </c>
      <c r="E3015" s="3" t="str">
        <f t="array" ref="E3015">IF(B3015="","",INDEX(helper!$F$3:$F3996,MOD(ROW()-2,COUNTA(helper!$D$3:$D3996))+1))</f>
        <v/>
      </c>
      <c r="F3015" s="3" t="str">
        <f>IF(B3015="","",SUMIFS('inventory ledger'!$H:$H,'inventory ledger'!$C:$C,C3015,'inventory ledger'!$D:$D,D3015,'inventory ledger'!$E:$E,E3015,'inventory ledger'!$A:$A,"&lt;="&amp;B3015+TIME(23,59,59))-SUMIFS('inventory ledger'!$I:$I,'inventory ledger'!$C:$C,C3015,'inventory ledger'!$D:$D,D3015,'inventory ledger'!$E:$E,E3015,'inventory ledger'!$A:$A,"&lt;="&amp;B3015+TIME(23,59,59)))</f>
        <v/>
      </c>
      <c r="G3015" s="3">
        <f>IFERROR(__xludf.DUMMYFUNCTION("IF(F3015&lt;=0,0,IFERROR(ROUNDUP(F3015/INDEX(FILTER('warehouse config'!$D:$D,('warehouse config'!$B:$B=C3015)*('warehouse config'!$C:$C=D3015)*('warehouse config'!$G:$G&lt;=B3015)*(('warehouse config'!$H:$H&gt;=B3015)+ISBLANK('warehouse config'!$H:$H))),1)),0))"),0.0)</f>
        <v>0</v>
      </c>
      <c r="H3015" s="3">
        <f>IFERROR(__xludf.DUMMYFUNCTION("IFERROR(INDEX(FILTER('cost master'!$E:$E,('cost master'!$B:$B=C3015)*('cost master'!$D:$D=""Storage cost per pallet / week"")*('cost master'!$G:$G&lt;=B3015)*(('cost master'!$H:$H&gt;=B3015)+ISBLANK('cost master'!$H:$H))),1),0)"),0.0)</f>
        <v>0</v>
      </c>
      <c r="I3015" s="3">
        <f t="shared" si="4"/>
        <v>0</v>
      </c>
      <c r="J3015" s="27">
        <f t="shared" si="5"/>
        <v>693947</v>
      </c>
      <c r="K3015" s="27">
        <f t="shared" si="6"/>
        <v>693977</v>
      </c>
    </row>
    <row r="3016" hidden="1">
      <c r="A3016" s="3" t="str">
        <f t="shared" si="3"/>
        <v/>
      </c>
      <c r="B3016" s="2" t="str">
        <f t="array" ref="B3016">INDEX(helper!$A$3:$A3996,ROUNDUP((ROW()-1)/COUNTA(helper!$D$3:$D3996),0))</f>
        <v/>
      </c>
      <c r="C3016" s="5" t="str">
        <f t="array" ref="C3016">IF(B3016="","",INDEX(helper!$D$3:$D3996,MOD(ROW()-2,COUNTA(helper!$D$3:$D3996))+1))</f>
        <v/>
      </c>
      <c r="D3016" s="3" t="str">
        <f t="array" ref="D3016">IF(B3016="","",INDEX(helper!$E$3:$E3996,MOD(ROW()-2,COUNTA(helper!$D$3:$D3996))+1))</f>
        <v/>
      </c>
      <c r="E3016" s="3" t="str">
        <f t="array" ref="E3016">IF(B3016="","",INDEX(helper!$F$3:$F3996,MOD(ROW()-2,COUNTA(helper!$D$3:$D3996))+1))</f>
        <v/>
      </c>
      <c r="F3016" s="3" t="str">
        <f>IF(B3016="","",SUMIFS('inventory ledger'!$H:$H,'inventory ledger'!$C:$C,C3016,'inventory ledger'!$D:$D,D3016,'inventory ledger'!$E:$E,E3016,'inventory ledger'!$A:$A,"&lt;="&amp;B3016+TIME(23,59,59))-SUMIFS('inventory ledger'!$I:$I,'inventory ledger'!$C:$C,C3016,'inventory ledger'!$D:$D,D3016,'inventory ledger'!$E:$E,E3016,'inventory ledger'!$A:$A,"&lt;="&amp;B3016+TIME(23,59,59)))</f>
        <v/>
      </c>
      <c r="G3016" s="3">
        <f>IFERROR(__xludf.DUMMYFUNCTION("IF(F3016&lt;=0,0,IFERROR(ROUNDUP(F3016/INDEX(FILTER('warehouse config'!$D:$D,('warehouse config'!$B:$B=C3016)*('warehouse config'!$C:$C=D3016)*('warehouse config'!$G:$G&lt;=B3016)*(('warehouse config'!$H:$H&gt;=B3016)+ISBLANK('warehouse config'!$H:$H))),1)),0))"),0.0)</f>
        <v>0</v>
      </c>
      <c r="H3016" s="3">
        <f>IFERROR(__xludf.DUMMYFUNCTION("IFERROR(INDEX(FILTER('cost master'!$E:$E,('cost master'!$B:$B=C3016)*('cost master'!$D:$D=""Storage cost per pallet / week"")*('cost master'!$G:$G&lt;=B3016)*(('cost master'!$H:$H&gt;=B3016)+ISBLANK('cost master'!$H:$H))),1),0)"),0.0)</f>
        <v>0</v>
      </c>
      <c r="I3016" s="3">
        <f t="shared" si="4"/>
        <v>0</v>
      </c>
      <c r="J3016" s="27">
        <f t="shared" si="5"/>
        <v>693947</v>
      </c>
      <c r="K3016" s="27">
        <f t="shared" si="6"/>
        <v>693977</v>
      </c>
    </row>
    <row r="3017" hidden="1">
      <c r="A3017" s="3" t="str">
        <f t="shared" si="3"/>
        <v/>
      </c>
      <c r="B3017" s="2" t="str">
        <f t="array" ref="B3017">INDEX(helper!$A$3:$A3996,ROUNDUP((ROW()-1)/COUNTA(helper!$D$3:$D3996),0))</f>
        <v/>
      </c>
      <c r="C3017" s="5" t="str">
        <f t="array" ref="C3017">IF(B3017="","",INDEX(helper!$D$3:$D3996,MOD(ROW()-2,COUNTA(helper!$D$3:$D3996))+1))</f>
        <v/>
      </c>
      <c r="D3017" s="3" t="str">
        <f t="array" ref="D3017">IF(B3017="","",INDEX(helper!$E$3:$E3996,MOD(ROW()-2,COUNTA(helper!$D$3:$D3996))+1))</f>
        <v/>
      </c>
      <c r="E3017" s="3" t="str">
        <f t="array" ref="E3017">IF(B3017="","",INDEX(helper!$F$3:$F3996,MOD(ROW()-2,COUNTA(helper!$D$3:$D3996))+1))</f>
        <v/>
      </c>
      <c r="F3017" s="3" t="str">
        <f>IF(B3017="","",SUMIFS('inventory ledger'!$H:$H,'inventory ledger'!$C:$C,C3017,'inventory ledger'!$D:$D,D3017,'inventory ledger'!$E:$E,E3017,'inventory ledger'!$A:$A,"&lt;="&amp;B3017+TIME(23,59,59))-SUMIFS('inventory ledger'!$I:$I,'inventory ledger'!$C:$C,C3017,'inventory ledger'!$D:$D,D3017,'inventory ledger'!$E:$E,E3017,'inventory ledger'!$A:$A,"&lt;="&amp;B3017+TIME(23,59,59)))</f>
        <v/>
      </c>
      <c r="G3017" s="3">
        <f>IFERROR(__xludf.DUMMYFUNCTION("IF(F3017&lt;=0,0,IFERROR(ROUNDUP(F3017/INDEX(FILTER('warehouse config'!$D:$D,('warehouse config'!$B:$B=C3017)*('warehouse config'!$C:$C=D3017)*('warehouse config'!$G:$G&lt;=B3017)*(('warehouse config'!$H:$H&gt;=B3017)+ISBLANK('warehouse config'!$H:$H))),1)),0))"),0.0)</f>
        <v>0</v>
      </c>
      <c r="H3017" s="3">
        <f>IFERROR(__xludf.DUMMYFUNCTION("IFERROR(INDEX(FILTER('cost master'!$E:$E,('cost master'!$B:$B=C3017)*('cost master'!$D:$D=""Storage cost per pallet / week"")*('cost master'!$G:$G&lt;=B3017)*(('cost master'!$H:$H&gt;=B3017)+ISBLANK('cost master'!$H:$H))),1),0)"),0.0)</f>
        <v>0</v>
      </c>
      <c r="I3017" s="3">
        <f t="shared" si="4"/>
        <v>0</v>
      </c>
      <c r="J3017" s="27">
        <f t="shared" si="5"/>
        <v>693947</v>
      </c>
      <c r="K3017" s="27">
        <f t="shared" si="6"/>
        <v>693977</v>
      </c>
    </row>
    <row r="3018" hidden="1">
      <c r="A3018" s="3" t="str">
        <f t="shared" si="3"/>
        <v/>
      </c>
      <c r="B3018" s="2" t="str">
        <f t="array" ref="B3018">INDEX(helper!$A$3:$A3996,ROUNDUP((ROW()-1)/COUNTA(helper!$D$3:$D3996),0))</f>
        <v/>
      </c>
      <c r="C3018" s="5" t="str">
        <f t="array" ref="C3018">IF(B3018="","",INDEX(helper!$D$3:$D3996,MOD(ROW()-2,COUNTA(helper!$D$3:$D3996))+1))</f>
        <v/>
      </c>
      <c r="D3018" s="3" t="str">
        <f t="array" ref="D3018">IF(B3018="","",INDEX(helper!$E$3:$E3996,MOD(ROW()-2,COUNTA(helper!$D$3:$D3996))+1))</f>
        <v/>
      </c>
      <c r="E3018" s="3" t="str">
        <f t="array" ref="E3018">IF(B3018="","",INDEX(helper!$F$3:$F3996,MOD(ROW()-2,COUNTA(helper!$D$3:$D3996))+1))</f>
        <v/>
      </c>
      <c r="F3018" s="3" t="str">
        <f>IF(B3018="","",SUMIFS('inventory ledger'!$H:$H,'inventory ledger'!$C:$C,C3018,'inventory ledger'!$D:$D,D3018,'inventory ledger'!$E:$E,E3018,'inventory ledger'!$A:$A,"&lt;="&amp;B3018+TIME(23,59,59))-SUMIFS('inventory ledger'!$I:$I,'inventory ledger'!$C:$C,C3018,'inventory ledger'!$D:$D,D3018,'inventory ledger'!$E:$E,E3018,'inventory ledger'!$A:$A,"&lt;="&amp;B3018+TIME(23,59,59)))</f>
        <v/>
      </c>
      <c r="G3018" s="3">
        <f>IFERROR(__xludf.DUMMYFUNCTION("IF(F3018&lt;=0,0,IFERROR(ROUNDUP(F3018/INDEX(FILTER('warehouse config'!$D:$D,('warehouse config'!$B:$B=C3018)*('warehouse config'!$C:$C=D3018)*('warehouse config'!$G:$G&lt;=B3018)*(('warehouse config'!$H:$H&gt;=B3018)+ISBLANK('warehouse config'!$H:$H))),1)),0))"),0.0)</f>
        <v>0</v>
      </c>
      <c r="H3018" s="3">
        <f>IFERROR(__xludf.DUMMYFUNCTION("IFERROR(INDEX(FILTER('cost master'!$E:$E,('cost master'!$B:$B=C3018)*('cost master'!$D:$D=""Storage cost per pallet / week"")*('cost master'!$G:$G&lt;=B3018)*(('cost master'!$H:$H&gt;=B3018)+ISBLANK('cost master'!$H:$H))),1),0)"),0.0)</f>
        <v>0</v>
      </c>
      <c r="I3018" s="3">
        <f t="shared" si="4"/>
        <v>0</v>
      </c>
      <c r="J3018" s="27">
        <f t="shared" si="5"/>
        <v>693947</v>
      </c>
      <c r="K3018" s="27">
        <f t="shared" si="6"/>
        <v>693977</v>
      </c>
    </row>
    <row r="3019" hidden="1">
      <c r="A3019" s="3" t="str">
        <f t="shared" si="3"/>
        <v/>
      </c>
      <c r="B3019" s="2" t="str">
        <f t="array" ref="B3019">INDEX(helper!$A$3:$A3996,ROUNDUP((ROW()-1)/COUNTA(helper!$D$3:$D3996),0))</f>
        <v/>
      </c>
      <c r="C3019" s="5" t="str">
        <f t="array" ref="C3019">IF(B3019="","",INDEX(helper!$D$3:$D3996,MOD(ROW()-2,COUNTA(helper!$D$3:$D3996))+1))</f>
        <v/>
      </c>
      <c r="D3019" s="3" t="str">
        <f t="array" ref="D3019">IF(B3019="","",INDEX(helper!$E$3:$E3996,MOD(ROW()-2,COUNTA(helper!$D$3:$D3996))+1))</f>
        <v/>
      </c>
      <c r="E3019" s="3" t="str">
        <f t="array" ref="E3019">IF(B3019="","",INDEX(helper!$F$3:$F3996,MOD(ROW()-2,COUNTA(helper!$D$3:$D3996))+1))</f>
        <v/>
      </c>
      <c r="F3019" s="3" t="str">
        <f>IF(B3019="","",SUMIFS('inventory ledger'!$H:$H,'inventory ledger'!$C:$C,C3019,'inventory ledger'!$D:$D,D3019,'inventory ledger'!$E:$E,E3019,'inventory ledger'!$A:$A,"&lt;="&amp;B3019+TIME(23,59,59))-SUMIFS('inventory ledger'!$I:$I,'inventory ledger'!$C:$C,C3019,'inventory ledger'!$D:$D,D3019,'inventory ledger'!$E:$E,E3019,'inventory ledger'!$A:$A,"&lt;="&amp;B3019+TIME(23,59,59)))</f>
        <v/>
      </c>
      <c r="G3019" s="3">
        <f>IFERROR(__xludf.DUMMYFUNCTION("IF(F3019&lt;=0,0,IFERROR(ROUNDUP(F3019/INDEX(FILTER('warehouse config'!$D:$D,('warehouse config'!$B:$B=C3019)*('warehouse config'!$C:$C=D3019)*('warehouse config'!$G:$G&lt;=B3019)*(('warehouse config'!$H:$H&gt;=B3019)+ISBLANK('warehouse config'!$H:$H))),1)),0))"),0.0)</f>
        <v>0</v>
      </c>
      <c r="H3019" s="3">
        <f>IFERROR(__xludf.DUMMYFUNCTION("IFERROR(INDEX(FILTER('cost master'!$E:$E,('cost master'!$B:$B=C3019)*('cost master'!$D:$D=""Storage cost per pallet / week"")*('cost master'!$G:$G&lt;=B3019)*(('cost master'!$H:$H&gt;=B3019)+ISBLANK('cost master'!$H:$H))),1),0)"),0.0)</f>
        <v>0</v>
      </c>
      <c r="I3019" s="3">
        <f t="shared" si="4"/>
        <v>0</v>
      </c>
      <c r="J3019" s="27">
        <f t="shared" si="5"/>
        <v>693947</v>
      </c>
      <c r="K3019" s="27">
        <f t="shared" si="6"/>
        <v>693977</v>
      </c>
    </row>
    <row r="3020" hidden="1">
      <c r="A3020" s="3" t="str">
        <f t="shared" si="3"/>
        <v/>
      </c>
      <c r="B3020" s="2" t="str">
        <f t="array" ref="B3020">INDEX(helper!$A$3:$A3996,ROUNDUP((ROW()-1)/COUNTA(helper!$D$3:$D3996),0))</f>
        <v/>
      </c>
      <c r="C3020" s="5" t="str">
        <f t="array" ref="C3020">IF(B3020="","",INDEX(helper!$D$3:$D3996,MOD(ROW()-2,COUNTA(helper!$D$3:$D3996))+1))</f>
        <v/>
      </c>
      <c r="D3020" s="3" t="str">
        <f t="array" ref="D3020">IF(B3020="","",INDEX(helper!$E$3:$E3996,MOD(ROW()-2,COUNTA(helper!$D$3:$D3996))+1))</f>
        <v/>
      </c>
      <c r="E3020" s="3" t="str">
        <f t="array" ref="E3020">IF(B3020="","",INDEX(helper!$F$3:$F3996,MOD(ROW()-2,COUNTA(helper!$D$3:$D3996))+1))</f>
        <v/>
      </c>
      <c r="F3020" s="3" t="str">
        <f>IF(B3020="","",SUMIFS('inventory ledger'!$H:$H,'inventory ledger'!$C:$C,C3020,'inventory ledger'!$D:$D,D3020,'inventory ledger'!$E:$E,E3020,'inventory ledger'!$A:$A,"&lt;="&amp;B3020+TIME(23,59,59))-SUMIFS('inventory ledger'!$I:$I,'inventory ledger'!$C:$C,C3020,'inventory ledger'!$D:$D,D3020,'inventory ledger'!$E:$E,E3020,'inventory ledger'!$A:$A,"&lt;="&amp;B3020+TIME(23,59,59)))</f>
        <v/>
      </c>
      <c r="G3020" s="3">
        <f>IFERROR(__xludf.DUMMYFUNCTION("IF(F3020&lt;=0,0,IFERROR(ROUNDUP(F3020/INDEX(FILTER('warehouse config'!$D:$D,('warehouse config'!$B:$B=C3020)*('warehouse config'!$C:$C=D3020)*('warehouse config'!$G:$G&lt;=B3020)*(('warehouse config'!$H:$H&gt;=B3020)+ISBLANK('warehouse config'!$H:$H))),1)),0))"),0.0)</f>
        <v>0</v>
      </c>
      <c r="H3020" s="3">
        <f>IFERROR(__xludf.DUMMYFUNCTION("IFERROR(INDEX(FILTER('cost master'!$E:$E,('cost master'!$B:$B=C3020)*('cost master'!$D:$D=""Storage cost per pallet / week"")*('cost master'!$G:$G&lt;=B3020)*(('cost master'!$H:$H&gt;=B3020)+ISBLANK('cost master'!$H:$H))),1),0)"),0.0)</f>
        <v>0</v>
      </c>
      <c r="I3020" s="3">
        <f t="shared" si="4"/>
        <v>0</v>
      </c>
      <c r="J3020" s="27">
        <f t="shared" si="5"/>
        <v>693947</v>
      </c>
      <c r="K3020" s="27">
        <f t="shared" si="6"/>
        <v>693977</v>
      </c>
    </row>
    <row r="3021" hidden="1">
      <c r="A3021" s="3" t="str">
        <f t="shared" si="3"/>
        <v/>
      </c>
      <c r="B3021" s="2" t="str">
        <f t="array" ref="B3021">INDEX(helper!$A$3:$A3996,ROUNDUP((ROW()-1)/COUNTA(helper!$D$3:$D3996),0))</f>
        <v/>
      </c>
      <c r="C3021" s="5" t="str">
        <f t="array" ref="C3021">IF(B3021="","",INDEX(helper!$D$3:$D3996,MOD(ROW()-2,COUNTA(helper!$D$3:$D3996))+1))</f>
        <v/>
      </c>
      <c r="D3021" s="3" t="str">
        <f t="array" ref="D3021">IF(B3021="","",INDEX(helper!$E$3:$E3996,MOD(ROW()-2,COUNTA(helper!$D$3:$D3996))+1))</f>
        <v/>
      </c>
      <c r="E3021" s="3" t="str">
        <f t="array" ref="E3021">IF(B3021="","",INDEX(helper!$F$3:$F3996,MOD(ROW()-2,COUNTA(helper!$D$3:$D3996))+1))</f>
        <v/>
      </c>
      <c r="F3021" s="3" t="str">
        <f>IF(B3021="","",SUMIFS('inventory ledger'!$H:$H,'inventory ledger'!$C:$C,C3021,'inventory ledger'!$D:$D,D3021,'inventory ledger'!$E:$E,E3021,'inventory ledger'!$A:$A,"&lt;="&amp;B3021+TIME(23,59,59))-SUMIFS('inventory ledger'!$I:$I,'inventory ledger'!$C:$C,C3021,'inventory ledger'!$D:$D,D3021,'inventory ledger'!$E:$E,E3021,'inventory ledger'!$A:$A,"&lt;="&amp;B3021+TIME(23,59,59)))</f>
        <v/>
      </c>
      <c r="G3021" s="3">
        <f>IFERROR(__xludf.DUMMYFUNCTION("IF(F3021&lt;=0,0,IFERROR(ROUNDUP(F3021/INDEX(FILTER('warehouse config'!$D:$D,('warehouse config'!$B:$B=C3021)*('warehouse config'!$C:$C=D3021)*('warehouse config'!$G:$G&lt;=B3021)*(('warehouse config'!$H:$H&gt;=B3021)+ISBLANK('warehouse config'!$H:$H))),1)),0))"),0.0)</f>
        <v>0</v>
      </c>
      <c r="H3021" s="3">
        <f>IFERROR(__xludf.DUMMYFUNCTION("IFERROR(INDEX(FILTER('cost master'!$E:$E,('cost master'!$B:$B=C3021)*('cost master'!$D:$D=""Storage cost per pallet / week"")*('cost master'!$G:$G&lt;=B3021)*(('cost master'!$H:$H&gt;=B3021)+ISBLANK('cost master'!$H:$H))),1),0)"),0.0)</f>
        <v>0</v>
      </c>
      <c r="I3021" s="3">
        <f t="shared" si="4"/>
        <v>0</v>
      </c>
      <c r="J3021" s="27">
        <f t="shared" si="5"/>
        <v>693947</v>
      </c>
      <c r="K3021" s="27">
        <f t="shared" si="6"/>
        <v>693977</v>
      </c>
    </row>
    <row r="3022" hidden="1">
      <c r="A3022" s="3" t="str">
        <f t="shared" si="3"/>
        <v/>
      </c>
      <c r="B3022" s="2" t="str">
        <f t="array" ref="B3022">INDEX(helper!$A$3:$A3996,ROUNDUP((ROW()-1)/COUNTA(helper!$D$3:$D3996),0))</f>
        <v/>
      </c>
      <c r="C3022" s="5" t="str">
        <f t="array" ref="C3022">IF(B3022="","",INDEX(helper!$D$3:$D3996,MOD(ROW()-2,COUNTA(helper!$D$3:$D3996))+1))</f>
        <v/>
      </c>
      <c r="D3022" s="3" t="str">
        <f t="array" ref="D3022">IF(B3022="","",INDEX(helper!$E$3:$E3996,MOD(ROW()-2,COUNTA(helper!$D$3:$D3996))+1))</f>
        <v/>
      </c>
      <c r="E3022" s="3" t="str">
        <f t="array" ref="E3022">IF(B3022="","",INDEX(helper!$F$3:$F3996,MOD(ROW()-2,COUNTA(helper!$D$3:$D3996))+1))</f>
        <v/>
      </c>
      <c r="F3022" s="3" t="str">
        <f>IF(B3022="","",SUMIFS('inventory ledger'!$H:$H,'inventory ledger'!$C:$C,C3022,'inventory ledger'!$D:$D,D3022,'inventory ledger'!$E:$E,E3022,'inventory ledger'!$A:$A,"&lt;="&amp;B3022+TIME(23,59,59))-SUMIFS('inventory ledger'!$I:$I,'inventory ledger'!$C:$C,C3022,'inventory ledger'!$D:$D,D3022,'inventory ledger'!$E:$E,E3022,'inventory ledger'!$A:$A,"&lt;="&amp;B3022+TIME(23,59,59)))</f>
        <v/>
      </c>
      <c r="G3022" s="3">
        <f>IFERROR(__xludf.DUMMYFUNCTION("IF(F3022&lt;=0,0,IFERROR(ROUNDUP(F3022/INDEX(FILTER('warehouse config'!$D:$D,('warehouse config'!$B:$B=C3022)*('warehouse config'!$C:$C=D3022)*('warehouse config'!$G:$G&lt;=B3022)*(('warehouse config'!$H:$H&gt;=B3022)+ISBLANK('warehouse config'!$H:$H))),1)),0))"),0.0)</f>
        <v>0</v>
      </c>
      <c r="H3022" s="3">
        <f>IFERROR(__xludf.DUMMYFUNCTION("IFERROR(INDEX(FILTER('cost master'!$E:$E,('cost master'!$B:$B=C3022)*('cost master'!$D:$D=""Storage cost per pallet / week"")*('cost master'!$G:$G&lt;=B3022)*(('cost master'!$H:$H&gt;=B3022)+ISBLANK('cost master'!$H:$H))),1),0)"),0.0)</f>
        <v>0</v>
      </c>
      <c r="I3022" s="3">
        <f t="shared" si="4"/>
        <v>0</v>
      </c>
      <c r="J3022" s="27">
        <f t="shared" si="5"/>
        <v>693947</v>
      </c>
      <c r="K3022" s="27">
        <f t="shared" si="6"/>
        <v>693977</v>
      </c>
    </row>
    <row r="3023" hidden="1">
      <c r="A3023" s="3" t="str">
        <f t="shared" si="3"/>
        <v/>
      </c>
      <c r="B3023" s="2" t="str">
        <f t="array" ref="B3023">INDEX(helper!$A$3:$A3996,ROUNDUP((ROW()-1)/COUNTA(helper!$D$3:$D3996),0))</f>
        <v/>
      </c>
      <c r="C3023" s="5" t="str">
        <f t="array" ref="C3023">IF(B3023="","",INDEX(helper!$D$3:$D3996,MOD(ROW()-2,COUNTA(helper!$D$3:$D3996))+1))</f>
        <v/>
      </c>
      <c r="D3023" s="3" t="str">
        <f t="array" ref="D3023">IF(B3023="","",INDEX(helper!$E$3:$E3996,MOD(ROW()-2,COUNTA(helper!$D$3:$D3996))+1))</f>
        <v/>
      </c>
      <c r="E3023" s="3" t="str">
        <f t="array" ref="E3023">IF(B3023="","",INDEX(helper!$F$3:$F3996,MOD(ROW()-2,COUNTA(helper!$D$3:$D3996))+1))</f>
        <v/>
      </c>
      <c r="F3023" s="3" t="str">
        <f>IF(B3023="","",SUMIFS('inventory ledger'!$H:$H,'inventory ledger'!$C:$C,C3023,'inventory ledger'!$D:$D,D3023,'inventory ledger'!$E:$E,E3023,'inventory ledger'!$A:$A,"&lt;="&amp;B3023+TIME(23,59,59))-SUMIFS('inventory ledger'!$I:$I,'inventory ledger'!$C:$C,C3023,'inventory ledger'!$D:$D,D3023,'inventory ledger'!$E:$E,E3023,'inventory ledger'!$A:$A,"&lt;="&amp;B3023+TIME(23,59,59)))</f>
        <v/>
      </c>
      <c r="G3023" s="3">
        <f>IFERROR(__xludf.DUMMYFUNCTION("IF(F3023&lt;=0,0,IFERROR(ROUNDUP(F3023/INDEX(FILTER('warehouse config'!$D:$D,('warehouse config'!$B:$B=C3023)*('warehouse config'!$C:$C=D3023)*('warehouse config'!$G:$G&lt;=B3023)*(('warehouse config'!$H:$H&gt;=B3023)+ISBLANK('warehouse config'!$H:$H))),1)),0))"),0.0)</f>
        <v>0</v>
      </c>
      <c r="H3023" s="3">
        <f>IFERROR(__xludf.DUMMYFUNCTION("IFERROR(INDEX(FILTER('cost master'!$E:$E,('cost master'!$B:$B=C3023)*('cost master'!$D:$D=""Storage cost per pallet / week"")*('cost master'!$G:$G&lt;=B3023)*(('cost master'!$H:$H&gt;=B3023)+ISBLANK('cost master'!$H:$H))),1),0)"),0.0)</f>
        <v>0</v>
      </c>
      <c r="I3023" s="3">
        <f t="shared" si="4"/>
        <v>0</v>
      </c>
      <c r="J3023" s="27">
        <f t="shared" si="5"/>
        <v>693947</v>
      </c>
      <c r="K3023" s="27">
        <f t="shared" si="6"/>
        <v>693977</v>
      </c>
    </row>
    <row r="3024" hidden="1">
      <c r="A3024" s="3" t="str">
        <f t="shared" si="3"/>
        <v/>
      </c>
      <c r="B3024" s="2" t="str">
        <f t="array" ref="B3024">INDEX(helper!$A$3:$A3996,ROUNDUP((ROW()-1)/COUNTA(helper!$D$3:$D3996),0))</f>
        <v/>
      </c>
      <c r="C3024" s="5" t="str">
        <f t="array" ref="C3024">IF(B3024="","",INDEX(helper!$D$3:$D3996,MOD(ROW()-2,COUNTA(helper!$D$3:$D3996))+1))</f>
        <v/>
      </c>
      <c r="D3024" s="3" t="str">
        <f t="array" ref="D3024">IF(B3024="","",INDEX(helper!$E$3:$E3996,MOD(ROW()-2,COUNTA(helper!$D$3:$D3996))+1))</f>
        <v/>
      </c>
      <c r="E3024" s="3" t="str">
        <f t="array" ref="E3024">IF(B3024="","",INDEX(helper!$F$3:$F3996,MOD(ROW()-2,COUNTA(helper!$D$3:$D3996))+1))</f>
        <v/>
      </c>
      <c r="F3024" s="3" t="str">
        <f>IF(B3024="","",SUMIFS('inventory ledger'!$H:$H,'inventory ledger'!$C:$C,C3024,'inventory ledger'!$D:$D,D3024,'inventory ledger'!$E:$E,E3024,'inventory ledger'!$A:$A,"&lt;="&amp;B3024+TIME(23,59,59))-SUMIFS('inventory ledger'!$I:$I,'inventory ledger'!$C:$C,C3024,'inventory ledger'!$D:$D,D3024,'inventory ledger'!$E:$E,E3024,'inventory ledger'!$A:$A,"&lt;="&amp;B3024+TIME(23,59,59)))</f>
        <v/>
      </c>
      <c r="G3024" s="3">
        <f>IFERROR(__xludf.DUMMYFUNCTION("IF(F3024&lt;=0,0,IFERROR(ROUNDUP(F3024/INDEX(FILTER('warehouse config'!$D:$D,('warehouse config'!$B:$B=C3024)*('warehouse config'!$C:$C=D3024)*('warehouse config'!$G:$G&lt;=B3024)*(('warehouse config'!$H:$H&gt;=B3024)+ISBLANK('warehouse config'!$H:$H))),1)),0))"),0.0)</f>
        <v>0</v>
      </c>
      <c r="H3024" s="3">
        <f>IFERROR(__xludf.DUMMYFUNCTION("IFERROR(INDEX(FILTER('cost master'!$E:$E,('cost master'!$B:$B=C3024)*('cost master'!$D:$D=""Storage cost per pallet / week"")*('cost master'!$G:$G&lt;=B3024)*(('cost master'!$H:$H&gt;=B3024)+ISBLANK('cost master'!$H:$H))),1),0)"),0.0)</f>
        <v>0</v>
      </c>
      <c r="I3024" s="3">
        <f t="shared" si="4"/>
        <v>0</v>
      </c>
      <c r="J3024" s="27">
        <f t="shared" si="5"/>
        <v>693947</v>
      </c>
      <c r="K3024" s="27">
        <f t="shared" si="6"/>
        <v>693977</v>
      </c>
    </row>
    <row r="3025" hidden="1">
      <c r="A3025" s="3" t="str">
        <f t="shared" si="3"/>
        <v/>
      </c>
      <c r="B3025" s="2" t="str">
        <f t="array" ref="B3025">INDEX(helper!$A$3:$A3996,ROUNDUP((ROW()-1)/COUNTA(helper!$D$3:$D3996),0))</f>
        <v/>
      </c>
      <c r="C3025" s="5" t="str">
        <f t="array" ref="C3025">IF(B3025="","",INDEX(helper!$D$3:$D3996,MOD(ROW()-2,COUNTA(helper!$D$3:$D3996))+1))</f>
        <v/>
      </c>
      <c r="D3025" s="3" t="str">
        <f t="array" ref="D3025">IF(B3025="","",INDEX(helper!$E$3:$E3996,MOD(ROW()-2,COUNTA(helper!$D$3:$D3996))+1))</f>
        <v/>
      </c>
      <c r="E3025" s="3" t="str">
        <f t="array" ref="E3025">IF(B3025="","",INDEX(helper!$F$3:$F3996,MOD(ROW()-2,COUNTA(helper!$D$3:$D3996))+1))</f>
        <v/>
      </c>
      <c r="F3025" s="3" t="str">
        <f>IF(B3025="","",SUMIFS('inventory ledger'!$H:$H,'inventory ledger'!$C:$C,C3025,'inventory ledger'!$D:$D,D3025,'inventory ledger'!$E:$E,E3025,'inventory ledger'!$A:$A,"&lt;="&amp;B3025+TIME(23,59,59))-SUMIFS('inventory ledger'!$I:$I,'inventory ledger'!$C:$C,C3025,'inventory ledger'!$D:$D,D3025,'inventory ledger'!$E:$E,E3025,'inventory ledger'!$A:$A,"&lt;="&amp;B3025+TIME(23,59,59)))</f>
        <v/>
      </c>
      <c r="G3025" s="3">
        <f>IFERROR(__xludf.DUMMYFUNCTION("IF(F3025&lt;=0,0,IFERROR(ROUNDUP(F3025/INDEX(FILTER('warehouse config'!$D:$D,('warehouse config'!$B:$B=C3025)*('warehouse config'!$C:$C=D3025)*('warehouse config'!$G:$G&lt;=B3025)*(('warehouse config'!$H:$H&gt;=B3025)+ISBLANK('warehouse config'!$H:$H))),1)),0))"),0.0)</f>
        <v>0</v>
      </c>
      <c r="H3025" s="3">
        <f>IFERROR(__xludf.DUMMYFUNCTION("IFERROR(INDEX(FILTER('cost master'!$E:$E,('cost master'!$B:$B=C3025)*('cost master'!$D:$D=""Storage cost per pallet / week"")*('cost master'!$G:$G&lt;=B3025)*(('cost master'!$H:$H&gt;=B3025)+ISBLANK('cost master'!$H:$H))),1),0)"),0.0)</f>
        <v>0</v>
      </c>
      <c r="I3025" s="3">
        <f t="shared" si="4"/>
        <v>0</v>
      </c>
      <c r="J3025" s="27">
        <f t="shared" si="5"/>
        <v>693947</v>
      </c>
      <c r="K3025" s="27">
        <f t="shared" si="6"/>
        <v>693977</v>
      </c>
    </row>
    <row r="3026" hidden="1">
      <c r="A3026" s="3" t="str">
        <f t="shared" si="3"/>
        <v/>
      </c>
      <c r="B3026" s="2" t="str">
        <f t="array" ref="B3026">INDEX(helper!$A$3:$A3996,ROUNDUP((ROW()-1)/COUNTA(helper!$D$3:$D3996),0))</f>
        <v/>
      </c>
      <c r="C3026" s="5" t="str">
        <f t="array" ref="C3026">IF(B3026="","",INDEX(helper!$D$3:$D3996,MOD(ROW()-2,COUNTA(helper!$D$3:$D3996))+1))</f>
        <v/>
      </c>
      <c r="D3026" s="3" t="str">
        <f t="array" ref="D3026">IF(B3026="","",INDEX(helper!$E$3:$E3996,MOD(ROW()-2,COUNTA(helper!$D$3:$D3996))+1))</f>
        <v/>
      </c>
      <c r="E3026" s="3" t="str">
        <f t="array" ref="E3026">IF(B3026="","",INDEX(helper!$F$3:$F3996,MOD(ROW()-2,COUNTA(helper!$D$3:$D3996))+1))</f>
        <v/>
      </c>
      <c r="F3026" s="3" t="str">
        <f>IF(B3026="","",SUMIFS('inventory ledger'!$H:$H,'inventory ledger'!$C:$C,C3026,'inventory ledger'!$D:$D,D3026,'inventory ledger'!$E:$E,E3026,'inventory ledger'!$A:$A,"&lt;="&amp;B3026+TIME(23,59,59))-SUMIFS('inventory ledger'!$I:$I,'inventory ledger'!$C:$C,C3026,'inventory ledger'!$D:$D,D3026,'inventory ledger'!$E:$E,E3026,'inventory ledger'!$A:$A,"&lt;="&amp;B3026+TIME(23,59,59)))</f>
        <v/>
      </c>
      <c r="G3026" s="3">
        <f>IFERROR(__xludf.DUMMYFUNCTION("IF(F3026&lt;=0,0,IFERROR(ROUNDUP(F3026/INDEX(FILTER('warehouse config'!$D:$D,('warehouse config'!$B:$B=C3026)*('warehouse config'!$C:$C=D3026)*('warehouse config'!$G:$G&lt;=B3026)*(('warehouse config'!$H:$H&gt;=B3026)+ISBLANK('warehouse config'!$H:$H))),1)),0))"),0.0)</f>
        <v>0</v>
      </c>
      <c r="H3026" s="3">
        <f>IFERROR(__xludf.DUMMYFUNCTION("IFERROR(INDEX(FILTER('cost master'!$E:$E,('cost master'!$B:$B=C3026)*('cost master'!$D:$D=""Storage cost per pallet / week"")*('cost master'!$G:$G&lt;=B3026)*(('cost master'!$H:$H&gt;=B3026)+ISBLANK('cost master'!$H:$H))),1),0)"),0.0)</f>
        <v>0</v>
      </c>
      <c r="I3026" s="3">
        <f t="shared" si="4"/>
        <v>0</v>
      </c>
      <c r="J3026" s="27">
        <f t="shared" si="5"/>
        <v>693947</v>
      </c>
      <c r="K3026" s="27">
        <f t="shared" si="6"/>
        <v>693977</v>
      </c>
    </row>
    <row r="3027" hidden="1">
      <c r="A3027" s="3" t="str">
        <f t="shared" si="3"/>
        <v/>
      </c>
      <c r="B3027" s="2" t="str">
        <f t="array" ref="B3027">INDEX(helper!$A$3:$A3996,ROUNDUP((ROW()-1)/COUNTA(helper!$D$3:$D3996),0))</f>
        <v/>
      </c>
      <c r="C3027" s="5" t="str">
        <f t="array" ref="C3027">IF(B3027="","",INDEX(helper!$D$3:$D3996,MOD(ROW()-2,COUNTA(helper!$D$3:$D3996))+1))</f>
        <v/>
      </c>
      <c r="D3027" s="3" t="str">
        <f t="array" ref="D3027">IF(B3027="","",INDEX(helper!$E$3:$E3996,MOD(ROW()-2,COUNTA(helper!$D$3:$D3996))+1))</f>
        <v/>
      </c>
      <c r="E3027" s="3" t="str">
        <f t="array" ref="E3027">IF(B3027="","",INDEX(helper!$F$3:$F3996,MOD(ROW()-2,COUNTA(helper!$D$3:$D3996))+1))</f>
        <v/>
      </c>
      <c r="F3027" s="3" t="str">
        <f>IF(B3027="","",SUMIFS('inventory ledger'!$H:$H,'inventory ledger'!$C:$C,C3027,'inventory ledger'!$D:$D,D3027,'inventory ledger'!$E:$E,E3027,'inventory ledger'!$A:$A,"&lt;="&amp;B3027+TIME(23,59,59))-SUMIFS('inventory ledger'!$I:$I,'inventory ledger'!$C:$C,C3027,'inventory ledger'!$D:$D,D3027,'inventory ledger'!$E:$E,E3027,'inventory ledger'!$A:$A,"&lt;="&amp;B3027+TIME(23,59,59)))</f>
        <v/>
      </c>
      <c r="G3027" s="3">
        <f>IFERROR(__xludf.DUMMYFUNCTION("IF(F3027&lt;=0,0,IFERROR(ROUNDUP(F3027/INDEX(FILTER('warehouse config'!$D:$D,('warehouse config'!$B:$B=C3027)*('warehouse config'!$C:$C=D3027)*('warehouse config'!$G:$G&lt;=B3027)*(('warehouse config'!$H:$H&gt;=B3027)+ISBLANK('warehouse config'!$H:$H))),1)),0))"),0.0)</f>
        <v>0</v>
      </c>
      <c r="H3027" s="3">
        <f>IFERROR(__xludf.DUMMYFUNCTION("IFERROR(INDEX(FILTER('cost master'!$E:$E,('cost master'!$B:$B=C3027)*('cost master'!$D:$D=""Storage cost per pallet / week"")*('cost master'!$G:$G&lt;=B3027)*(('cost master'!$H:$H&gt;=B3027)+ISBLANK('cost master'!$H:$H))),1),0)"),0.0)</f>
        <v>0</v>
      </c>
      <c r="I3027" s="3">
        <f t="shared" si="4"/>
        <v>0</v>
      </c>
      <c r="J3027" s="27">
        <f t="shared" si="5"/>
        <v>693947</v>
      </c>
      <c r="K3027" s="27">
        <f t="shared" si="6"/>
        <v>693977</v>
      </c>
    </row>
    <row r="3028" hidden="1">
      <c r="A3028" s="3" t="str">
        <f t="shared" si="3"/>
        <v/>
      </c>
      <c r="B3028" s="2" t="str">
        <f t="array" ref="B3028">INDEX(helper!$A$3:$A3996,ROUNDUP((ROW()-1)/COUNTA(helper!$D$3:$D3996),0))</f>
        <v/>
      </c>
      <c r="C3028" s="5" t="str">
        <f t="array" ref="C3028">IF(B3028="","",INDEX(helper!$D$3:$D3996,MOD(ROW()-2,COUNTA(helper!$D$3:$D3996))+1))</f>
        <v/>
      </c>
      <c r="D3028" s="3" t="str">
        <f t="array" ref="D3028">IF(B3028="","",INDEX(helper!$E$3:$E3996,MOD(ROW()-2,COUNTA(helper!$D$3:$D3996))+1))</f>
        <v/>
      </c>
      <c r="E3028" s="3" t="str">
        <f t="array" ref="E3028">IF(B3028="","",INDEX(helper!$F$3:$F3996,MOD(ROW()-2,COUNTA(helper!$D$3:$D3996))+1))</f>
        <v/>
      </c>
      <c r="F3028" s="3" t="str">
        <f>IF(B3028="","",SUMIFS('inventory ledger'!$H:$H,'inventory ledger'!$C:$C,C3028,'inventory ledger'!$D:$D,D3028,'inventory ledger'!$E:$E,E3028,'inventory ledger'!$A:$A,"&lt;="&amp;B3028+TIME(23,59,59))-SUMIFS('inventory ledger'!$I:$I,'inventory ledger'!$C:$C,C3028,'inventory ledger'!$D:$D,D3028,'inventory ledger'!$E:$E,E3028,'inventory ledger'!$A:$A,"&lt;="&amp;B3028+TIME(23,59,59)))</f>
        <v/>
      </c>
      <c r="G3028" s="3">
        <f>IFERROR(__xludf.DUMMYFUNCTION("IF(F3028&lt;=0,0,IFERROR(ROUNDUP(F3028/INDEX(FILTER('warehouse config'!$D:$D,('warehouse config'!$B:$B=C3028)*('warehouse config'!$C:$C=D3028)*('warehouse config'!$G:$G&lt;=B3028)*(('warehouse config'!$H:$H&gt;=B3028)+ISBLANK('warehouse config'!$H:$H))),1)),0))"),0.0)</f>
        <v>0</v>
      </c>
      <c r="H3028" s="3">
        <f>IFERROR(__xludf.DUMMYFUNCTION("IFERROR(INDEX(FILTER('cost master'!$E:$E,('cost master'!$B:$B=C3028)*('cost master'!$D:$D=""Storage cost per pallet / week"")*('cost master'!$G:$G&lt;=B3028)*(('cost master'!$H:$H&gt;=B3028)+ISBLANK('cost master'!$H:$H))),1),0)"),0.0)</f>
        <v>0</v>
      </c>
      <c r="I3028" s="3">
        <f t="shared" si="4"/>
        <v>0</v>
      </c>
      <c r="J3028" s="27">
        <f t="shared" si="5"/>
        <v>693947</v>
      </c>
      <c r="K3028" s="27">
        <f t="shared" si="6"/>
        <v>693977</v>
      </c>
    </row>
    <row r="3029" hidden="1">
      <c r="A3029" s="3" t="str">
        <f t="shared" si="3"/>
        <v/>
      </c>
      <c r="B3029" s="2" t="str">
        <f t="array" ref="B3029">INDEX(helper!$A$3:$A3996,ROUNDUP((ROW()-1)/COUNTA(helper!$D$3:$D3996),0))</f>
        <v/>
      </c>
      <c r="C3029" s="5" t="str">
        <f t="array" ref="C3029">IF(B3029="","",INDEX(helper!$D$3:$D3996,MOD(ROW()-2,COUNTA(helper!$D$3:$D3996))+1))</f>
        <v/>
      </c>
      <c r="D3029" s="3" t="str">
        <f t="array" ref="D3029">IF(B3029="","",INDEX(helper!$E$3:$E3996,MOD(ROW()-2,COUNTA(helper!$D$3:$D3996))+1))</f>
        <v/>
      </c>
      <c r="E3029" s="3" t="str">
        <f t="array" ref="E3029">IF(B3029="","",INDEX(helper!$F$3:$F3996,MOD(ROW()-2,COUNTA(helper!$D$3:$D3996))+1))</f>
        <v/>
      </c>
      <c r="F3029" s="3" t="str">
        <f>IF(B3029="","",SUMIFS('inventory ledger'!$H:$H,'inventory ledger'!$C:$C,C3029,'inventory ledger'!$D:$D,D3029,'inventory ledger'!$E:$E,E3029,'inventory ledger'!$A:$A,"&lt;="&amp;B3029+TIME(23,59,59))-SUMIFS('inventory ledger'!$I:$I,'inventory ledger'!$C:$C,C3029,'inventory ledger'!$D:$D,D3029,'inventory ledger'!$E:$E,E3029,'inventory ledger'!$A:$A,"&lt;="&amp;B3029+TIME(23,59,59)))</f>
        <v/>
      </c>
      <c r="G3029" s="3">
        <f>IFERROR(__xludf.DUMMYFUNCTION("IF(F3029&lt;=0,0,IFERROR(ROUNDUP(F3029/INDEX(FILTER('warehouse config'!$D:$D,('warehouse config'!$B:$B=C3029)*('warehouse config'!$C:$C=D3029)*('warehouse config'!$G:$G&lt;=B3029)*(('warehouse config'!$H:$H&gt;=B3029)+ISBLANK('warehouse config'!$H:$H))),1)),0))"),0.0)</f>
        <v>0</v>
      </c>
      <c r="H3029" s="3">
        <f>IFERROR(__xludf.DUMMYFUNCTION("IFERROR(INDEX(FILTER('cost master'!$E:$E,('cost master'!$B:$B=C3029)*('cost master'!$D:$D=""Storage cost per pallet / week"")*('cost master'!$G:$G&lt;=B3029)*(('cost master'!$H:$H&gt;=B3029)+ISBLANK('cost master'!$H:$H))),1),0)"),0.0)</f>
        <v>0</v>
      </c>
      <c r="I3029" s="3">
        <f t="shared" si="4"/>
        <v>0</v>
      </c>
      <c r="J3029" s="27">
        <f t="shared" si="5"/>
        <v>693947</v>
      </c>
      <c r="K3029" s="27">
        <f t="shared" si="6"/>
        <v>693977</v>
      </c>
    </row>
    <row r="3030" hidden="1">
      <c r="A3030" s="3" t="str">
        <f t="shared" si="3"/>
        <v/>
      </c>
      <c r="B3030" s="2" t="str">
        <f t="array" ref="B3030">INDEX(helper!$A$3:$A3996,ROUNDUP((ROW()-1)/COUNTA(helper!$D$3:$D3996),0))</f>
        <v/>
      </c>
      <c r="C3030" s="5" t="str">
        <f t="array" ref="C3030">IF(B3030="","",INDEX(helper!$D$3:$D3996,MOD(ROW()-2,COUNTA(helper!$D$3:$D3996))+1))</f>
        <v/>
      </c>
      <c r="D3030" s="3" t="str">
        <f t="array" ref="D3030">IF(B3030="","",INDEX(helper!$E$3:$E3996,MOD(ROW()-2,COUNTA(helper!$D$3:$D3996))+1))</f>
        <v/>
      </c>
      <c r="E3030" s="3" t="str">
        <f t="array" ref="E3030">IF(B3030="","",INDEX(helper!$F$3:$F3996,MOD(ROW()-2,COUNTA(helper!$D$3:$D3996))+1))</f>
        <v/>
      </c>
      <c r="F3030" s="3" t="str">
        <f>IF(B3030="","",SUMIFS('inventory ledger'!$H:$H,'inventory ledger'!$C:$C,C3030,'inventory ledger'!$D:$D,D3030,'inventory ledger'!$E:$E,E3030,'inventory ledger'!$A:$A,"&lt;="&amp;B3030+TIME(23,59,59))-SUMIFS('inventory ledger'!$I:$I,'inventory ledger'!$C:$C,C3030,'inventory ledger'!$D:$D,D3030,'inventory ledger'!$E:$E,E3030,'inventory ledger'!$A:$A,"&lt;="&amp;B3030+TIME(23,59,59)))</f>
        <v/>
      </c>
      <c r="G3030" s="3">
        <f>IFERROR(__xludf.DUMMYFUNCTION("IF(F3030&lt;=0,0,IFERROR(ROUNDUP(F3030/INDEX(FILTER('warehouse config'!$D:$D,('warehouse config'!$B:$B=C3030)*('warehouse config'!$C:$C=D3030)*('warehouse config'!$G:$G&lt;=B3030)*(('warehouse config'!$H:$H&gt;=B3030)+ISBLANK('warehouse config'!$H:$H))),1)),0))"),0.0)</f>
        <v>0</v>
      </c>
      <c r="H3030" s="3">
        <f>IFERROR(__xludf.DUMMYFUNCTION("IFERROR(INDEX(FILTER('cost master'!$E:$E,('cost master'!$B:$B=C3030)*('cost master'!$D:$D=""Storage cost per pallet / week"")*('cost master'!$G:$G&lt;=B3030)*(('cost master'!$H:$H&gt;=B3030)+ISBLANK('cost master'!$H:$H))),1),0)"),0.0)</f>
        <v>0</v>
      </c>
      <c r="I3030" s="3">
        <f t="shared" si="4"/>
        <v>0</v>
      </c>
      <c r="J3030" s="27">
        <f t="shared" si="5"/>
        <v>693947</v>
      </c>
      <c r="K3030" s="27">
        <f t="shared" si="6"/>
        <v>693977</v>
      </c>
    </row>
    <row r="3031" hidden="1">
      <c r="A3031" s="3" t="str">
        <f t="shared" si="3"/>
        <v/>
      </c>
      <c r="B3031" s="2" t="str">
        <f t="array" ref="B3031">INDEX(helper!$A$3:$A3996,ROUNDUP((ROW()-1)/COUNTA(helper!$D$3:$D3996),0))</f>
        <v/>
      </c>
      <c r="C3031" s="5" t="str">
        <f t="array" ref="C3031">IF(B3031="","",INDEX(helper!$D$3:$D3996,MOD(ROW()-2,COUNTA(helper!$D$3:$D3996))+1))</f>
        <v/>
      </c>
      <c r="D3031" s="3" t="str">
        <f t="array" ref="D3031">IF(B3031="","",INDEX(helper!$E$3:$E3996,MOD(ROW()-2,COUNTA(helper!$D$3:$D3996))+1))</f>
        <v/>
      </c>
      <c r="E3031" s="3" t="str">
        <f t="array" ref="E3031">IF(B3031="","",INDEX(helper!$F$3:$F3996,MOD(ROW()-2,COUNTA(helper!$D$3:$D3996))+1))</f>
        <v/>
      </c>
      <c r="F3031" s="3" t="str">
        <f>IF(B3031="","",SUMIFS('inventory ledger'!$H:$H,'inventory ledger'!$C:$C,C3031,'inventory ledger'!$D:$D,D3031,'inventory ledger'!$E:$E,E3031,'inventory ledger'!$A:$A,"&lt;="&amp;B3031+TIME(23,59,59))-SUMIFS('inventory ledger'!$I:$I,'inventory ledger'!$C:$C,C3031,'inventory ledger'!$D:$D,D3031,'inventory ledger'!$E:$E,E3031,'inventory ledger'!$A:$A,"&lt;="&amp;B3031+TIME(23,59,59)))</f>
        <v/>
      </c>
      <c r="G3031" s="3">
        <f>IFERROR(__xludf.DUMMYFUNCTION("IF(F3031&lt;=0,0,IFERROR(ROUNDUP(F3031/INDEX(FILTER('warehouse config'!$D:$D,('warehouse config'!$B:$B=C3031)*('warehouse config'!$C:$C=D3031)*('warehouse config'!$G:$G&lt;=B3031)*(('warehouse config'!$H:$H&gt;=B3031)+ISBLANK('warehouse config'!$H:$H))),1)),0))"),0.0)</f>
        <v>0</v>
      </c>
      <c r="H3031" s="3">
        <f>IFERROR(__xludf.DUMMYFUNCTION("IFERROR(INDEX(FILTER('cost master'!$E:$E,('cost master'!$B:$B=C3031)*('cost master'!$D:$D=""Storage cost per pallet / week"")*('cost master'!$G:$G&lt;=B3031)*(('cost master'!$H:$H&gt;=B3031)+ISBLANK('cost master'!$H:$H))),1),0)"),0.0)</f>
        <v>0</v>
      </c>
      <c r="I3031" s="3">
        <f t="shared" si="4"/>
        <v>0</v>
      </c>
      <c r="J3031" s="27">
        <f t="shared" si="5"/>
        <v>693947</v>
      </c>
      <c r="K3031" s="27">
        <f t="shared" si="6"/>
        <v>693977</v>
      </c>
    </row>
    <row r="3032" hidden="1">
      <c r="A3032" s="3" t="str">
        <f t="shared" si="3"/>
        <v/>
      </c>
      <c r="B3032" s="2" t="str">
        <f t="array" ref="B3032">INDEX(helper!$A$3:$A3996,ROUNDUP((ROW()-1)/COUNTA(helper!$D$3:$D3996),0))</f>
        <v/>
      </c>
      <c r="C3032" s="5" t="str">
        <f t="array" ref="C3032">IF(B3032="","",INDEX(helper!$D$3:$D3996,MOD(ROW()-2,COUNTA(helper!$D$3:$D3996))+1))</f>
        <v/>
      </c>
      <c r="D3032" s="3" t="str">
        <f t="array" ref="D3032">IF(B3032="","",INDEX(helper!$E$3:$E3996,MOD(ROW()-2,COUNTA(helper!$D$3:$D3996))+1))</f>
        <v/>
      </c>
      <c r="E3032" s="3" t="str">
        <f t="array" ref="E3032">IF(B3032="","",INDEX(helper!$F$3:$F3996,MOD(ROW()-2,COUNTA(helper!$D$3:$D3996))+1))</f>
        <v/>
      </c>
      <c r="F3032" s="3" t="str">
        <f>IF(B3032="","",SUMIFS('inventory ledger'!$H:$H,'inventory ledger'!$C:$C,C3032,'inventory ledger'!$D:$D,D3032,'inventory ledger'!$E:$E,E3032,'inventory ledger'!$A:$A,"&lt;="&amp;B3032+TIME(23,59,59))-SUMIFS('inventory ledger'!$I:$I,'inventory ledger'!$C:$C,C3032,'inventory ledger'!$D:$D,D3032,'inventory ledger'!$E:$E,E3032,'inventory ledger'!$A:$A,"&lt;="&amp;B3032+TIME(23,59,59)))</f>
        <v/>
      </c>
      <c r="G3032" s="3">
        <f>IFERROR(__xludf.DUMMYFUNCTION("IF(F3032&lt;=0,0,IFERROR(ROUNDUP(F3032/INDEX(FILTER('warehouse config'!$D:$D,('warehouse config'!$B:$B=C3032)*('warehouse config'!$C:$C=D3032)*('warehouse config'!$G:$G&lt;=B3032)*(('warehouse config'!$H:$H&gt;=B3032)+ISBLANK('warehouse config'!$H:$H))),1)),0))"),0.0)</f>
        <v>0</v>
      </c>
      <c r="H3032" s="3">
        <f>IFERROR(__xludf.DUMMYFUNCTION("IFERROR(INDEX(FILTER('cost master'!$E:$E,('cost master'!$B:$B=C3032)*('cost master'!$D:$D=""Storage cost per pallet / week"")*('cost master'!$G:$G&lt;=B3032)*(('cost master'!$H:$H&gt;=B3032)+ISBLANK('cost master'!$H:$H))),1),0)"),0.0)</f>
        <v>0</v>
      </c>
      <c r="I3032" s="3">
        <f t="shared" si="4"/>
        <v>0</v>
      </c>
      <c r="J3032" s="27">
        <f t="shared" si="5"/>
        <v>693947</v>
      </c>
      <c r="K3032" s="27">
        <f t="shared" si="6"/>
        <v>693977</v>
      </c>
    </row>
    <row r="3033" hidden="1">
      <c r="A3033" s="3" t="str">
        <f t="shared" si="3"/>
        <v/>
      </c>
      <c r="B3033" s="2" t="str">
        <f t="array" ref="B3033">INDEX(helper!$A$3:$A3996,ROUNDUP((ROW()-1)/COUNTA(helper!$D$3:$D3996),0))</f>
        <v/>
      </c>
      <c r="C3033" s="5" t="str">
        <f t="array" ref="C3033">IF(B3033="","",INDEX(helper!$D$3:$D3996,MOD(ROW()-2,COUNTA(helper!$D$3:$D3996))+1))</f>
        <v/>
      </c>
      <c r="D3033" s="3" t="str">
        <f t="array" ref="D3033">IF(B3033="","",INDEX(helper!$E$3:$E3996,MOD(ROW()-2,COUNTA(helper!$D$3:$D3996))+1))</f>
        <v/>
      </c>
      <c r="E3033" s="3" t="str">
        <f t="array" ref="E3033">IF(B3033="","",INDEX(helper!$F$3:$F3996,MOD(ROW()-2,COUNTA(helper!$D$3:$D3996))+1))</f>
        <v/>
      </c>
      <c r="F3033" s="3" t="str">
        <f>IF(B3033="","",SUMIFS('inventory ledger'!$H:$H,'inventory ledger'!$C:$C,C3033,'inventory ledger'!$D:$D,D3033,'inventory ledger'!$E:$E,E3033,'inventory ledger'!$A:$A,"&lt;="&amp;B3033+TIME(23,59,59))-SUMIFS('inventory ledger'!$I:$I,'inventory ledger'!$C:$C,C3033,'inventory ledger'!$D:$D,D3033,'inventory ledger'!$E:$E,E3033,'inventory ledger'!$A:$A,"&lt;="&amp;B3033+TIME(23,59,59)))</f>
        <v/>
      </c>
      <c r="G3033" s="3">
        <f>IFERROR(__xludf.DUMMYFUNCTION("IF(F3033&lt;=0,0,IFERROR(ROUNDUP(F3033/INDEX(FILTER('warehouse config'!$D:$D,('warehouse config'!$B:$B=C3033)*('warehouse config'!$C:$C=D3033)*('warehouse config'!$G:$G&lt;=B3033)*(('warehouse config'!$H:$H&gt;=B3033)+ISBLANK('warehouse config'!$H:$H))),1)),0))"),0.0)</f>
        <v>0</v>
      </c>
      <c r="H3033" s="3">
        <f>IFERROR(__xludf.DUMMYFUNCTION("IFERROR(INDEX(FILTER('cost master'!$E:$E,('cost master'!$B:$B=C3033)*('cost master'!$D:$D=""Storage cost per pallet / week"")*('cost master'!$G:$G&lt;=B3033)*(('cost master'!$H:$H&gt;=B3033)+ISBLANK('cost master'!$H:$H))),1),0)"),0.0)</f>
        <v>0</v>
      </c>
      <c r="I3033" s="3">
        <f t="shared" si="4"/>
        <v>0</v>
      </c>
      <c r="J3033" s="27">
        <f t="shared" si="5"/>
        <v>693947</v>
      </c>
      <c r="K3033" s="27">
        <f t="shared" si="6"/>
        <v>693977</v>
      </c>
    </row>
    <row r="3034" hidden="1">
      <c r="A3034" s="3" t="str">
        <f t="shared" si="3"/>
        <v/>
      </c>
      <c r="B3034" s="2" t="str">
        <f t="array" ref="B3034">INDEX(helper!$A$3:$A3996,ROUNDUP((ROW()-1)/COUNTA(helper!$D$3:$D3996),0))</f>
        <v/>
      </c>
      <c r="C3034" s="5" t="str">
        <f t="array" ref="C3034">IF(B3034="","",INDEX(helper!$D$3:$D3996,MOD(ROW()-2,COUNTA(helper!$D$3:$D3996))+1))</f>
        <v/>
      </c>
      <c r="D3034" s="3" t="str">
        <f t="array" ref="D3034">IF(B3034="","",INDEX(helper!$E$3:$E3996,MOD(ROW()-2,COUNTA(helper!$D$3:$D3996))+1))</f>
        <v/>
      </c>
      <c r="E3034" s="3" t="str">
        <f t="array" ref="E3034">IF(B3034="","",INDEX(helper!$F$3:$F3996,MOD(ROW()-2,COUNTA(helper!$D$3:$D3996))+1))</f>
        <v/>
      </c>
      <c r="F3034" s="3" t="str">
        <f>IF(B3034="","",SUMIFS('inventory ledger'!$H:$H,'inventory ledger'!$C:$C,C3034,'inventory ledger'!$D:$D,D3034,'inventory ledger'!$E:$E,E3034,'inventory ledger'!$A:$A,"&lt;="&amp;B3034+TIME(23,59,59))-SUMIFS('inventory ledger'!$I:$I,'inventory ledger'!$C:$C,C3034,'inventory ledger'!$D:$D,D3034,'inventory ledger'!$E:$E,E3034,'inventory ledger'!$A:$A,"&lt;="&amp;B3034+TIME(23,59,59)))</f>
        <v/>
      </c>
      <c r="G3034" s="3">
        <f>IFERROR(__xludf.DUMMYFUNCTION("IF(F3034&lt;=0,0,IFERROR(ROUNDUP(F3034/INDEX(FILTER('warehouse config'!$D:$D,('warehouse config'!$B:$B=C3034)*('warehouse config'!$C:$C=D3034)*('warehouse config'!$G:$G&lt;=B3034)*(('warehouse config'!$H:$H&gt;=B3034)+ISBLANK('warehouse config'!$H:$H))),1)),0))"),0.0)</f>
        <v>0</v>
      </c>
      <c r="H3034" s="3">
        <f>IFERROR(__xludf.DUMMYFUNCTION("IFERROR(INDEX(FILTER('cost master'!$E:$E,('cost master'!$B:$B=C3034)*('cost master'!$D:$D=""Storage cost per pallet / week"")*('cost master'!$G:$G&lt;=B3034)*(('cost master'!$H:$H&gt;=B3034)+ISBLANK('cost master'!$H:$H))),1),0)"),0.0)</f>
        <v>0</v>
      </c>
      <c r="I3034" s="3">
        <f t="shared" si="4"/>
        <v>0</v>
      </c>
      <c r="J3034" s="27">
        <f t="shared" si="5"/>
        <v>693947</v>
      </c>
      <c r="K3034" s="27">
        <f t="shared" si="6"/>
        <v>693977</v>
      </c>
    </row>
    <row r="3035" hidden="1">
      <c r="A3035" s="3" t="str">
        <f t="shared" si="3"/>
        <v/>
      </c>
      <c r="B3035" s="2" t="str">
        <f t="array" ref="B3035">INDEX(helper!$A$3:$A3996,ROUNDUP((ROW()-1)/COUNTA(helper!$D$3:$D3996),0))</f>
        <v/>
      </c>
      <c r="C3035" s="5" t="str">
        <f t="array" ref="C3035">IF(B3035="","",INDEX(helper!$D$3:$D3996,MOD(ROW()-2,COUNTA(helper!$D$3:$D3996))+1))</f>
        <v/>
      </c>
      <c r="D3035" s="3" t="str">
        <f t="array" ref="D3035">IF(B3035="","",INDEX(helper!$E$3:$E3996,MOD(ROW()-2,COUNTA(helper!$D$3:$D3996))+1))</f>
        <v/>
      </c>
      <c r="E3035" s="3" t="str">
        <f t="array" ref="E3035">IF(B3035="","",INDEX(helper!$F$3:$F3996,MOD(ROW()-2,COUNTA(helper!$D$3:$D3996))+1))</f>
        <v/>
      </c>
      <c r="F3035" s="3" t="str">
        <f>IF(B3035="","",SUMIFS('inventory ledger'!$H:$H,'inventory ledger'!$C:$C,C3035,'inventory ledger'!$D:$D,D3035,'inventory ledger'!$E:$E,E3035,'inventory ledger'!$A:$A,"&lt;="&amp;B3035+TIME(23,59,59))-SUMIFS('inventory ledger'!$I:$I,'inventory ledger'!$C:$C,C3035,'inventory ledger'!$D:$D,D3035,'inventory ledger'!$E:$E,E3035,'inventory ledger'!$A:$A,"&lt;="&amp;B3035+TIME(23,59,59)))</f>
        <v/>
      </c>
      <c r="G3035" s="3">
        <f>IFERROR(__xludf.DUMMYFUNCTION("IF(F3035&lt;=0,0,IFERROR(ROUNDUP(F3035/INDEX(FILTER('warehouse config'!$D:$D,('warehouse config'!$B:$B=C3035)*('warehouse config'!$C:$C=D3035)*('warehouse config'!$G:$G&lt;=B3035)*(('warehouse config'!$H:$H&gt;=B3035)+ISBLANK('warehouse config'!$H:$H))),1)),0))"),0.0)</f>
        <v>0</v>
      </c>
      <c r="H3035" s="3">
        <f>IFERROR(__xludf.DUMMYFUNCTION("IFERROR(INDEX(FILTER('cost master'!$E:$E,('cost master'!$B:$B=C3035)*('cost master'!$D:$D=""Storage cost per pallet / week"")*('cost master'!$G:$G&lt;=B3035)*(('cost master'!$H:$H&gt;=B3035)+ISBLANK('cost master'!$H:$H))),1),0)"),0.0)</f>
        <v>0</v>
      </c>
      <c r="I3035" s="3">
        <f t="shared" si="4"/>
        <v>0</v>
      </c>
      <c r="J3035" s="27">
        <f t="shared" si="5"/>
        <v>693947</v>
      </c>
      <c r="K3035" s="27">
        <f t="shared" si="6"/>
        <v>693977</v>
      </c>
    </row>
    <row r="3036" hidden="1">
      <c r="A3036" s="3" t="str">
        <f t="shared" si="3"/>
        <v/>
      </c>
      <c r="B3036" s="2" t="str">
        <f t="array" ref="B3036">INDEX(helper!$A$3:$A3996,ROUNDUP((ROW()-1)/COUNTA(helper!$D$3:$D3996),0))</f>
        <v/>
      </c>
      <c r="C3036" s="5" t="str">
        <f t="array" ref="C3036">IF(B3036="","",INDEX(helper!$D$3:$D3996,MOD(ROW()-2,COUNTA(helper!$D$3:$D3996))+1))</f>
        <v/>
      </c>
      <c r="D3036" s="3" t="str">
        <f t="array" ref="D3036">IF(B3036="","",INDEX(helper!$E$3:$E3996,MOD(ROW()-2,COUNTA(helper!$D$3:$D3996))+1))</f>
        <v/>
      </c>
      <c r="E3036" s="3" t="str">
        <f t="array" ref="E3036">IF(B3036="","",INDEX(helper!$F$3:$F3996,MOD(ROW()-2,COUNTA(helper!$D$3:$D3996))+1))</f>
        <v/>
      </c>
      <c r="F3036" s="3" t="str">
        <f>IF(B3036="","",SUMIFS('inventory ledger'!$H:$H,'inventory ledger'!$C:$C,C3036,'inventory ledger'!$D:$D,D3036,'inventory ledger'!$E:$E,E3036,'inventory ledger'!$A:$A,"&lt;="&amp;B3036+TIME(23,59,59))-SUMIFS('inventory ledger'!$I:$I,'inventory ledger'!$C:$C,C3036,'inventory ledger'!$D:$D,D3036,'inventory ledger'!$E:$E,E3036,'inventory ledger'!$A:$A,"&lt;="&amp;B3036+TIME(23,59,59)))</f>
        <v/>
      </c>
      <c r="G3036" s="3">
        <f>IFERROR(__xludf.DUMMYFUNCTION("IF(F3036&lt;=0,0,IFERROR(ROUNDUP(F3036/INDEX(FILTER('warehouse config'!$D:$D,('warehouse config'!$B:$B=C3036)*('warehouse config'!$C:$C=D3036)*('warehouse config'!$G:$G&lt;=B3036)*(('warehouse config'!$H:$H&gt;=B3036)+ISBLANK('warehouse config'!$H:$H))),1)),0))"),0.0)</f>
        <v>0</v>
      </c>
      <c r="H3036" s="3">
        <f>IFERROR(__xludf.DUMMYFUNCTION("IFERROR(INDEX(FILTER('cost master'!$E:$E,('cost master'!$B:$B=C3036)*('cost master'!$D:$D=""Storage cost per pallet / week"")*('cost master'!$G:$G&lt;=B3036)*(('cost master'!$H:$H&gt;=B3036)+ISBLANK('cost master'!$H:$H))),1),0)"),0.0)</f>
        <v>0</v>
      </c>
      <c r="I3036" s="3">
        <f t="shared" si="4"/>
        <v>0</v>
      </c>
      <c r="J3036" s="27">
        <f t="shared" si="5"/>
        <v>693947</v>
      </c>
      <c r="K3036" s="27">
        <f t="shared" si="6"/>
        <v>693977</v>
      </c>
    </row>
    <row r="3037" hidden="1">
      <c r="A3037" s="3" t="str">
        <f t="shared" si="3"/>
        <v/>
      </c>
      <c r="B3037" s="2" t="str">
        <f t="array" ref="B3037">INDEX(helper!$A$3:$A3996,ROUNDUP((ROW()-1)/COUNTA(helper!$D$3:$D3996),0))</f>
        <v/>
      </c>
      <c r="C3037" s="5" t="str">
        <f t="array" ref="C3037">IF(B3037="","",INDEX(helper!$D$3:$D3996,MOD(ROW()-2,COUNTA(helper!$D$3:$D3996))+1))</f>
        <v/>
      </c>
      <c r="D3037" s="3" t="str">
        <f t="array" ref="D3037">IF(B3037="","",INDEX(helper!$E$3:$E3996,MOD(ROW()-2,COUNTA(helper!$D$3:$D3996))+1))</f>
        <v/>
      </c>
      <c r="E3037" s="3" t="str">
        <f t="array" ref="E3037">IF(B3037="","",INDEX(helper!$F$3:$F3996,MOD(ROW()-2,COUNTA(helper!$D$3:$D3996))+1))</f>
        <v/>
      </c>
      <c r="F3037" s="3" t="str">
        <f>IF(B3037="","",SUMIFS('inventory ledger'!$H:$H,'inventory ledger'!$C:$C,C3037,'inventory ledger'!$D:$D,D3037,'inventory ledger'!$E:$E,E3037,'inventory ledger'!$A:$A,"&lt;="&amp;B3037+TIME(23,59,59))-SUMIFS('inventory ledger'!$I:$I,'inventory ledger'!$C:$C,C3037,'inventory ledger'!$D:$D,D3037,'inventory ledger'!$E:$E,E3037,'inventory ledger'!$A:$A,"&lt;="&amp;B3037+TIME(23,59,59)))</f>
        <v/>
      </c>
      <c r="G3037" s="3">
        <f>IFERROR(__xludf.DUMMYFUNCTION("IF(F3037&lt;=0,0,IFERROR(ROUNDUP(F3037/INDEX(FILTER('warehouse config'!$D:$D,('warehouse config'!$B:$B=C3037)*('warehouse config'!$C:$C=D3037)*('warehouse config'!$G:$G&lt;=B3037)*(('warehouse config'!$H:$H&gt;=B3037)+ISBLANK('warehouse config'!$H:$H))),1)),0))"),0.0)</f>
        <v>0</v>
      </c>
      <c r="H3037" s="3">
        <f>IFERROR(__xludf.DUMMYFUNCTION("IFERROR(INDEX(FILTER('cost master'!$E:$E,('cost master'!$B:$B=C3037)*('cost master'!$D:$D=""Storage cost per pallet / week"")*('cost master'!$G:$G&lt;=B3037)*(('cost master'!$H:$H&gt;=B3037)+ISBLANK('cost master'!$H:$H))),1),0)"),0.0)</f>
        <v>0</v>
      </c>
      <c r="I3037" s="3">
        <f t="shared" si="4"/>
        <v>0</v>
      </c>
      <c r="J3037" s="27">
        <f t="shared" si="5"/>
        <v>693947</v>
      </c>
      <c r="K3037" s="27">
        <f t="shared" si="6"/>
        <v>693977</v>
      </c>
    </row>
    <row r="3038" hidden="1">
      <c r="A3038" s="3" t="str">
        <f t="shared" si="3"/>
        <v/>
      </c>
      <c r="B3038" s="2" t="str">
        <f t="array" ref="B3038">INDEX(helper!$A$3:$A3996,ROUNDUP((ROW()-1)/COUNTA(helper!$D$3:$D3996),0))</f>
        <v/>
      </c>
      <c r="C3038" s="5" t="str">
        <f t="array" ref="C3038">IF(B3038="","",INDEX(helper!$D$3:$D3996,MOD(ROW()-2,COUNTA(helper!$D$3:$D3996))+1))</f>
        <v/>
      </c>
      <c r="D3038" s="3" t="str">
        <f t="array" ref="D3038">IF(B3038="","",INDEX(helper!$E$3:$E3996,MOD(ROW()-2,COUNTA(helper!$D$3:$D3996))+1))</f>
        <v/>
      </c>
      <c r="E3038" s="3" t="str">
        <f t="array" ref="E3038">IF(B3038="","",INDEX(helper!$F$3:$F3996,MOD(ROW()-2,COUNTA(helper!$D$3:$D3996))+1))</f>
        <v/>
      </c>
      <c r="F3038" s="3" t="str">
        <f>IF(B3038="","",SUMIFS('inventory ledger'!$H:$H,'inventory ledger'!$C:$C,C3038,'inventory ledger'!$D:$D,D3038,'inventory ledger'!$E:$E,E3038,'inventory ledger'!$A:$A,"&lt;="&amp;B3038+TIME(23,59,59))-SUMIFS('inventory ledger'!$I:$I,'inventory ledger'!$C:$C,C3038,'inventory ledger'!$D:$D,D3038,'inventory ledger'!$E:$E,E3038,'inventory ledger'!$A:$A,"&lt;="&amp;B3038+TIME(23,59,59)))</f>
        <v/>
      </c>
      <c r="G3038" s="3">
        <f>IFERROR(__xludf.DUMMYFUNCTION("IF(F3038&lt;=0,0,IFERROR(ROUNDUP(F3038/INDEX(FILTER('warehouse config'!$D:$D,('warehouse config'!$B:$B=C3038)*('warehouse config'!$C:$C=D3038)*('warehouse config'!$G:$G&lt;=B3038)*(('warehouse config'!$H:$H&gt;=B3038)+ISBLANK('warehouse config'!$H:$H))),1)),0))"),0.0)</f>
        <v>0</v>
      </c>
      <c r="H3038" s="3">
        <f>IFERROR(__xludf.DUMMYFUNCTION("IFERROR(INDEX(FILTER('cost master'!$E:$E,('cost master'!$B:$B=C3038)*('cost master'!$D:$D=""Storage cost per pallet / week"")*('cost master'!$G:$G&lt;=B3038)*(('cost master'!$H:$H&gt;=B3038)+ISBLANK('cost master'!$H:$H))),1),0)"),0.0)</f>
        <v>0</v>
      </c>
      <c r="I3038" s="3">
        <f t="shared" si="4"/>
        <v>0</v>
      </c>
      <c r="J3038" s="27">
        <f t="shared" si="5"/>
        <v>693947</v>
      </c>
      <c r="K3038" s="27">
        <f t="shared" si="6"/>
        <v>693977</v>
      </c>
    </row>
    <row r="3039" hidden="1">
      <c r="A3039" s="3" t="str">
        <f t="shared" si="3"/>
        <v/>
      </c>
      <c r="B3039" s="2" t="str">
        <f t="array" ref="B3039">INDEX(helper!$A$3:$A3996,ROUNDUP((ROW()-1)/COUNTA(helper!$D$3:$D3996),0))</f>
        <v/>
      </c>
      <c r="C3039" s="5" t="str">
        <f t="array" ref="C3039">IF(B3039="","",INDEX(helper!$D$3:$D3996,MOD(ROW()-2,COUNTA(helper!$D$3:$D3996))+1))</f>
        <v/>
      </c>
      <c r="D3039" s="3" t="str">
        <f t="array" ref="D3039">IF(B3039="","",INDEX(helper!$E$3:$E3996,MOD(ROW()-2,COUNTA(helper!$D$3:$D3996))+1))</f>
        <v/>
      </c>
      <c r="E3039" s="3" t="str">
        <f t="array" ref="E3039">IF(B3039="","",INDEX(helper!$F$3:$F3996,MOD(ROW()-2,COUNTA(helper!$D$3:$D3996))+1))</f>
        <v/>
      </c>
      <c r="F3039" s="3" t="str">
        <f>IF(B3039="","",SUMIFS('inventory ledger'!$H:$H,'inventory ledger'!$C:$C,C3039,'inventory ledger'!$D:$D,D3039,'inventory ledger'!$E:$E,E3039,'inventory ledger'!$A:$A,"&lt;="&amp;B3039+TIME(23,59,59))-SUMIFS('inventory ledger'!$I:$I,'inventory ledger'!$C:$C,C3039,'inventory ledger'!$D:$D,D3039,'inventory ledger'!$E:$E,E3039,'inventory ledger'!$A:$A,"&lt;="&amp;B3039+TIME(23,59,59)))</f>
        <v/>
      </c>
      <c r="G3039" s="3">
        <f>IFERROR(__xludf.DUMMYFUNCTION("IF(F3039&lt;=0,0,IFERROR(ROUNDUP(F3039/INDEX(FILTER('warehouse config'!$D:$D,('warehouse config'!$B:$B=C3039)*('warehouse config'!$C:$C=D3039)*('warehouse config'!$G:$G&lt;=B3039)*(('warehouse config'!$H:$H&gt;=B3039)+ISBLANK('warehouse config'!$H:$H))),1)),0))"),0.0)</f>
        <v>0</v>
      </c>
      <c r="H3039" s="3">
        <f>IFERROR(__xludf.DUMMYFUNCTION("IFERROR(INDEX(FILTER('cost master'!$E:$E,('cost master'!$B:$B=C3039)*('cost master'!$D:$D=""Storage cost per pallet / week"")*('cost master'!$G:$G&lt;=B3039)*(('cost master'!$H:$H&gt;=B3039)+ISBLANK('cost master'!$H:$H))),1),0)"),0.0)</f>
        <v>0</v>
      </c>
      <c r="I3039" s="3">
        <f t="shared" si="4"/>
        <v>0</v>
      </c>
      <c r="J3039" s="27">
        <f t="shared" si="5"/>
        <v>693947</v>
      </c>
      <c r="K3039" s="27">
        <f t="shared" si="6"/>
        <v>693977</v>
      </c>
    </row>
    <row r="3040" hidden="1">
      <c r="A3040" s="3" t="str">
        <f t="shared" si="3"/>
        <v/>
      </c>
      <c r="B3040" s="2" t="str">
        <f t="array" ref="B3040">INDEX(helper!$A$3:$A3996,ROUNDUP((ROW()-1)/COUNTA(helper!$D$3:$D3996),0))</f>
        <v/>
      </c>
      <c r="C3040" s="5" t="str">
        <f t="array" ref="C3040">IF(B3040="","",INDEX(helper!$D$3:$D3996,MOD(ROW()-2,COUNTA(helper!$D$3:$D3996))+1))</f>
        <v/>
      </c>
      <c r="D3040" s="3" t="str">
        <f t="array" ref="D3040">IF(B3040="","",INDEX(helper!$E$3:$E3996,MOD(ROW()-2,COUNTA(helper!$D$3:$D3996))+1))</f>
        <v/>
      </c>
      <c r="E3040" s="3" t="str">
        <f t="array" ref="E3040">IF(B3040="","",INDEX(helper!$F$3:$F3996,MOD(ROW()-2,COUNTA(helper!$D$3:$D3996))+1))</f>
        <v/>
      </c>
      <c r="F3040" s="3" t="str">
        <f>IF(B3040="","",SUMIFS('inventory ledger'!$H:$H,'inventory ledger'!$C:$C,C3040,'inventory ledger'!$D:$D,D3040,'inventory ledger'!$E:$E,E3040,'inventory ledger'!$A:$A,"&lt;="&amp;B3040+TIME(23,59,59))-SUMIFS('inventory ledger'!$I:$I,'inventory ledger'!$C:$C,C3040,'inventory ledger'!$D:$D,D3040,'inventory ledger'!$E:$E,E3040,'inventory ledger'!$A:$A,"&lt;="&amp;B3040+TIME(23,59,59)))</f>
        <v/>
      </c>
      <c r="G3040" s="3">
        <f>IFERROR(__xludf.DUMMYFUNCTION("IF(F3040&lt;=0,0,IFERROR(ROUNDUP(F3040/INDEX(FILTER('warehouse config'!$D:$D,('warehouse config'!$B:$B=C3040)*('warehouse config'!$C:$C=D3040)*('warehouse config'!$G:$G&lt;=B3040)*(('warehouse config'!$H:$H&gt;=B3040)+ISBLANK('warehouse config'!$H:$H))),1)),0))"),0.0)</f>
        <v>0</v>
      </c>
      <c r="H3040" s="3">
        <f>IFERROR(__xludf.DUMMYFUNCTION("IFERROR(INDEX(FILTER('cost master'!$E:$E,('cost master'!$B:$B=C3040)*('cost master'!$D:$D=""Storage cost per pallet / week"")*('cost master'!$G:$G&lt;=B3040)*(('cost master'!$H:$H&gt;=B3040)+ISBLANK('cost master'!$H:$H))),1),0)"),0.0)</f>
        <v>0</v>
      </c>
      <c r="I3040" s="3">
        <f t="shared" si="4"/>
        <v>0</v>
      </c>
      <c r="J3040" s="27">
        <f t="shared" si="5"/>
        <v>693947</v>
      </c>
      <c r="K3040" s="27">
        <f t="shared" si="6"/>
        <v>693977</v>
      </c>
    </row>
    <row r="3041" hidden="1">
      <c r="A3041" s="3" t="str">
        <f t="shared" si="3"/>
        <v/>
      </c>
      <c r="B3041" s="2" t="str">
        <f t="array" ref="B3041">INDEX(helper!$A$3:$A3996,ROUNDUP((ROW()-1)/COUNTA(helper!$D$3:$D3996),0))</f>
        <v/>
      </c>
      <c r="C3041" s="5" t="str">
        <f t="array" ref="C3041">IF(B3041="","",INDEX(helper!$D$3:$D3996,MOD(ROW()-2,COUNTA(helper!$D$3:$D3996))+1))</f>
        <v/>
      </c>
      <c r="D3041" s="3" t="str">
        <f t="array" ref="D3041">IF(B3041="","",INDEX(helper!$E$3:$E3996,MOD(ROW()-2,COUNTA(helper!$D$3:$D3996))+1))</f>
        <v/>
      </c>
      <c r="E3041" s="3" t="str">
        <f t="array" ref="E3041">IF(B3041="","",INDEX(helper!$F$3:$F3996,MOD(ROW()-2,COUNTA(helper!$D$3:$D3996))+1))</f>
        <v/>
      </c>
      <c r="F3041" s="3" t="str">
        <f>IF(B3041="","",SUMIFS('inventory ledger'!$H:$H,'inventory ledger'!$C:$C,C3041,'inventory ledger'!$D:$D,D3041,'inventory ledger'!$E:$E,E3041,'inventory ledger'!$A:$A,"&lt;="&amp;B3041+TIME(23,59,59))-SUMIFS('inventory ledger'!$I:$I,'inventory ledger'!$C:$C,C3041,'inventory ledger'!$D:$D,D3041,'inventory ledger'!$E:$E,E3041,'inventory ledger'!$A:$A,"&lt;="&amp;B3041+TIME(23,59,59)))</f>
        <v/>
      </c>
      <c r="G3041" s="3">
        <f>IFERROR(__xludf.DUMMYFUNCTION("IF(F3041&lt;=0,0,IFERROR(ROUNDUP(F3041/INDEX(FILTER('warehouse config'!$D:$D,('warehouse config'!$B:$B=C3041)*('warehouse config'!$C:$C=D3041)*('warehouse config'!$G:$G&lt;=B3041)*(('warehouse config'!$H:$H&gt;=B3041)+ISBLANK('warehouse config'!$H:$H))),1)),0))"),0.0)</f>
        <v>0</v>
      </c>
      <c r="H3041" s="3">
        <f>IFERROR(__xludf.DUMMYFUNCTION("IFERROR(INDEX(FILTER('cost master'!$E:$E,('cost master'!$B:$B=C3041)*('cost master'!$D:$D=""Storage cost per pallet / week"")*('cost master'!$G:$G&lt;=B3041)*(('cost master'!$H:$H&gt;=B3041)+ISBLANK('cost master'!$H:$H))),1),0)"),0.0)</f>
        <v>0</v>
      </c>
      <c r="I3041" s="3">
        <f t="shared" si="4"/>
        <v>0</v>
      </c>
      <c r="J3041" s="27">
        <f t="shared" si="5"/>
        <v>693947</v>
      </c>
      <c r="K3041" s="27">
        <f t="shared" si="6"/>
        <v>693977</v>
      </c>
    </row>
    <row r="3042" hidden="1">
      <c r="A3042" s="3" t="str">
        <f t="shared" si="3"/>
        <v/>
      </c>
      <c r="B3042" s="2" t="str">
        <f t="array" ref="B3042">INDEX(helper!$A$3:$A3996,ROUNDUP((ROW()-1)/COUNTA(helper!$D$3:$D3996),0))</f>
        <v/>
      </c>
      <c r="C3042" s="5" t="str">
        <f t="array" ref="C3042">IF(B3042="","",INDEX(helper!$D$3:$D3996,MOD(ROW()-2,COUNTA(helper!$D$3:$D3996))+1))</f>
        <v/>
      </c>
      <c r="D3042" s="3" t="str">
        <f t="array" ref="D3042">IF(B3042="","",INDEX(helper!$E$3:$E3996,MOD(ROW()-2,COUNTA(helper!$D$3:$D3996))+1))</f>
        <v/>
      </c>
      <c r="E3042" s="3" t="str">
        <f t="array" ref="E3042">IF(B3042="","",INDEX(helper!$F$3:$F3996,MOD(ROW()-2,COUNTA(helper!$D$3:$D3996))+1))</f>
        <v/>
      </c>
      <c r="F3042" s="3" t="str">
        <f>IF(B3042="","",SUMIFS('inventory ledger'!$H:$H,'inventory ledger'!$C:$C,C3042,'inventory ledger'!$D:$D,D3042,'inventory ledger'!$E:$E,E3042,'inventory ledger'!$A:$A,"&lt;="&amp;B3042+TIME(23,59,59))-SUMIFS('inventory ledger'!$I:$I,'inventory ledger'!$C:$C,C3042,'inventory ledger'!$D:$D,D3042,'inventory ledger'!$E:$E,E3042,'inventory ledger'!$A:$A,"&lt;="&amp;B3042+TIME(23,59,59)))</f>
        <v/>
      </c>
      <c r="G3042" s="3">
        <f>IFERROR(__xludf.DUMMYFUNCTION("IF(F3042&lt;=0,0,IFERROR(ROUNDUP(F3042/INDEX(FILTER('warehouse config'!$D:$D,('warehouse config'!$B:$B=C3042)*('warehouse config'!$C:$C=D3042)*('warehouse config'!$G:$G&lt;=B3042)*(('warehouse config'!$H:$H&gt;=B3042)+ISBLANK('warehouse config'!$H:$H))),1)),0))"),0.0)</f>
        <v>0</v>
      </c>
      <c r="H3042" s="3">
        <f>IFERROR(__xludf.DUMMYFUNCTION("IFERROR(INDEX(FILTER('cost master'!$E:$E,('cost master'!$B:$B=C3042)*('cost master'!$D:$D=""Storage cost per pallet / week"")*('cost master'!$G:$G&lt;=B3042)*(('cost master'!$H:$H&gt;=B3042)+ISBLANK('cost master'!$H:$H))),1),0)"),0.0)</f>
        <v>0</v>
      </c>
      <c r="I3042" s="3">
        <f t="shared" si="4"/>
        <v>0</v>
      </c>
      <c r="J3042" s="27">
        <f t="shared" si="5"/>
        <v>693947</v>
      </c>
      <c r="K3042" s="27">
        <f t="shared" si="6"/>
        <v>693977</v>
      </c>
    </row>
    <row r="3043" hidden="1">
      <c r="A3043" s="3" t="str">
        <f t="shared" si="3"/>
        <v/>
      </c>
      <c r="B3043" s="2" t="str">
        <f t="array" ref="B3043">INDEX(helper!$A$3:$A3996,ROUNDUP((ROW()-1)/COUNTA(helper!$D$3:$D3996),0))</f>
        <v/>
      </c>
      <c r="C3043" s="5" t="str">
        <f t="array" ref="C3043">IF(B3043="","",INDEX(helper!$D$3:$D3996,MOD(ROW()-2,COUNTA(helper!$D$3:$D3996))+1))</f>
        <v/>
      </c>
      <c r="D3043" s="3" t="str">
        <f t="array" ref="D3043">IF(B3043="","",INDEX(helper!$E$3:$E3996,MOD(ROW()-2,COUNTA(helper!$D$3:$D3996))+1))</f>
        <v/>
      </c>
      <c r="E3043" s="3" t="str">
        <f t="array" ref="E3043">IF(B3043="","",INDEX(helper!$F$3:$F3996,MOD(ROW()-2,COUNTA(helper!$D$3:$D3996))+1))</f>
        <v/>
      </c>
      <c r="F3043" s="3" t="str">
        <f>IF(B3043="","",SUMIFS('inventory ledger'!$H:$H,'inventory ledger'!$C:$C,C3043,'inventory ledger'!$D:$D,D3043,'inventory ledger'!$E:$E,E3043,'inventory ledger'!$A:$A,"&lt;="&amp;B3043+TIME(23,59,59))-SUMIFS('inventory ledger'!$I:$I,'inventory ledger'!$C:$C,C3043,'inventory ledger'!$D:$D,D3043,'inventory ledger'!$E:$E,E3043,'inventory ledger'!$A:$A,"&lt;="&amp;B3043+TIME(23,59,59)))</f>
        <v/>
      </c>
      <c r="G3043" s="3">
        <f>IFERROR(__xludf.DUMMYFUNCTION("IF(F3043&lt;=0,0,IFERROR(ROUNDUP(F3043/INDEX(FILTER('warehouse config'!$D:$D,('warehouse config'!$B:$B=C3043)*('warehouse config'!$C:$C=D3043)*('warehouse config'!$G:$G&lt;=B3043)*(('warehouse config'!$H:$H&gt;=B3043)+ISBLANK('warehouse config'!$H:$H))),1)),0))"),0.0)</f>
        <v>0</v>
      </c>
      <c r="H3043" s="3">
        <f>IFERROR(__xludf.DUMMYFUNCTION("IFERROR(INDEX(FILTER('cost master'!$E:$E,('cost master'!$B:$B=C3043)*('cost master'!$D:$D=""Storage cost per pallet / week"")*('cost master'!$G:$G&lt;=B3043)*(('cost master'!$H:$H&gt;=B3043)+ISBLANK('cost master'!$H:$H))),1),0)"),0.0)</f>
        <v>0</v>
      </c>
      <c r="I3043" s="3">
        <f t="shared" si="4"/>
        <v>0</v>
      </c>
      <c r="J3043" s="27">
        <f t="shared" si="5"/>
        <v>693947</v>
      </c>
      <c r="K3043" s="27">
        <f t="shared" si="6"/>
        <v>693977</v>
      </c>
    </row>
    <row r="3044" hidden="1">
      <c r="A3044" s="3" t="str">
        <f t="shared" si="3"/>
        <v/>
      </c>
      <c r="B3044" s="2" t="str">
        <f t="array" ref="B3044">INDEX(helper!$A$3:$A3996,ROUNDUP((ROW()-1)/COUNTA(helper!$D$3:$D3996),0))</f>
        <v/>
      </c>
      <c r="C3044" s="5" t="str">
        <f t="array" ref="C3044">IF(B3044="","",INDEX(helper!$D$3:$D3996,MOD(ROW()-2,COUNTA(helper!$D$3:$D3996))+1))</f>
        <v/>
      </c>
      <c r="D3044" s="3" t="str">
        <f t="array" ref="D3044">IF(B3044="","",INDEX(helper!$E$3:$E3996,MOD(ROW()-2,COUNTA(helper!$D$3:$D3996))+1))</f>
        <v/>
      </c>
      <c r="E3044" s="3" t="str">
        <f t="array" ref="E3044">IF(B3044="","",INDEX(helper!$F$3:$F3996,MOD(ROW()-2,COUNTA(helper!$D$3:$D3996))+1))</f>
        <v/>
      </c>
      <c r="F3044" s="3" t="str">
        <f>IF(B3044="","",SUMIFS('inventory ledger'!$H:$H,'inventory ledger'!$C:$C,C3044,'inventory ledger'!$D:$D,D3044,'inventory ledger'!$E:$E,E3044,'inventory ledger'!$A:$A,"&lt;="&amp;B3044+TIME(23,59,59))-SUMIFS('inventory ledger'!$I:$I,'inventory ledger'!$C:$C,C3044,'inventory ledger'!$D:$D,D3044,'inventory ledger'!$E:$E,E3044,'inventory ledger'!$A:$A,"&lt;="&amp;B3044+TIME(23,59,59)))</f>
        <v/>
      </c>
      <c r="G3044" s="3">
        <f>IFERROR(__xludf.DUMMYFUNCTION("IF(F3044&lt;=0,0,IFERROR(ROUNDUP(F3044/INDEX(FILTER('warehouse config'!$D:$D,('warehouse config'!$B:$B=C3044)*('warehouse config'!$C:$C=D3044)*('warehouse config'!$G:$G&lt;=B3044)*(('warehouse config'!$H:$H&gt;=B3044)+ISBLANK('warehouse config'!$H:$H))),1)),0))"),0.0)</f>
        <v>0</v>
      </c>
      <c r="H3044" s="3">
        <f>IFERROR(__xludf.DUMMYFUNCTION("IFERROR(INDEX(FILTER('cost master'!$E:$E,('cost master'!$B:$B=C3044)*('cost master'!$D:$D=""Storage cost per pallet / week"")*('cost master'!$G:$G&lt;=B3044)*(('cost master'!$H:$H&gt;=B3044)+ISBLANK('cost master'!$H:$H))),1),0)"),0.0)</f>
        <v>0</v>
      </c>
      <c r="I3044" s="3">
        <f t="shared" si="4"/>
        <v>0</v>
      </c>
      <c r="J3044" s="27">
        <f t="shared" si="5"/>
        <v>693947</v>
      </c>
      <c r="K3044" s="27">
        <f t="shared" si="6"/>
        <v>693977</v>
      </c>
    </row>
    <row r="3045" hidden="1">
      <c r="A3045" s="3" t="str">
        <f t="shared" si="3"/>
        <v/>
      </c>
      <c r="B3045" s="2" t="str">
        <f t="array" ref="B3045">INDEX(helper!$A$3:$A3996,ROUNDUP((ROW()-1)/COUNTA(helper!$D$3:$D3996),0))</f>
        <v/>
      </c>
      <c r="C3045" s="5" t="str">
        <f t="array" ref="C3045">IF(B3045="","",INDEX(helper!$D$3:$D3996,MOD(ROW()-2,COUNTA(helper!$D$3:$D3996))+1))</f>
        <v/>
      </c>
      <c r="D3045" s="3" t="str">
        <f t="array" ref="D3045">IF(B3045="","",INDEX(helper!$E$3:$E3996,MOD(ROW()-2,COUNTA(helper!$D$3:$D3996))+1))</f>
        <v/>
      </c>
      <c r="E3045" s="3" t="str">
        <f t="array" ref="E3045">IF(B3045="","",INDEX(helper!$F$3:$F3996,MOD(ROW()-2,COUNTA(helper!$D$3:$D3996))+1))</f>
        <v/>
      </c>
      <c r="F3045" s="3" t="str">
        <f>IF(B3045="","",SUMIFS('inventory ledger'!$H:$H,'inventory ledger'!$C:$C,C3045,'inventory ledger'!$D:$D,D3045,'inventory ledger'!$E:$E,E3045,'inventory ledger'!$A:$A,"&lt;="&amp;B3045+TIME(23,59,59))-SUMIFS('inventory ledger'!$I:$I,'inventory ledger'!$C:$C,C3045,'inventory ledger'!$D:$D,D3045,'inventory ledger'!$E:$E,E3045,'inventory ledger'!$A:$A,"&lt;="&amp;B3045+TIME(23,59,59)))</f>
        <v/>
      </c>
      <c r="G3045" s="3">
        <f>IFERROR(__xludf.DUMMYFUNCTION("IF(F3045&lt;=0,0,IFERROR(ROUNDUP(F3045/INDEX(FILTER('warehouse config'!$D:$D,('warehouse config'!$B:$B=C3045)*('warehouse config'!$C:$C=D3045)*('warehouse config'!$G:$G&lt;=B3045)*(('warehouse config'!$H:$H&gt;=B3045)+ISBLANK('warehouse config'!$H:$H))),1)),0))"),0.0)</f>
        <v>0</v>
      </c>
      <c r="H3045" s="3">
        <f>IFERROR(__xludf.DUMMYFUNCTION("IFERROR(INDEX(FILTER('cost master'!$E:$E,('cost master'!$B:$B=C3045)*('cost master'!$D:$D=""Storage cost per pallet / week"")*('cost master'!$G:$G&lt;=B3045)*(('cost master'!$H:$H&gt;=B3045)+ISBLANK('cost master'!$H:$H))),1),0)"),0.0)</f>
        <v>0</v>
      </c>
      <c r="I3045" s="3">
        <f t="shared" si="4"/>
        <v>0</v>
      </c>
      <c r="J3045" s="27">
        <f t="shared" si="5"/>
        <v>693947</v>
      </c>
      <c r="K3045" s="27">
        <f t="shared" si="6"/>
        <v>693977</v>
      </c>
    </row>
    <row r="3046" hidden="1">
      <c r="A3046" s="3" t="str">
        <f t="shared" si="3"/>
        <v/>
      </c>
      <c r="B3046" s="2" t="str">
        <f t="array" ref="B3046">INDEX(helper!$A$3:$A3996,ROUNDUP((ROW()-1)/COUNTA(helper!$D$3:$D3996),0))</f>
        <v/>
      </c>
      <c r="C3046" s="5" t="str">
        <f t="array" ref="C3046">IF(B3046="","",INDEX(helper!$D$3:$D3996,MOD(ROW()-2,COUNTA(helper!$D$3:$D3996))+1))</f>
        <v/>
      </c>
      <c r="D3046" s="3" t="str">
        <f t="array" ref="D3046">IF(B3046="","",INDEX(helper!$E$3:$E3996,MOD(ROW()-2,COUNTA(helper!$D$3:$D3996))+1))</f>
        <v/>
      </c>
      <c r="E3046" s="3" t="str">
        <f t="array" ref="E3046">IF(B3046="","",INDEX(helper!$F$3:$F3996,MOD(ROW()-2,COUNTA(helper!$D$3:$D3996))+1))</f>
        <v/>
      </c>
      <c r="F3046" s="3" t="str">
        <f>IF(B3046="","",SUMIFS('inventory ledger'!$H:$H,'inventory ledger'!$C:$C,C3046,'inventory ledger'!$D:$D,D3046,'inventory ledger'!$E:$E,E3046,'inventory ledger'!$A:$A,"&lt;="&amp;B3046+TIME(23,59,59))-SUMIFS('inventory ledger'!$I:$I,'inventory ledger'!$C:$C,C3046,'inventory ledger'!$D:$D,D3046,'inventory ledger'!$E:$E,E3046,'inventory ledger'!$A:$A,"&lt;="&amp;B3046+TIME(23,59,59)))</f>
        <v/>
      </c>
      <c r="G3046" s="3">
        <f>IFERROR(__xludf.DUMMYFUNCTION("IF(F3046&lt;=0,0,IFERROR(ROUNDUP(F3046/INDEX(FILTER('warehouse config'!$D:$D,('warehouse config'!$B:$B=C3046)*('warehouse config'!$C:$C=D3046)*('warehouse config'!$G:$G&lt;=B3046)*(('warehouse config'!$H:$H&gt;=B3046)+ISBLANK('warehouse config'!$H:$H))),1)),0))"),0.0)</f>
        <v>0</v>
      </c>
      <c r="H3046" s="3">
        <f>IFERROR(__xludf.DUMMYFUNCTION("IFERROR(INDEX(FILTER('cost master'!$E:$E,('cost master'!$B:$B=C3046)*('cost master'!$D:$D=""Storage cost per pallet / week"")*('cost master'!$G:$G&lt;=B3046)*(('cost master'!$H:$H&gt;=B3046)+ISBLANK('cost master'!$H:$H))),1),0)"),0.0)</f>
        <v>0</v>
      </c>
      <c r="I3046" s="3">
        <f t="shared" si="4"/>
        <v>0</v>
      </c>
      <c r="J3046" s="27">
        <f t="shared" si="5"/>
        <v>693947</v>
      </c>
      <c r="K3046" s="27">
        <f t="shared" si="6"/>
        <v>693977</v>
      </c>
    </row>
    <row r="3047" hidden="1">
      <c r="A3047" s="3" t="str">
        <f t="shared" si="3"/>
        <v/>
      </c>
      <c r="B3047" s="2" t="str">
        <f t="array" ref="B3047">INDEX(helper!$A$3:$A3996,ROUNDUP((ROW()-1)/COUNTA(helper!$D$3:$D3996),0))</f>
        <v/>
      </c>
      <c r="C3047" s="5" t="str">
        <f t="array" ref="C3047">IF(B3047="","",INDEX(helper!$D$3:$D3996,MOD(ROW()-2,COUNTA(helper!$D$3:$D3996))+1))</f>
        <v/>
      </c>
      <c r="D3047" s="3" t="str">
        <f t="array" ref="D3047">IF(B3047="","",INDEX(helper!$E$3:$E3996,MOD(ROW()-2,COUNTA(helper!$D$3:$D3996))+1))</f>
        <v/>
      </c>
      <c r="E3047" s="3" t="str">
        <f t="array" ref="E3047">IF(B3047="","",INDEX(helper!$F$3:$F3996,MOD(ROW()-2,COUNTA(helper!$D$3:$D3996))+1))</f>
        <v/>
      </c>
      <c r="F3047" s="3" t="str">
        <f>IF(B3047="","",SUMIFS('inventory ledger'!$H:$H,'inventory ledger'!$C:$C,C3047,'inventory ledger'!$D:$D,D3047,'inventory ledger'!$E:$E,E3047,'inventory ledger'!$A:$A,"&lt;="&amp;B3047+TIME(23,59,59))-SUMIFS('inventory ledger'!$I:$I,'inventory ledger'!$C:$C,C3047,'inventory ledger'!$D:$D,D3047,'inventory ledger'!$E:$E,E3047,'inventory ledger'!$A:$A,"&lt;="&amp;B3047+TIME(23,59,59)))</f>
        <v/>
      </c>
      <c r="G3047" s="3">
        <f>IFERROR(__xludf.DUMMYFUNCTION("IF(F3047&lt;=0,0,IFERROR(ROUNDUP(F3047/INDEX(FILTER('warehouse config'!$D:$D,('warehouse config'!$B:$B=C3047)*('warehouse config'!$C:$C=D3047)*('warehouse config'!$G:$G&lt;=B3047)*(('warehouse config'!$H:$H&gt;=B3047)+ISBLANK('warehouse config'!$H:$H))),1)),0))"),0.0)</f>
        <v>0</v>
      </c>
      <c r="H3047" s="3">
        <f>IFERROR(__xludf.DUMMYFUNCTION("IFERROR(INDEX(FILTER('cost master'!$E:$E,('cost master'!$B:$B=C3047)*('cost master'!$D:$D=""Storage cost per pallet / week"")*('cost master'!$G:$G&lt;=B3047)*(('cost master'!$H:$H&gt;=B3047)+ISBLANK('cost master'!$H:$H))),1),0)"),0.0)</f>
        <v>0</v>
      </c>
      <c r="I3047" s="3">
        <f t="shared" si="4"/>
        <v>0</v>
      </c>
      <c r="J3047" s="27">
        <f t="shared" si="5"/>
        <v>693947</v>
      </c>
      <c r="K3047" s="27">
        <f t="shared" si="6"/>
        <v>693977</v>
      </c>
    </row>
    <row r="3048" hidden="1">
      <c r="A3048" s="3" t="str">
        <f t="shared" si="3"/>
        <v/>
      </c>
      <c r="B3048" s="2" t="str">
        <f t="array" ref="B3048">INDEX(helper!$A$3:$A3996,ROUNDUP((ROW()-1)/COUNTA(helper!$D$3:$D3996),0))</f>
        <v/>
      </c>
      <c r="C3048" s="5" t="str">
        <f t="array" ref="C3048">IF(B3048="","",INDEX(helper!$D$3:$D3996,MOD(ROW()-2,COUNTA(helper!$D$3:$D3996))+1))</f>
        <v/>
      </c>
      <c r="D3048" s="3" t="str">
        <f t="array" ref="D3048">IF(B3048="","",INDEX(helper!$E$3:$E3996,MOD(ROW()-2,COUNTA(helper!$D$3:$D3996))+1))</f>
        <v/>
      </c>
      <c r="E3048" s="3" t="str">
        <f t="array" ref="E3048">IF(B3048="","",INDEX(helper!$F$3:$F3996,MOD(ROW()-2,COUNTA(helper!$D$3:$D3996))+1))</f>
        <v/>
      </c>
      <c r="F3048" s="3" t="str">
        <f>IF(B3048="","",SUMIFS('inventory ledger'!$H:$H,'inventory ledger'!$C:$C,C3048,'inventory ledger'!$D:$D,D3048,'inventory ledger'!$E:$E,E3048,'inventory ledger'!$A:$A,"&lt;="&amp;B3048+TIME(23,59,59))-SUMIFS('inventory ledger'!$I:$I,'inventory ledger'!$C:$C,C3048,'inventory ledger'!$D:$D,D3048,'inventory ledger'!$E:$E,E3048,'inventory ledger'!$A:$A,"&lt;="&amp;B3048+TIME(23,59,59)))</f>
        <v/>
      </c>
      <c r="G3048" s="3">
        <f>IFERROR(__xludf.DUMMYFUNCTION("IF(F3048&lt;=0,0,IFERROR(ROUNDUP(F3048/INDEX(FILTER('warehouse config'!$D:$D,('warehouse config'!$B:$B=C3048)*('warehouse config'!$C:$C=D3048)*('warehouse config'!$G:$G&lt;=B3048)*(('warehouse config'!$H:$H&gt;=B3048)+ISBLANK('warehouse config'!$H:$H))),1)),0))"),0.0)</f>
        <v>0</v>
      </c>
      <c r="H3048" s="3">
        <f>IFERROR(__xludf.DUMMYFUNCTION("IFERROR(INDEX(FILTER('cost master'!$E:$E,('cost master'!$B:$B=C3048)*('cost master'!$D:$D=""Storage cost per pallet / week"")*('cost master'!$G:$G&lt;=B3048)*(('cost master'!$H:$H&gt;=B3048)+ISBLANK('cost master'!$H:$H))),1),0)"),0.0)</f>
        <v>0</v>
      </c>
      <c r="I3048" s="3">
        <f t="shared" si="4"/>
        <v>0</v>
      </c>
      <c r="J3048" s="27">
        <f t="shared" si="5"/>
        <v>693947</v>
      </c>
      <c r="K3048" s="27">
        <f t="shared" si="6"/>
        <v>693977</v>
      </c>
    </row>
    <row r="3049" hidden="1">
      <c r="A3049" s="3" t="str">
        <f t="shared" si="3"/>
        <v/>
      </c>
      <c r="B3049" s="2" t="str">
        <f t="array" ref="B3049">INDEX(helper!$A$3:$A3996,ROUNDUP((ROW()-1)/COUNTA(helper!$D$3:$D3996),0))</f>
        <v/>
      </c>
      <c r="C3049" s="5" t="str">
        <f t="array" ref="C3049">IF(B3049="","",INDEX(helper!$D$3:$D3996,MOD(ROW()-2,COUNTA(helper!$D$3:$D3996))+1))</f>
        <v/>
      </c>
      <c r="D3049" s="3" t="str">
        <f t="array" ref="D3049">IF(B3049="","",INDEX(helper!$E$3:$E3996,MOD(ROW()-2,COUNTA(helper!$D$3:$D3996))+1))</f>
        <v/>
      </c>
      <c r="E3049" s="3" t="str">
        <f t="array" ref="E3049">IF(B3049="","",INDEX(helper!$F$3:$F3996,MOD(ROW()-2,COUNTA(helper!$D$3:$D3996))+1))</f>
        <v/>
      </c>
      <c r="F3049" s="3" t="str">
        <f>IF(B3049="","",SUMIFS('inventory ledger'!$H:$H,'inventory ledger'!$C:$C,C3049,'inventory ledger'!$D:$D,D3049,'inventory ledger'!$E:$E,E3049,'inventory ledger'!$A:$A,"&lt;="&amp;B3049+TIME(23,59,59))-SUMIFS('inventory ledger'!$I:$I,'inventory ledger'!$C:$C,C3049,'inventory ledger'!$D:$D,D3049,'inventory ledger'!$E:$E,E3049,'inventory ledger'!$A:$A,"&lt;="&amp;B3049+TIME(23,59,59)))</f>
        <v/>
      </c>
      <c r="G3049" s="3">
        <f>IFERROR(__xludf.DUMMYFUNCTION("IF(F3049&lt;=0,0,IFERROR(ROUNDUP(F3049/INDEX(FILTER('warehouse config'!$D:$D,('warehouse config'!$B:$B=C3049)*('warehouse config'!$C:$C=D3049)*('warehouse config'!$G:$G&lt;=B3049)*(('warehouse config'!$H:$H&gt;=B3049)+ISBLANK('warehouse config'!$H:$H))),1)),0))"),0.0)</f>
        <v>0</v>
      </c>
      <c r="H3049" s="3">
        <f>IFERROR(__xludf.DUMMYFUNCTION("IFERROR(INDEX(FILTER('cost master'!$E:$E,('cost master'!$B:$B=C3049)*('cost master'!$D:$D=""Storage cost per pallet / week"")*('cost master'!$G:$G&lt;=B3049)*(('cost master'!$H:$H&gt;=B3049)+ISBLANK('cost master'!$H:$H))),1),0)"),0.0)</f>
        <v>0</v>
      </c>
      <c r="I3049" s="3">
        <f t="shared" si="4"/>
        <v>0</v>
      </c>
      <c r="J3049" s="27">
        <f t="shared" si="5"/>
        <v>693947</v>
      </c>
      <c r="K3049" s="27">
        <f t="shared" si="6"/>
        <v>693977</v>
      </c>
    </row>
    <row r="3050" hidden="1">
      <c r="A3050" s="3" t="str">
        <f t="shared" si="3"/>
        <v/>
      </c>
      <c r="B3050" s="2" t="str">
        <f t="array" ref="B3050">INDEX(helper!$A$3:$A3996,ROUNDUP((ROW()-1)/COUNTA(helper!$D$3:$D3996),0))</f>
        <v/>
      </c>
      <c r="C3050" s="5" t="str">
        <f t="array" ref="C3050">IF(B3050="","",INDEX(helper!$D$3:$D3996,MOD(ROW()-2,COUNTA(helper!$D$3:$D3996))+1))</f>
        <v/>
      </c>
      <c r="D3050" s="3" t="str">
        <f t="array" ref="D3050">IF(B3050="","",INDEX(helper!$E$3:$E3996,MOD(ROW()-2,COUNTA(helper!$D$3:$D3996))+1))</f>
        <v/>
      </c>
      <c r="E3050" s="3" t="str">
        <f t="array" ref="E3050">IF(B3050="","",INDEX(helper!$F$3:$F3996,MOD(ROW()-2,COUNTA(helper!$D$3:$D3996))+1))</f>
        <v/>
      </c>
      <c r="F3050" s="3" t="str">
        <f>IF(B3050="","",SUMIFS('inventory ledger'!$H:$H,'inventory ledger'!$C:$C,C3050,'inventory ledger'!$D:$D,D3050,'inventory ledger'!$E:$E,E3050,'inventory ledger'!$A:$A,"&lt;="&amp;B3050+TIME(23,59,59))-SUMIFS('inventory ledger'!$I:$I,'inventory ledger'!$C:$C,C3050,'inventory ledger'!$D:$D,D3050,'inventory ledger'!$E:$E,E3050,'inventory ledger'!$A:$A,"&lt;="&amp;B3050+TIME(23,59,59)))</f>
        <v/>
      </c>
      <c r="G3050" s="3">
        <f>IFERROR(__xludf.DUMMYFUNCTION("IF(F3050&lt;=0,0,IFERROR(ROUNDUP(F3050/INDEX(FILTER('warehouse config'!$D:$D,('warehouse config'!$B:$B=C3050)*('warehouse config'!$C:$C=D3050)*('warehouse config'!$G:$G&lt;=B3050)*(('warehouse config'!$H:$H&gt;=B3050)+ISBLANK('warehouse config'!$H:$H))),1)),0))"),0.0)</f>
        <v>0</v>
      </c>
      <c r="H3050" s="3">
        <f>IFERROR(__xludf.DUMMYFUNCTION("IFERROR(INDEX(FILTER('cost master'!$E:$E,('cost master'!$B:$B=C3050)*('cost master'!$D:$D=""Storage cost per pallet / week"")*('cost master'!$G:$G&lt;=B3050)*(('cost master'!$H:$H&gt;=B3050)+ISBLANK('cost master'!$H:$H))),1),0)"),0.0)</f>
        <v>0</v>
      </c>
      <c r="I3050" s="3">
        <f t="shared" si="4"/>
        <v>0</v>
      </c>
      <c r="J3050" s="27">
        <f t="shared" si="5"/>
        <v>693947</v>
      </c>
      <c r="K3050" s="27">
        <f t="shared" si="6"/>
        <v>693977</v>
      </c>
    </row>
    <row r="3051" hidden="1">
      <c r="A3051" s="3" t="str">
        <f t="shared" si="3"/>
        <v/>
      </c>
      <c r="B3051" s="2" t="str">
        <f t="array" ref="B3051">INDEX(helper!$A$3:$A3996,ROUNDUP((ROW()-1)/COUNTA(helper!$D$3:$D3996),0))</f>
        <v/>
      </c>
      <c r="C3051" s="5" t="str">
        <f t="array" ref="C3051">IF(B3051="","",INDEX(helper!$D$3:$D3996,MOD(ROW()-2,COUNTA(helper!$D$3:$D3996))+1))</f>
        <v/>
      </c>
      <c r="D3051" s="3" t="str">
        <f t="array" ref="D3051">IF(B3051="","",INDEX(helper!$E$3:$E3996,MOD(ROW()-2,COUNTA(helper!$D$3:$D3996))+1))</f>
        <v/>
      </c>
      <c r="E3051" s="3" t="str">
        <f t="array" ref="E3051">IF(B3051="","",INDEX(helper!$F$3:$F3996,MOD(ROW()-2,COUNTA(helper!$D$3:$D3996))+1))</f>
        <v/>
      </c>
      <c r="F3051" s="3" t="str">
        <f>IF(B3051="","",SUMIFS('inventory ledger'!$H:$H,'inventory ledger'!$C:$C,C3051,'inventory ledger'!$D:$D,D3051,'inventory ledger'!$E:$E,E3051,'inventory ledger'!$A:$A,"&lt;="&amp;B3051+TIME(23,59,59))-SUMIFS('inventory ledger'!$I:$I,'inventory ledger'!$C:$C,C3051,'inventory ledger'!$D:$D,D3051,'inventory ledger'!$E:$E,E3051,'inventory ledger'!$A:$A,"&lt;="&amp;B3051+TIME(23,59,59)))</f>
        <v/>
      </c>
      <c r="G3051" s="3">
        <f>IFERROR(__xludf.DUMMYFUNCTION("IF(F3051&lt;=0,0,IFERROR(ROUNDUP(F3051/INDEX(FILTER('warehouse config'!$D:$D,('warehouse config'!$B:$B=C3051)*('warehouse config'!$C:$C=D3051)*('warehouse config'!$G:$G&lt;=B3051)*(('warehouse config'!$H:$H&gt;=B3051)+ISBLANK('warehouse config'!$H:$H))),1)),0))"),0.0)</f>
        <v>0</v>
      </c>
      <c r="H3051" s="3">
        <f>IFERROR(__xludf.DUMMYFUNCTION("IFERROR(INDEX(FILTER('cost master'!$E:$E,('cost master'!$B:$B=C3051)*('cost master'!$D:$D=""Storage cost per pallet / week"")*('cost master'!$G:$G&lt;=B3051)*(('cost master'!$H:$H&gt;=B3051)+ISBLANK('cost master'!$H:$H))),1),0)"),0.0)</f>
        <v>0</v>
      </c>
      <c r="I3051" s="3">
        <f t="shared" si="4"/>
        <v>0</v>
      </c>
      <c r="J3051" s="27">
        <f t="shared" si="5"/>
        <v>693947</v>
      </c>
      <c r="K3051" s="27">
        <f t="shared" si="6"/>
        <v>693977</v>
      </c>
    </row>
    <row r="3052" hidden="1">
      <c r="A3052" s="3" t="str">
        <f t="shared" si="3"/>
        <v/>
      </c>
      <c r="B3052" s="2" t="str">
        <f t="array" ref="B3052">INDEX(helper!$A$3:$A3996,ROUNDUP((ROW()-1)/COUNTA(helper!$D$3:$D3996),0))</f>
        <v/>
      </c>
      <c r="C3052" s="5" t="str">
        <f t="array" ref="C3052">IF(B3052="","",INDEX(helper!$D$3:$D3996,MOD(ROW()-2,COUNTA(helper!$D$3:$D3996))+1))</f>
        <v/>
      </c>
      <c r="D3052" s="3" t="str">
        <f t="array" ref="D3052">IF(B3052="","",INDEX(helper!$E$3:$E3996,MOD(ROW()-2,COUNTA(helper!$D$3:$D3996))+1))</f>
        <v/>
      </c>
      <c r="E3052" s="3" t="str">
        <f t="array" ref="E3052">IF(B3052="","",INDEX(helper!$F$3:$F3996,MOD(ROW()-2,COUNTA(helper!$D$3:$D3996))+1))</f>
        <v/>
      </c>
      <c r="F3052" s="3" t="str">
        <f>IF(B3052="","",SUMIFS('inventory ledger'!$H:$H,'inventory ledger'!$C:$C,C3052,'inventory ledger'!$D:$D,D3052,'inventory ledger'!$E:$E,E3052,'inventory ledger'!$A:$A,"&lt;="&amp;B3052+TIME(23,59,59))-SUMIFS('inventory ledger'!$I:$I,'inventory ledger'!$C:$C,C3052,'inventory ledger'!$D:$D,D3052,'inventory ledger'!$E:$E,E3052,'inventory ledger'!$A:$A,"&lt;="&amp;B3052+TIME(23,59,59)))</f>
        <v/>
      </c>
      <c r="G3052" s="3">
        <f>IFERROR(__xludf.DUMMYFUNCTION("IF(F3052&lt;=0,0,IFERROR(ROUNDUP(F3052/INDEX(FILTER('warehouse config'!$D:$D,('warehouse config'!$B:$B=C3052)*('warehouse config'!$C:$C=D3052)*('warehouse config'!$G:$G&lt;=B3052)*(('warehouse config'!$H:$H&gt;=B3052)+ISBLANK('warehouse config'!$H:$H))),1)),0))"),0.0)</f>
        <v>0</v>
      </c>
      <c r="H3052" s="3">
        <f>IFERROR(__xludf.DUMMYFUNCTION("IFERROR(INDEX(FILTER('cost master'!$E:$E,('cost master'!$B:$B=C3052)*('cost master'!$D:$D=""Storage cost per pallet / week"")*('cost master'!$G:$G&lt;=B3052)*(('cost master'!$H:$H&gt;=B3052)+ISBLANK('cost master'!$H:$H))),1),0)"),0.0)</f>
        <v>0</v>
      </c>
      <c r="I3052" s="3">
        <f t="shared" si="4"/>
        <v>0</v>
      </c>
      <c r="J3052" s="27">
        <f t="shared" si="5"/>
        <v>693947</v>
      </c>
      <c r="K3052" s="27">
        <f t="shared" si="6"/>
        <v>693977</v>
      </c>
    </row>
    <row r="3053" hidden="1">
      <c r="A3053" s="3" t="str">
        <f t="shared" si="3"/>
        <v/>
      </c>
      <c r="B3053" s="2" t="str">
        <f t="array" ref="B3053">INDEX(helper!$A$3:$A3996,ROUNDUP((ROW()-1)/COUNTA(helper!$D$3:$D3996),0))</f>
        <v/>
      </c>
      <c r="C3053" s="5" t="str">
        <f t="array" ref="C3053">IF(B3053="","",INDEX(helper!$D$3:$D3996,MOD(ROW()-2,COUNTA(helper!$D$3:$D3996))+1))</f>
        <v/>
      </c>
      <c r="D3053" s="3" t="str">
        <f t="array" ref="D3053">IF(B3053="","",INDEX(helper!$E$3:$E3996,MOD(ROW()-2,COUNTA(helper!$D$3:$D3996))+1))</f>
        <v/>
      </c>
      <c r="E3053" s="3" t="str">
        <f t="array" ref="E3053">IF(B3053="","",INDEX(helper!$F$3:$F3996,MOD(ROW()-2,COUNTA(helper!$D$3:$D3996))+1))</f>
        <v/>
      </c>
      <c r="F3053" s="3" t="str">
        <f>IF(B3053="","",SUMIFS('inventory ledger'!$H:$H,'inventory ledger'!$C:$C,C3053,'inventory ledger'!$D:$D,D3053,'inventory ledger'!$E:$E,E3053,'inventory ledger'!$A:$A,"&lt;="&amp;B3053+TIME(23,59,59))-SUMIFS('inventory ledger'!$I:$I,'inventory ledger'!$C:$C,C3053,'inventory ledger'!$D:$D,D3053,'inventory ledger'!$E:$E,E3053,'inventory ledger'!$A:$A,"&lt;="&amp;B3053+TIME(23,59,59)))</f>
        <v/>
      </c>
      <c r="G3053" s="3">
        <f>IFERROR(__xludf.DUMMYFUNCTION("IF(F3053&lt;=0,0,IFERROR(ROUNDUP(F3053/INDEX(FILTER('warehouse config'!$D:$D,('warehouse config'!$B:$B=C3053)*('warehouse config'!$C:$C=D3053)*('warehouse config'!$G:$G&lt;=B3053)*(('warehouse config'!$H:$H&gt;=B3053)+ISBLANK('warehouse config'!$H:$H))),1)),0))"),0.0)</f>
        <v>0</v>
      </c>
      <c r="H3053" s="3">
        <f>IFERROR(__xludf.DUMMYFUNCTION("IFERROR(INDEX(FILTER('cost master'!$E:$E,('cost master'!$B:$B=C3053)*('cost master'!$D:$D=""Storage cost per pallet / week"")*('cost master'!$G:$G&lt;=B3053)*(('cost master'!$H:$H&gt;=B3053)+ISBLANK('cost master'!$H:$H))),1),0)"),0.0)</f>
        <v>0</v>
      </c>
      <c r="I3053" s="3">
        <f t="shared" si="4"/>
        <v>0</v>
      </c>
      <c r="J3053" s="27">
        <f t="shared" si="5"/>
        <v>693947</v>
      </c>
      <c r="K3053" s="27">
        <f t="shared" si="6"/>
        <v>693977</v>
      </c>
    </row>
    <row r="3054" hidden="1">
      <c r="A3054" s="3" t="str">
        <f t="shared" si="3"/>
        <v/>
      </c>
      <c r="B3054" s="2" t="str">
        <f t="array" ref="B3054">INDEX(helper!$A$3:$A3996,ROUNDUP((ROW()-1)/COUNTA(helper!$D$3:$D3996),0))</f>
        <v/>
      </c>
      <c r="C3054" s="5" t="str">
        <f t="array" ref="C3054">IF(B3054="","",INDEX(helper!$D$3:$D3996,MOD(ROW()-2,COUNTA(helper!$D$3:$D3996))+1))</f>
        <v/>
      </c>
      <c r="D3054" s="3" t="str">
        <f t="array" ref="D3054">IF(B3054="","",INDEX(helper!$E$3:$E3996,MOD(ROW()-2,COUNTA(helper!$D$3:$D3996))+1))</f>
        <v/>
      </c>
      <c r="E3054" s="3" t="str">
        <f t="array" ref="E3054">IF(B3054="","",INDEX(helper!$F$3:$F3996,MOD(ROW()-2,COUNTA(helper!$D$3:$D3996))+1))</f>
        <v/>
      </c>
      <c r="F3054" s="3" t="str">
        <f>IF(B3054="","",SUMIFS('inventory ledger'!$H:$H,'inventory ledger'!$C:$C,C3054,'inventory ledger'!$D:$D,D3054,'inventory ledger'!$E:$E,E3054,'inventory ledger'!$A:$A,"&lt;="&amp;B3054+TIME(23,59,59))-SUMIFS('inventory ledger'!$I:$I,'inventory ledger'!$C:$C,C3054,'inventory ledger'!$D:$D,D3054,'inventory ledger'!$E:$E,E3054,'inventory ledger'!$A:$A,"&lt;="&amp;B3054+TIME(23,59,59)))</f>
        <v/>
      </c>
      <c r="G3054" s="3">
        <f>IFERROR(__xludf.DUMMYFUNCTION("IF(F3054&lt;=0,0,IFERROR(ROUNDUP(F3054/INDEX(FILTER('warehouse config'!$D:$D,('warehouse config'!$B:$B=C3054)*('warehouse config'!$C:$C=D3054)*('warehouse config'!$G:$G&lt;=B3054)*(('warehouse config'!$H:$H&gt;=B3054)+ISBLANK('warehouse config'!$H:$H))),1)),0))"),0.0)</f>
        <v>0</v>
      </c>
      <c r="H3054" s="3">
        <f>IFERROR(__xludf.DUMMYFUNCTION("IFERROR(INDEX(FILTER('cost master'!$E:$E,('cost master'!$B:$B=C3054)*('cost master'!$D:$D=""Storage cost per pallet / week"")*('cost master'!$G:$G&lt;=B3054)*(('cost master'!$H:$H&gt;=B3054)+ISBLANK('cost master'!$H:$H))),1),0)"),0.0)</f>
        <v>0</v>
      </c>
      <c r="I3054" s="3">
        <f t="shared" si="4"/>
        <v>0</v>
      </c>
      <c r="J3054" s="27">
        <f t="shared" si="5"/>
        <v>693947</v>
      </c>
      <c r="K3054" s="27">
        <f t="shared" si="6"/>
        <v>693977</v>
      </c>
    </row>
    <row r="3055" hidden="1">
      <c r="A3055" s="3" t="str">
        <f t="shared" si="3"/>
        <v/>
      </c>
      <c r="B3055" s="2" t="str">
        <f t="array" ref="B3055">INDEX(helper!$A$3:$A3996,ROUNDUP((ROW()-1)/COUNTA(helper!$D$3:$D3996),0))</f>
        <v/>
      </c>
      <c r="C3055" s="5" t="str">
        <f t="array" ref="C3055">IF(B3055="","",INDEX(helper!$D$3:$D3996,MOD(ROW()-2,COUNTA(helper!$D$3:$D3996))+1))</f>
        <v/>
      </c>
      <c r="D3055" s="3" t="str">
        <f t="array" ref="D3055">IF(B3055="","",INDEX(helper!$E$3:$E3996,MOD(ROW()-2,COUNTA(helper!$D$3:$D3996))+1))</f>
        <v/>
      </c>
      <c r="E3055" s="3" t="str">
        <f t="array" ref="E3055">IF(B3055="","",INDEX(helper!$F$3:$F3996,MOD(ROW()-2,COUNTA(helper!$D$3:$D3996))+1))</f>
        <v/>
      </c>
      <c r="F3055" s="3" t="str">
        <f>IF(B3055="","",SUMIFS('inventory ledger'!$H:$H,'inventory ledger'!$C:$C,C3055,'inventory ledger'!$D:$D,D3055,'inventory ledger'!$E:$E,E3055,'inventory ledger'!$A:$A,"&lt;="&amp;B3055+TIME(23,59,59))-SUMIFS('inventory ledger'!$I:$I,'inventory ledger'!$C:$C,C3055,'inventory ledger'!$D:$D,D3055,'inventory ledger'!$E:$E,E3055,'inventory ledger'!$A:$A,"&lt;="&amp;B3055+TIME(23,59,59)))</f>
        <v/>
      </c>
      <c r="G3055" s="3">
        <f>IFERROR(__xludf.DUMMYFUNCTION("IF(F3055&lt;=0,0,IFERROR(ROUNDUP(F3055/INDEX(FILTER('warehouse config'!$D:$D,('warehouse config'!$B:$B=C3055)*('warehouse config'!$C:$C=D3055)*('warehouse config'!$G:$G&lt;=B3055)*(('warehouse config'!$H:$H&gt;=B3055)+ISBLANK('warehouse config'!$H:$H))),1)),0))"),0.0)</f>
        <v>0</v>
      </c>
      <c r="H3055" s="3">
        <f>IFERROR(__xludf.DUMMYFUNCTION("IFERROR(INDEX(FILTER('cost master'!$E:$E,('cost master'!$B:$B=C3055)*('cost master'!$D:$D=""Storage cost per pallet / week"")*('cost master'!$G:$G&lt;=B3055)*(('cost master'!$H:$H&gt;=B3055)+ISBLANK('cost master'!$H:$H))),1),0)"),0.0)</f>
        <v>0</v>
      </c>
      <c r="I3055" s="3">
        <f t="shared" si="4"/>
        <v>0</v>
      </c>
      <c r="J3055" s="27">
        <f t="shared" si="5"/>
        <v>693947</v>
      </c>
      <c r="K3055" s="27">
        <f t="shared" si="6"/>
        <v>693977</v>
      </c>
    </row>
    <row r="3056" hidden="1">
      <c r="A3056" s="3" t="str">
        <f t="shared" si="3"/>
        <v/>
      </c>
      <c r="B3056" s="2" t="str">
        <f t="array" ref="B3056">INDEX(helper!$A$3:$A3996,ROUNDUP((ROW()-1)/COUNTA(helper!$D$3:$D3996),0))</f>
        <v/>
      </c>
      <c r="C3056" s="5" t="str">
        <f t="array" ref="C3056">IF(B3056="","",INDEX(helper!$D$3:$D3996,MOD(ROW()-2,COUNTA(helper!$D$3:$D3996))+1))</f>
        <v/>
      </c>
      <c r="D3056" s="3" t="str">
        <f t="array" ref="D3056">IF(B3056="","",INDEX(helper!$E$3:$E3996,MOD(ROW()-2,COUNTA(helper!$D$3:$D3996))+1))</f>
        <v/>
      </c>
      <c r="E3056" s="3" t="str">
        <f t="array" ref="E3056">IF(B3056="","",INDEX(helper!$F$3:$F3996,MOD(ROW()-2,COUNTA(helper!$D$3:$D3996))+1))</f>
        <v/>
      </c>
      <c r="F3056" s="3" t="str">
        <f>IF(B3056="","",SUMIFS('inventory ledger'!$H:$H,'inventory ledger'!$C:$C,C3056,'inventory ledger'!$D:$D,D3056,'inventory ledger'!$E:$E,E3056,'inventory ledger'!$A:$A,"&lt;="&amp;B3056+TIME(23,59,59))-SUMIFS('inventory ledger'!$I:$I,'inventory ledger'!$C:$C,C3056,'inventory ledger'!$D:$D,D3056,'inventory ledger'!$E:$E,E3056,'inventory ledger'!$A:$A,"&lt;="&amp;B3056+TIME(23,59,59)))</f>
        <v/>
      </c>
      <c r="G3056" s="3">
        <f>IFERROR(__xludf.DUMMYFUNCTION("IF(F3056&lt;=0,0,IFERROR(ROUNDUP(F3056/INDEX(FILTER('warehouse config'!$D:$D,('warehouse config'!$B:$B=C3056)*('warehouse config'!$C:$C=D3056)*('warehouse config'!$G:$G&lt;=B3056)*(('warehouse config'!$H:$H&gt;=B3056)+ISBLANK('warehouse config'!$H:$H))),1)),0))"),0.0)</f>
        <v>0</v>
      </c>
      <c r="H3056" s="3">
        <f>IFERROR(__xludf.DUMMYFUNCTION("IFERROR(INDEX(FILTER('cost master'!$E:$E,('cost master'!$B:$B=C3056)*('cost master'!$D:$D=""Storage cost per pallet / week"")*('cost master'!$G:$G&lt;=B3056)*(('cost master'!$H:$H&gt;=B3056)+ISBLANK('cost master'!$H:$H))),1),0)"),0.0)</f>
        <v>0</v>
      </c>
      <c r="I3056" s="3">
        <f t="shared" si="4"/>
        <v>0</v>
      </c>
      <c r="J3056" s="27">
        <f t="shared" si="5"/>
        <v>693947</v>
      </c>
      <c r="K3056" s="27">
        <f t="shared" si="6"/>
        <v>693977</v>
      </c>
    </row>
    <row r="3057" hidden="1">
      <c r="A3057" s="3" t="str">
        <f t="shared" si="3"/>
        <v/>
      </c>
      <c r="B3057" s="2" t="str">
        <f t="array" ref="B3057">INDEX(helper!$A$3:$A3996,ROUNDUP((ROW()-1)/COUNTA(helper!$D$3:$D3996),0))</f>
        <v/>
      </c>
      <c r="C3057" s="5" t="str">
        <f t="array" ref="C3057">IF(B3057="","",INDEX(helper!$D$3:$D3996,MOD(ROW()-2,COUNTA(helper!$D$3:$D3996))+1))</f>
        <v/>
      </c>
      <c r="D3057" s="3" t="str">
        <f t="array" ref="D3057">IF(B3057="","",INDEX(helper!$E$3:$E3996,MOD(ROW()-2,COUNTA(helper!$D$3:$D3996))+1))</f>
        <v/>
      </c>
      <c r="E3057" s="3" t="str">
        <f t="array" ref="E3057">IF(B3057="","",INDEX(helper!$F$3:$F3996,MOD(ROW()-2,COUNTA(helper!$D$3:$D3996))+1))</f>
        <v/>
      </c>
      <c r="F3057" s="3" t="str">
        <f>IF(B3057="","",SUMIFS('inventory ledger'!$H:$H,'inventory ledger'!$C:$C,C3057,'inventory ledger'!$D:$D,D3057,'inventory ledger'!$E:$E,E3057,'inventory ledger'!$A:$A,"&lt;="&amp;B3057+TIME(23,59,59))-SUMIFS('inventory ledger'!$I:$I,'inventory ledger'!$C:$C,C3057,'inventory ledger'!$D:$D,D3057,'inventory ledger'!$E:$E,E3057,'inventory ledger'!$A:$A,"&lt;="&amp;B3057+TIME(23,59,59)))</f>
        <v/>
      </c>
      <c r="G3057" s="3">
        <f>IFERROR(__xludf.DUMMYFUNCTION("IF(F3057&lt;=0,0,IFERROR(ROUNDUP(F3057/INDEX(FILTER('warehouse config'!$D:$D,('warehouse config'!$B:$B=C3057)*('warehouse config'!$C:$C=D3057)*('warehouse config'!$G:$G&lt;=B3057)*(('warehouse config'!$H:$H&gt;=B3057)+ISBLANK('warehouse config'!$H:$H))),1)),0))"),0.0)</f>
        <v>0</v>
      </c>
      <c r="H3057" s="3">
        <f>IFERROR(__xludf.DUMMYFUNCTION("IFERROR(INDEX(FILTER('cost master'!$E:$E,('cost master'!$B:$B=C3057)*('cost master'!$D:$D=""Storage cost per pallet / week"")*('cost master'!$G:$G&lt;=B3057)*(('cost master'!$H:$H&gt;=B3057)+ISBLANK('cost master'!$H:$H))),1),0)"),0.0)</f>
        <v>0</v>
      </c>
      <c r="I3057" s="3">
        <f t="shared" si="4"/>
        <v>0</v>
      </c>
      <c r="J3057" s="27">
        <f t="shared" si="5"/>
        <v>693947</v>
      </c>
      <c r="K3057" s="27">
        <f t="shared" si="6"/>
        <v>693977</v>
      </c>
    </row>
    <row r="3058" hidden="1">
      <c r="A3058" s="3" t="str">
        <f t="shared" si="3"/>
        <v/>
      </c>
      <c r="B3058" s="2" t="str">
        <f t="array" ref="B3058">INDEX(helper!$A$3:$A3996,ROUNDUP((ROW()-1)/COUNTA(helper!$D$3:$D3996),0))</f>
        <v/>
      </c>
      <c r="C3058" s="5" t="str">
        <f t="array" ref="C3058">IF(B3058="","",INDEX(helper!$D$3:$D3996,MOD(ROW()-2,COUNTA(helper!$D$3:$D3996))+1))</f>
        <v/>
      </c>
      <c r="D3058" s="3" t="str">
        <f t="array" ref="D3058">IF(B3058="","",INDEX(helper!$E$3:$E3996,MOD(ROW()-2,COUNTA(helper!$D$3:$D3996))+1))</f>
        <v/>
      </c>
      <c r="E3058" s="3" t="str">
        <f t="array" ref="E3058">IF(B3058="","",INDEX(helper!$F$3:$F3996,MOD(ROW()-2,COUNTA(helper!$D$3:$D3996))+1))</f>
        <v/>
      </c>
      <c r="F3058" s="3" t="str">
        <f>IF(B3058="","",SUMIFS('inventory ledger'!$H:$H,'inventory ledger'!$C:$C,C3058,'inventory ledger'!$D:$D,D3058,'inventory ledger'!$E:$E,E3058,'inventory ledger'!$A:$A,"&lt;="&amp;B3058+TIME(23,59,59))-SUMIFS('inventory ledger'!$I:$I,'inventory ledger'!$C:$C,C3058,'inventory ledger'!$D:$D,D3058,'inventory ledger'!$E:$E,E3058,'inventory ledger'!$A:$A,"&lt;="&amp;B3058+TIME(23,59,59)))</f>
        <v/>
      </c>
      <c r="G3058" s="3">
        <f>IFERROR(__xludf.DUMMYFUNCTION("IF(F3058&lt;=0,0,IFERROR(ROUNDUP(F3058/INDEX(FILTER('warehouse config'!$D:$D,('warehouse config'!$B:$B=C3058)*('warehouse config'!$C:$C=D3058)*('warehouse config'!$G:$G&lt;=B3058)*(('warehouse config'!$H:$H&gt;=B3058)+ISBLANK('warehouse config'!$H:$H))),1)),0))"),0.0)</f>
        <v>0</v>
      </c>
      <c r="H3058" s="3">
        <f>IFERROR(__xludf.DUMMYFUNCTION("IFERROR(INDEX(FILTER('cost master'!$E:$E,('cost master'!$B:$B=C3058)*('cost master'!$D:$D=""Storage cost per pallet / week"")*('cost master'!$G:$G&lt;=B3058)*(('cost master'!$H:$H&gt;=B3058)+ISBLANK('cost master'!$H:$H))),1),0)"),0.0)</f>
        <v>0</v>
      </c>
      <c r="I3058" s="3">
        <f t="shared" si="4"/>
        <v>0</v>
      </c>
      <c r="J3058" s="27">
        <f t="shared" si="5"/>
        <v>693947</v>
      </c>
      <c r="K3058" s="27">
        <f t="shared" si="6"/>
        <v>693977</v>
      </c>
    </row>
    <row r="3059" hidden="1">
      <c r="A3059" s="3" t="str">
        <f t="shared" si="3"/>
        <v/>
      </c>
      <c r="B3059" s="2" t="str">
        <f t="array" ref="B3059">INDEX(helper!$A$3:$A3996,ROUNDUP((ROW()-1)/COUNTA(helper!$D$3:$D3996),0))</f>
        <v/>
      </c>
      <c r="C3059" s="5" t="str">
        <f t="array" ref="C3059">IF(B3059="","",INDEX(helper!$D$3:$D3996,MOD(ROW()-2,COUNTA(helper!$D$3:$D3996))+1))</f>
        <v/>
      </c>
      <c r="D3059" s="3" t="str">
        <f t="array" ref="D3059">IF(B3059="","",INDEX(helper!$E$3:$E3996,MOD(ROW()-2,COUNTA(helper!$D$3:$D3996))+1))</f>
        <v/>
      </c>
      <c r="E3059" s="3" t="str">
        <f t="array" ref="E3059">IF(B3059="","",INDEX(helper!$F$3:$F3996,MOD(ROW()-2,COUNTA(helper!$D$3:$D3996))+1))</f>
        <v/>
      </c>
      <c r="F3059" s="3" t="str">
        <f>IF(B3059="","",SUMIFS('inventory ledger'!$H:$H,'inventory ledger'!$C:$C,C3059,'inventory ledger'!$D:$D,D3059,'inventory ledger'!$E:$E,E3059,'inventory ledger'!$A:$A,"&lt;="&amp;B3059+TIME(23,59,59))-SUMIFS('inventory ledger'!$I:$I,'inventory ledger'!$C:$C,C3059,'inventory ledger'!$D:$D,D3059,'inventory ledger'!$E:$E,E3059,'inventory ledger'!$A:$A,"&lt;="&amp;B3059+TIME(23,59,59)))</f>
        <v/>
      </c>
      <c r="G3059" s="3">
        <f>IFERROR(__xludf.DUMMYFUNCTION("IF(F3059&lt;=0,0,IFERROR(ROUNDUP(F3059/INDEX(FILTER('warehouse config'!$D:$D,('warehouse config'!$B:$B=C3059)*('warehouse config'!$C:$C=D3059)*('warehouse config'!$G:$G&lt;=B3059)*(('warehouse config'!$H:$H&gt;=B3059)+ISBLANK('warehouse config'!$H:$H))),1)),0))"),0.0)</f>
        <v>0</v>
      </c>
      <c r="H3059" s="3">
        <f>IFERROR(__xludf.DUMMYFUNCTION("IFERROR(INDEX(FILTER('cost master'!$E:$E,('cost master'!$B:$B=C3059)*('cost master'!$D:$D=""Storage cost per pallet / week"")*('cost master'!$G:$G&lt;=B3059)*(('cost master'!$H:$H&gt;=B3059)+ISBLANK('cost master'!$H:$H))),1),0)"),0.0)</f>
        <v>0</v>
      </c>
      <c r="I3059" s="3">
        <f t="shared" si="4"/>
        <v>0</v>
      </c>
      <c r="J3059" s="27">
        <f t="shared" si="5"/>
        <v>693947</v>
      </c>
      <c r="K3059" s="27">
        <f t="shared" si="6"/>
        <v>693977</v>
      </c>
    </row>
    <row r="3060" hidden="1">
      <c r="A3060" s="3" t="str">
        <f t="shared" si="3"/>
        <v/>
      </c>
      <c r="B3060" s="2" t="str">
        <f t="array" ref="B3060">INDEX(helper!$A$3:$A3996,ROUNDUP((ROW()-1)/COUNTA(helper!$D$3:$D3996),0))</f>
        <v/>
      </c>
      <c r="C3060" s="5" t="str">
        <f t="array" ref="C3060">IF(B3060="","",INDEX(helper!$D$3:$D3996,MOD(ROW()-2,COUNTA(helper!$D$3:$D3996))+1))</f>
        <v/>
      </c>
      <c r="D3060" s="3" t="str">
        <f t="array" ref="D3060">IF(B3060="","",INDEX(helper!$E$3:$E3996,MOD(ROW()-2,COUNTA(helper!$D$3:$D3996))+1))</f>
        <v/>
      </c>
      <c r="E3060" s="3" t="str">
        <f t="array" ref="E3060">IF(B3060="","",INDEX(helper!$F$3:$F3996,MOD(ROW()-2,COUNTA(helper!$D$3:$D3996))+1))</f>
        <v/>
      </c>
      <c r="F3060" s="3" t="str">
        <f>IF(B3060="","",SUMIFS('inventory ledger'!$H:$H,'inventory ledger'!$C:$C,C3060,'inventory ledger'!$D:$D,D3060,'inventory ledger'!$E:$E,E3060,'inventory ledger'!$A:$A,"&lt;="&amp;B3060+TIME(23,59,59))-SUMIFS('inventory ledger'!$I:$I,'inventory ledger'!$C:$C,C3060,'inventory ledger'!$D:$D,D3060,'inventory ledger'!$E:$E,E3060,'inventory ledger'!$A:$A,"&lt;="&amp;B3060+TIME(23,59,59)))</f>
        <v/>
      </c>
      <c r="G3060" s="3">
        <f>IFERROR(__xludf.DUMMYFUNCTION("IF(F3060&lt;=0,0,IFERROR(ROUNDUP(F3060/INDEX(FILTER('warehouse config'!$D:$D,('warehouse config'!$B:$B=C3060)*('warehouse config'!$C:$C=D3060)*('warehouse config'!$G:$G&lt;=B3060)*(('warehouse config'!$H:$H&gt;=B3060)+ISBLANK('warehouse config'!$H:$H))),1)),0))"),0.0)</f>
        <v>0</v>
      </c>
      <c r="H3060" s="3">
        <f>IFERROR(__xludf.DUMMYFUNCTION("IFERROR(INDEX(FILTER('cost master'!$E:$E,('cost master'!$B:$B=C3060)*('cost master'!$D:$D=""Storage cost per pallet / week"")*('cost master'!$G:$G&lt;=B3060)*(('cost master'!$H:$H&gt;=B3060)+ISBLANK('cost master'!$H:$H))),1),0)"),0.0)</f>
        <v>0</v>
      </c>
      <c r="I3060" s="3">
        <f t="shared" si="4"/>
        <v>0</v>
      </c>
      <c r="J3060" s="27">
        <f t="shared" si="5"/>
        <v>693947</v>
      </c>
      <c r="K3060" s="27">
        <f t="shared" si="6"/>
        <v>693977</v>
      </c>
    </row>
    <row r="3061" hidden="1">
      <c r="A3061" s="3" t="str">
        <f t="shared" si="3"/>
        <v/>
      </c>
      <c r="B3061" s="2" t="str">
        <f t="array" ref="B3061">INDEX(helper!$A$3:$A3996,ROUNDUP((ROW()-1)/COUNTA(helper!$D$3:$D3996),0))</f>
        <v/>
      </c>
      <c r="C3061" s="5" t="str">
        <f t="array" ref="C3061">IF(B3061="","",INDEX(helper!$D$3:$D3996,MOD(ROW()-2,COUNTA(helper!$D$3:$D3996))+1))</f>
        <v/>
      </c>
      <c r="D3061" s="3" t="str">
        <f t="array" ref="D3061">IF(B3061="","",INDEX(helper!$E$3:$E3996,MOD(ROW()-2,COUNTA(helper!$D$3:$D3996))+1))</f>
        <v/>
      </c>
      <c r="E3061" s="3" t="str">
        <f t="array" ref="E3061">IF(B3061="","",INDEX(helper!$F$3:$F3996,MOD(ROW()-2,COUNTA(helper!$D$3:$D3996))+1))</f>
        <v/>
      </c>
      <c r="F3061" s="3" t="str">
        <f>IF(B3061="","",SUMIFS('inventory ledger'!$H:$H,'inventory ledger'!$C:$C,C3061,'inventory ledger'!$D:$D,D3061,'inventory ledger'!$E:$E,E3061,'inventory ledger'!$A:$A,"&lt;="&amp;B3061+TIME(23,59,59))-SUMIFS('inventory ledger'!$I:$I,'inventory ledger'!$C:$C,C3061,'inventory ledger'!$D:$D,D3061,'inventory ledger'!$E:$E,E3061,'inventory ledger'!$A:$A,"&lt;="&amp;B3061+TIME(23,59,59)))</f>
        <v/>
      </c>
      <c r="G3061" s="3">
        <f>IFERROR(__xludf.DUMMYFUNCTION("IF(F3061&lt;=0,0,IFERROR(ROUNDUP(F3061/INDEX(FILTER('warehouse config'!$D:$D,('warehouse config'!$B:$B=C3061)*('warehouse config'!$C:$C=D3061)*('warehouse config'!$G:$G&lt;=B3061)*(('warehouse config'!$H:$H&gt;=B3061)+ISBLANK('warehouse config'!$H:$H))),1)),0))"),0.0)</f>
        <v>0</v>
      </c>
      <c r="H3061" s="3">
        <f>IFERROR(__xludf.DUMMYFUNCTION("IFERROR(INDEX(FILTER('cost master'!$E:$E,('cost master'!$B:$B=C3061)*('cost master'!$D:$D=""Storage cost per pallet / week"")*('cost master'!$G:$G&lt;=B3061)*(('cost master'!$H:$H&gt;=B3061)+ISBLANK('cost master'!$H:$H))),1),0)"),0.0)</f>
        <v>0</v>
      </c>
      <c r="I3061" s="3">
        <f t="shared" si="4"/>
        <v>0</v>
      </c>
      <c r="J3061" s="27">
        <f t="shared" si="5"/>
        <v>693947</v>
      </c>
      <c r="K3061" s="27">
        <f t="shared" si="6"/>
        <v>693977</v>
      </c>
    </row>
    <row r="3062" hidden="1">
      <c r="A3062" s="3" t="str">
        <f t="shared" si="3"/>
        <v/>
      </c>
      <c r="B3062" s="2" t="str">
        <f t="array" ref="B3062">INDEX(helper!$A$3:$A3996,ROUNDUP((ROW()-1)/COUNTA(helper!$D$3:$D3996),0))</f>
        <v/>
      </c>
      <c r="C3062" s="5" t="str">
        <f t="array" ref="C3062">IF(B3062="","",INDEX(helper!$D$3:$D3996,MOD(ROW()-2,COUNTA(helper!$D$3:$D3996))+1))</f>
        <v/>
      </c>
      <c r="D3062" s="3" t="str">
        <f t="array" ref="D3062">IF(B3062="","",INDEX(helper!$E$3:$E3996,MOD(ROW()-2,COUNTA(helper!$D$3:$D3996))+1))</f>
        <v/>
      </c>
      <c r="E3062" s="3" t="str">
        <f t="array" ref="E3062">IF(B3062="","",INDEX(helper!$F$3:$F3996,MOD(ROW()-2,COUNTA(helper!$D$3:$D3996))+1))</f>
        <v/>
      </c>
      <c r="F3062" s="3" t="str">
        <f>IF(B3062="","",SUMIFS('inventory ledger'!$H:$H,'inventory ledger'!$C:$C,C3062,'inventory ledger'!$D:$D,D3062,'inventory ledger'!$E:$E,E3062,'inventory ledger'!$A:$A,"&lt;="&amp;B3062+TIME(23,59,59))-SUMIFS('inventory ledger'!$I:$I,'inventory ledger'!$C:$C,C3062,'inventory ledger'!$D:$D,D3062,'inventory ledger'!$E:$E,E3062,'inventory ledger'!$A:$A,"&lt;="&amp;B3062+TIME(23,59,59)))</f>
        <v/>
      </c>
      <c r="G3062" s="3">
        <f>IFERROR(__xludf.DUMMYFUNCTION("IF(F3062&lt;=0,0,IFERROR(ROUNDUP(F3062/INDEX(FILTER('warehouse config'!$D:$D,('warehouse config'!$B:$B=C3062)*('warehouse config'!$C:$C=D3062)*('warehouse config'!$G:$G&lt;=B3062)*(('warehouse config'!$H:$H&gt;=B3062)+ISBLANK('warehouse config'!$H:$H))),1)),0))"),0.0)</f>
        <v>0</v>
      </c>
      <c r="H3062" s="3">
        <f>IFERROR(__xludf.DUMMYFUNCTION("IFERROR(INDEX(FILTER('cost master'!$E:$E,('cost master'!$B:$B=C3062)*('cost master'!$D:$D=""Storage cost per pallet / week"")*('cost master'!$G:$G&lt;=B3062)*(('cost master'!$H:$H&gt;=B3062)+ISBLANK('cost master'!$H:$H))),1),0)"),0.0)</f>
        <v>0</v>
      </c>
      <c r="I3062" s="3">
        <f t="shared" si="4"/>
        <v>0</v>
      </c>
      <c r="J3062" s="27">
        <f t="shared" si="5"/>
        <v>693947</v>
      </c>
      <c r="K3062" s="27">
        <f t="shared" si="6"/>
        <v>693977</v>
      </c>
    </row>
    <row r="3063" hidden="1">
      <c r="A3063" s="3" t="str">
        <f t="shared" si="3"/>
        <v/>
      </c>
      <c r="B3063" s="2" t="str">
        <f t="array" ref="B3063">INDEX(helper!$A$3:$A3996,ROUNDUP((ROW()-1)/COUNTA(helper!$D$3:$D3996),0))</f>
        <v/>
      </c>
      <c r="C3063" s="5" t="str">
        <f t="array" ref="C3063">IF(B3063="","",INDEX(helper!$D$3:$D3996,MOD(ROW()-2,COUNTA(helper!$D$3:$D3996))+1))</f>
        <v/>
      </c>
      <c r="D3063" s="3" t="str">
        <f t="array" ref="D3063">IF(B3063="","",INDEX(helper!$E$3:$E3996,MOD(ROW()-2,COUNTA(helper!$D$3:$D3996))+1))</f>
        <v/>
      </c>
      <c r="E3063" s="3" t="str">
        <f t="array" ref="E3063">IF(B3063="","",INDEX(helper!$F$3:$F3996,MOD(ROW()-2,COUNTA(helper!$D$3:$D3996))+1))</f>
        <v/>
      </c>
      <c r="F3063" s="3" t="str">
        <f>IF(B3063="","",SUMIFS('inventory ledger'!$H:$H,'inventory ledger'!$C:$C,C3063,'inventory ledger'!$D:$D,D3063,'inventory ledger'!$E:$E,E3063,'inventory ledger'!$A:$A,"&lt;="&amp;B3063+TIME(23,59,59))-SUMIFS('inventory ledger'!$I:$I,'inventory ledger'!$C:$C,C3063,'inventory ledger'!$D:$D,D3063,'inventory ledger'!$E:$E,E3063,'inventory ledger'!$A:$A,"&lt;="&amp;B3063+TIME(23,59,59)))</f>
        <v/>
      </c>
      <c r="G3063" s="3">
        <f>IFERROR(__xludf.DUMMYFUNCTION("IF(F3063&lt;=0,0,IFERROR(ROUNDUP(F3063/INDEX(FILTER('warehouse config'!$D:$D,('warehouse config'!$B:$B=C3063)*('warehouse config'!$C:$C=D3063)*('warehouse config'!$G:$G&lt;=B3063)*(('warehouse config'!$H:$H&gt;=B3063)+ISBLANK('warehouse config'!$H:$H))),1)),0))"),0.0)</f>
        <v>0</v>
      </c>
      <c r="H3063" s="3">
        <f>IFERROR(__xludf.DUMMYFUNCTION("IFERROR(INDEX(FILTER('cost master'!$E:$E,('cost master'!$B:$B=C3063)*('cost master'!$D:$D=""Storage cost per pallet / week"")*('cost master'!$G:$G&lt;=B3063)*(('cost master'!$H:$H&gt;=B3063)+ISBLANK('cost master'!$H:$H))),1),0)"),0.0)</f>
        <v>0</v>
      </c>
      <c r="I3063" s="3">
        <f t="shared" si="4"/>
        <v>0</v>
      </c>
      <c r="J3063" s="27">
        <f t="shared" si="5"/>
        <v>693947</v>
      </c>
      <c r="K3063" s="27">
        <f t="shared" si="6"/>
        <v>693977</v>
      </c>
    </row>
    <row r="3064" hidden="1">
      <c r="A3064" s="3" t="str">
        <f t="shared" si="3"/>
        <v/>
      </c>
      <c r="B3064" s="2" t="str">
        <f t="array" ref="B3064">INDEX(helper!$A$3:$A3996,ROUNDUP((ROW()-1)/COUNTA(helper!$D$3:$D3996),0))</f>
        <v/>
      </c>
      <c r="C3064" s="5" t="str">
        <f t="array" ref="C3064">IF(B3064="","",INDEX(helper!$D$3:$D3996,MOD(ROW()-2,COUNTA(helper!$D$3:$D3996))+1))</f>
        <v/>
      </c>
      <c r="D3064" s="3" t="str">
        <f t="array" ref="D3064">IF(B3064="","",INDEX(helper!$E$3:$E3996,MOD(ROW()-2,COUNTA(helper!$D$3:$D3996))+1))</f>
        <v/>
      </c>
      <c r="E3064" s="3" t="str">
        <f t="array" ref="E3064">IF(B3064="","",INDEX(helper!$F$3:$F3996,MOD(ROW()-2,COUNTA(helper!$D$3:$D3996))+1))</f>
        <v/>
      </c>
      <c r="F3064" s="3" t="str">
        <f>IF(B3064="","",SUMIFS('inventory ledger'!$H:$H,'inventory ledger'!$C:$C,C3064,'inventory ledger'!$D:$D,D3064,'inventory ledger'!$E:$E,E3064,'inventory ledger'!$A:$A,"&lt;="&amp;B3064+TIME(23,59,59))-SUMIFS('inventory ledger'!$I:$I,'inventory ledger'!$C:$C,C3064,'inventory ledger'!$D:$D,D3064,'inventory ledger'!$E:$E,E3064,'inventory ledger'!$A:$A,"&lt;="&amp;B3064+TIME(23,59,59)))</f>
        <v/>
      </c>
      <c r="G3064" s="3">
        <f>IFERROR(__xludf.DUMMYFUNCTION("IF(F3064&lt;=0,0,IFERROR(ROUNDUP(F3064/INDEX(FILTER('warehouse config'!$D:$D,('warehouse config'!$B:$B=C3064)*('warehouse config'!$C:$C=D3064)*('warehouse config'!$G:$G&lt;=B3064)*(('warehouse config'!$H:$H&gt;=B3064)+ISBLANK('warehouse config'!$H:$H))),1)),0))"),0.0)</f>
        <v>0</v>
      </c>
      <c r="H3064" s="3">
        <f>IFERROR(__xludf.DUMMYFUNCTION("IFERROR(INDEX(FILTER('cost master'!$E:$E,('cost master'!$B:$B=C3064)*('cost master'!$D:$D=""Storage cost per pallet / week"")*('cost master'!$G:$G&lt;=B3064)*(('cost master'!$H:$H&gt;=B3064)+ISBLANK('cost master'!$H:$H))),1),0)"),0.0)</f>
        <v>0</v>
      </c>
      <c r="I3064" s="3">
        <f t="shared" si="4"/>
        <v>0</v>
      </c>
      <c r="J3064" s="27">
        <f t="shared" si="5"/>
        <v>693947</v>
      </c>
      <c r="K3064" s="27">
        <f t="shared" si="6"/>
        <v>693977</v>
      </c>
    </row>
    <row r="3065" hidden="1">
      <c r="A3065" s="3" t="str">
        <f t="shared" si="3"/>
        <v/>
      </c>
      <c r="B3065" s="2" t="str">
        <f t="array" ref="B3065">INDEX(helper!$A$3:$A3996,ROUNDUP((ROW()-1)/COUNTA(helper!$D$3:$D3996),0))</f>
        <v/>
      </c>
      <c r="C3065" s="5" t="str">
        <f t="array" ref="C3065">IF(B3065="","",INDEX(helper!$D$3:$D3996,MOD(ROW()-2,COUNTA(helper!$D$3:$D3996))+1))</f>
        <v/>
      </c>
      <c r="D3065" s="3" t="str">
        <f t="array" ref="D3065">IF(B3065="","",INDEX(helper!$E$3:$E3996,MOD(ROW()-2,COUNTA(helper!$D$3:$D3996))+1))</f>
        <v/>
      </c>
      <c r="E3065" s="3" t="str">
        <f t="array" ref="E3065">IF(B3065="","",INDEX(helper!$F$3:$F3996,MOD(ROW()-2,COUNTA(helper!$D$3:$D3996))+1))</f>
        <v/>
      </c>
      <c r="F3065" s="3" t="str">
        <f>IF(B3065="","",SUMIFS('inventory ledger'!$H:$H,'inventory ledger'!$C:$C,C3065,'inventory ledger'!$D:$D,D3065,'inventory ledger'!$E:$E,E3065,'inventory ledger'!$A:$A,"&lt;="&amp;B3065+TIME(23,59,59))-SUMIFS('inventory ledger'!$I:$I,'inventory ledger'!$C:$C,C3065,'inventory ledger'!$D:$D,D3065,'inventory ledger'!$E:$E,E3065,'inventory ledger'!$A:$A,"&lt;="&amp;B3065+TIME(23,59,59)))</f>
        <v/>
      </c>
      <c r="G3065" s="3">
        <f>IFERROR(__xludf.DUMMYFUNCTION("IF(F3065&lt;=0,0,IFERROR(ROUNDUP(F3065/INDEX(FILTER('warehouse config'!$D:$D,('warehouse config'!$B:$B=C3065)*('warehouse config'!$C:$C=D3065)*('warehouse config'!$G:$G&lt;=B3065)*(('warehouse config'!$H:$H&gt;=B3065)+ISBLANK('warehouse config'!$H:$H))),1)),0))"),0.0)</f>
        <v>0</v>
      </c>
      <c r="H3065" s="3">
        <f>IFERROR(__xludf.DUMMYFUNCTION("IFERROR(INDEX(FILTER('cost master'!$E:$E,('cost master'!$B:$B=C3065)*('cost master'!$D:$D=""Storage cost per pallet / week"")*('cost master'!$G:$G&lt;=B3065)*(('cost master'!$H:$H&gt;=B3065)+ISBLANK('cost master'!$H:$H))),1),0)"),0.0)</f>
        <v>0</v>
      </c>
      <c r="I3065" s="3">
        <f t="shared" si="4"/>
        <v>0</v>
      </c>
      <c r="J3065" s="27">
        <f t="shared" si="5"/>
        <v>693947</v>
      </c>
      <c r="K3065" s="27">
        <f t="shared" si="6"/>
        <v>693977</v>
      </c>
    </row>
    <row r="3066" hidden="1">
      <c r="A3066" s="3" t="str">
        <f t="shared" si="3"/>
        <v/>
      </c>
      <c r="B3066" s="2" t="str">
        <f t="array" ref="B3066">INDEX(helper!$A$3:$A3996,ROUNDUP((ROW()-1)/COUNTA(helper!$D$3:$D3996),0))</f>
        <v/>
      </c>
      <c r="C3066" s="5" t="str">
        <f t="array" ref="C3066">IF(B3066="","",INDEX(helper!$D$3:$D3996,MOD(ROW()-2,COUNTA(helper!$D$3:$D3996))+1))</f>
        <v/>
      </c>
      <c r="D3066" s="3" t="str">
        <f t="array" ref="D3066">IF(B3066="","",INDEX(helper!$E$3:$E3996,MOD(ROW()-2,COUNTA(helper!$D$3:$D3996))+1))</f>
        <v/>
      </c>
      <c r="E3066" s="3" t="str">
        <f t="array" ref="E3066">IF(B3066="","",INDEX(helper!$F$3:$F3996,MOD(ROW()-2,COUNTA(helper!$D$3:$D3996))+1))</f>
        <v/>
      </c>
      <c r="F3066" s="3" t="str">
        <f>IF(B3066="","",SUMIFS('inventory ledger'!$H:$H,'inventory ledger'!$C:$C,C3066,'inventory ledger'!$D:$D,D3066,'inventory ledger'!$E:$E,E3066,'inventory ledger'!$A:$A,"&lt;="&amp;B3066+TIME(23,59,59))-SUMIFS('inventory ledger'!$I:$I,'inventory ledger'!$C:$C,C3066,'inventory ledger'!$D:$D,D3066,'inventory ledger'!$E:$E,E3066,'inventory ledger'!$A:$A,"&lt;="&amp;B3066+TIME(23,59,59)))</f>
        <v/>
      </c>
      <c r="G3066" s="3">
        <f>IFERROR(__xludf.DUMMYFUNCTION("IF(F3066&lt;=0,0,IFERROR(ROUNDUP(F3066/INDEX(FILTER('warehouse config'!$D:$D,('warehouse config'!$B:$B=C3066)*('warehouse config'!$C:$C=D3066)*('warehouse config'!$G:$G&lt;=B3066)*(('warehouse config'!$H:$H&gt;=B3066)+ISBLANK('warehouse config'!$H:$H))),1)),0))"),0.0)</f>
        <v>0</v>
      </c>
      <c r="H3066" s="3">
        <f>IFERROR(__xludf.DUMMYFUNCTION("IFERROR(INDEX(FILTER('cost master'!$E:$E,('cost master'!$B:$B=C3066)*('cost master'!$D:$D=""Storage cost per pallet / week"")*('cost master'!$G:$G&lt;=B3066)*(('cost master'!$H:$H&gt;=B3066)+ISBLANK('cost master'!$H:$H))),1),0)"),0.0)</f>
        <v>0</v>
      </c>
      <c r="I3066" s="3">
        <f t="shared" si="4"/>
        <v>0</v>
      </c>
      <c r="J3066" s="27">
        <f t="shared" si="5"/>
        <v>693947</v>
      </c>
      <c r="K3066" s="27">
        <f t="shared" si="6"/>
        <v>693977</v>
      </c>
    </row>
    <row r="3067" hidden="1">
      <c r="A3067" s="3" t="str">
        <f t="shared" si="3"/>
        <v/>
      </c>
      <c r="B3067" s="2" t="str">
        <f t="array" ref="B3067">INDEX(helper!$A$3:$A3996,ROUNDUP((ROW()-1)/COUNTA(helper!$D$3:$D3996),0))</f>
        <v/>
      </c>
      <c r="C3067" s="5" t="str">
        <f t="array" ref="C3067">IF(B3067="","",INDEX(helper!$D$3:$D3996,MOD(ROW()-2,COUNTA(helper!$D$3:$D3996))+1))</f>
        <v/>
      </c>
      <c r="D3067" s="3" t="str">
        <f t="array" ref="D3067">IF(B3067="","",INDEX(helper!$E$3:$E3996,MOD(ROW()-2,COUNTA(helper!$D$3:$D3996))+1))</f>
        <v/>
      </c>
      <c r="E3067" s="3" t="str">
        <f t="array" ref="E3067">IF(B3067="","",INDEX(helper!$F$3:$F3996,MOD(ROW()-2,COUNTA(helper!$D$3:$D3996))+1))</f>
        <v/>
      </c>
      <c r="F3067" s="3" t="str">
        <f>IF(B3067="","",SUMIFS('inventory ledger'!$H:$H,'inventory ledger'!$C:$C,C3067,'inventory ledger'!$D:$D,D3067,'inventory ledger'!$E:$E,E3067,'inventory ledger'!$A:$A,"&lt;="&amp;B3067+TIME(23,59,59))-SUMIFS('inventory ledger'!$I:$I,'inventory ledger'!$C:$C,C3067,'inventory ledger'!$D:$D,D3067,'inventory ledger'!$E:$E,E3067,'inventory ledger'!$A:$A,"&lt;="&amp;B3067+TIME(23,59,59)))</f>
        <v/>
      </c>
      <c r="G3067" s="3">
        <f>IFERROR(__xludf.DUMMYFUNCTION("IF(F3067&lt;=0,0,IFERROR(ROUNDUP(F3067/INDEX(FILTER('warehouse config'!$D:$D,('warehouse config'!$B:$B=C3067)*('warehouse config'!$C:$C=D3067)*('warehouse config'!$G:$G&lt;=B3067)*(('warehouse config'!$H:$H&gt;=B3067)+ISBLANK('warehouse config'!$H:$H))),1)),0))"),0.0)</f>
        <v>0</v>
      </c>
      <c r="H3067" s="3">
        <f>IFERROR(__xludf.DUMMYFUNCTION("IFERROR(INDEX(FILTER('cost master'!$E:$E,('cost master'!$B:$B=C3067)*('cost master'!$D:$D=""Storage cost per pallet / week"")*('cost master'!$G:$G&lt;=B3067)*(('cost master'!$H:$H&gt;=B3067)+ISBLANK('cost master'!$H:$H))),1),0)"),0.0)</f>
        <v>0</v>
      </c>
      <c r="I3067" s="3">
        <f t="shared" si="4"/>
        <v>0</v>
      </c>
      <c r="J3067" s="27">
        <f t="shared" si="5"/>
        <v>693947</v>
      </c>
      <c r="K3067" s="27">
        <f t="shared" si="6"/>
        <v>693977</v>
      </c>
    </row>
    <row r="3068" hidden="1">
      <c r="A3068" s="3" t="str">
        <f t="shared" si="3"/>
        <v/>
      </c>
      <c r="B3068" s="2" t="str">
        <f t="array" ref="B3068">INDEX(helper!$A$3:$A3996,ROUNDUP((ROW()-1)/COUNTA(helper!$D$3:$D3996),0))</f>
        <v/>
      </c>
      <c r="C3068" s="5" t="str">
        <f t="array" ref="C3068">IF(B3068="","",INDEX(helper!$D$3:$D3996,MOD(ROW()-2,COUNTA(helper!$D$3:$D3996))+1))</f>
        <v/>
      </c>
      <c r="D3068" s="3" t="str">
        <f t="array" ref="D3068">IF(B3068="","",INDEX(helper!$E$3:$E3996,MOD(ROW()-2,COUNTA(helper!$D$3:$D3996))+1))</f>
        <v/>
      </c>
      <c r="E3068" s="3" t="str">
        <f t="array" ref="E3068">IF(B3068="","",INDEX(helper!$F$3:$F3996,MOD(ROW()-2,COUNTA(helper!$D$3:$D3996))+1))</f>
        <v/>
      </c>
      <c r="F3068" s="3" t="str">
        <f>IF(B3068="","",SUMIFS('inventory ledger'!$H:$H,'inventory ledger'!$C:$C,C3068,'inventory ledger'!$D:$D,D3068,'inventory ledger'!$E:$E,E3068,'inventory ledger'!$A:$A,"&lt;="&amp;B3068+TIME(23,59,59))-SUMIFS('inventory ledger'!$I:$I,'inventory ledger'!$C:$C,C3068,'inventory ledger'!$D:$D,D3068,'inventory ledger'!$E:$E,E3068,'inventory ledger'!$A:$A,"&lt;="&amp;B3068+TIME(23,59,59)))</f>
        <v/>
      </c>
      <c r="G3068" s="3">
        <f>IFERROR(__xludf.DUMMYFUNCTION("IF(F3068&lt;=0,0,IFERROR(ROUNDUP(F3068/INDEX(FILTER('warehouse config'!$D:$D,('warehouse config'!$B:$B=C3068)*('warehouse config'!$C:$C=D3068)*('warehouse config'!$G:$G&lt;=B3068)*(('warehouse config'!$H:$H&gt;=B3068)+ISBLANK('warehouse config'!$H:$H))),1)),0))"),0.0)</f>
        <v>0</v>
      </c>
      <c r="H3068" s="3">
        <f>IFERROR(__xludf.DUMMYFUNCTION("IFERROR(INDEX(FILTER('cost master'!$E:$E,('cost master'!$B:$B=C3068)*('cost master'!$D:$D=""Storage cost per pallet / week"")*('cost master'!$G:$G&lt;=B3068)*(('cost master'!$H:$H&gt;=B3068)+ISBLANK('cost master'!$H:$H))),1),0)"),0.0)</f>
        <v>0</v>
      </c>
      <c r="I3068" s="3">
        <f t="shared" si="4"/>
        <v>0</v>
      </c>
      <c r="J3068" s="27">
        <f t="shared" si="5"/>
        <v>693947</v>
      </c>
      <c r="K3068" s="27">
        <f t="shared" si="6"/>
        <v>693977</v>
      </c>
    </row>
    <row r="3069" hidden="1">
      <c r="A3069" s="3" t="str">
        <f t="shared" si="3"/>
        <v/>
      </c>
      <c r="B3069" s="2" t="str">
        <f t="array" ref="B3069">INDEX(helper!$A$3:$A3996,ROUNDUP((ROW()-1)/COUNTA(helper!$D$3:$D3996),0))</f>
        <v/>
      </c>
      <c r="C3069" s="5" t="str">
        <f t="array" ref="C3069">IF(B3069="","",INDEX(helper!$D$3:$D3996,MOD(ROW()-2,COUNTA(helper!$D$3:$D3996))+1))</f>
        <v/>
      </c>
      <c r="D3069" s="3" t="str">
        <f t="array" ref="D3069">IF(B3069="","",INDEX(helper!$E$3:$E3996,MOD(ROW()-2,COUNTA(helper!$D$3:$D3996))+1))</f>
        <v/>
      </c>
      <c r="E3069" s="3" t="str">
        <f t="array" ref="E3069">IF(B3069="","",INDEX(helper!$F$3:$F3996,MOD(ROW()-2,COUNTA(helper!$D$3:$D3996))+1))</f>
        <v/>
      </c>
      <c r="F3069" s="3" t="str">
        <f>IF(B3069="","",SUMIFS('inventory ledger'!$H:$H,'inventory ledger'!$C:$C,C3069,'inventory ledger'!$D:$D,D3069,'inventory ledger'!$E:$E,E3069,'inventory ledger'!$A:$A,"&lt;="&amp;B3069+TIME(23,59,59))-SUMIFS('inventory ledger'!$I:$I,'inventory ledger'!$C:$C,C3069,'inventory ledger'!$D:$D,D3069,'inventory ledger'!$E:$E,E3069,'inventory ledger'!$A:$A,"&lt;="&amp;B3069+TIME(23,59,59)))</f>
        <v/>
      </c>
      <c r="G3069" s="3">
        <f>IFERROR(__xludf.DUMMYFUNCTION("IF(F3069&lt;=0,0,IFERROR(ROUNDUP(F3069/INDEX(FILTER('warehouse config'!$D:$D,('warehouse config'!$B:$B=C3069)*('warehouse config'!$C:$C=D3069)*('warehouse config'!$G:$G&lt;=B3069)*(('warehouse config'!$H:$H&gt;=B3069)+ISBLANK('warehouse config'!$H:$H))),1)),0))"),0.0)</f>
        <v>0</v>
      </c>
      <c r="H3069" s="3">
        <f>IFERROR(__xludf.DUMMYFUNCTION("IFERROR(INDEX(FILTER('cost master'!$E:$E,('cost master'!$B:$B=C3069)*('cost master'!$D:$D=""Storage cost per pallet / week"")*('cost master'!$G:$G&lt;=B3069)*(('cost master'!$H:$H&gt;=B3069)+ISBLANK('cost master'!$H:$H))),1),0)"),0.0)</f>
        <v>0</v>
      </c>
      <c r="I3069" s="3">
        <f t="shared" si="4"/>
        <v>0</v>
      </c>
      <c r="J3069" s="27">
        <f t="shared" si="5"/>
        <v>693947</v>
      </c>
      <c r="K3069" s="27">
        <f t="shared" si="6"/>
        <v>693977</v>
      </c>
    </row>
    <row r="3070" hidden="1">
      <c r="A3070" s="3" t="str">
        <f t="shared" si="3"/>
        <v/>
      </c>
      <c r="B3070" s="2" t="str">
        <f t="array" ref="B3070">INDEX(helper!$A$3:$A3996,ROUNDUP((ROW()-1)/COUNTA(helper!$D$3:$D3996),0))</f>
        <v/>
      </c>
      <c r="C3070" s="5" t="str">
        <f t="array" ref="C3070">IF(B3070="","",INDEX(helper!$D$3:$D3996,MOD(ROW()-2,COUNTA(helper!$D$3:$D3996))+1))</f>
        <v/>
      </c>
      <c r="D3070" s="3" t="str">
        <f t="array" ref="D3070">IF(B3070="","",INDEX(helper!$E$3:$E3996,MOD(ROW()-2,COUNTA(helper!$D$3:$D3996))+1))</f>
        <v/>
      </c>
      <c r="E3070" s="3" t="str">
        <f t="array" ref="E3070">IF(B3070="","",INDEX(helper!$F$3:$F3996,MOD(ROW()-2,COUNTA(helper!$D$3:$D3996))+1))</f>
        <v/>
      </c>
      <c r="F3070" s="3" t="str">
        <f>IF(B3070="","",SUMIFS('inventory ledger'!$H:$H,'inventory ledger'!$C:$C,C3070,'inventory ledger'!$D:$D,D3070,'inventory ledger'!$E:$E,E3070,'inventory ledger'!$A:$A,"&lt;="&amp;B3070+TIME(23,59,59))-SUMIFS('inventory ledger'!$I:$I,'inventory ledger'!$C:$C,C3070,'inventory ledger'!$D:$D,D3070,'inventory ledger'!$E:$E,E3070,'inventory ledger'!$A:$A,"&lt;="&amp;B3070+TIME(23,59,59)))</f>
        <v/>
      </c>
      <c r="G3070" s="3">
        <f>IFERROR(__xludf.DUMMYFUNCTION("IF(F3070&lt;=0,0,IFERROR(ROUNDUP(F3070/INDEX(FILTER('warehouse config'!$D:$D,('warehouse config'!$B:$B=C3070)*('warehouse config'!$C:$C=D3070)*('warehouse config'!$G:$G&lt;=B3070)*(('warehouse config'!$H:$H&gt;=B3070)+ISBLANK('warehouse config'!$H:$H))),1)),0))"),0.0)</f>
        <v>0</v>
      </c>
      <c r="H3070" s="3">
        <f>IFERROR(__xludf.DUMMYFUNCTION("IFERROR(INDEX(FILTER('cost master'!$E:$E,('cost master'!$B:$B=C3070)*('cost master'!$D:$D=""Storage cost per pallet / week"")*('cost master'!$G:$G&lt;=B3070)*(('cost master'!$H:$H&gt;=B3070)+ISBLANK('cost master'!$H:$H))),1),0)"),0.0)</f>
        <v>0</v>
      </c>
      <c r="I3070" s="3">
        <f t="shared" si="4"/>
        <v>0</v>
      </c>
      <c r="J3070" s="27">
        <f t="shared" si="5"/>
        <v>693947</v>
      </c>
      <c r="K3070" s="27">
        <f t="shared" si="6"/>
        <v>693977</v>
      </c>
    </row>
    <row r="3071" hidden="1">
      <c r="A3071" s="3" t="str">
        <f t="shared" si="3"/>
        <v/>
      </c>
      <c r="B3071" s="2" t="str">
        <f t="array" ref="B3071">INDEX(helper!$A$3:$A3996,ROUNDUP((ROW()-1)/COUNTA(helper!$D$3:$D3996),0))</f>
        <v/>
      </c>
      <c r="C3071" s="5" t="str">
        <f t="array" ref="C3071">IF(B3071="","",INDEX(helper!$D$3:$D3996,MOD(ROW()-2,COUNTA(helper!$D$3:$D3996))+1))</f>
        <v/>
      </c>
      <c r="D3071" s="3" t="str">
        <f t="array" ref="D3071">IF(B3071="","",INDEX(helper!$E$3:$E3996,MOD(ROW()-2,COUNTA(helper!$D$3:$D3996))+1))</f>
        <v/>
      </c>
      <c r="E3071" s="3" t="str">
        <f t="array" ref="E3071">IF(B3071="","",INDEX(helper!$F$3:$F3996,MOD(ROW()-2,COUNTA(helper!$D$3:$D3996))+1))</f>
        <v/>
      </c>
      <c r="F3071" s="3" t="str">
        <f>IF(B3071="","",SUMIFS('inventory ledger'!$H:$H,'inventory ledger'!$C:$C,C3071,'inventory ledger'!$D:$D,D3071,'inventory ledger'!$E:$E,E3071,'inventory ledger'!$A:$A,"&lt;="&amp;B3071+TIME(23,59,59))-SUMIFS('inventory ledger'!$I:$I,'inventory ledger'!$C:$C,C3071,'inventory ledger'!$D:$D,D3071,'inventory ledger'!$E:$E,E3071,'inventory ledger'!$A:$A,"&lt;="&amp;B3071+TIME(23,59,59)))</f>
        <v/>
      </c>
      <c r="G3071" s="3">
        <f>IFERROR(__xludf.DUMMYFUNCTION("IF(F3071&lt;=0,0,IFERROR(ROUNDUP(F3071/INDEX(FILTER('warehouse config'!$D:$D,('warehouse config'!$B:$B=C3071)*('warehouse config'!$C:$C=D3071)*('warehouse config'!$G:$G&lt;=B3071)*(('warehouse config'!$H:$H&gt;=B3071)+ISBLANK('warehouse config'!$H:$H))),1)),0))"),0.0)</f>
        <v>0</v>
      </c>
      <c r="H3071" s="3">
        <f>IFERROR(__xludf.DUMMYFUNCTION("IFERROR(INDEX(FILTER('cost master'!$E:$E,('cost master'!$B:$B=C3071)*('cost master'!$D:$D=""Storage cost per pallet / week"")*('cost master'!$G:$G&lt;=B3071)*(('cost master'!$H:$H&gt;=B3071)+ISBLANK('cost master'!$H:$H))),1),0)"),0.0)</f>
        <v>0</v>
      </c>
      <c r="I3071" s="3">
        <f t="shared" si="4"/>
        <v>0</v>
      </c>
      <c r="J3071" s="27">
        <f t="shared" si="5"/>
        <v>693947</v>
      </c>
      <c r="K3071" s="27">
        <f t="shared" si="6"/>
        <v>693977</v>
      </c>
    </row>
    <row r="3072" hidden="1">
      <c r="A3072" s="3" t="str">
        <f t="shared" si="3"/>
        <v/>
      </c>
      <c r="B3072" s="2" t="str">
        <f t="array" ref="B3072">INDEX(helper!$A$3:$A3996,ROUNDUP((ROW()-1)/COUNTA(helper!$D$3:$D3996),0))</f>
        <v/>
      </c>
      <c r="C3072" s="5" t="str">
        <f t="array" ref="C3072">IF(B3072="","",INDEX(helper!$D$3:$D3996,MOD(ROW()-2,COUNTA(helper!$D$3:$D3996))+1))</f>
        <v/>
      </c>
      <c r="D3072" s="3" t="str">
        <f t="array" ref="D3072">IF(B3072="","",INDEX(helper!$E$3:$E3996,MOD(ROW()-2,COUNTA(helper!$D$3:$D3996))+1))</f>
        <v/>
      </c>
      <c r="E3072" s="3" t="str">
        <f t="array" ref="E3072">IF(B3072="","",INDEX(helper!$F$3:$F3996,MOD(ROW()-2,COUNTA(helper!$D$3:$D3996))+1))</f>
        <v/>
      </c>
      <c r="F3072" s="3" t="str">
        <f>IF(B3072="","",SUMIFS('inventory ledger'!$H:$H,'inventory ledger'!$C:$C,C3072,'inventory ledger'!$D:$D,D3072,'inventory ledger'!$E:$E,E3072,'inventory ledger'!$A:$A,"&lt;="&amp;B3072+TIME(23,59,59))-SUMIFS('inventory ledger'!$I:$I,'inventory ledger'!$C:$C,C3072,'inventory ledger'!$D:$D,D3072,'inventory ledger'!$E:$E,E3072,'inventory ledger'!$A:$A,"&lt;="&amp;B3072+TIME(23,59,59)))</f>
        <v/>
      </c>
      <c r="G3072" s="3">
        <f>IFERROR(__xludf.DUMMYFUNCTION("IF(F3072&lt;=0,0,IFERROR(ROUNDUP(F3072/INDEX(FILTER('warehouse config'!$D:$D,('warehouse config'!$B:$B=C3072)*('warehouse config'!$C:$C=D3072)*('warehouse config'!$G:$G&lt;=B3072)*(('warehouse config'!$H:$H&gt;=B3072)+ISBLANK('warehouse config'!$H:$H))),1)),0))"),0.0)</f>
        <v>0</v>
      </c>
      <c r="H3072" s="3">
        <f>IFERROR(__xludf.DUMMYFUNCTION("IFERROR(INDEX(FILTER('cost master'!$E:$E,('cost master'!$B:$B=C3072)*('cost master'!$D:$D=""Storage cost per pallet / week"")*('cost master'!$G:$G&lt;=B3072)*(('cost master'!$H:$H&gt;=B3072)+ISBLANK('cost master'!$H:$H))),1),0)"),0.0)</f>
        <v>0</v>
      </c>
      <c r="I3072" s="3">
        <f t="shared" si="4"/>
        <v>0</v>
      </c>
      <c r="J3072" s="27">
        <f t="shared" si="5"/>
        <v>693947</v>
      </c>
      <c r="K3072" s="27">
        <f t="shared" si="6"/>
        <v>693977</v>
      </c>
    </row>
    <row r="3073" hidden="1">
      <c r="A3073" s="3" t="str">
        <f t="shared" si="3"/>
        <v/>
      </c>
      <c r="B3073" s="2" t="str">
        <f t="array" ref="B3073">INDEX(helper!$A$3:$A3996,ROUNDUP((ROW()-1)/COUNTA(helper!$D$3:$D3996),0))</f>
        <v/>
      </c>
      <c r="C3073" s="5" t="str">
        <f t="array" ref="C3073">IF(B3073="","",INDEX(helper!$D$3:$D3996,MOD(ROW()-2,COUNTA(helper!$D$3:$D3996))+1))</f>
        <v/>
      </c>
      <c r="D3073" s="3" t="str">
        <f t="array" ref="D3073">IF(B3073="","",INDEX(helper!$E$3:$E3996,MOD(ROW()-2,COUNTA(helper!$D$3:$D3996))+1))</f>
        <v/>
      </c>
      <c r="E3073" s="3" t="str">
        <f t="array" ref="E3073">IF(B3073="","",INDEX(helper!$F$3:$F3996,MOD(ROW()-2,COUNTA(helper!$D$3:$D3996))+1))</f>
        <v/>
      </c>
      <c r="F3073" s="3" t="str">
        <f>IF(B3073="","",SUMIFS('inventory ledger'!$H:$H,'inventory ledger'!$C:$C,C3073,'inventory ledger'!$D:$D,D3073,'inventory ledger'!$E:$E,E3073,'inventory ledger'!$A:$A,"&lt;="&amp;B3073+TIME(23,59,59))-SUMIFS('inventory ledger'!$I:$I,'inventory ledger'!$C:$C,C3073,'inventory ledger'!$D:$D,D3073,'inventory ledger'!$E:$E,E3073,'inventory ledger'!$A:$A,"&lt;="&amp;B3073+TIME(23,59,59)))</f>
        <v/>
      </c>
      <c r="G3073" s="3">
        <f>IFERROR(__xludf.DUMMYFUNCTION("IF(F3073&lt;=0,0,IFERROR(ROUNDUP(F3073/INDEX(FILTER('warehouse config'!$D:$D,('warehouse config'!$B:$B=C3073)*('warehouse config'!$C:$C=D3073)*('warehouse config'!$G:$G&lt;=B3073)*(('warehouse config'!$H:$H&gt;=B3073)+ISBLANK('warehouse config'!$H:$H))),1)),0))"),0.0)</f>
        <v>0</v>
      </c>
      <c r="H3073" s="3">
        <f>IFERROR(__xludf.DUMMYFUNCTION("IFERROR(INDEX(FILTER('cost master'!$E:$E,('cost master'!$B:$B=C3073)*('cost master'!$D:$D=""Storage cost per pallet / week"")*('cost master'!$G:$G&lt;=B3073)*(('cost master'!$H:$H&gt;=B3073)+ISBLANK('cost master'!$H:$H))),1),0)"),0.0)</f>
        <v>0</v>
      </c>
      <c r="I3073" s="3">
        <f t="shared" si="4"/>
        <v>0</v>
      </c>
      <c r="J3073" s="27">
        <f t="shared" si="5"/>
        <v>693947</v>
      </c>
      <c r="K3073" s="27">
        <f t="shared" si="6"/>
        <v>693977</v>
      </c>
    </row>
    <row r="3074" hidden="1">
      <c r="A3074" s="3" t="str">
        <f t="shared" si="3"/>
        <v/>
      </c>
      <c r="B3074" s="2" t="str">
        <f t="array" ref="B3074">INDEX(helper!$A$3:$A3996,ROUNDUP((ROW()-1)/COUNTA(helper!$D$3:$D3996),0))</f>
        <v/>
      </c>
      <c r="C3074" s="5" t="str">
        <f t="array" ref="C3074">IF(B3074="","",INDEX(helper!$D$3:$D3996,MOD(ROW()-2,COUNTA(helper!$D$3:$D3996))+1))</f>
        <v/>
      </c>
      <c r="D3074" s="3" t="str">
        <f t="array" ref="D3074">IF(B3074="","",INDEX(helper!$E$3:$E3996,MOD(ROW()-2,COUNTA(helper!$D$3:$D3996))+1))</f>
        <v/>
      </c>
      <c r="E3074" s="3" t="str">
        <f t="array" ref="E3074">IF(B3074="","",INDEX(helper!$F$3:$F3996,MOD(ROW()-2,COUNTA(helper!$D$3:$D3996))+1))</f>
        <v/>
      </c>
      <c r="F3074" s="3" t="str">
        <f>IF(B3074="","",SUMIFS('inventory ledger'!$H:$H,'inventory ledger'!$C:$C,C3074,'inventory ledger'!$D:$D,D3074,'inventory ledger'!$E:$E,E3074,'inventory ledger'!$A:$A,"&lt;="&amp;B3074+TIME(23,59,59))-SUMIFS('inventory ledger'!$I:$I,'inventory ledger'!$C:$C,C3074,'inventory ledger'!$D:$D,D3074,'inventory ledger'!$E:$E,E3074,'inventory ledger'!$A:$A,"&lt;="&amp;B3074+TIME(23,59,59)))</f>
        <v/>
      </c>
      <c r="G3074" s="3">
        <f>IFERROR(__xludf.DUMMYFUNCTION("IF(F3074&lt;=0,0,IFERROR(ROUNDUP(F3074/INDEX(FILTER('warehouse config'!$D:$D,('warehouse config'!$B:$B=C3074)*('warehouse config'!$C:$C=D3074)*('warehouse config'!$G:$G&lt;=B3074)*(('warehouse config'!$H:$H&gt;=B3074)+ISBLANK('warehouse config'!$H:$H))),1)),0))"),0.0)</f>
        <v>0</v>
      </c>
      <c r="H3074" s="3">
        <f>IFERROR(__xludf.DUMMYFUNCTION("IFERROR(INDEX(FILTER('cost master'!$E:$E,('cost master'!$B:$B=C3074)*('cost master'!$D:$D=""Storage cost per pallet / week"")*('cost master'!$G:$G&lt;=B3074)*(('cost master'!$H:$H&gt;=B3074)+ISBLANK('cost master'!$H:$H))),1),0)"),0.0)</f>
        <v>0</v>
      </c>
      <c r="I3074" s="3">
        <f t="shared" si="4"/>
        <v>0</v>
      </c>
      <c r="J3074" s="27">
        <f t="shared" si="5"/>
        <v>693947</v>
      </c>
      <c r="K3074" s="27">
        <f t="shared" si="6"/>
        <v>693977</v>
      </c>
    </row>
    <row r="3075" hidden="1">
      <c r="A3075" s="3" t="str">
        <f t="shared" si="3"/>
        <v/>
      </c>
      <c r="B3075" s="2" t="str">
        <f t="array" ref="B3075">INDEX(helper!$A$3:$A3996,ROUNDUP((ROW()-1)/COUNTA(helper!$D$3:$D3996),0))</f>
        <v/>
      </c>
      <c r="C3075" s="5" t="str">
        <f t="array" ref="C3075">IF(B3075="","",INDEX(helper!$D$3:$D3996,MOD(ROW()-2,COUNTA(helper!$D$3:$D3996))+1))</f>
        <v/>
      </c>
      <c r="D3075" s="3" t="str">
        <f t="array" ref="D3075">IF(B3075="","",INDEX(helper!$E$3:$E3996,MOD(ROW()-2,COUNTA(helper!$D$3:$D3996))+1))</f>
        <v/>
      </c>
      <c r="E3075" s="3" t="str">
        <f t="array" ref="E3075">IF(B3075="","",INDEX(helper!$F$3:$F3996,MOD(ROW()-2,COUNTA(helper!$D$3:$D3996))+1))</f>
        <v/>
      </c>
      <c r="F3075" s="3" t="str">
        <f>IF(B3075="","",SUMIFS('inventory ledger'!$H:$H,'inventory ledger'!$C:$C,C3075,'inventory ledger'!$D:$D,D3075,'inventory ledger'!$E:$E,E3075,'inventory ledger'!$A:$A,"&lt;="&amp;B3075+TIME(23,59,59))-SUMIFS('inventory ledger'!$I:$I,'inventory ledger'!$C:$C,C3075,'inventory ledger'!$D:$D,D3075,'inventory ledger'!$E:$E,E3075,'inventory ledger'!$A:$A,"&lt;="&amp;B3075+TIME(23,59,59)))</f>
        <v/>
      </c>
      <c r="G3075" s="3">
        <f>IFERROR(__xludf.DUMMYFUNCTION("IF(F3075&lt;=0,0,IFERROR(ROUNDUP(F3075/INDEX(FILTER('warehouse config'!$D:$D,('warehouse config'!$B:$B=C3075)*('warehouse config'!$C:$C=D3075)*('warehouse config'!$G:$G&lt;=B3075)*(('warehouse config'!$H:$H&gt;=B3075)+ISBLANK('warehouse config'!$H:$H))),1)),0))"),0.0)</f>
        <v>0</v>
      </c>
      <c r="H3075" s="3">
        <f>IFERROR(__xludf.DUMMYFUNCTION("IFERROR(INDEX(FILTER('cost master'!$E:$E,('cost master'!$B:$B=C3075)*('cost master'!$D:$D=""Storage cost per pallet / week"")*('cost master'!$G:$G&lt;=B3075)*(('cost master'!$H:$H&gt;=B3075)+ISBLANK('cost master'!$H:$H))),1),0)"),0.0)</f>
        <v>0</v>
      </c>
      <c r="I3075" s="3">
        <f t="shared" si="4"/>
        <v>0</v>
      </c>
      <c r="J3075" s="27">
        <f t="shared" si="5"/>
        <v>693947</v>
      </c>
      <c r="K3075" s="27">
        <f t="shared" si="6"/>
        <v>693977</v>
      </c>
    </row>
    <row r="3076" hidden="1">
      <c r="A3076" s="3" t="str">
        <f t="shared" si="3"/>
        <v/>
      </c>
      <c r="B3076" s="2" t="str">
        <f t="array" ref="B3076">INDEX(helper!$A$3:$A3996,ROUNDUP((ROW()-1)/COUNTA(helper!$D$3:$D3996),0))</f>
        <v/>
      </c>
      <c r="C3076" s="5" t="str">
        <f t="array" ref="C3076">IF(B3076="","",INDEX(helper!$D$3:$D3996,MOD(ROW()-2,COUNTA(helper!$D$3:$D3996))+1))</f>
        <v/>
      </c>
      <c r="D3076" s="3" t="str">
        <f t="array" ref="D3076">IF(B3076="","",INDEX(helper!$E$3:$E3996,MOD(ROW()-2,COUNTA(helper!$D$3:$D3996))+1))</f>
        <v/>
      </c>
      <c r="E3076" s="3" t="str">
        <f t="array" ref="E3076">IF(B3076="","",INDEX(helper!$F$3:$F3996,MOD(ROW()-2,COUNTA(helper!$D$3:$D3996))+1))</f>
        <v/>
      </c>
      <c r="F3076" s="3" t="str">
        <f>IF(B3076="","",SUMIFS('inventory ledger'!$H:$H,'inventory ledger'!$C:$C,C3076,'inventory ledger'!$D:$D,D3076,'inventory ledger'!$E:$E,E3076,'inventory ledger'!$A:$A,"&lt;="&amp;B3076+TIME(23,59,59))-SUMIFS('inventory ledger'!$I:$I,'inventory ledger'!$C:$C,C3076,'inventory ledger'!$D:$D,D3076,'inventory ledger'!$E:$E,E3076,'inventory ledger'!$A:$A,"&lt;="&amp;B3076+TIME(23,59,59)))</f>
        <v/>
      </c>
      <c r="G3076" s="3">
        <f>IFERROR(__xludf.DUMMYFUNCTION("IF(F3076&lt;=0,0,IFERROR(ROUNDUP(F3076/INDEX(FILTER('warehouse config'!$D:$D,('warehouse config'!$B:$B=C3076)*('warehouse config'!$C:$C=D3076)*('warehouse config'!$G:$G&lt;=B3076)*(('warehouse config'!$H:$H&gt;=B3076)+ISBLANK('warehouse config'!$H:$H))),1)),0))"),0.0)</f>
        <v>0</v>
      </c>
      <c r="H3076" s="3">
        <f>IFERROR(__xludf.DUMMYFUNCTION("IFERROR(INDEX(FILTER('cost master'!$E:$E,('cost master'!$B:$B=C3076)*('cost master'!$D:$D=""Storage cost per pallet / week"")*('cost master'!$G:$G&lt;=B3076)*(('cost master'!$H:$H&gt;=B3076)+ISBLANK('cost master'!$H:$H))),1),0)"),0.0)</f>
        <v>0</v>
      </c>
      <c r="I3076" s="3">
        <f t="shared" si="4"/>
        <v>0</v>
      </c>
      <c r="J3076" s="27">
        <f t="shared" si="5"/>
        <v>693947</v>
      </c>
      <c r="K3076" s="27">
        <f t="shared" si="6"/>
        <v>693977</v>
      </c>
    </row>
    <row r="3077" hidden="1">
      <c r="A3077" s="3" t="str">
        <f t="shared" si="3"/>
        <v/>
      </c>
      <c r="B3077" s="2" t="str">
        <f t="array" ref="B3077">INDEX(helper!$A$3:$A3996,ROUNDUP((ROW()-1)/COUNTA(helper!$D$3:$D3996),0))</f>
        <v/>
      </c>
      <c r="C3077" s="5" t="str">
        <f t="array" ref="C3077">IF(B3077="","",INDEX(helper!$D$3:$D3996,MOD(ROW()-2,COUNTA(helper!$D$3:$D3996))+1))</f>
        <v/>
      </c>
      <c r="D3077" s="3" t="str">
        <f t="array" ref="D3077">IF(B3077="","",INDEX(helper!$E$3:$E3996,MOD(ROW()-2,COUNTA(helper!$D$3:$D3996))+1))</f>
        <v/>
      </c>
      <c r="E3077" s="3" t="str">
        <f t="array" ref="E3077">IF(B3077="","",INDEX(helper!$F$3:$F3996,MOD(ROW()-2,COUNTA(helper!$D$3:$D3996))+1))</f>
        <v/>
      </c>
      <c r="F3077" s="3" t="str">
        <f>IF(B3077="","",SUMIFS('inventory ledger'!$H:$H,'inventory ledger'!$C:$C,C3077,'inventory ledger'!$D:$D,D3077,'inventory ledger'!$E:$E,E3077,'inventory ledger'!$A:$A,"&lt;="&amp;B3077+TIME(23,59,59))-SUMIFS('inventory ledger'!$I:$I,'inventory ledger'!$C:$C,C3077,'inventory ledger'!$D:$D,D3077,'inventory ledger'!$E:$E,E3077,'inventory ledger'!$A:$A,"&lt;="&amp;B3077+TIME(23,59,59)))</f>
        <v/>
      </c>
      <c r="G3077" s="3">
        <f>IFERROR(__xludf.DUMMYFUNCTION("IF(F3077&lt;=0,0,IFERROR(ROUNDUP(F3077/INDEX(FILTER('warehouse config'!$D:$D,('warehouse config'!$B:$B=C3077)*('warehouse config'!$C:$C=D3077)*('warehouse config'!$G:$G&lt;=B3077)*(('warehouse config'!$H:$H&gt;=B3077)+ISBLANK('warehouse config'!$H:$H))),1)),0))"),0.0)</f>
        <v>0</v>
      </c>
      <c r="H3077" s="3">
        <f>IFERROR(__xludf.DUMMYFUNCTION("IFERROR(INDEX(FILTER('cost master'!$E:$E,('cost master'!$B:$B=C3077)*('cost master'!$D:$D=""Storage cost per pallet / week"")*('cost master'!$G:$G&lt;=B3077)*(('cost master'!$H:$H&gt;=B3077)+ISBLANK('cost master'!$H:$H))),1),0)"),0.0)</f>
        <v>0</v>
      </c>
      <c r="I3077" s="3">
        <f t="shared" si="4"/>
        <v>0</v>
      </c>
      <c r="J3077" s="27">
        <f t="shared" si="5"/>
        <v>693947</v>
      </c>
      <c r="K3077" s="27">
        <f t="shared" si="6"/>
        <v>693977</v>
      </c>
    </row>
    <row r="3078" hidden="1">
      <c r="A3078" s="3" t="str">
        <f t="shared" si="3"/>
        <v/>
      </c>
      <c r="B3078" s="2" t="str">
        <f t="array" ref="B3078">INDEX(helper!$A$3:$A3996,ROUNDUP((ROW()-1)/COUNTA(helper!$D$3:$D3996),0))</f>
        <v/>
      </c>
      <c r="C3078" s="5" t="str">
        <f t="array" ref="C3078">IF(B3078="","",INDEX(helper!$D$3:$D3996,MOD(ROW()-2,COUNTA(helper!$D$3:$D3996))+1))</f>
        <v/>
      </c>
      <c r="D3078" s="3" t="str">
        <f t="array" ref="D3078">IF(B3078="","",INDEX(helper!$E$3:$E3996,MOD(ROW()-2,COUNTA(helper!$D$3:$D3996))+1))</f>
        <v/>
      </c>
      <c r="E3078" s="3" t="str">
        <f t="array" ref="E3078">IF(B3078="","",INDEX(helper!$F$3:$F3996,MOD(ROW()-2,COUNTA(helper!$D$3:$D3996))+1))</f>
        <v/>
      </c>
      <c r="F3078" s="3" t="str">
        <f>IF(B3078="","",SUMIFS('inventory ledger'!$H:$H,'inventory ledger'!$C:$C,C3078,'inventory ledger'!$D:$D,D3078,'inventory ledger'!$E:$E,E3078,'inventory ledger'!$A:$A,"&lt;="&amp;B3078+TIME(23,59,59))-SUMIFS('inventory ledger'!$I:$I,'inventory ledger'!$C:$C,C3078,'inventory ledger'!$D:$D,D3078,'inventory ledger'!$E:$E,E3078,'inventory ledger'!$A:$A,"&lt;="&amp;B3078+TIME(23,59,59)))</f>
        <v/>
      </c>
      <c r="G3078" s="3">
        <f>IFERROR(__xludf.DUMMYFUNCTION("IF(F3078&lt;=0,0,IFERROR(ROUNDUP(F3078/INDEX(FILTER('warehouse config'!$D:$D,('warehouse config'!$B:$B=C3078)*('warehouse config'!$C:$C=D3078)*('warehouse config'!$G:$G&lt;=B3078)*(('warehouse config'!$H:$H&gt;=B3078)+ISBLANK('warehouse config'!$H:$H))),1)),0))"),0.0)</f>
        <v>0</v>
      </c>
      <c r="H3078" s="3">
        <f>IFERROR(__xludf.DUMMYFUNCTION("IFERROR(INDEX(FILTER('cost master'!$E:$E,('cost master'!$B:$B=C3078)*('cost master'!$D:$D=""Storage cost per pallet / week"")*('cost master'!$G:$G&lt;=B3078)*(('cost master'!$H:$H&gt;=B3078)+ISBLANK('cost master'!$H:$H))),1),0)"),0.0)</f>
        <v>0</v>
      </c>
      <c r="I3078" s="3">
        <f t="shared" si="4"/>
        <v>0</v>
      </c>
      <c r="J3078" s="27">
        <f t="shared" si="5"/>
        <v>693947</v>
      </c>
      <c r="K3078" s="27">
        <f t="shared" si="6"/>
        <v>693977</v>
      </c>
    </row>
    <row r="3079" hidden="1">
      <c r="A3079" s="3" t="str">
        <f t="shared" si="3"/>
        <v/>
      </c>
      <c r="B3079" s="2" t="str">
        <f t="array" ref="B3079">INDEX(helper!$A$3:$A3996,ROUNDUP((ROW()-1)/COUNTA(helper!$D$3:$D3996),0))</f>
        <v/>
      </c>
      <c r="C3079" s="5" t="str">
        <f t="array" ref="C3079">IF(B3079="","",INDEX(helper!$D$3:$D3996,MOD(ROW()-2,COUNTA(helper!$D$3:$D3996))+1))</f>
        <v/>
      </c>
      <c r="D3079" s="3" t="str">
        <f t="array" ref="D3079">IF(B3079="","",INDEX(helper!$E$3:$E3996,MOD(ROW()-2,COUNTA(helper!$D$3:$D3996))+1))</f>
        <v/>
      </c>
      <c r="E3079" s="3" t="str">
        <f t="array" ref="E3079">IF(B3079="","",INDEX(helper!$F$3:$F3996,MOD(ROW()-2,COUNTA(helper!$D$3:$D3996))+1))</f>
        <v/>
      </c>
      <c r="F3079" s="3" t="str">
        <f>IF(B3079="","",SUMIFS('inventory ledger'!$H:$H,'inventory ledger'!$C:$C,C3079,'inventory ledger'!$D:$D,D3079,'inventory ledger'!$E:$E,E3079,'inventory ledger'!$A:$A,"&lt;="&amp;B3079+TIME(23,59,59))-SUMIFS('inventory ledger'!$I:$I,'inventory ledger'!$C:$C,C3079,'inventory ledger'!$D:$D,D3079,'inventory ledger'!$E:$E,E3079,'inventory ledger'!$A:$A,"&lt;="&amp;B3079+TIME(23,59,59)))</f>
        <v/>
      </c>
      <c r="G3079" s="3">
        <f>IFERROR(__xludf.DUMMYFUNCTION("IF(F3079&lt;=0,0,IFERROR(ROUNDUP(F3079/INDEX(FILTER('warehouse config'!$D:$D,('warehouse config'!$B:$B=C3079)*('warehouse config'!$C:$C=D3079)*('warehouse config'!$G:$G&lt;=B3079)*(('warehouse config'!$H:$H&gt;=B3079)+ISBLANK('warehouse config'!$H:$H))),1)),0))"),0.0)</f>
        <v>0</v>
      </c>
      <c r="H3079" s="3">
        <f>IFERROR(__xludf.DUMMYFUNCTION("IFERROR(INDEX(FILTER('cost master'!$E:$E,('cost master'!$B:$B=C3079)*('cost master'!$D:$D=""Storage cost per pallet / week"")*('cost master'!$G:$G&lt;=B3079)*(('cost master'!$H:$H&gt;=B3079)+ISBLANK('cost master'!$H:$H))),1),0)"),0.0)</f>
        <v>0</v>
      </c>
      <c r="I3079" s="3">
        <f t="shared" si="4"/>
        <v>0</v>
      </c>
      <c r="J3079" s="27">
        <f t="shared" si="5"/>
        <v>693947</v>
      </c>
      <c r="K3079" s="27">
        <f t="shared" si="6"/>
        <v>693977</v>
      </c>
    </row>
    <row r="3080" hidden="1">
      <c r="A3080" s="3" t="str">
        <f t="shared" si="3"/>
        <v/>
      </c>
      <c r="B3080" s="2" t="str">
        <f t="array" ref="B3080">INDEX(helper!$A$3:$A3996,ROUNDUP((ROW()-1)/COUNTA(helper!$D$3:$D3996),0))</f>
        <v/>
      </c>
      <c r="C3080" s="5" t="str">
        <f t="array" ref="C3080">IF(B3080="","",INDEX(helper!$D$3:$D3996,MOD(ROW()-2,COUNTA(helper!$D$3:$D3996))+1))</f>
        <v/>
      </c>
      <c r="D3080" s="3" t="str">
        <f t="array" ref="D3080">IF(B3080="","",INDEX(helper!$E$3:$E3996,MOD(ROW()-2,COUNTA(helper!$D$3:$D3996))+1))</f>
        <v/>
      </c>
      <c r="E3080" s="3" t="str">
        <f t="array" ref="E3080">IF(B3080="","",INDEX(helper!$F$3:$F3996,MOD(ROW()-2,COUNTA(helper!$D$3:$D3996))+1))</f>
        <v/>
      </c>
      <c r="F3080" s="3" t="str">
        <f>IF(B3080="","",SUMIFS('inventory ledger'!$H:$H,'inventory ledger'!$C:$C,C3080,'inventory ledger'!$D:$D,D3080,'inventory ledger'!$E:$E,E3080,'inventory ledger'!$A:$A,"&lt;="&amp;B3080+TIME(23,59,59))-SUMIFS('inventory ledger'!$I:$I,'inventory ledger'!$C:$C,C3080,'inventory ledger'!$D:$D,D3080,'inventory ledger'!$E:$E,E3080,'inventory ledger'!$A:$A,"&lt;="&amp;B3080+TIME(23,59,59)))</f>
        <v/>
      </c>
      <c r="G3080" s="3">
        <f>IFERROR(__xludf.DUMMYFUNCTION("IF(F3080&lt;=0,0,IFERROR(ROUNDUP(F3080/INDEX(FILTER('warehouse config'!$D:$D,('warehouse config'!$B:$B=C3080)*('warehouse config'!$C:$C=D3080)*('warehouse config'!$G:$G&lt;=B3080)*(('warehouse config'!$H:$H&gt;=B3080)+ISBLANK('warehouse config'!$H:$H))),1)),0))"),0.0)</f>
        <v>0</v>
      </c>
      <c r="H3080" s="3">
        <f>IFERROR(__xludf.DUMMYFUNCTION("IFERROR(INDEX(FILTER('cost master'!$E:$E,('cost master'!$B:$B=C3080)*('cost master'!$D:$D=""Storage cost per pallet / week"")*('cost master'!$G:$G&lt;=B3080)*(('cost master'!$H:$H&gt;=B3080)+ISBLANK('cost master'!$H:$H))),1),0)"),0.0)</f>
        <v>0</v>
      </c>
      <c r="I3080" s="3">
        <f t="shared" si="4"/>
        <v>0</v>
      </c>
      <c r="J3080" s="27">
        <f t="shared" si="5"/>
        <v>693947</v>
      </c>
      <c r="K3080" s="27">
        <f t="shared" si="6"/>
        <v>693977</v>
      </c>
    </row>
    <row r="3081" hidden="1">
      <c r="A3081" s="3" t="str">
        <f t="shared" si="3"/>
        <v/>
      </c>
      <c r="B3081" s="2" t="str">
        <f t="array" ref="B3081">INDEX(helper!$A$3:$A3996,ROUNDUP((ROW()-1)/COUNTA(helper!$D$3:$D3996),0))</f>
        <v/>
      </c>
      <c r="C3081" s="5" t="str">
        <f t="array" ref="C3081">IF(B3081="","",INDEX(helper!$D$3:$D3996,MOD(ROW()-2,COUNTA(helper!$D$3:$D3996))+1))</f>
        <v/>
      </c>
      <c r="D3081" s="3" t="str">
        <f t="array" ref="D3081">IF(B3081="","",INDEX(helper!$E$3:$E3996,MOD(ROW()-2,COUNTA(helper!$D$3:$D3996))+1))</f>
        <v/>
      </c>
      <c r="E3081" s="3" t="str">
        <f t="array" ref="E3081">IF(B3081="","",INDEX(helper!$F$3:$F3996,MOD(ROW()-2,COUNTA(helper!$D$3:$D3996))+1))</f>
        <v/>
      </c>
      <c r="F3081" s="3" t="str">
        <f>IF(B3081="","",SUMIFS('inventory ledger'!$H:$H,'inventory ledger'!$C:$C,C3081,'inventory ledger'!$D:$D,D3081,'inventory ledger'!$E:$E,E3081,'inventory ledger'!$A:$A,"&lt;="&amp;B3081+TIME(23,59,59))-SUMIFS('inventory ledger'!$I:$I,'inventory ledger'!$C:$C,C3081,'inventory ledger'!$D:$D,D3081,'inventory ledger'!$E:$E,E3081,'inventory ledger'!$A:$A,"&lt;="&amp;B3081+TIME(23,59,59)))</f>
        <v/>
      </c>
      <c r="G3081" s="3">
        <f>IFERROR(__xludf.DUMMYFUNCTION("IF(F3081&lt;=0,0,IFERROR(ROUNDUP(F3081/INDEX(FILTER('warehouse config'!$D:$D,('warehouse config'!$B:$B=C3081)*('warehouse config'!$C:$C=D3081)*('warehouse config'!$G:$G&lt;=B3081)*(('warehouse config'!$H:$H&gt;=B3081)+ISBLANK('warehouse config'!$H:$H))),1)),0))"),0.0)</f>
        <v>0</v>
      </c>
      <c r="H3081" s="3">
        <f>IFERROR(__xludf.DUMMYFUNCTION("IFERROR(INDEX(FILTER('cost master'!$E:$E,('cost master'!$B:$B=C3081)*('cost master'!$D:$D=""Storage cost per pallet / week"")*('cost master'!$G:$G&lt;=B3081)*(('cost master'!$H:$H&gt;=B3081)+ISBLANK('cost master'!$H:$H))),1),0)"),0.0)</f>
        <v>0</v>
      </c>
      <c r="I3081" s="3">
        <f t="shared" si="4"/>
        <v>0</v>
      </c>
      <c r="J3081" s="27">
        <f t="shared" si="5"/>
        <v>693947</v>
      </c>
      <c r="K3081" s="27">
        <f t="shared" si="6"/>
        <v>693977</v>
      </c>
    </row>
    <row r="3082" hidden="1">
      <c r="A3082" s="3" t="str">
        <f t="shared" si="3"/>
        <v/>
      </c>
      <c r="B3082" s="2" t="str">
        <f t="array" ref="B3082">INDEX(helper!$A$3:$A3996,ROUNDUP((ROW()-1)/COUNTA(helper!$D$3:$D3996),0))</f>
        <v/>
      </c>
      <c r="C3082" s="5" t="str">
        <f t="array" ref="C3082">IF(B3082="","",INDEX(helper!$D$3:$D3996,MOD(ROW()-2,COUNTA(helper!$D$3:$D3996))+1))</f>
        <v/>
      </c>
      <c r="D3082" s="3" t="str">
        <f t="array" ref="D3082">IF(B3082="","",INDEX(helper!$E$3:$E3996,MOD(ROW()-2,COUNTA(helper!$D$3:$D3996))+1))</f>
        <v/>
      </c>
      <c r="E3082" s="3" t="str">
        <f t="array" ref="E3082">IF(B3082="","",INDEX(helper!$F$3:$F3996,MOD(ROW()-2,COUNTA(helper!$D$3:$D3996))+1))</f>
        <v/>
      </c>
      <c r="F3082" s="3" t="str">
        <f>IF(B3082="","",SUMIFS('inventory ledger'!$H:$H,'inventory ledger'!$C:$C,C3082,'inventory ledger'!$D:$D,D3082,'inventory ledger'!$E:$E,E3082,'inventory ledger'!$A:$A,"&lt;="&amp;B3082+TIME(23,59,59))-SUMIFS('inventory ledger'!$I:$I,'inventory ledger'!$C:$C,C3082,'inventory ledger'!$D:$D,D3082,'inventory ledger'!$E:$E,E3082,'inventory ledger'!$A:$A,"&lt;="&amp;B3082+TIME(23,59,59)))</f>
        <v/>
      </c>
      <c r="G3082" s="3">
        <f>IFERROR(__xludf.DUMMYFUNCTION("IF(F3082&lt;=0,0,IFERROR(ROUNDUP(F3082/INDEX(FILTER('warehouse config'!$D:$D,('warehouse config'!$B:$B=C3082)*('warehouse config'!$C:$C=D3082)*('warehouse config'!$G:$G&lt;=B3082)*(('warehouse config'!$H:$H&gt;=B3082)+ISBLANK('warehouse config'!$H:$H))),1)),0))"),0.0)</f>
        <v>0</v>
      </c>
      <c r="H3082" s="3">
        <f>IFERROR(__xludf.DUMMYFUNCTION("IFERROR(INDEX(FILTER('cost master'!$E:$E,('cost master'!$B:$B=C3082)*('cost master'!$D:$D=""Storage cost per pallet / week"")*('cost master'!$G:$G&lt;=B3082)*(('cost master'!$H:$H&gt;=B3082)+ISBLANK('cost master'!$H:$H))),1),0)"),0.0)</f>
        <v>0</v>
      </c>
      <c r="I3082" s="3">
        <f t="shared" si="4"/>
        <v>0</v>
      </c>
      <c r="J3082" s="27">
        <f t="shared" si="5"/>
        <v>693947</v>
      </c>
      <c r="K3082" s="27">
        <f t="shared" si="6"/>
        <v>693977</v>
      </c>
    </row>
    <row r="3083" hidden="1">
      <c r="A3083" s="3" t="str">
        <f t="shared" si="3"/>
        <v/>
      </c>
      <c r="B3083" s="2" t="str">
        <f t="array" ref="B3083">INDEX(helper!$A$3:$A3996,ROUNDUP((ROW()-1)/COUNTA(helper!$D$3:$D3996),0))</f>
        <v/>
      </c>
      <c r="C3083" s="5" t="str">
        <f t="array" ref="C3083">IF(B3083="","",INDEX(helper!$D$3:$D3996,MOD(ROW()-2,COUNTA(helper!$D$3:$D3996))+1))</f>
        <v/>
      </c>
      <c r="D3083" s="3" t="str">
        <f t="array" ref="D3083">IF(B3083="","",INDEX(helper!$E$3:$E3996,MOD(ROW()-2,COUNTA(helper!$D$3:$D3996))+1))</f>
        <v/>
      </c>
      <c r="E3083" s="3" t="str">
        <f t="array" ref="E3083">IF(B3083="","",INDEX(helper!$F$3:$F3996,MOD(ROW()-2,COUNTA(helper!$D$3:$D3996))+1))</f>
        <v/>
      </c>
      <c r="F3083" s="3" t="str">
        <f>IF(B3083="","",SUMIFS('inventory ledger'!$H:$H,'inventory ledger'!$C:$C,C3083,'inventory ledger'!$D:$D,D3083,'inventory ledger'!$E:$E,E3083,'inventory ledger'!$A:$A,"&lt;="&amp;B3083+TIME(23,59,59))-SUMIFS('inventory ledger'!$I:$I,'inventory ledger'!$C:$C,C3083,'inventory ledger'!$D:$D,D3083,'inventory ledger'!$E:$E,E3083,'inventory ledger'!$A:$A,"&lt;="&amp;B3083+TIME(23,59,59)))</f>
        <v/>
      </c>
      <c r="G3083" s="3">
        <f>IFERROR(__xludf.DUMMYFUNCTION("IF(F3083&lt;=0,0,IFERROR(ROUNDUP(F3083/INDEX(FILTER('warehouse config'!$D:$D,('warehouse config'!$B:$B=C3083)*('warehouse config'!$C:$C=D3083)*('warehouse config'!$G:$G&lt;=B3083)*(('warehouse config'!$H:$H&gt;=B3083)+ISBLANK('warehouse config'!$H:$H))),1)),0))"),0.0)</f>
        <v>0</v>
      </c>
      <c r="H3083" s="3">
        <f>IFERROR(__xludf.DUMMYFUNCTION("IFERROR(INDEX(FILTER('cost master'!$E:$E,('cost master'!$B:$B=C3083)*('cost master'!$D:$D=""Storage cost per pallet / week"")*('cost master'!$G:$G&lt;=B3083)*(('cost master'!$H:$H&gt;=B3083)+ISBLANK('cost master'!$H:$H))),1),0)"),0.0)</f>
        <v>0</v>
      </c>
      <c r="I3083" s="3">
        <f t="shared" si="4"/>
        <v>0</v>
      </c>
      <c r="J3083" s="27">
        <f t="shared" si="5"/>
        <v>693947</v>
      </c>
      <c r="K3083" s="27">
        <f t="shared" si="6"/>
        <v>693977</v>
      </c>
    </row>
    <row r="3084" hidden="1">
      <c r="A3084" s="3" t="str">
        <f t="shared" si="3"/>
        <v/>
      </c>
      <c r="B3084" s="2" t="str">
        <f t="array" ref="B3084">INDEX(helper!$A$3:$A3996,ROUNDUP((ROW()-1)/COUNTA(helper!$D$3:$D3996),0))</f>
        <v/>
      </c>
      <c r="C3084" s="5" t="str">
        <f t="array" ref="C3084">IF(B3084="","",INDEX(helper!$D$3:$D3996,MOD(ROW()-2,COUNTA(helper!$D$3:$D3996))+1))</f>
        <v/>
      </c>
      <c r="D3084" s="3" t="str">
        <f t="array" ref="D3084">IF(B3084="","",INDEX(helper!$E$3:$E3996,MOD(ROW()-2,COUNTA(helper!$D$3:$D3996))+1))</f>
        <v/>
      </c>
      <c r="E3084" s="3" t="str">
        <f t="array" ref="E3084">IF(B3084="","",INDEX(helper!$F$3:$F3996,MOD(ROW()-2,COUNTA(helper!$D$3:$D3996))+1))</f>
        <v/>
      </c>
      <c r="F3084" s="3" t="str">
        <f>IF(B3084="","",SUMIFS('inventory ledger'!$H:$H,'inventory ledger'!$C:$C,C3084,'inventory ledger'!$D:$D,D3084,'inventory ledger'!$E:$E,E3084,'inventory ledger'!$A:$A,"&lt;="&amp;B3084+TIME(23,59,59))-SUMIFS('inventory ledger'!$I:$I,'inventory ledger'!$C:$C,C3084,'inventory ledger'!$D:$D,D3084,'inventory ledger'!$E:$E,E3084,'inventory ledger'!$A:$A,"&lt;="&amp;B3084+TIME(23,59,59)))</f>
        <v/>
      </c>
      <c r="G3084" s="3">
        <f>IFERROR(__xludf.DUMMYFUNCTION("IF(F3084&lt;=0,0,IFERROR(ROUNDUP(F3084/INDEX(FILTER('warehouse config'!$D:$D,('warehouse config'!$B:$B=C3084)*('warehouse config'!$C:$C=D3084)*('warehouse config'!$G:$G&lt;=B3084)*(('warehouse config'!$H:$H&gt;=B3084)+ISBLANK('warehouse config'!$H:$H))),1)),0))"),0.0)</f>
        <v>0</v>
      </c>
      <c r="H3084" s="3">
        <f>IFERROR(__xludf.DUMMYFUNCTION("IFERROR(INDEX(FILTER('cost master'!$E:$E,('cost master'!$B:$B=C3084)*('cost master'!$D:$D=""Storage cost per pallet / week"")*('cost master'!$G:$G&lt;=B3084)*(('cost master'!$H:$H&gt;=B3084)+ISBLANK('cost master'!$H:$H))),1),0)"),0.0)</f>
        <v>0</v>
      </c>
      <c r="I3084" s="3">
        <f t="shared" si="4"/>
        <v>0</v>
      </c>
      <c r="J3084" s="27">
        <f t="shared" si="5"/>
        <v>693947</v>
      </c>
      <c r="K3084" s="27">
        <f t="shared" si="6"/>
        <v>693977</v>
      </c>
    </row>
    <row r="3085" hidden="1">
      <c r="A3085" s="3" t="str">
        <f t="shared" si="3"/>
        <v/>
      </c>
      <c r="B3085" s="2" t="str">
        <f t="array" ref="B3085">INDEX(helper!$A$3:$A3996,ROUNDUP((ROW()-1)/COUNTA(helper!$D$3:$D3996),0))</f>
        <v/>
      </c>
      <c r="C3085" s="5" t="str">
        <f t="array" ref="C3085">IF(B3085="","",INDEX(helper!$D$3:$D3996,MOD(ROW()-2,COUNTA(helper!$D$3:$D3996))+1))</f>
        <v/>
      </c>
      <c r="D3085" s="3" t="str">
        <f t="array" ref="D3085">IF(B3085="","",INDEX(helper!$E$3:$E3996,MOD(ROW()-2,COUNTA(helper!$D$3:$D3996))+1))</f>
        <v/>
      </c>
      <c r="E3085" s="3" t="str">
        <f t="array" ref="E3085">IF(B3085="","",INDEX(helper!$F$3:$F3996,MOD(ROW()-2,COUNTA(helper!$D$3:$D3996))+1))</f>
        <v/>
      </c>
      <c r="F3085" s="3" t="str">
        <f>IF(B3085="","",SUMIFS('inventory ledger'!$H:$H,'inventory ledger'!$C:$C,C3085,'inventory ledger'!$D:$D,D3085,'inventory ledger'!$E:$E,E3085,'inventory ledger'!$A:$A,"&lt;="&amp;B3085+TIME(23,59,59))-SUMIFS('inventory ledger'!$I:$I,'inventory ledger'!$C:$C,C3085,'inventory ledger'!$D:$D,D3085,'inventory ledger'!$E:$E,E3085,'inventory ledger'!$A:$A,"&lt;="&amp;B3085+TIME(23,59,59)))</f>
        <v/>
      </c>
      <c r="G3085" s="3">
        <f>IFERROR(__xludf.DUMMYFUNCTION("IF(F3085&lt;=0,0,IFERROR(ROUNDUP(F3085/INDEX(FILTER('warehouse config'!$D:$D,('warehouse config'!$B:$B=C3085)*('warehouse config'!$C:$C=D3085)*('warehouse config'!$G:$G&lt;=B3085)*(('warehouse config'!$H:$H&gt;=B3085)+ISBLANK('warehouse config'!$H:$H))),1)),0))"),0.0)</f>
        <v>0</v>
      </c>
      <c r="H3085" s="3">
        <f>IFERROR(__xludf.DUMMYFUNCTION("IFERROR(INDEX(FILTER('cost master'!$E:$E,('cost master'!$B:$B=C3085)*('cost master'!$D:$D=""Storage cost per pallet / week"")*('cost master'!$G:$G&lt;=B3085)*(('cost master'!$H:$H&gt;=B3085)+ISBLANK('cost master'!$H:$H))),1),0)"),0.0)</f>
        <v>0</v>
      </c>
      <c r="I3085" s="3">
        <f t="shared" si="4"/>
        <v>0</v>
      </c>
      <c r="J3085" s="27">
        <f t="shared" si="5"/>
        <v>693947</v>
      </c>
      <c r="K3085" s="27">
        <f t="shared" si="6"/>
        <v>693977</v>
      </c>
    </row>
    <row r="3086" hidden="1">
      <c r="A3086" s="3" t="str">
        <f t="shared" si="3"/>
        <v/>
      </c>
      <c r="B3086" s="2" t="str">
        <f t="array" ref="B3086">INDEX(helper!$A$3:$A3996,ROUNDUP((ROW()-1)/COUNTA(helper!$D$3:$D3996),0))</f>
        <v/>
      </c>
      <c r="C3086" s="5" t="str">
        <f t="array" ref="C3086">IF(B3086="","",INDEX(helper!$D$3:$D3996,MOD(ROW()-2,COUNTA(helper!$D$3:$D3996))+1))</f>
        <v/>
      </c>
      <c r="D3086" s="3" t="str">
        <f t="array" ref="D3086">IF(B3086="","",INDEX(helper!$E$3:$E3996,MOD(ROW()-2,COUNTA(helper!$D$3:$D3996))+1))</f>
        <v/>
      </c>
      <c r="E3086" s="3" t="str">
        <f t="array" ref="E3086">IF(B3086="","",INDEX(helper!$F$3:$F3996,MOD(ROW()-2,COUNTA(helper!$D$3:$D3996))+1))</f>
        <v/>
      </c>
      <c r="F3086" s="3" t="str">
        <f>IF(B3086="","",SUMIFS('inventory ledger'!$H:$H,'inventory ledger'!$C:$C,C3086,'inventory ledger'!$D:$D,D3086,'inventory ledger'!$E:$E,E3086,'inventory ledger'!$A:$A,"&lt;="&amp;B3086+TIME(23,59,59))-SUMIFS('inventory ledger'!$I:$I,'inventory ledger'!$C:$C,C3086,'inventory ledger'!$D:$D,D3086,'inventory ledger'!$E:$E,E3086,'inventory ledger'!$A:$A,"&lt;="&amp;B3086+TIME(23,59,59)))</f>
        <v/>
      </c>
      <c r="G3086" s="3">
        <f>IFERROR(__xludf.DUMMYFUNCTION("IF(F3086&lt;=0,0,IFERROR(ROUNDUP(F3086/INDEX(FILTER('warehouse config'!$D:$D,('warehouse config'!$B:$B=C3086)*('warehouse config'!$C:$C=D3086)*('warehouse config'!$G:$G&lt;=B3086)*(('warehouse config'!$H:$H&gt;=B3086)+ISBLANK('warehouse config'!$H:$H))),1)),0))"),0.0)</f>
        <v>0</v>
      </c>
      <c r="H3086" s="3">
        <f>IFERROR(__xludf.DUMMYFUNCTION("IFERROR(INDEX(FILTER('cost master'!$E:$E,('cost master'!$B:$B=C3086)*('cost master'!$D:$D=""Storage cost per pallet / week"")*('cost master'!$G:$G&lt;=B3086)*(('cost master'!$H:$H&gt;=B3086)+ISBLANK('cost master'!$H:$H))),1),0)"),0.0)</f>
        <v>0</v>
      </c>
      <c r="I3086" s="3">
        <f t="shared" si="4"/>
        <v>0</v>
      </c>
      <c r="J3086" s="27">
        <f t="shared" si="5"/>
        <v>693947</v>
      </c>
      <c r="K3086" s="27">
        <f t="shared" si="6"/>
        <v>693977</v>
      </c>
    </row>
    <row r="3087" hidden="1">
      <c r="A3087" s="3" t="str">
        <f t="shared" si="3"/>
        <v/>
      </c>
      <c r="B3087" s="2" t="str">
        <f t="array" ref="B3087">INDEX(helper!$A$3:$A3996,ROUNDUP((ROW()-1)/COUNTA(helper!$D$3:$D3996),0))</f>
        <v/>
      </c>
      <c r="C3087" s="5" t="str">
        <f t="array" ref="C3087">IF(B3087="","",INDEX(helper!$D$3:$D3996,MOD(ROW()-2,COUNTA(helper!$D$3:$D3996))+1))</f>
        <v/>
      </c>
      <c r="D3087" s="3" t="str">
        <f t="array" ref="D3087">IF(B3087="","",INDEX(helper!$E$3:$E3996,MOD(ROW()-2,COUNTA(helper!$D$3:$D3996))+1))</f>
        <v/>
      </c>
      <c r="E3087" s="3" t="str">
        <f t="array" ref="E3087">IF(B3087="","",INDEX(helper!$F$3:$F3996,MOD(ROW()-2,COUNTA(helper!$D$3:$D3996))+1))</f>
        <v/>
      </c>
      <c r="F3087" s="3" t="str">
        <f>IF(B3087="","",SUMIFS('inventory ledger'!$H:$H,'inventory ledger'!$C:$C,C3087,'inventory ledger'!$D:$D,D3087,'inventory ledger'!$E:$E,E3087,'inventory ledger'!$A:$A,"&lt;="&amp;B3087+TIME(23,59,59))-SUMIFS('inventory ledger'!$I:$I,'inventory ledger'!$C:$C,C3087,'inventory ledger'!$D:$D,D3087,'inventory ledger'!$E:$E,E3087,'inventory ledger'!$A:$A,"&lt;="&amp;B3087+TIME(23,59,59)))</f>
        <v/>
      </c>
      <c r="G3087" s="3">
        <f>IFERROR(__xludf.DUMMYFUNCTION("IF(F3087&lt;=0,0,IFERROR(ROUNDUP(F3087/INDEX(FILTER('warehouse config'!$D:$D,('warehouse config'!$B:$B=C3087)*('warehouse config'!$C:$C=D3087)*('warehouse config'!$G:$G&lt;=B3087)*(('warehouse config'!$H:$H&gt;=B3087)+ISBLANK('warehouse config'!$H:$H))),1)),0))"),0.0)</f>
        <v>0</v>
      </c>
      <c r="H3087" s="3">
        <f>IFERROR(__xludf.DUMMYFUNCTION("IFERROR(INDEX(FILTER('cost master'!$E:$E,('cost master'!$B:$B=C3087)*('cost master'!$D:$D=""Storage cost per pallet / week"")*('cost master'!$G:$G&lt;=B3087)*(('cost master'!$H:$H&gt;=B3087)+ISBLANK('cost master'!$H:$H))),1),0)"),0.0)</f>
        <v>0</v>
      </c>
      <c r="I3087" s="3">
        <f t="shared" si="4"/>
        <v>0</v>
      </c>
      <c r="J3087" s="27">
        <f t="shared" si="5"/>
        <v>693947</v>
      </c>
      <c r="K3087" s="27">
        <f t="shared" si="6"/>
        <v>693977</v>
      </c>
    </row>
    <row r="3088" hidden="1">
      <c r="A3088" s="3" t="str">
        <f t="shared" si="3"/>
        <v/>
      </c>
      <c r="B3088" s="2" t="str">
        <f t="array" ref="B3088">INDEX(helper!$A$3:$A3996,ROUNDUP((ROW()-1)/COUNTA(helper!$D$3:$D3996),0))</f>
        <v/>
      </c>
      <c r="C3088" s="5" t="str">
        <f t="array" ref="C3088">IF(B3088="","",INDEX(helper!$D$3:$D3996,MOD(ROW()-2,COUNTA(helper!$D$3:$D3996))+1))</f>
        <v/>
      </c>
      <c r="D3088" s="3" t="str">
        <f t="array" ref="D3088">IF(B3088="","",INDEX(helper!$E$3:$E3996,MOD(ROW()-2,COUNTA(helper!$D$3:$D3996))+1))</f>
        <v/>
      </c>
      <c r="E3088" s="3" t="str">
        <f t="array" ref="E3088">IF(B3088="","",INDEX(helper!$F$3:$F3996,MOD(ROW()-2,COUNTA(helper!$D$3:$D3996))+1))</f>
        <v/>
      </c>
      <c r="F3088" s="3" t="str">
        <f>IF(B3088="","",SUMIFS('inventory ledger'!$H:$H,'inventory ledger'!$C:$C,C3088,'inventory ledger'!$D:$D,D3088,'inventory ledger'!$E:$E,E3088,'inventory ledger'!$A:$A,"&lt;="&amp;B3088+TIME(23,59,59))-SUMIFS('inventory ledger'!$I:$I,'inventory ledger'!$C:$C,C3088,'inventory ledger'!$D:$D,D3088,'inventory ledger'!$E:$E,E3088,'inventory ledger'!$A:$A,"&lt;="&amp;B3088+TIME(23,59,59)))</f>
        <v/>
      </c>
      <c r="G3088" s="3">
        <f>IFERROR(__xludf.DUMMYFUNCTION("IF(F3088&lt;=0,0,IFERROR(ROUNDUP(F3088/INDEX(FILTER('warehouse config'!$D:$D,('warehouse config'!$B:$B=C3088)*('warehouse config'!$C:$C=D3088)*('warehouse config'!$G:$G&lt;=B3088)*(('warehouse config'!$H:$H&gt;=B3088)+ISBLANK('warehouse config'!$H:$H))),1)),0))"),0.0)</f>
        <v>0</v>
      </c>
      <c r="H3088" s="3">
        <f>IFERROR(__xludf.DUMMYFUNCTION("IFERROR(INDEX(FILTER('cost master'!$E:$E,('cost master'!$B:$B=C3088)*('cost master'!$D:$D=""Storage cost per pallet / week"")*('cost master'!$G:$G&lt;=B3088)*(('cost master'!$H:$H&gt;=B3088)+ISBLANK('cost master'!$H:$H))),1),0)"),0.0)</f>
        <v>0</v>
      </c>
      <c r="I3088" s="3">
        <f t="shared" si="4"/>
        <v>0</v>
      </c>
      <c r="J3088" s="27">
        <f t="shared" si="5"/>
        <v>693947</v>
      </c>
      <c r="K3088" s="27">
        <f t="shared" si="6"/>
        <v>693977</v>
      </c>
    </row>
    <row r="3089" hidden="1">
      <c r="A3089" s="3" t="str">
        <f t="shared" si="3"/>
        <v/>
      </c>
      <c r="B3089" s="2" t="str">
        <f t="array" ref="B3089">INDEX(helper!$A$3:$A3996,ROUNDUP((ROW()-1)/COUNTA(helper!$D$3:$D3996),0))</f>
        <v/>
      </c>
      <c r="C3089" s="5" t="str">
        <f t="array" ref="C3089">IF(B3089="","",INDEX(helper!$D$3:$D3996,MOD(ROW()-2,COUNTA(helper!$D$3:$D3996))+1))</f>
        <v/>
      </c>
      <c r="D3089" s="3" t="str">
        <f t="array" ref="D3089">IF(B3089="","",INDEX(helper!$E$3:$E3996,MOD(ROW()-2,COUNTA(helper!$D$3:$D3996))+1))</f>
        <v/>
      </c>
      <c r="E3089" s="3" t="str">
        <f t="array" ref="E3089">IF(B3089="","",INDEX(helper!$F$3:$F3996,MOD(ROW()-2,COUNTA(helper!$D$3:$D3996))+1))</f>
        <v/>
      </c>
      <c r="F3089" s="3" t="str">
        <f>IF(B3089="","",SUMIFS('inventory ledger'!$H:$H,'inventory ledger'!$C:$C,C3089,'inventory ledger'!$D:$D,D3089,'inventory ledger'!$E:$E,E3089,'inventory ledger'!$A:$A,"&lt;="&amp;B3089+TIME(23,59,59))-SUMIFS('inventory ledger'!$I:$I,'inventory ledger'!$C:$C,C3089,'inventory ledger'!$D:$D,D3089,'inventory ledger'!$E:$E,E3089,'inventory ledger'!$A:$A,"&lt;="&amp;B3089+TIME(23,59,59)))</f>
        <v/>
      </c>
      <c r="G3089" s="3">
        <f>IFERROR(__xludf.DUMMYFUNCTION("IF(F3089&lt;=0,0,IFERROR(ROUNDUP(F3089/INDEX(FILTER('warehouse config'!$D:$D,('warehouse config'!$B:$B=C3089)*('warehouse config'!$C:$C=D3089)*('warehouse config'!$G:$G&lt;=B3089)*(('warehouse config'!$H:$H&gt;=B3089)+ISBLANK('warehouse config'!$H:$H))),1)),0))"),0.0)</f>
        <v>0</v>
      </c>
      <c r="H3089" s="3">
        <f>IFERROR(__xludf.DUMMYFUNCTION("IFERROR(INDEX(FILTER('cost master'!$E:$E,('cost master'!$B:$B=C3089)*('cost master'!$D:$D=""Storage cost per pallet / week"")*('cost master'!$G:$G&lt;=B3089)*(('cost master'!$H:$H&gt;=B3089)+ISBLANK('cost master'!$H:$H))),1),0)"),0.0)</f>
        <v>0</v>
      </c>
      <c r="I3089" s="3">
        <f t="shared" si="4"/>
        <v>0</v>
      </c>
      <c r="J3089" s="27">
        <f t="shared" si="5"/>
        <v>693947</v>
      </c>
      <c r="K3089" s="27">
        <f t="shared" si="6"/>
        <v>693977</v>
      </c>
    </row>
    <row r="3090" hidden="1">
      <c r="A3090" s="3" t="str">
        <f t="shared" si="3"/>
        <v/>
      </c>
      <c r="B3090" s="2" t="str">
        <f t="array" ref="B3090">INDEX(helper!$A$3:$A3996,ROUNDUP((ROW()-1)/COUNTA(helper!$D$3:$D3996),0))</f>
        <v/>
      </c>
      <c r="C3090" s="5" t="str">
        <f t="array" ref="C3090">IF(B3090="","",INDEX(helper!$D$3:$D3996,MOD(ROW()-2,COUNTA(helper!$D$3:$D3996))+1))</f>
        <v/>
      </c>
      <c r="D3090" s="3" t="str">
        <f t="array" ref="D3090">IF(B3090="","",INDEX(helper!$E$3:$E3996,MOD(ROW()-2,COUNTA(helper!$D$3:$D3996))+1))</f>
        <v/>
      </c>
      <c r="E3090" s="3" t="str">
        <f t="array" ref="E3090">IF(B3090="","",INDEX(helper!$F$3:$F3996,MOD(ROW()-2,COUNTA(helper!$D$3:$D3996))+1))</f>
        <v/>
      </c>
      <c r="F3090" s="3" t="str">
        <f>IF(B3090="","",SUMIFS('inventory ledger'!$H:$H,'inventory ledger'!$C:$C,C3090,'inventory ledger'!$D:$D,D3090,'inventory ledger'!$E:$E,E3090,'inventory ledger'!$A:$A,"&lt;="&amp;B3090+TIME(23,59,59))-SUMIFS('inventory ledger'!$I:$I,'inventory ledger'!$C:$C,C3090,'inventory ledger'!$D:$D,D3090,'inventory ledger'!$E:$E,E3090,'inventory ledger'!$A:$A,"&lt;="&amp;B3090+TIME(23,59,59)))</f>
        <v/>
      </c>
      <c r="G3090" s="3">
        <f>IFERROR(__xludf.DUMMYFUNCTION("IF(F3090&lt;=0,0,IFERROR(ROUNDUP(F3090/INDEX(FILTER('warehouse config'!$D:$D,('warehouse config'!$B:$B=C3090)*('warehouse config'!$C:$C=D3090)*('warehouse config'!$G:$G&lt;=B3090)*(('warehouse config'!$H:$H&gt;=B3090)+ISBLANK('warehouse config'!$H:$H))),1)),0))"),0.0)</f>
        <v>0</v>
      </c>
      <c r="H3090" s="3">
        <f>IFERROR(__xludf.DUMMYFUNCTION("IFERROR(INDEX(FILTER('cost master'!$E:$E,('cost master'!$B:$B=C3090)*('cost master'!$D:$D=""Storage cost per pallet / week"")*('cost master'!$G:$G&lt;=B3090)*(('cost master'!$H:$H&gt;=B3090)+ISBLANK('cost master'!$H:$H))),1),0)"),0.0)</f>
        <v>0</v>
      </c>
      <c r="I3090" s="3">
        <f t="shared" si="4"/>
        <v>0</v>
      </c>
      <c r="J3090" s="27">
        <f t="shared" si="5"/>
        <v>693947</v>
      </c>
      <c r="K3090" s="27">
        <f t="shared" si="6"/>
        <v>693977</v>
      </c>
    </row>
    <row r="3091" hidden="1">
      <c r="A3091" s="3" t="str">
        <f t="shared" si="3"/>
        <v/>
      </c>
      <c r="B3091" s="2" t="str">
        <f t="array" ref="B3091">INDEX(helper!$A$3:$A3996,ROUNDUP((ROW()-1)/COUNTA(helper!$D$3:$D3996),0))</f>
        <v/>
      </c>
      <c r="C3091" s="5" t="str">
        <f t="array" ref="C3091">IF(B3091="","",INDEX(helper!$D$3:$D3996,MOD(ROW()-2,COUNTA(helper!$D$3:$D3996))+1))</f>
        <v/>
      </c>
      <c r="D3091" s="3" t="str">
        <f t="array" ref="D3091">IF(B3091="","",INDEX(helper!$E$3:$E3996,MOD(ROW()-2,COUNTA(helper!$D$3:$D3996))+1))</f>
        <v/>
      </c>
      <c r="E3091" s="3" t="str">
        <f t="array" ref="E3091">IF(B3091="","",INDEX(helper!$F$3:$F3996,MOD(ROW()-2,COUNTA(helper!$D$3:$D3996))+1))</f>
        <v/>
      </c>
      <c r="F3091" s="3" t="str">
        <f>IF(B3091="","",SUMIFS('inventory ledger'!$H:$H,'inventory ledger'!$C:$C,C3091,'inventory ledger'!$D:$D,D3091,'inventory ledger'!$E:$E,E3091,'inventory ledger'!$A:$A,"&lt;="&amp;B3091+TIME(23,59,59))-SUMIFS('inventory ledger'!$I:$I,'inventory ledger'!$C:$C,C3091,'inventory ledger'!$D:$D,D3091,'inventory ledger'!$E:$E,E3091,'inventory ledger'!$A:$A,"&lt;="&amp;B3091+TIME(23,59,59)))</f>
        <v/>
      </c>
      <c r="G3091" s="3">
        <f>IFERROR(__xludf.DUMMYFUNCTION("IF(F3091&lt;=0,0,IFERROR(ROUNDUP(F3091/INDEX(FILTER('warehouse config'!$D:$D,('warehouse config'!$B:$B=C3091)*('warehouse config'!$C:$C=D3091)*('warehouse config'!$G:$G&lt;=B3091)*(('warehouse config'!$H:$H&gt;=B3091)+ISBLANK('warehouse config'!$H:$H))),1)),0))"),0.0)</f>
        <v>0</v>
      </c>
      <c r="H3091" s="3">
        <f>IFERROR(__xludf.DUMMYFUNCTION("IFERROR(INDEX(FILTER('cost master'!$E:$E,('cost master'!$B:$B=C3091)*('cost master'!$D:$D=""Storage cost per pallet / week"")*('cost master'!$G:$G&lt;=B3091)*(('cost master'!$H:$H&gt;=B3091)+ISBLANK('cost master'!$H:$H))),1),0)"),0.0)</f>
        <v>0</v>
      </c>
      <c r="I3091" s="3">
        <f t="shared" si="4"/>
        <v>0</v>
      </c>
      <c r="J3091" s="27">
        <f t="shared" si="5"/>
        <v>693947</v>
      </c>
      <c r="K3091" s="27">
        <f t="shared" si="6"/>
        <v>693977</v>
      </c>
    </row>
    <row r="3092" hidden="1">
      <c r="A3092" s="3" t="str">
        <f t="shared" si="3"/>
        <v/>
      </c>
      <c r="B3092" s="2" t="str">
        <f t="array" ref="B3092">INDEX(helper!$A$3:$A3996,ROUNDUP((ROW()-1)/COUNTA(helper!$D$3:$D3996),0))</f>
        <v/>
      </c>
      <c r="C3092" s="5" t="str">
        <f t="array" ref="C3092">IF(B3092="","",INDEX(helper!$D$3:$D3996,MOD(ROW()-2,COUNTA(helper!$D$3:$D3996))+1))</f>
        <v/>
      </c>
      <c r="D3092" s="3" t="str">
        <f t="array" ref="D3092">IF(B3092="","",INDEX(helper!$E$3:$E3996,MOD(ROW()-2,COUNTA(helper!$D$3:$D3996))+1))</f>
        <v/>
      </c>
      <c r="E3092" s="3" t="str">
        <f t="array" ref="E3092">IF(B3092="","",INDEX(helper!$F$3:$F3996,MOD(ROW()-2,COUNTA(helper!$D$3:$D3996))+1))</f>
        <v/>
      </c>
      <c r="F3092" s="3" t="str">
        <f>IF(B3092="","",SUMIFS('inventory ledger'!$H:$H,'inventory ledger'!$C:$C,C3092,'inventory ledger'!$D:$D,D3092,'inventory ledger'!$E:$E,E3092,'inventory ledger'!$A:$A,"&lt;="&amp;B3092+TIME(23,59,59))-SUMIFS('inventory ledger'!$I:$I,'inventory ledger'!$C:$C,C3092,'inventory ledger'!$D:$D,D3092,'inventory ledger'!$E:$E,E3092,'inventory ledger'!$A:$A,"&lt;="&amp;B3092+TIME(23,59,59)))</f>
        <v/>
      </c>
      <c r="G3092" s="3">
        <f>IFERROR(__xludf.DUMMYFUNCTION("IF(F3092&lt;=0,0,IFERROR(ROUNDUP(F3092/INDEX(FILTER('warehouse config'!$D:$D,('warehouse config'!$B:$B=C3092)*('warehouse config'!$C:$C=D3092)*('warehouse config'!$G:$G&lt;=B3092)*(('warehouse config'!$H:$H&gt;=B3092)+ISBLANK('warehouse config'!$H:$H))),1)),0))"),0.0)</f>
        <v>0</v>
      </c>
      <c r="H3092" s="3">
        <f>IFERROR(__xludf.DUMMYFUNCTION("IFERROR(INDEX(FILTER('cost master'!$E:$E,('cost master'!$B:$B=C3092)*('cost master'!$D:$D=""Storage cost per pallet / week"")*('cost master'!$G:$G&lt;=B3092)*(('cost master'!$H:$H&gt;=B3092)+ISBLANK('cost master'!$H:$H))),1),0)"),0.0)</f>
        <v>0</v>
      </c>
      <c r="I3092" s="3">
        <f t="shared" si="4"/>
        <v>0</v>
      </c>
      <c r="J3092" s="27">
        <f t="shared" si="5"/>
        <v>693947</v>
      </c>
      <c r="K3092" s="27">
        <f t="shared" si="6"/>
        <v>693977</v>
      </c>
    </row>
    <row r="3093" hidden="1">
      <c r="A3093" s="3" t="str">
        <f t="shared" si="3"/>
        <v/>
      </c>
      <c r="B3093" s="2" t="str">
        <f t="array" ref="B3093">INDEX(helper!$A$3:$A3996,ROUNDUP((ROW()-1)/COUNTA(helper!$D$3:$D3996),0))</f>
        <v/>
      </c>
      <c r="C3093" s="5" t="str">
        <f t="array" ref="C3093">IF(B3093="","",INDEX(helper!$D$3:$D3996,MOD(ROW()-2,COUNTA(helper!$D$3:$D3996))+1))</f>
        <v/>
      </c>
      <c r="D3093" s="3" t="str">
        <f t="array" ref="D3093">IF(B3093="","",INDEX(helper!$E$3:$E3996,MOD(ROW()-2,COUNTA(helper!$D$3:$D3996))+1))</f>
        <v/>
      </c>
      <c r="E3093" s="3" t="str">
        <f t="array" ref="E3093">IF(B3093="","",INDEX(helper!$F$3:$F3996,MOD(ROW()-2,COUNTA(helper!$D$3:$D3996))+1))</f>
        <v/>
      </c>
      <c r="F3093" s="3" t="str">
        <f>IF(B3093="","",SUMIFS('inventory ledger'!$H:$H,'inventory ledger'!$C:$C,C3093,'inventory ledger'!$D:$D,D3093,'inventory ledger'!$E:$E,E3093,'inventory ledger'!$A:$A,"&lt;="&amp;B3093+TIME(23,59,59))-SUMIFS('inventory ledger'!$I:$I,'inventory ledger'!$C:$C,C3093,'inventory ledger'!$D:$D,D3093,'inventory ledger'!$E:$E,E3093,'inventory ledger'!$A:$A,"&lt;="&amp;B3093+TIME(23,59,59)))</f>
        <v/>
      </c>
      <c r="G3093" s="3">
        <f>IFERROR(__xludf.DUMMYFUNCTION("IF(F3093&lt;=0,0,IFERROR(ROUNDUP(F3093/INDEX(FILTER('warehouse config'!$D:$D,('warehouse config'!$B:$B=C3093)*('warehouse config'!$C:$C=D3093)*('warehouse config'!$G:$G&lt;=B3093)*(('warehouse config'!$H:$H&gt;=B3093)+ISBLANK('warehouse config'!$H:$H))),1)),0))"),0.0)</f>
        <v>0</v>
      </c>
      <c r="H3093" s="3">
        <f>IFERROR(__xludf.DUMMYFUNCTION("IFERROR(INDEX(FILTER('cost master'!$E:$E,('cost master'!$B:$B=C3093)*('cost master'!$D:$D=""Storage cost per pallet / week"")*('cost master'!$G:$G&lt;=B3093)*(('cost master'!$H:$H&gt;=B3093)+ISBLANK('cost master'!$H:$H))),1),0)"),0.0)</f>
        <v>0</v>
      </c>
      <c r="I3093" s="3">
        <f t="shared" si="4"/>
        <v>0</v>
      </c>
      <c r="J3093" s="27">
        <f t="shared" si="5"/>
        <v>693947</v>
      </c>
      <c r="K3093" s="27">
        <f t="shared" si="6"/>
        <v>693977</v>
      </c>
    </row>
    <row r="3094" hidden="1">
      <c r="A3094" s="3" t="str">
        <f t="shared" si="3"/>
        <v/>
      </c>
      <c r="B3094" s="2" t="str">
        <f t="array" ref="B3094">INDEX(helper!$A$3:$A3996,ROUNDUP((ROW()-1)/COUNTA(helper!$D$3:$D3996),0))</f>
        <v/>
      </c>
      <c r="C3094" s="5" t="str">
        <f t="array" ref="C3094">IF(B3094="","",INDEX(helper!$D$3:$D3996,MOD(ROW()-2,COUNTA(helper!$D$3:$D3996))+1))</f>
        <v/>
      </c>
      <c r="D3094" s="3" t="str">
        <f t="array" ref="D3094">IF(B3094="","",INDEX(helper!$E$3:$E3996,MOD(ROW()-2,COUNTA(helper!$D$3:$D3996))+1))</f>
        <v/>
      </c>
      <c r="E3094" s="3" t="str">
        <f t="array" ref="E3094">IF(B3094="","",INDEX(helper!$F$3:$F3996,MOD(ROW()-2,COUNTA(helper!$D$3:$D3996))+1))</f>
        <v/>
      </c>
      <c r="F3094" s="3" t="str">
        <f>IF(B3094="","",SUMIFS('inventory ledger'!$H:$H,'inventory ledger'!$C:$C,C3094,'inventory ledger'!$D:$D,D3094,'inventory ledger'!$E:$E,E3094,'inventory ledger'!$A:$A,"&lt;="&amp;B3094+TIME(23,59,59))-SUMIFS('inventory ledger'!$I:$I,'inventory ledger'!$C:$C,C3094,'inventory ledger'!$D:$D,D3094,'inventory ledger'!$E:$E,E3094,'inventory ledger'!$A:$A,"&lt;="&amp;B3094+TIME(23,59,59)))</f>
        <v/>
      </c>
      <c r="G3094" s="3">
        <f>IFERROR(__xludf.DUMMYFUNCTION("IF(F3094&lt;=0,0,IFERROR(ROUNDUP(F3094/INDEX(FILTER('warehouse config'!$D:$D,('warehouse config'!$B:$B=C3094)*('warehouse config'!$C:$C=D3094)*('warehouse config'!$G:$G&lt;=B3094)*(('warehouse config'!$H:$H&gt;=B3094)+ISBLANK('warehouse config'!$H:$H))),1)),0))"),0.0)</f>
        <v>0</v>
      </c>
      <c r="H3094" s="3">
        <f>IFERROR(__xludf.DUMMYFUNCTION("IFERROR(INDEX(FILTER('cost master'!$E:$E,('cost master'!$B:$B=C3094)*('cost master'!$D:$D=""Storage cost per pallet / week"")*('cost master'!$G:$G&lt;=B3094)*(('cost master'!$H:$H&gt;=B3094)+ISBLANK('cost master'!$H:$H))),1),0)"),0.0)</f>
        <v>0</v>
      </c>
      <c r="I3094" s="3">
        <f t="shared" si="4"/>
        <v>0</v>
      </c>
      <c r="J3094" s="27">
        <f t="shared" si="5"/>
        <v>693947</v>
      </c>
      <c r="K3094" s="27">
        <f t="shared" si="6"/>
        <v>693977</v>
      </c>
    </row>
    <row r="3095" hidden="1">
      <c r="A3095" s="3" t="str">
        <f t="shared" si="3"/>
        <v/>
      </c>
      <c r="B3095" s="2" t="str">
        <f t="array" ref="B3095">INDEX(helper!$A$3:$A3996,ROUNDUP((ROW()-1)/COUNTA(helper!$D$3:$D3996),0))</f>
        <v/>
      </c>
      <c r="C3095" s="5" t="str">
        <f t="array" ref="C3095">IF(B3095="","",INDEX(helper!$D$3:$D3996,MOD(ROW()-2,COUNTA(helper!$D$3:$D3996))+1))</f>
        <v/>
      </c>
      <c r="D3095" s="3" t="str">
        <f t="array" ref="D3095">IF(B3095="","",INDEX(helper!$E$3:$E3996,MOD(ROW()-2,COUNTA(helper!$D$3:$D3996))+1))</f>
        <v/>
      </c>
      <c r="E3095" s="3" t="str">
        <f t="array" ref="E3095">IF(B3095="","",INDEX(helper!$F$3:$F3996,MOD(ROW()-2,COUNTA(helper!$D$3:$D3996))+1))</f>
        <v/>
      </c>
      <c r="F3095" s="3" t="str">
        <f>IF(B3095="","",SUMIFS('inventory ledger'!$H:$H,'inventory ledger'!$C:$C,C3095,'inventory ledger'!$D:$D,D3095,'inventory ledger'!$E:$E,E3095,'inventory ledger'!$A:$A,"&lt;="&amp;B3095+TIME(23,59,59))-SUMIFS('inventory ledger'!$I:$I,'inventory ledger'!$C:$C,C3095,'inventory ledger'!$D:$D,D3095,'inventory ledger'!$E:$E,E3095,'inventory ledger'!$A:$A,"&lt;="&amp;B3095+TIME(23,59,59)))</f>
        <v/>
      </c>
      <c r="G3095" s="3">
        <f>IFERROR(__xludf.DUMMYFUNCTION("IF(F3095&lt;=0,0,IFERROR(ROUNDUP(F3095/INDEX(FILTER('warehouse config'!$D:$D,('warehouse config'!$B:$B=C3095)*('warehouse config'!$C:$C=D3095)*('warehouse config'!$G:$G&lt;=B3095)*(('warehouse config'!$H:$H&gt;=B3095)+ISBLANK('warehouse config'!$H:$H))),1)),0))"),0.0)</f>
        <v>0</v>
      </c>
      <c r="H3095" s="3">
        <f>IFERROR(__xludf.DUMMYFUNCTION("IFERROR(INDEX(FILTER('cost master'!$E:$E,('cost master'!$B:$B=C3095)*('cost master'!$D:$D=""Storage cost per pallet / week"")*('cost master'!$G:$G&lt;=B3095)*(('cost master'!$H:$H&gt;=B3095)+ISBLANK('cost master'!$H:$H))),1),0)"),0.0)</f>
        <v>0</v>
      </c>
      <c r="I3095" s="3">
        <f t="shared" si="4"/>
        <v>0</v>
      </c>
      <c r="J3095" s="27">
        <f t="shared" si="5"/>
        <v>693947</v>
      </c>
      <c r="K3095" s="27">
        <f t="shared" si="6"/>
        <v>693977</v>
      </c>
    </row>
    <row r="3096" hidden="1">
      <c r="A3096" s="3" t="str">
        <f t="shared" si="3"/>
        <v/>
      </c>
      <c r="B3096" s="2" t="str">
        <f t="array" ref="B3096">INDEX(helper!$A$3:$A3996,ROUNDUP((ROW()-1)/COUNTA(helper!$D$3:$D3996),0))</f>
        <v/>
      </c>
      <c r="C3096" s="5" t="str">
        <f t="array" ref="C3096">IF(B3096="","",INDEX(helper!$D$3:$D3996,MOD(ROW()-2,COUNTA(helper!$D$3:$D3996))+1))</f>
        <v/>
      </c>
      <c r="D3096" s="3" t="str">
        <f t="array" ref="D3096">IF(B3096="","",INDEX(helper!$E$3:$E3996,MOD(ROW()-2,COUNTA(helper!$D$3:$D3996))+1))</f>
        <v/>
      </c>
      <c r="E3096" s="3" t="str">
        <f t="array" ref="E3096">IF(B3096="","",INDEX(helper!$F$3:$F3996,MOD(ROW()-2,COUNTA(helper!$D$3:$D3996))+1))</f>
        <v/>
      </c>
      <c r="F3096" s="3" t="str">
        <f>IF(B3096="","",SUMIFS('inventory ledger'!$H:$H,'inventory ledger'!$C:$C,C3096,'inventory ledger'!$D:$D,D3096,'inventory ledger'!$E:$E,E3096,'inventory ledger'!$A:$A,"&lt;="&amp;B3096+TIME(23,59,59))-SUMIFS('inventory ledger'!$I:$I,'inventory ledger'!$C:$C,C3096,'inventory ledger'!$D:$D,D3096,'inventory ledger'!$E:$E,E3096,'inventory ledger'!$A:$A,"&lt;="&amp;B3096+TIME(23,59,59)))</f>
        <v/>
      </c>
      <c r="G3096" s="3">
        <f>IFERROR(__xludf.DUMMYFUNCTION("IF(F3096&lt;=0,0,IFERROR(ROUNDUP(F3096/INDEX(FILTER('warehouse config'!$D:$D,('warehouse config'!$B:$B=C3096)*('warehouse config'!$C:$C=D3096)*('warehouse config'!$G:$G&lt;=B3096)*(('warehouse config'!$H:$H&gt;=B3096)+ISBLANK('warehouse config'!$H:$H))),1)),0))"),0.0)</f>
        <v>0</v>
      </c>
      <c r="H3096" s="3">
        <f>IFERROR(__xludf.DUMMYFUNCTION("IFERROR(INDEX(FILTER('cost master'!$E:$E,('cost master'!$B:$B=C3096)*('cost master'!$D:$D=""Storage cost per pallet / week"")*('cost master'!$G:$G&lt;=B3096)*(('cost master'!$H:$H&gt;=B3096)+ISBLANK('cost master'!$H:$H))),1),0)"),0.0)</f>
        <v>0</v>
      </c>
      <c r="I3096" s="3">
        <f t="shared" si="4"/>
        <v>0</v>
      </c>
      <c r="J3096" s="27">
        <f t="shared" si="5"/>
        <v>693947</v>
      </c>
      <c r="K3096" s="27">
        <f t="shared" si="6"/>
        <v>693977</v>
      </c>
    </row>
    <row r="3097" hidden="1">
      <c r="A3097" s="3" t="str">
        <f t="shared" si="3"/>
        <v/>
      </c>
      <c r="B3097" s="2" t="str">
        <f t="array" ref="B3097">INDEX(helper!$A$3:$A3996,ROUNDUP((ROW()-1)/COUNTA(helper!$D$3:$D3996),0))</f>
        <v/>
      </c>
      <c r="C3097" s="5" t="str">
        <f t="array" ref="C3097">IF(B3097="","",INDEX(helper!$D$3:$D3996,MOD(ROW()-2,COUNTA(helper!$D$3:$D3996))+1))</f>
        <v/>
      </c>
      <c r="D3097" s="3" t="str">
        <f t="array" ref="D3097">IF(B3097="","",INDEX(helper!$E$3:$E3996,MOD(ROW()-2,COUNTA(helper!$D$3:$D3996))+1))</f>
        <v/>
      </c>
      <c r="E3097" s="3" t="str">
        <f t="array" ref="E3097">IF(B3097="","",INDEX(helper!$F$3:$F3996,MOD(ROW()-2,COUNTA(helper!$D$3:$D3996))+1))</f>
        <v/>
      </c>
      <c r="F3097" s="3" t="str">
        <f>IF(B3097="","",SUMIFS('inventory ledger'!$H:$H,'inventory ledger'!$C:$C,C3097,'inventory ledger'!$D:$D,D3097,'inventory ledger'!$E:$E,E3097,'inventory ledger'!$A:$A,"&lt;="&amp;B3097+TIME(23,59,59))-SUMIFS('inventory ledger'!$I:$I,'inventory ledger'!$C:$C,C3097,'inventory ledger'!$D:$D,D3097,'inventory ledger'!$E:$E,E3097,'inventory ledger'!$A:$A,"&lt;="&amp;B3097+TIME(23,59,59)))</f>
        <v/>
      </c>
      <c r="G3097" s="3">
        <f>IFERROR(__xludf.DUMMYFUNCTION("IF(F3097&lt;=0,0,IFERROR(ROUNDUP(F3097/INDEX(FILTER('warehouse config'!$D:$D,('warehouse config'!$B:$B=C3097)*('warehouse config'!$C:$C=D3097)*('warehouse config'!$G:$G&lt;=B3097)*(('warehouse config'!$H:$H&gt;=B3097)+ISBLANK('warehouse config'!$H:$H))),1)),0))"),0.0)</f>
        <v>0</v>
      </c>
      <c r="H3097" s="3">
        <f>IFERROR(__xludf.DUMMYFUNCTION("IFERROR(INDEX(FILTER('cost master'!$E:$E,('cost master'!$B:$B=C3097)*('cost master'!$D:$D=""Storage cost per pallet / week"")*('cost master'!$G:$G&lt;=B3097)*(('cost master'!$H:$H&gt;=B3097)+ISBLANK('cost master'!$H:$H))),1),0)"),0.0)</f>
        <v>0</v>
      </c>
      <c r="I3097" s="3">
        <f t="shared" si="4"/>
        <v>0</v>
      </c>
      <c r="J3097" s="27">
        <f t="shared" si="5"/>
        <v>693947</v>
      </c>
      <c r="K3097" s="27">
        <f t="shared" si="6"/>
        <v>693977</v>
      </c>
    </row>
    <row r="3098" hidden="1">
      <c r="A3098" s="3" t="str">
        <f t="shared" si="3"/>
        <v/>
      </c>
      <c r="B3098" s="2" t="str">
        <f t="array" ref="B3098">INDEX(helper!$A$3:$A3996,ROUNDUP((ROW()-1)/COUNTA(helper!$D$3:$D3996),0))</f>
        <v/>
      </c>
      <c r="C3098" s="5" t="str">
        <f t="array" ref="C3098">IF(B3098="","",INDEX(helper!$D$3:$D3996,MOD(ROW()-2,COUNTA(helper!$D$3:$D3996))+1))</f>
        <v/>
      </c>
      <c r="D3098" s="3" t="str">
        <f t="array" ref="D3098">IF(B3098="","",INDEX(helper!$E$3:$E3996,MOD(ROW()-2,COUNTA(helper!$D$3:$D3996))+1))</f>
        <v/>
      </c>
      <c r="E3098" s="3" t="str">
        <f t="array" ref="E3098">IF(B3098="","",INDEX(helper!$F$3:$F3996,MOD(ROW()-2,COUNTA(helper!$D$3:$D3996))+1))</f>
        <v/>
      </c>
      <c r="F3098" s="3" t="str">
        <f>IF(B3098="","",SUMIFS('inventory ledger'!$H:$H,'inventory ledger'!$C:$C,C3098,'inventory ledger'!$D:$D,D3098,'inventory ledger'!$E:$E,E3098,'inventory ledger'!$A:$A,"&lt;="&amp;B3098+TIME(23,59,59))-SUMIFS('inventory ledger'!$I:$I,'inventory ledger'!$C:$C,C3098,'inventory ledger'!$D:$D,D3098,'inventory ledger'!$E:$E,E3098,'inventory ledger'!$A:$A,"&lt;="&amp;B3098+TIME(23,59,59)))</f>
        <v/>
      </c>
      <c r="G3098" s="3">
        <f>IFERROR(__xludf.DUMMYFUNCTION("IF(F3098&lt;=0,0,IFERROR(ROUNDUP(F3098/INDEX(FILTER('warehouse config'!$D:$D,('warehouse config'!$B:$B=C3098)*('warehouse config'!$C:$C=D3098)*('warehouse config'!$G:$G&lt;=B3098)*(('warehouse config'!$H:$H&gt;=B3098)+ISBLANK('warehouse config'!$H:$H))),1)),0))"),0.0)</f>
        <v>0</v>
      </c>
      <c r="H3098" s="3">
        <f>IFERROR(__xludf.DUMMYFUNCTION("IFERROR(INDEX(FILTER('cost master'!$E:$E,('cost master'!$B:$B=C3098)*('cost master'!$D:$D=""Storage cost per pallet / week"")*('cost master'!$G:$G&lt;=B3098)*(('cost master'!$H:$H&gt;=B3098)+ISBLANK('cost master'!$H:$H))),1),0)"),0.0)</f>
        <v>0</v>
      </c>
      <c r="I3098" s="3">
        <f t="shared" si="4"/>
        <v>0</v>
      </c>
      <c r="J3098" s="27">
        <f t="shared" si="5"/>
        <v>693947</v>
      </c>
      <c r="K3098" s="27">
        <f t="shared" si="6"/>
        <v>693977</v>
      </c>
    </row>
    <row r="3099" hidden="1">
      <c r="A3099" s="3" t="str">
        <f t="shared" si="3"/>
        <v/>
      </c>
      <c r="B3099" s="2" t="str">
        <f t="array" ref="B3099">INDEX(helper!$A$3:$A3996,ROUNDUP((ROW()-1)/COUNTA(helper!$D$3:$D3996),0))</f>
        <v/>
      </c>
      <c r="C3099" s="5" t="str">
        <f t="array" ref="C3099">IF(B3099="","",INDEX(helper!$D$3:$D3996,MOD(ROW()-2,COUNTA(helper!$D$3:$D3996))+1))</f>
        <v/>
      </c>
      <c r="D3099" s="3" t="str">
        <f t="array" ref="D3099">IF(B3099="","",INDEX(helper!$E$3:$E3996,MOD(ROW()-2,COUNTA(helper!$D$3:$D3996))+1))</f>
        <v/>
      </c>
      <c r="E3099" s="3" t="str">
        <f t="array" ref="E3099">IF(B3099="","",INDEX(helper!$F$3:$F3996,MOD(ROW()-2,COUNTA(helper!$D$3:$D3996))+1))</f>
        <v/>
      </c>
      <c r="F3099" s="3" t="str">
        <f>IF(B3099="","",SUMIFS('inventory ledger'!$H:$H,'inventory ledger'!$C:$C,C3099,'inventory ledger'!$D:$D,D3099,'inventory ledger'!$E:$E,E3099,'inventory ledger'!$A:$A,"&lt;="&amp;B3099+TIME(23,59,59))-SUMIFS('inventory ledger'!$I:$I,'inventory ledger'!$C:$C,C3099,'inventory ledger'!$D:$D,D3099,'inventory ledger'!$E:$E,E3099,'inventory ledger'!$A:$A,"&lt;="&amp;B3099+TIME(23,59,59)))</f>
        <v/>
      </c>
      <c r="G3099" s="3">
        <f>IFERROR(__xludf.DUMMYFUNCTION("IF(F3099&lt;=0,0,IFERROR(ROUNDUP(F3099/INDEX(FILTER('warehouse config'!$D:$D,('warehouse config'!$B:$B=C3099)*('warehouse config'!$C:$C=D3099)*('warehouse config'!$G:$G&lt;=B3099)*(('warehouse config'!$H:$H&gt;=B3099)+ISBLANK('warehouse config'!$H:$H))),1)),0))"),0.0)</f>
        <v>0</v>
      </c>
      <c r="H3099" s="3">
        <f>IFERROR(__xludf.DUMMYFUNCTION("IFERROR(INDEX(FILTER('cost master'!$E:$E,('cost master'!$B:$B=C3099)*('cost master'!$D:$D=""Storage cost per pallet / week"")*('cost master'!$G:$G&lt;=B3099)*(('cost master'!$H:$H&gt;=B3099)+ISBLANK('cost master'!$H:$H))),1),0)"),0.0)</f>
        <v>0</v>
      </c>
      <c r="I3099" s="3">
        <f t="shared" si="4"/>
        <v>0</v>
      </c>
      <c r="J3099" s="27">
        <f t="shared" si="5"/>
        <v>693947</v>
      </c>
      <c r="K3099" s="27">
        <f t="shared" si="6"/>
        <v>693977</v>
      </c>
    </row>
    <row r="3100" hidden="1">
      <c r="A3100" s="3" t="str">
        <f t="shared" si="3"/>
        <v/>
      </c>
      <c r="B3100" s="2" t="str">
        <f t="array" ref="B3100">INDEX(helper!$A$3:$A3996,ROUNDUP((ROW()-1)/COUNTA(helper!$D$3:$D3996),0))</f>
        <v/>
      </c>
      <c r="C3100" s="5" t="str">
        <f t="array" ref="C3100">IF(B3100="","",INDEX(helper!$D$3:$D3996,MOD(ROW()-2,COUNTA(helper!$D$3:$D3996))+1))</f>
        <v/>
      </c>
      <c r="D3100" s="3" t="str">
        <f t="array" ref="D3100">IF(B3100="","",INDEX(helper!$E$3:$E3996,MOD(ROW()-2,COUNTA(helper!$D$3:$D3996))+1))</f>
        <v/>
      </c>
      <c r="E3100" s="3" t="str">
        <f t="array" ref="E3100">IF(B3100="","",INDEX(helper!$F$3:$F3996,MOD(ROW()-2,COUNTA(helper!$D$3:$D3996))+1))</f>
        <v/>
      </c>
      <c r="F3100" s="3" t="str">
        <f>IF(B3100="","",SUMIFS('inventory ledger'!$H:$H,'inventory ledger'!$C:$C,C3100,'inventory ledger'!$D:$D,D3100,'inventory ledger'!$E:$E,E3100,'inventory ledger'!$A:$A,"&lt;="&amp;B3100+TIME(23,59,59))-SUMIFS('inventory ledger'!$I:$I,'inventory ledger'!$C:$C,C3100,'inventory ledger'!$D:$D,D3100,'inventory ledger'!$E:$E,E3100,'inventory ledger'!$A:$A,"&lt;="&amp;B3100+TIME(23,59,59)))</f>
        <v/>
      </c>
      <c r="G3100" s="3">
        <f>IFERROR(__xludf.DUMMYFUNCTION("IF(F3100&lt;=0,0,IFERROR(ROUNDUP(F3100/INDEX(FILTER('warehouse config'!$D:$D,('warehouse config'!$B:$B=C3100)*('warehouse config'!$C:$C=D3100)*('warehouse config'!$G:$G&lt;=B3100)*(('warehouse config'!$H:$H&gt;=B3100)+ISBLANK('warehouse config'!$H:$H))),1)),0))"),0.0)</f>
        <v>0</v>
      </c>
      <c r="H3100" s="3">
        <f>IFERROR(__xludf.DUMMYFUNCTION("IFERROR(INDEX(FILTER('cost master'!$E:$E,('cost master'!$B:$B=C3100)*('cost master'!$D:$D=""Storage cost per pallet / week"")*('cost master'!$G:$G&lt;=B3100)*(('cost master'!$H:$H&gt;=B3100)+ISBLANK('cost master'!$H:$H))),1),0)"),0.0)</f>
        <v>0</v>
      </c>
      <c r="I3100" s="3">
        <f t="shared" si="4"/>
        <v>0</v>
      </c>
      <c r="J3100" s="27">
        <f t="shared" si="5"/>
        <v>693947</v>
      </c>
      <c r="K3100" s="27">
        <f t="shared" si="6"/>
        <v>693977</v>
      </c>
    </row>
    <row r="3101" hidden="1">
      <c r="A3101" s="3" t="str">
        <f t="shared" si="3"/>
        <v/>
      </c>
      <c r="B3101" s="2" t="str">
        <f t="array" ref="B3101">INDEX(helper!$A$3:$A3996,ROUNDUP((ROW()-1)/COUNTA(helper!$D$3:$D3996),0))</f>
        <v/>
      </c>
      <c r="C3101" s="5" t="str">
        <f t="array" ref="C3101">IF(B3101="","",INDEX(helper!$D$3:$D3996,MOD(ROW()-2,COUNTA(helper!$D$3:$D3996))+1))</f>
        <v/>
      </c>
      <c r="D3101" s="3" t="str">
        <f t="array" ref="D3101">IF(B3101="","",INDEX(helper!$E$3:$E3996,MOD(ROW()-2,COUNTA(helper!$D$3:$D3996))+1))</f>
        <v/>
      </c>
      <c r="E3101" s="3" t="str">
        <f t="array" ref="E3101">IF(B3101="","",INDEX(helper!$F$3:$F3996,MOD(ROW()-2,COUNTA(helper!$D$3:$D3996))+1))</f>
        <v/>
      </c>
      <c r="F3101" s="3" t="str">
        <f>IF(B3101="","",SUMIFS('inventory ledger'!$H:$H,'inventory ledger'!$C:$C,C3101,'inventory ledger'!$D:$D,D3101,'inventory ledger'!$E:$E,E3101,'inventory ledger'!$A:$A,"&lt;="&amp;B3101+TIME(23,59,59))-SUMIFS('inventory ledger'!$I:$I,'inventory ledger'!$C:$C,C3101,'inventory ledger'!$D:$D,D3101,'inventory ledger'!$E:$E,E3101,'inventory ledger'!$A:$A,"&lt;="&amp;B3101+TIME(23,59,59)))</f>
        <v/>
      </c>
      <c r="G3101" s="3">
        <f>IFERROR(__xludf.DUMMYFUNCTION("IF(F3101&lt;=0,0,IFERROR(ROUNDUP(F3101/INDEX(FILTER('warehouse config'!$D:$D,('warehouse config'!$B:$B=C3101)*('warehouse config'!$C:$C=D3101)*('warehouse config'!$G:$G&lt;=B3101)*(('warehouse config'!$H:$H&gt;=B3101)+ISBLANK('warehouse config'!$H:$H))),1)),0))"),0.0)</f>
        <v>0</v>
      </c>
      <c r="H3101" s="3">
        <f>IFERROR(__xludf.DUMMYFUNCTION("IFERROR(INDEX(FILTER('cost master'!$E:$E,('cost master'!$B:$B=C3101)*('cost master'!$D:$D=""Storage cost per pallet / week"")*('cost master'!$G:$G&lt;=B3101)*(('cost master'!$H:$H&gt;=B3101)+ISBLANK('cost master'!$H:$H))),1),0)"),0.0)</f>
        <v>0</v>
      </c>
      <c r="I3101" s="3">
        <f t="shared" si="4"/>
        <v>0</v>
      </c>
      <c r="J3101" s="27">
        <f t="shared" si="5"/>
        <v>693947</v>
      </c>
      <c r="K3101" s="27">
        <f t="shared" si="6"/>
        <v>693977</v>
      </c>
    </row>
    <row r="3102" hidden="1">
      <c r="A3102" s="3" t="str">
        <f t="shared" si="3"/>
        <v/>
      </c>
      <c r="B3102" s="2" t="str">
        <f t="array" ref="B3102">INDEX(helper!$A$3:$A3996,ROUNDUP((ROW()-1)/COUNTA(helper!$D$3:$D3996),0))</f>
        <v/>
      </c>
      <c r="C3102" s="5" t="str">
        <f t="array" ref="C3102">IF(B3102="","",INDEX(helper!$D$3:$D3996,MOD(ROW()-2,COUNTA(helper!$D$3:$D3996))+1))</f>
        <v/>
      </c>
      <c r="D3102" s="3" t="str">
        <f t="array" ref="D3102">IF(B3102="","",INDEX(helper!$E$3:$E3996,MOD(ROW()-2,COUNTA(helper!$D$3:$D3996))+1))</f>
        <v/>
      </c>
      <c r="E3102" s="3" t="str">
        <f t="array" ref="E3102">IF(B3102="","",INDEX(helper!$F$3:$F3996,MOD(ROW()-2,COUNTA(helper!$D$3:$D3996))+1))</f>
        <v/>
      </c>
      <c r="F3102" s="3" t="str">
        <f>IF(B3102="","",SUMIFS('inventory ledger'!$H:$H,'inventory ledger'!$C:$C,C3102,'inventory ledger'!$D:$D,D3102,'inventory ledger'!$E:$E,E3102,'inventory ledger'!$A:$A,"&lt;="&amp;B3102+TIME(23,59,59))-SUMIFS('inventory ledger'!$I:$I,'inventory ledger'!$C:$C,C3102,'inventory ledger'!$D:$D,D3102,'inventory ledger'!$E:$E,E3102,'inventory ledger'!$A:$A,"&lt;="&amp;B3102+TIME(23,59,59)))</f>
        <v/>
      </c>
      <c r="G3102" s="3">
        <f>IFERROR(__xludf.DUMMYFUNCTION("IF(F3102&lt;=0,0,IFERROR(ROUNDUP(F3102/INDEX(FILTER('warehouse config'!$D:$D,('warehouse config'!$B:$B=C3102)*('warehouse config'!$C:$C=D3102)*('warehouse config'!$G:$G&lt;=B3102)*(('warehouse config'!$H:$H&gt;=B3102)+ISBLANK('warehouse config'!$H:$H))),1)),0))"),0.0)</f>
        <v>0</v>
      </c>
      <c r="H3102" s="3">
        <f>IFERROR(__xludf.DUMMYFUNCTION("IFERROR(INDEX(FILTER('cost master'!$E:$E,('cost master'!$B:$B=C3102)*('cost master'!$D:$D=""Storage cost per pallet / week"")*('cost master'!$G:$G&lt;=B3102)*(('cost master'!$H:$H&gt;=B3102)+ISBLANK('cost master'!$H:$H))),1),0)"),0.0)</f>
        <v>0</v>
      </c>
      <c r="I3102" s="3">
        <f t="shared" si="4"/>
        <v>0</v>
      </c>
      <c r="J3102" s="27">
        <f t="shared" si="5"/>
        <v>693947</v>
      </c>
      <c r="K3102" s="27">
        <f t="shared" si="6"/>
        <v>693977</v>
      </c>
    </row>
    <row r="3103" hidden="1">
      <c r="A3103" s="3" t="str">
        <f t="shared" si="3"/>
        <v/>
      </c>
      <c r="B3103" s="2" t="str">
        <f t="array" ref="B3103">INDEX(helper!$A$3:$A3996,ROUNDUP((ROW()-1)/COUNTA(helper!$D$3:$D3996),0))</f>
        <v/>
      </c>
      <c r="C3103" s="5" t="str">
        <f t="array" ref="C3103">IF(B3103="","",INDEX(helper!$D$3:$D3996,MOD(ROW()-2,COUNTA(helper!$D$3:$D3996))+1))</f>
        <v/>
      </c>
      <c r="D3103" s="3" t="str">
        <f t="array" ref="D3103">IF(B3103="","",INDEX(helper!$E$3:$E3996,MOD(ROW()-2,COUNTA(helper!$D$3:$D3996))+1))</f>
        <v/>
      </c>
      <c r="E3103" s="3" t="str">
        <f t="array" ref="E3103">IF(B3103="","",INDEX(helper!$F$3:$F3996,MOD(ROW()-2,COUNTA(helper!$D$3:$D3996))+1))</f>
        <v/>
      </c>
      <c r="F3103" s="3" t="str">
        <f>IF(B3103="","",SUMIFS('inventory ledger'!$H:$H,'inventory ledger'!$C:$C,C3103,'inventory ledger'!$D:$D,D3103,'inventory ledger'!$E:$E,E3103,'inventory ledger'!$A:$A,"&lt;="&amp;B3103+TIME(23,59,59))-SUMIFS('inventory ledger'!$I:$I,'inventory ledger'!$C:$C,C3103,'inventory ledger'!$D:$D,D3103,'inventory ledger'!$E:$E,E3103,'inventory ledger'!$A:$A,"&lt;="&amp;B3103+TIME(23,59,59)))</f>
        <v/>
      </c>
      <c r="G3103" s="3">
        <f>IFERROR(__xludf.DUMMYFUNCTION("IF(F3103&lt;=0,0,IFERROR(ROUNDUP(F3103/INDEX(FILTER('warehouse config'!$D:$D,('warehouse config'!$B:$B=C3103)*('warehouse config'!$C:$C=D3103)*('warehouse config'!$G:$G&lt;=B3103)*(('warehouse config'!$H:$H&gt;=B3103)+ISBLANK('warehouse config'!$H:$H))),1)),0))"),0.0)</f>
        <v>0</v>
      </c>
      <c r="H3103" s="3">
        <f>IFERROR(__xludf.DUMMYFUNCTION("IFERROR(INDEX(FILTER('cost master'!$E:$E,('cost master'!$B:$B=C3103)*('cost master'!$D:$D=""Storage cost per pallet / week"")*('cost master'!$G:$G&lt;=B3103)*(('cost master'!$H:$H&gt;=B3103)+ISBLANK('cost master'!$H:$H))),1),0)"),0.0)</f>
        <v>0</v>
      </c>
      <c r="I3103" s="3">
        <f t="shared" si="4"/>
        <v>0</v>
      </c>
      <c r="J3103" s="27">
        <f t="shared" si="5"/>
        <v>693947</v>
      </c>
      <c r="K3103" s="27">
        <f t="shared" si="6"/>
        <v>693977</v>
      </c>
    </row>
    <row r="3104" hidden="1">
      <c r="A3104" s="3" t="str">
        <f t="shared" si="3"/>
        <v/>
      </c>
      <c r="B3104" s="2" t="str">
        <f t="array" ref="B3104">INDEX(helper!$A$3:$A3996,ROUNDUP((ROW()-1)/COUNTA(helper!$D$3:$D3996),0))</f>
        <v/>
      </c>
      <c r="C3104" s="5" t="str">
        <f t="array" ref="C3104">IF(B3104="","",INDEX(helper!$D$3:$D3996,MOD(ROW()-2,COUNTA(helper!$D$3:$D3996))+1))</f>
        <v/>
      </c>
      <c r="D3104" s="3" t="str">
        <f t="array" ref="D3104">IF(B3104="","",INDEX(helper!$E$3:$E3996,MOD(ROW()-2,COUNTA(helper!$D$3:$D3996))+1))</f>
        <v/>
      </c>
      <c r="E3104" s="3" t="str">
        <f t="array" ref="E3104">IF(B3104="","",INDEX(helper!$F$3:$F3996,MOD(ROW()-2,COUNTA(helper!$D$3:$D3996))+1))</f>
        <v/>
      </c>
      <c r="F3104" s="3" t="str">
        <f>IF(B3104="","",SUMIFS('inventory ledger'!$H:$H,'inventory ledger'!$C:$C,C3104,'inventory ledger'!$D:$D,D3104,'inventory ledger'!$E:$E,E3104,'inventory ledger'!$A:$A,"&lt;="&amp;B3104+TIME(23,59,59))-SUMIFS('inventory ledger'!$I:$I,'inventory ledger'!$C:$C,C3104,'inventory ledger'!$D:$D,D3104,'inventory ledger'!$E:$E,E3104,'inventory ledger'!$A:$A,"&lt;="&amp;B3104+TIME(23,59,59)))</f>
        <v/>
      </c>
      <c r="G3104" s="3">
        <f>IFERROR(__xludf.DUMMYFUNCTION("IF(F3104&lt;=0,0,IFERROR(ROUNDUP(F3104/INDEX(FILTER('warehouse config'!$D:$D,('warehouse config'!$B:$B=C3104)*('warehouse config'!$C:$C=D3104)*('warehouse config'!$G:$G&lt;=B3104)*(('warehouse config'!$H:$H&gt;=B3104)+ISBLANK('warehouse config'!$H:$H))),1)),0))"),0.0)</f>
        <v>0</v>
      </c>
      <c r="H3104" s="3">
        <f>IFERROR(__xludf.DUMMYFUNCTION("IFERROR(INDEX(FILTER('cost master'!$E:$E,('cost master'!$B:$B=C3104)*('cost master'!$D:$D=""Storage cost per pallet / week"")*('cost master'!$G:$G&lt;=B3104)*(('cost master'!$H:$H&gt;=B3104)+ISBLANK('cost master'!$H:$H))),1),0)"),0.0)</f>
        <v>0</v>
      </c>
      <c r="I3104" s="3">
        <f t="shared" si="4"/>
        <v>0</v>
      </c>
      <c r="J3104" s="27">
        <f t="shared" si="5"/>
        <v>693947</v>
      </c>
      <c r="K3104" s="27">
        <f t="shared" si="6"/>
        <v>693977</v>
      </c>
    </row>
    <row r="3105" hidden="1">
      <c r="A3105" s="3" t="str">
        <f t="shared" si="3"/>
        <v/>
      </c>
      <c r="B3105" s="2" t="str">
        <f t="array" ref="B3105">INDEX(helper!$A$3:$A3996,ROUNDUP((ROW()-1)/COUNTA(helper!$D$3:$D3996),0))</f>
        <v/>
      </c>
      <c r="C3105" s="5" t="str">
        <f t="array" ref="C3105">IF(B3105="","",INDEX(helper!$D$3:$D3996,MOD(ROW()-2,COUNTA(helper!$D$3:$D3996))+1))</f>
        <v/>
      </c>
      <c r="D3105" s="3" t="str">
        <f t="array" ref="D3105">IF(B3105="","",INDEX(helper!$E$3:$E3996,MOD(ROW()-2,COUNTA(helper!$D$3:$D3996))+1))</f>
        <v/>
      </c>
      <c r="E3105" s="3" t="str">
        <f t="array" ref="E3105">IF(B3105="","",INDEX(helper!$F$3:$F3996,MOD(ROW()-2,COUNTA(helper!$D$3:$D3996))+1))</f>
        <v/>
      </c>
      <c r="F3105" s="3" t="str">
        <f>IF(B3105="","",SUMIFS('inventory ledger'!$H:$H,'inventory ledger'!$C:$C,C3105,'inventory ledger'!$D:$D,D3105,'inventory ledger'!$E:$E,E3105,'inventory ledger'!$A:$A,"&lt;="&amp;B3105+TIME(23,59,59))-SUMIFS('inventory ledger'!$I:$I,'inventory ledger'!$C:$C,C3105,'inventory ledger'!$D:$D,D3105,'inventory ledger'!$E:$E,E3105,'inventory ledger'!$A:$A,"&lt;="&amp;B3105+TIME(23,59,59)))</f>
        <v/>
      </c>
      <c r="G3105" s="3">
        <f>IFERROR(__xludf.DUMMYFUNCTION("IF(F3105&lt;=0,0,IFERROR(ROUNDUP(F3105/INDEX(FILTER('warehouse config'!$D:$D,('warehouse config'!$B:$B=C3105)*('warehouse config'!$C:$C=D3105)*('warehouse config'!$G:$G&lt;=B3105)*(('warehouse config'!$H:$H&gt;=B3105)+ISBLANK('warehouse config'!$H:$H))),1)),0))"),0.0)</f>
        <v>0</v>
      </c>
      <c r="H3105" s="3">
        <f>IFERROR(__xludf.DUMMYFUNCTION("IFERROR(INDEX(FILTER('cost master'!$E:$E,('cost master'!$B:$B=C3105)*('cost master'!$D:$D=""Storage cost per pallet / week"")*('cost master'!$G:$G&lt;=B3105)*(('cost master'!$H:$H&gt;=B3105)+ISBLANK('cost master'!$H:$H))),1),0)"),0.0)</f>
        <v>0</v>
      </c>
      <c r="I3105" s="3">
        <f t="shared" si="4"/>
        <v>0</v>
      </c>
      <c r="J3105" s="27">
        <f t="shared" si="5"/>
        <v>693947</v>
      </c>
      <c r="K3105" s="27">
        <f t="shared" si="6"/>
        <v>693977</v>
      </c>
    </row>
    <row r="3106" hidden="1">
      <c r="A3106" s="3" t="str">
        <f t="shared" si="3"/>
        <v/>
      </c>
      <c r="B3106" s="2" t="str">
        <f t="array" ref="B3106">INDEX(helper!$A$3:$A3996,ROUNDUP((ROW()-1)/COUNTA(helper!$D$3:$D3996),0))</f>
        <v/>
      </c>
      <c r="C3106" s="5" t="str">
        <f t="array" ref="C3106">IF(B3106="","",INDEX(helper!$D$3:$D3996,MOD(ROW()-2,COUNTA(helper!$D$3:$D3996))+1))</f>
        <v/>
      </c>
      <c r="D3106" s="3" t="str">
        <f t="array" ref="D3106">IF(B3106="","",INDEX(helper!$E$3:$E3996,MOD(ROW()-2,COUNTA(helper!$D$3:$D3996))+1))</f>
        <v/>
      </c>
      <c r="E3106" s="3" t="str">
        <f t="array" ref="E3106">IF(B3106="","",INDEX(helper!$F$3:$F3996,MOD(ROW()-2,COUNTA(helper!$D$3:$D3996))+1))</f>
        <v/>
      </c>
      <c r="F3106" s="3" t="str">
        <f>IF(B3106="","",SUMIFS('inventory ledger'!$H:$H,'inventory ledger'!$C:$C,C3106,'inventory ledger'!$D:$D,D3106,'inventory ledger'!$E:$E,E3106,'inventory ledger'!$A:$A,"&lt;="&amp;B3106+TIME(23,59,59))-SUMIFS('inventory ledger'!$I:$I,'inventory ledger'!$C:$C,C3106,'inventory ledger'!$D:$D,D3106,'inventory ledger'!$E:$E,E3106,'inventory ledger'!$A:$A,"&lt;="&amp;B3106+TIME(23,59,59)))</f>
        <v/>
      </c>
      <c r="G3106" s="3">
        <f>IFERROR(__xludf.DUMMYFUNCTION("IF(F3106&lt;=0,0,IFERROR(ROUNDUP(F3106/INDEX(FILTER('warehouse config'!$D:$D,('warehouse config'!$B:$B=C3106)*('warehouse config'!$C:$C=D3106)*('warehouse config'!$G:$G&lt;=B3106)*(('warehouse config'!$H:$H&gt;=B3106)+ISBLANK('warehouse config'!$H:$H))),1)),0))"),0.0)</f>
        <v>0</v>
      </c>
      <c r="H3106" s="3">
        <f>IFERROR(__xludf.DUMMYFUNCTION("IFERROR(INDEX(FILTER('cost master'!$E:$E,('cost master'!$B:$B=C3106)*('cost master'!$D:$D=""Storage cost per pallet / week"")*('cost master'!$G:$G&lt;=B3106)*(('cost master'!$H:$H&gt;=B3106)+ISBLANK('cost master'!$H:$H))),1),0)"),0.0)</f>
        <v>0</v>
      </c>
      <c r="I3106" s="3">
        <f t="shared" si="4"/>
        <v>0</v>
      </c>
      <c r="J3106" s="27">
        <f t="shared" si="5"/>
        <v>693947</v>
      </c>
      <c r="K3106" s="27">
        <f t="shared" si="6"/>
        <v>693977</v>
      </c>
    </row>
    <row r="3107" hidden="1">
      <c r="A3107" s="3" t="str">
        <f t="shared" si="3"/>
        <v/>
      </c>
      <c r="B3107" s="2" t="str">
        <f t="array" ref="B3107">INDEX(helper!$A$3:$A3996,ROUNDUP((ROW()-1)/COUNTA(helper!$D$3:$D3996),0))</f>
        <v/>
      </c>
      <c r="C3107" s="5" t="str">
        <f t="array" ref="C3107">IF(B3107="","",INDEX(helper!$D$3:$D3996,MOD(ROW()-2,COUNTA(helper!$D$3:$D3996))+1))</f>
        <v/>
      </c>
      <c r="D3107" s="3" t="str">
        <f t="array" ref="D3107">IF(B3107="","",INDEX(helper!$E$3:$E3996,MOD(ROW()-2,COUNTA(helper!$D$3:$D3996))+1))</f>
        <v/>
      </c>
      <c r="E3107" s="3" t="str">
        <f t="array" ref="E3107">IF(B3107="","",INDEX(helper!$F$3:$F3996,MOD(ROW()-2,COUNTA(helper!$D$3:$D3996))+1))</f>
        <v/>
      </c>
      <c r="F3107" s="3" t="str">
        <f>IF(B3107="","",SUMIFS('inventory ledger'!$H:$H,'inventory ledger'!$C:$C,C3107,'inventory ledger'!$D:$D,D3107,'inventory ledger'!$E:$E,E3107,'inventory ledger'!$A:$A,"&lt;="&amp;B3107+TIME(23,59,59))-SUMIFS('inventory ledger'!$I:$I,'inventory ledger'!$C:$C,C3107,'inventory ledger'!$D:$D,D3107,'inventory ledger'!$E:$E,E3107,'inventory ledger'!$A:$A,"&lt;="&amp;B3107+TIME(23,59,59)))</f>
        <v/>
      </c>
      <c r="G3107" s="3">
        <f>IFERROR(__xludf.DUMMYFUNCTION("IF(F3107&lt;=0,0,IFERROR(ROUNDUP(F3107/INDEX(FILTER('warehouse config'!$D:$D,('warehouse config'!$B:$B=C3107)*('warehouse config'!$C:$C=D3107)*('warehouse config'!$G:$G&lt;=B3107)*(('warehouse config'!$H:$H&gt;=B3107)+ISBLANK('warehouse config'!$H:$H))),1)),0))"),0.0)</f>
        <v>0</v>
      </c>
      <c r="H3107" s="3">
        <f>IFERROR(__xludf.DUMMYFUNCTION("IFERROR(INDEX(FILTER('cost master'!$E:$E,('cost master'!$B:$B=C3107)*('cost master'!$D:$D=""Storage cost per pallet / week"")*('cost master'!$G:$G&lt;=B3107)*(('cost master'!$H:$H&gt;=B3107)+ISBLANK('cost master'!$H:$H))),1),0)"),0.0)</f>
        <v>0</v>
      </c>
      <c r="I3107" s="3">
        <f t="shared" si="4"/>
        <v>0</v>
      </c>
      <c r="J3107" s="27">
        <f t="shared" si="5"/>
        <v>693947</v>
      </c>
      <c r="K3107" s="27">
        <f t="shared" si="6"/>
        <v>693977</v>
      </c>
    </row>
    <row r="3108" hidden="1">
      <c r="A3108" s="3" t="str">
        <f t="shared" si="3"/>
        <v/>
      </c>
      <c r="B3108" s="2" t="str">
        <f t="array" ref="B3108">INDEX(helper!$A$3:$A3996,ROUNDUP((ROW()-1)/COUNTA(helper!$D$3:$D3996),0))</f>
        <v/>
      </c>
      <c r="C3108" s="5" t="str">
        <f t="array" ref="C3108">IF(B3108="","",INDEX(helper!$D$3:$D3996,MOD(ROW()-2,COUNTA(helper!$D$3:$D3996))+1))</f>
        <v/>
      </c>
      <c r="D3108" s="3" t="str">
        <f t="array" ref="D3108">IF(B3108="","",INDEX(helper!$E$3:$E3996,MOD(ROW()-2,COUNTA(helper!$D$3:$D3996))+1))</f>
        <v/>
      </c>
      <c r="E3108" s="3" t="str">
        <f t="array" ref="E3108">IF(B3108="","",INDEX(helper!$F$3:$F3996,MOD(ROW()-2,COUNTA(helper!$D$3:$D3996))+1))</f>
        <v/>
      </c>
      <c r="F3108" s="3" t="str">
        <f>IF(B3108="","",SUMIFS('inventory ledger'!$H:$H,'inventory ledger'!$C:$C,C3108,'inventory ledger'!$D:$D,D3108,'inventory ledger'!$E:$E,E3108,'inventory ledger'!$A:$A,"&lt;="&amp;B3108+TIME(23,59,59))-SUMIFS('inventory ledger'!$I:$I,'inventory ledger'!$C:$C,C3108,'inventory ledger'!$D:$D,D3108,'inventory ledger'!$E:$E,E3108,'inventory ledger'!$A:$A,"&lt;="&amp;B3108+TIME(23,59,59)))</f>
        <v/>
      </c>
      <c r="G3108" s="3">
        <f>IFERROR(__xludf.DUMMYFUNCTION("IF(F3108&lt;=0,0,IFERROR(ROUNDUP(F3108/INDEX(FILTER('warehouse config'!$D:$D,('warehouse config'!$B:$B=C3108)*('warehouse config'!$C:$C=D3108)*('warehouse config'!$G:$G&lt;=B3108)*(('warehouse config'!$H:$H&gt;=B3108)+ISBLANK('warehouse config'!$H:$H))),1)),0))"),0.0)</f>
        <v>0</v>
      </c>
      <c r="H3108" s="3">
        <f>IFERROR(__xludf.DUMMYFUNCTION("IFERROR(INDEX(FILTER('cost master'!$E:$E,('cost master'!$B:$B=C3108)*('cost master'!$D:$D=""Storage cost per pallet / week"")*('cost master'!$G:$G&lt;=B3108)*(('cost master'!$H:$H&gt;=B3108)+ISBLANK('cost master'!$H:$H))),1),0)"),0.0)</f>
        <v>0</v>
      </c>
      <c r="I3108" s="3">
        <f t="shared" si="4"/>
        <v>0</v>
      </c>
      <c r="J3108" s="27">
        <f t="shared" si="5"/>
        <v>693947</v>
      </c>
      <c r="K3108" s="27">
        <f t="shared" si="6"/>
        <v>693977</v>
      </c>
    </row>
    <row r="3109" hidden="1">
      <c r="A3109" s="3" t="str">
        <f t="shared" si="3"/>
        <v/>
      </c>
      <c r="B3109" s="2" t="str">
        <f t="array" ref="B3109">INDEX(helper!$A$3:$A3996,ROUNDUP((ROW()-1)/COUNTA(helper!$D$3:$D3996),0))</f>
        <v/>
      </c>
      <c r="C3109" s="5" t="str">
        <f t="array" ref="C3109">IF(B3109="","",INDEX(helper!$D$3:$D3996,MOD(ROW()-2,COUNTA(helper!$D$3:$D3996))+1))</f>
        <v/>
      </c>
      <c r="D3109" s="3" t="str">
        <f t="array" ref="D3109">IF(B3109="","",INDEX(helper!$E$3:$E3996,MOD(ROW()-2,COUNTA(helper!$D$3:$D3996))+1))</f>
        <v/>
      </c>
      <c r="E3109" s="3" t="str">
        <f t="array" ref="E3109">IF(B3109="","",INDEX(helper!$F$3:$F3996,MOD(ROW()-2,COUNTA(helper!$D$3:$D3996))+1))</f>
        <v/>
      </c>
      <c r="F3109" s="3" t="str">
        <f>IF(B3109="","",SUMIFS('inventory ledger'!$H:$H,'inventory ledger'!$C:$C,C3109,'inventory ledger'!$D:$D,D3109,'inventory ledger'!$E:$E,E3109,'inventory ledger'!$A:$A,"&lt;="&amp;B3109+TIME(23,59,59))-SUMIFS('inventory ledger'!$I:$I,'inventory ledger'!$C:$C,C3109,'inventory ledger'!$D:$D,D3109,'inventory ledger'!$E:$E,E3109,'inventory ledger'!$A:$A,"&lt;="&amp;B3109+TIME(23,59,59)))</f>
        <v/>
      </c>
      <c r="G3109" s="3">
        <f>IFERROR(__xludf.DUMMYFUNCTION("IF(F3109&lt;=0,0,IFERROR(ROUNDUP(F3109/INDEX(FILTER('warehouse config'!$D:$D,('warehouse config'!$B:$B=C3109)*('warehouse config'!$C:$C=D3109)*('warehouse config'!$G:$G&lt;=B3109)*(('warehouse config'!$H:$H&gt;=B3109)+ISBLANK('warehouse config'!$H:$H))),1)),0))"),0.0)</f>
        <v>0</v>
      </c>
      <c r="H3109" s="3">
        <f>IFERROR(__xludf.DUMMYFUNCTION("IFERROR(INDEX(FILTER('cost master'!$E:$E,('cost master'!$B:$B=C3109)*('cost master'!$D:$D=""Storage cost per pallet / week"")*('cost master'!$G:$G&lt;=B3109)*(('cost master'!$H:$H&gt;=B3109)+ISBLANK('cost master'!$H:$H))),1),0)"),0.0)</f>
        <v>0</v>
      </c>
      <c r="I3109" s="3">
        <f t="shared" si="4"/>
        <v>0</v>
      </c>
      <c r="J3109" s="27">
        <f t="shared" si="5"/>
        <v>693947</v>
      </c>
      <c r="K3109" s="27">
        <f t="shared" si="6"/>
        <v>693977</v>
      </c>
    </row>
    <row r="3110" hidden="1">
      <c r="A3110" s="3" t="str">
        <f t="shared" si="3"/>
        <v/>
      </c>
      <c r="B3110" s="2" t="str">
        <f t="array" ref="B3110">INDEX(helper!$A$3:$A3996,ROUNDUP((ROW()-1)/COUNTA(helper!$D$3:$D3996),0))</f>
        <v/>
      </c>
      <c r="C3110" s="5" t="str">
        <f t="array" ref="C3110">IF(B3110="","",INDEX(helper!$D$3:$D3996,MOD(ROW()-2,COUNTA(helper!$D$3:$D3996))+1))</f>
        <v/>
      </c>
      <c r="D3110" s="3" t="str">
        <f t="array" ref="D3110">IF(B3110="","",INDEX(helper!$E$3:$E3996,MOD(ROW()-2,COUNTA(helper!$D$3:$D3996))+1))</f>
        <v/>
      </c>
      <c r="E3110" s="3" t="str">
        <f t="array" ref="E3110">IF(B3110="","",INDEX(helper!$F$3:$F3996,MOD(ROW()-2,COUNTA(helper!$D$3:$D3996))+1))</f>
        <v/>
      </c>
      <c r="F3110" s="3" t="str">
        <f>IF(B3110="","",SUMIFS('inventory ledger'!$H:$H,'inventory ledger'!$C:$C,C3110,'inventory ledger'!$D:$D,D3110,'inventory ledger'!$E:$E,E3110,'inventory ledger'!$A:$A,"&lt;="&amp;B3110+TIME(23,59,59))-SUMIFS('inventory ledger'!$I:$I,'inventory ledger'!$C:$C,C3110,'inventory ledger'!$D:$D,D3110,'inventory ledger'!$E:$E,E3110,'inventory ledger'!$A:$A,"&lt;="&amp;B3110+TIME(23,59,59)))</f>
        <v/>
      </c>
      <c r="G3110" s="3">
        <f>IFERROR(__xludf.DUMMYFUNCTION("IF(F3110&lt;=0,0,IFERROR(ROUNDUP(F3110/INDEX(FILTER('warehouse config'!$D:$D,('warehouse config'!$B:$B=C3110)*('warehouse config'!$C:$C=D3110)*('warehouse config'!$G:$G&lt;=B3110)*(('warehouse config'!$H:$H&gt;=B3110)+ISBLANK('warehouse config'!$H:$H))),1)),0))"),0.0)</f>
        <v>0</v>
      </c>
      <c r="H3110" s="3">
        <f>IFERROR(__xludf.DUMMYFUNCTION("IFERROR(INDEX(FILTER('cost master'!$E:$E,('cost master'!$B:$B=C3110)*('cost master'!$D:$D=""Storage cost per pallet / week"")*('cost master'!$G:$G&lt;=B3110)*(('cost master'!$H:$H&gt;=B3110)+ISBLANK('cost master'!$H:$H))),1),0)"),0.0)</f>
        <v>0</v>
      </c>
      <c r="I3110" s="3">
        <f t="shared" si="4"/>
        <v>0</v>
      </c>
      <c r="J3110" s="27">
        <f t="shared" si="5"/>
        <v>693947</v>
      </c>
      <c r="K3110" s="27">
        <f t="shared" si="6"/>
        <v>693977</v>
      </c>
    </row>
    <row r="3111" hidden="1">
      <c r="A3111" s="3" t="str">
        <f t="shared" si="3"/>
        <v/>
      </c>
      <c r="B3111" s="2" t="str">
        <f t="array" ref="B3111">INDEX(helper!$A$3:$A3996,ROUNDUP((ROW()-1)/COUNTA(helper!$D$3:$D3996),0))</f>
        <v/>
      </c>
      <c r="C3111" s="5" t="str">
        <f t="array" ref="C3111">IF(B3111="","",INDEX(helper!$D$3:$D3996,MOD(ROW()-2,COUNTA(helper!$D$3:$D3996))+1))</f>
        <v/>
      </c>
      <c r="D3111" s="3" t="str">
        <f t="array" ref="D3111">IF(B3111="","",INDEX(helper!$E$3:$E3996,MOD(ROW()-2,COUNTA(helper!$D$3:$D3996))+1))</f>
        <v/>
      </c>
      <c r="E3111" s="3" t="str">
        <f t="array" ref="E3111">IF(B3111="","",INDEX(helper!$F$3:$F3996,MOD(ROW()-2,COUNTA(helper!$D$3:$D3996))+1))</f>
        <v/>
      </c>
      <c r="F3111" s="3" t="str">
        <f>IF(B3111="","",SUMIFS('inventory ledger'!$H:$H,'inventory ledger'!$C:$C,C3111,'inventory ledger'!$D:$D,D3111,'inventory ledger'!$E:$E,E3111,'inventory ledger'!$A:$A,"&lt;="&amp;B3111+TIME(23,59,59))-SUMIFS('inventory ledger'!$I:$I,'inventory ledger'!$C:$C,C3111,'inventory ledger'!$D:$D,D3111,'inventory ledger'!$E:$E,E3111,'inventory ledger'!$A:$A,"&lt;="&amp;B3111+TIME(23,59,59)))</f>
        <v/>
      </c>
      <c r="G3111" s="3">
        <f>IFERROR(__xludf.DUMMYFUNCTION("IF(F3111&lt;=0,0,IFERROR(ROUNDUP(F3111/INDEX(FILTER('warehouse config'!$D:$D,('warehouse config'!$B:$B=C3111)*('warehouse config'!$C:$C=D3111)*('warehouse config'!$G:$G&lt;=B3111)*(('warehouse config'!$H:$H&gt;=B3111)+ISBLANK('warehouse config'!$H:$H))),1)),0))"),0.0)</f>
        <v>0</v>
      </c>
      <c r="H3111" s="3">
        <f>IFERROR(__xludf.DUMMYFUNCTION("IFERROR(INDEX(FILTER('cost master'!$E:$E,('cost master'!$B:$B=C3111)*('cost master'!$D:$D=""Storage cost per pallet / week"")*('cost master'!$G:$G&lt;=B3111)*(('cost master'!$H:$H&gt;=B3111)+ISBLANK('cost master'!$H:$H))),1),0)"),0.0)</f>
        <v>0</v>
      </c>
      <c r="I3111" s="3">
        <f t="shared" si="4"/>
        <v>0</v>
      </c>
      <c r="J3111" s="27">
        <f t="shared" si="5"/>
        <v>693947</v>
      </c>
      <c r="K3111" s="27">
        <f t="shared" si="6"/>
        <v>693977</v>
      </c>
    </row>
    <row r="3112" hidden="1">
      <c r="A3112" s="3" t="str">
        <f t="shared" si="3"/>
        <v/>
      </c>
      <c r="B3112" s="2" t="str">
        <f t="array" ref="B3112">INDEX(helper!$A$3:$A3996,ROUNDUP((ROW()-1)/COUNTA(helper!$D$3:$D3996),0))</f>
        <v/>
      </c>
      <c r="C3112" s="5" t="str">
        <f t="array" ref="C3112">IF(B3112="","",INDEX(helper!$D$3:$D3996,MOD(ROW()-2,COUNTA(helper!$D$3:$D3996))+1))</f>
        <v/>
      </c>
      <c r="D3112" s="3" t="str">
        <f t="array" ref="D3112">IF(B3112="","",INDEX(helper!$E$3:$E3996,MOD(ROW()-2,COUNTA(helper!$D$3:$D3996))+1))</f>
        <v/>
      </c>
      <c r="E3112" s="3" t="str">
        <f t="array" ref="E3112">IF(B3112="","",INDEX(helper!$F$3:$F3996,MOD(ROW()-2,COUNTA(helper!$D$3:$D3996))+1))</f>
        <v/>
      </c>
      <c r="F3112" s="3" t="str">
        <f>IF(B3112="","",SUMIFS('inventory ledger'!$H:$H,'inventory ledger'!$C:$C,C3112,'inventory ledger'!$D:$D,D3112,'inventory ledger'!$E:$E,E3112,'inventory ledger'!$A:$A,"&lt;="&amp;B3112+TIME(23,59,59))-SUMIFS('inventory ledger'!$I:$I,'inventory ledger'!$C:$C,C3112,'inventory ledger'!$D:$D,D3112,'inventory ledger'!$E:$E,E3112,'inventory ledger'!$A:$A,"&lt;="&amp;B3112+TIME(23,59,59)))</f>
        <v/>
      </c>
      <c r="G3112" s="3">
        <f>IFERROR(__xludf.DUMMYFUNCTION("IF(F3112&lt;=0,0,IFERROR(ROUNDUP(F3112/INDEX(FILTER('warehouse config'!$D:$D,('warehouse config'!$B:$B=C3112)*('warehouse config'!$C:$C=D3112)*('warehouse config'!$G:$G&lt;=B3112)*(('warehouse config'!$H:$H&gt;=B3112)+ISBLANK('warehouse config'!$H:$H))),1)),0))"),0.0)</f>
        <v>0</v>
      </c>
      <c r="H3112" s="3">
        <f>IFERROR(__xludf.DUMMYFUNCTION("IFERROR(INDEX(FILTER('cost master'!$E:$E,('cost master'!$B:$B=C3112)*('cost master'!$D:$D=""Storage cost per pallet / week"")*('cost master'!$G:$G&lt;=B3112)*(('cost master'!$H:$H&gt;=B3112)+ISBLANK('cost master'!$H:$H))),1),0)"),0.0)</f>
        <v>0</v>
      </c>
      <c r="I3112" s="3">
        <f t="shared" si="4"/>
        <v>0</v>
      </c>
      <c r="J3112" s="27">
        <f t="shared" si="5"/>
        <v>693947</v>
      </c>
      <c r="K3112" s="27">
        <f t="shared" si="6"/>
        <v>693977</v>
      </c>
    </row>
    <row r="3113" hidden="1">
      <c r="A3113" s="3" t="str">
        <f t="shared" si="3"/>
        <v/>
      </c>
      <c r="B3113" s="2" t="str">
        <f t="array" ref="B3113">INDEX(helper!$A$3:$A3996,ROUNDUP((ROW()-1)/COUNTA(helper!$D$3:$D3996),0))</f>
        <v/>
      </c>
      <c r="C3113" s="5" t="str">
        <f t="array" ref="C3113">IF(B3113="","",INDEX(helper!$D$3:$D3996,MOD(ROW()-2,COUNTA(helper!$D$3:$D3996))+1))</f>
        <v/>
      </c>
      <c r="D3113" s="3" t="str">
        <f t="array" ref="D3113">IF(B3113="","",INDEX(helper!$E$3:$E3996,MOD(ROW()-2,COUNTA(helper!$D$3:$D3996))+1))</f>
        <v/>
      </c>
      <c r="E3113" s="3" t="str">
        <f t="array" ref="E3113">IF(B3113="","",INDEX(helper!$F$3:$F3996,MOD(ROW()-2,COUNTA(helper!$D$3:$D3996))+1))</f>
        <v/>
      </c>
      <c r="F3113" s="3" t="str">
        <f>IF(B3113="","",SUMIFS('inventory ledger'!$H:$H,'inventory ledger'!$C:$C,C3113,'inventory ledger'!$D:$D,D3113,'inventory ledger'!$E:$E,E3113,'inventory ledger'!$A:$A,"&lt;="&amp;B3113+TIME(23,59,59))-SUMIFS('inventory ledger'!$I:$I,'inventory ledger'!$C:$C,C3113,'inventory ledger'!$D:$D,D3113,'inventory ledger'!$E:$E,E3113,'inventory ledger'!$A:$A,"&lt;="&amp;B3113+TIME(23,59,59)))</f>
        <v/>
      </c>
      <c r="G3113" s="3">
        <f>IFERROR(__xludf.DUMMYFUNCTION("IF(F3113&lt;=0,0,IFERROR(ROUNDUP(F3113/INDEX(FILTER('warehouse config'!$D:$D,('warehouse config'!$B:$B=C3113)*('warehouse config'!$C:$C=D3113)*('warehouse config'!$G:$G&lt;=B3113)*(('warehouse config'!$H:$H&gt;=B3113)+ISBLANK('warehouse config'!$H:$H))),1)),0))"),0.0)</f>
        <v>0</v>
      </c>
      <c r="H3113" s="3">
        <f>IFERROR(__xludf.DUMMYFUNCTION("IFERROR(INDEX(FILTER('cost master'!$E:$E,('cost master'!$B:$B=C3113)*('cost master'!$D:$D=""Storage cost per pallet / week"")*('cost master'!$G:$G&lt;=B3113)*(('cost master'!$H:$H&gt;=B3113)+ISBLANK('cost master'!$H:$H))),1),0)"),0.0)</f>
        <v>0</v>
      </c>
      <c r="I3113" s="3">
        <f t="shared" si="4"/>
        <v>0</v>
      </c>
      <c r="J3113" s="27">
        <f t="shared" si="5"/>
        <v>693947</v>
      </c>
      <c r="K3113" s="27">
        <f t="shared" si="6"/>
        <v>693977</v>
      </c>
    </row>
    <row r="3114" hidden="1">
      <c r="A3114" s="3" t="str">
        <f t="shared" si="3"/>
        <v/>
      </c>
      <c r="B3114" s="2" t="str">
        <f t="array" ref="B3114">INDEX(helper!$A$3:$A3996,ROUNDUP((ROW()-1)/COUNTA(helper!$D$3:$D3996),0))</f>
        <v/>
      </c>
      <c r="C3114" s="5" t="str">
        <f t="array" ref="C3114">IF(B3114="","",INDEX(helper!$D$3:$D3996,MOD(ROW()-2,COUNTA(helper!$D$3:$D3996))+1))</f>
        <v/>
      </c>
      <c r="D3114" s="3" t="str">
        <f t="array" ref="D3114">IF(B3114="","",INDEX(helper!$E$3:$E3996,MOD(ROW()-2,COUNTA(helper!$D$3:$D3996))+1))</f>
        <v/>
      </c>
      <c r="E3114" s="3" t="str">
        <f t="array" ref="E3114">IF(B3114="","",INDEX(helper!$F$3:$F3996,MOD(ROW()-2,COUNTA(helper!$D$3:$D3996))+1))</f>
        <v/>
      </c>
      <c r="F3114" s="3" t="str">
        <f>IF(B3114="","",SUMIFS('inventory ledger'!$H:$H,'inventory ledger'!$C:$C,C3114,'inventory ledger'!$D:$D,D3114,'inventory ledger'!$E:$E,E3114,'inventory ledger'!$A:$A,"&lt;="&amp;B3114+TIME(23,59,59))-SUMIFS('inventory ledger'!$I:$I,'inventory ledger'!$C:$C,C3114,'inventory ledger'!$D:$D,D3114,'inventory ledger'!$E:$E,E3114,'inventory ledger'!$A:$A,"&lt;="&amp;B3114+TIME(23,59,59)))</f>
        <v/>
      </c>
      <c r="G3114" s="3">
        <f>IFERROR(__xludf.DUMMYFUNCTION("IF(F3114&lt;=0,0,IFERROR(ROUNDUP(F3114/INDEX(FILTER('warehouse config'!$D:$D,('warehouse config'!$B:$B=C3114)*('warehouse config'!$C:$C=D3114)*('warehouse config'!$G:$G&lt;=B3114)*(('warehouse config'!$H:$H&gt;=B3114)+ISBLANK('warehouse config'!$H:$H))),1)),0))"),0.0)</f>
        <v>0</v>
      </c>
      <c r="H3114" s="3">
        <f>IFERROR(__xludf.DUMMYFUNCTION("IFERROR(INDEX(FILTER('cost master'!$E:$E,('cost master'!$B:$B=C3114)*('cost master'!$D:$D=""Storage cost per pallet / week"")*('cost master'!$G:$G&lt;=B3114)*(('cost master'!$H:$H&gt;=B3114)+ISBLANK('cost master'!$H:$H))),1),0)"),0.0)</f>
        <v>0</v>
      </c>
      <c r="I3114" s="3">
        <f t="shared" si="4"/>
        <v>0</v>
      </c>
      <c r="J3114" s="27">
        <f t="shared" si="5"/>
        <v>693947</v>
      </c>
      <c r="K3114" s="27">
        <f t="shared" si="6"/>
        <v>693977</v>
      </c>
    </row>
    <row r="3115" hidden="1">
      <c r="A3115" s="3" t="str">
        <f t="shared" si="3"/>
        <v/>
      </c>
      <c r="B3115" s="2" t="str">
        <f t="array" ref="B3115">INDEX(helper!$A$3:$A3996,ROUNDUP((ROW()-1)/COUNTA(helper!$D$3:$D3996),0))</f>
        <v/>
      </c>
      <c r="C3115" s="5" t="str">
        <f t="array" ref="C3115">IF(B3115="","",INDEX(helper!$D$3:$D3996,MOD(ROW()-2,COUNTA(helper!$D$3:$D3996))+1))</f>
        <v/>
      </c>
      <c r="D3115" s="3" t="str">
        <f t="array" ref="D3115">IF(B3115="","",INDEX(helper!$E$3:$E3996,MOD(ROW()-2,COUNTA(helper!$D$3:$D3996))+1))</f>
        <v/>
      </c>
      <c r="E3115" s="3" t="str">
        <f t="array" ref="E3115">IF(B3115="","",INDEX(helper!$F$3:$F3996,MOD(ROW()-2,COUNTA(helper!$D$3:$D3996))+1))</f>
        <v/>
      </c>
      <c r="F3115" s="3" t="str">
        <f>IF(B3115="","",SUMIFS('inventory ledger'!$H:$H,'inventory ledger'!$C:$C,C3115,'inventory ledger'!$D:$D,D3115,'inventory ledger'!$E:$E,E3115,'inventory ledger'!$A:$A,"&lt;="&amp;B3115+TIME(23,59,59))-SUMIFS('inventory ledger'!$I:$I,'inventory ledger'!$C:$C,C3115,'inventory ledger'!$D:$D,D3115,'inventory ledger'!$E:$E,E3115,'inventory ledger'!$A:$A,"&lt;="&amp;B3115+TIME(23,59,59)))</f>
        <v/>
      </c>
      <c r="G3115" s="3">
        <f>IFERROR(__xludf.DUMMYFUNCTION("IF(F3115&lt;=0,0,IFERROR(ROUNDUP(F3115/INDEX(FILTER('warehouse config'!$D:$D,('warehouse config'!$B:$B=C3115)*('warehouse config'!$C:$C=D3115)*('warehouse config'!$G:$G&lt;=B3115)*(('warehouse config'!$H:$H&gt;=B3115)+ISBLANK('warehouse config'!$H:$H))),1)),0))"),0.0)</f>
        <v>0</v>
      </c>
      <c r="H3115" s="3">
        <f>IFERROR(__xludf.DUMMYFUNCTION("IFERROR(INDEX(FILTER('cost master'!$E:$E,('cost master'!$B:$B=C3115)*('cost master'!$D:$D=""Storage cost per pallet / week"")*('cost master'!$G:$G&lt;=B3115)*(('cost master'!$H:$H&gt;=B3115)+ISBLANK('cost master'!$H:$H))),1),0)"),0.0)</f>
        <v>0</v>
      </c>
      <c r="I3115" s="3">
        <f t="shared" si="4"/>
        <v>0</v>
      </c>
      <c r="J3115" s="27">
        <f t="shared" si="5"/>
        <v>693947</v>
      </c>
      <c r="K3115" s="27">
        <f t="shared" si="6"/>
        <v>693977</v>
      </c>
    </row>
    <row r="3116" hidden="1">
      <c r="A3116" s="3" t="str">
        <f t="shared" si="3"/>
        <v/>
      </c>
      <c r="B3116" s="2" t="str">
        <f t="array" ref="B3116">INDEX(helper!$A$3:$A3996,ROUNDUP((ROW()-1)/COUNTA(helper!$D$3:$D3996),0))</f>
        <v/>
      </c>
      <c r="C3116" s="5" t="str">
        <f t="array" ref="C3116">IF(B3116="","",INDEX(helper!$D$3:$D3996,MOD(ROW()-2,COUNTA(helper!$D$3:$D3996))+1))</f>
        <v/>
      </c>
      <c r="D3116" s="3" t="str">
        <f t="array" ref="D3116">IF(B3116="","",INDEX(helper!$E$3:$E3996,MOD(ROW()-2,COUNTA(helper!$D$3:$D3996))+1))</f>
        <v/>
      </c>
      <c r="E3116" s="3" t="str">
        <f t="array" ref="E3116">IF(B3116="","",INDEX(helper!$F$3:$F3996,MOD(ROW()-2,COUNTA(helper!$D$3:$D3996))+1))</f>
        <v/>
      </c>
      <c r="F3116" s="3" t="str">
        <f>IF(B3116="","",SUMIFS('inventory ledger'!$H:$H,'inventory ledger'!$C:$C,C3116,'inventory ledger'!$D:$D,D3116,'inventory ledger'!$E:$E,E3116,'inventory ledger'!$A:$A,"&lt;="&amp;B3116+TIME(23,59,59))-SUMIFS('inventory ledger'!$I:$I,'inventory ledger'!$C:$C,C3116,'inventory ledger'!$D:$D,D3116,'inventory ledger'!$E:$E,E3116,'inventory ledger'!$A:$A,"&lt;="&amp;B3116+TIME(23,59,59)))</f>
        <v/>
      </c>
      <c r="G3116" s="3">
        <f>IFERROR(__xludf.DUMMYFUNCTION("IF(F3116&lt;=0,0,IFERROR(ROUNDUP(F3116/INDEX(FILTER('warehouse config'!$D:$D,('warehouse config'!$B:$B=C3116)*('warehouse config'!$C:$C=D3116)*('warehouse config'!$G:$G&lt;=B3116)*(('warehouse config'!$H:$H&gt;=B3116)+ISBLANK('warehouse config'!$H:$H))),1)),0))"),0.0)</f>
        <v>0</v>
      </c>
      <c r="H3116" s="3">
        <f>IFERROR(__xludf.DUMMYFUNCTION("IFERROR(INDEX(FILTER('cost master'!$E:$E,('cost master'!$B:$B=C3116)*('cost master'!$D:$D=""Storage cost per pallet / week"")*('cost master'!$G:$G&lt;=B3116)*(('cost master'!$H:$H&gt;=B3116)+ISBLANK('cost master'!$H:$H))),1),0)"),0.0)</f>
        <v>0</v>
      </c>
      <c r="I3116" s="3">
        <f t="shared" si="4"/>
        <v>0</v>
      </c>
      <c r="J3116" s="27">
        <f t="shared" si="5"/>
        <v>693947</v>
      </c>
      <c r="K3116" s="27">
        <f t="shared" si="6"/>
        <v>693977</v>
      </c>
    </row>
    <row r="3117" hidden="1">
      <c r="A3117" s="3" t="str">
        <f t="shared" si="3"/>
        <v/>
      </c>
      <c r="B3117" s="2" t="str">
        <f t="array" ref="B3117">INDEX(helper!$A$3:$A3996,ROUNDUP((ROW()-1)/COUNTA(helper!$D$3:$D3996),0))</f>
        <v/>
      </c>
      <c r="C3117" s="5" t="str">
        <f t="array" ref="C3117">IF(B3117="","",INDEX(helper!$D$3:$D3996,MOD(ROW()-2,COUNTA(helper!$D$3:$D3996))+1))</f>
        <v/>
      </c>
      <c r="D3117" s="3" t="str">
        <f t="array" ref="D3117">IF(B3117="","",INDEX(helper!$E$3:$E3996,MOD(ROW()-2,COUNTA(helper!$D$3:$D3996))+1))</f>
        <v/>
      </c>
      <c r="E3117" s="3" t="str">
        <f t="array" ref="E3117">IF(B3117="","",INDEX(helper!$F$3:$F3996,MOD(ROW()-2,COUNTA(helper!$D$3:$D3996))+1))</f>
        <v/>
      </c>
      <c r="F3117" s="3" t="str">
        <f>IF(B3117="","",SUMIFS('inventory ledger'!$H:$H,'inventory ledger'!$C:$C,C3117,'inventory ledger'!$D:$D,D3117,'inventory ledger'!$E:$E,E3117,'inventory ledger'!$A:$A,"&lt;="&amp;B3117+TIME(23,59,59))-SUMIFS('inventory ledger'!$I:$I,'inventory ledger'!$C:$C,C3117,'inventory ledger'!$D:$D,D3117,'inventory ledger'!$E:$E,E3117,'inventory ledger'!$A:$A,"&lt;="&amp;B3117+TIME(23,59,59)))</f>
        <v/>
      </c>
      <c r="G3117" s="3">
        <f>IFERROR(__xludf.DUMMYFUNCTION("IF(F3117&lt;=0,0,IFERROR(ROUNDUP(F3117/INDEX(FILTER('warehouse config'!$D:$D,('warehouse config'!$B:$B=C3117)*('warehouse config'!$C:$C=D3117)*('warehouse config'!$G:$G&lt;=B3117)*(('warehouse config'!$H:$H&gt;=B3117)+ISBLANK('warehouse config'!$H:$H))),1)),0))"),0.0)</f>
        <v>0</v>
      </c>
      <c r="H3117" s="3">
        <f>IFERROR(__xludf.DUMMYFUNCTION("IFERROR(INDEX(FILTER('cost master'!$E:$E,('cost master'!$B:$B=C3117)*('cost master'!$D:$D=""Storage cost per pallet / week"")*('cost master'!$G:$G&lt;=B3117)*(('cost master'!$H:$H&gt;=B3117)+ISBLANK('cost master'!$H:$H))),1),0)"),0.0)</f>
        <v>0</v>
      </c>
      <c r="I3117" s="3">
        <f t="shared" si="4"/>
        <v>0</v>
      </c>
      <c r="J3117" s="27">
        <f t="shared" si="5"/>
        <v>693947</v>
      </c>
      <c r="K3117" s="27">
        <f t="shared" si="6"/>
        <v>693977</v>
      </c>
    </row>
    <row r="3118" hidden="1">
      <c r="A3118" s="3" t="str">
        <f t="shared" si="3"/>
        <v/>
      </c>
      <c r="B3118" s="2" t="str">
        <f t="array" ref="B3118">INDEX(helper!$A$3:$A3996,ROUNDUP((ROW()-1)/COUNTA(helper!$D$3:$D3996),0))</f>
        <v/>
      </c>
      <c r="C3118" s="5" t="str">
        <f t="array" ref="C3118">IF(B3118="","",INDEX(helper!$D$3:$D3996,MOD(ROW()-2,COUNTA(helper!$D$3:$D3996))+1))</f>
        <v/>
      </c>
      <c r="D3118" s="3" t="str">
        <f t="array" ref="D3118">IF(B3118="","",INDEX(helper!$E$3:$E3996,MOD(ROW()-2,COUNTA(helper!$D$3:$D3996))+1))</f>
        <v/>
      </c>
      <c r="E3118" s="3" t="str">
        <f t="array" ref="E3118">IF(B3118="","",INDEX(helper!$F$3:$F3996,MOD(ROW()-2,COUNTA(helper!$D$3:$D3996))+1))</f>
        <v/>
      </c>
      <c r="F3118" s="3" t="str">
        <f>IF(B3118="","",SUMIFS('inventory ledger'!$H:$H,'inventory ledger'!$C:$C,C3118,'inventory ledger'!$D:$D,D3118,'inventory ledger'!$E:$E,E3118,'inventory ledger'!$A:$A,"&lt;="&amp;B3118+TIME(23,59,59))-SUMIFS('inventory ledger'!$I:$I,'inventory ledger'!$C:$C,C3118,'inventory ledger'!$D:$D,D3118,'inventory ledger'!$E:$E,E3118,'inventory ledger'!$A:$A,"&lt;="&amp;B3118+TIME(23,59,59)))</f>
        <v/>
      </c>
      <c r="G3118" s="3">
        <f>IFERROR(__xludf.DUMMYFUNCTION("IF(F3118&lt;=0,0,IFERROR(ROUNDUP(F3118/INDEX(FILTER('warehouse config'!$D:$D,('warehouse config'!$B:$B=C3118)*('warehouse config'!$C:$C=D3118)*('warehouse config'!$G:$G&lt;=B3118)*(('warehouse config'!$H:$H&gt;=B3118)+ISBLANK('warehouse config'!$H:$H))),1)),0))"),0.0)</f>
        <v>0</v>
      </c>
      <c r="H3118" s="3">
        <f>IFERROR(__xludf.DUMMYFUNCTION("IFERROR(INDEX(FILTER('cost master'!$E:$E,('cost master'!$B:$B=C3118)*('cost master'!$D:$D=""Storage cost per pallet / week"")*('cost master'!$G:$G&lt;=B3118)*(('cost master'!$H:$H&gt;=B3118)+ISBLANK('cost master'!$H:$H))),1),0)"),0.0)</f>
        <v>0</v>
      </c>
      <c r="I3118" s="3">
        <f t="shared" si="4"/>
        <v>0</v>
      </c>
      <c r="J3118" s="27">
        <f t="shared" si="5"/>
        <v>693947</v>
      </c>
      <c r="K3118" s="27">
        <f t="shared" si="6"/>
        <v>693977</v>
      </c>
    </row>
    <row r="3119" hidden="1">
      <c r="A3119" s="3" t="str">
        <f t="shared" si="3"/>
        <v/>
      </c>
      <c r="B3119" s="2" t="str">
        <f t="array" ref="B3119">INDEX(helper!$A$3:$A3996,ROUNDUP((ROW()-1)/COUNTA(helper!$D$3:$D3996),0))</f>
        <v/>
      </c>
      <c r="C3119" s="5" t="str">
        <f t="array" ref="C3119">IF(B3119="","",INDEX(helper!$D$3:$D3996,MOD(ROW()-2,COUNTA(helper!$D$3:$D3996))+1))</f>
        <v/>
      </c>
      <c r="D3119" s="3" t="str">
        <f t="array" ref="D3119">IF(B3119="","",INDEX(helper!$E$3:$E3996,MOD(ROW()-2,COUNTA(helper!$D$3:$D3996))+1))</f>
        <v/>
      </c>
      <c r="E3119" s="3" t="str">
        <f t="array" ref="E3119">IF(B3119="","",INDEX(helper!$F$3:$F3996,MOD(ROW()-2,COUNTA(helper!$D$3:$D3996))+1))</f>
        <v/>
      </c>
      <c r="F3119" s="3" t="str">
        <f>IF(B3119="","",SUMIFS('inventory ledger'!$H:$H,'inventory ledger'!$C:$C,C3119,'inventory ledger'!$D:$D,D3119,'inventory ledger'!$E:$E,E3119,'inventory ledger'!$A:$A,"&lt;="&amp;B3119+TIME(23,59,59))-SUMIFS('inventory ledger'!$I:$I,'inventory ledger'!$C:$C,C3119,'inventory ledger'!$D:$D,D3119,'inventory ledger'!$E:$E,E3119,'inventory ledger'!$A:$A,"&lt;="&amp;B3119+TIME(23,59,59)))</f>
        <v/>
      </c>
      <c r="G3119" s="3">
        <f>IFERROR(__xludf.DUMMYFUNCTION("IF(F3119&lt;=0,0,IFERROR(ROUNDUP(F3119/INDEX(FILTER('warehouse config'!$D:$D,('warehouse config'!$B:$B=C3119)*('warehouse config'!$C:$C=D3119)*('warehouse config'!$G:$G&lt;=B3119)*(('warehouse config'!$H:$H&gt;=B3119)+ISBLANK('warehouse config'!$H:$H))),1)),0))"),0.0)</f>
        <v>0</v>
      </c>
      <c r="H3119" s="3">
        <f>IFERROR(__xludf.DUMMYFUNCTION("IFERROR(INDEX(FILTER('cost master'!$E:$E,('cost master'!$B:$B=C3119)*('cost master'!$D:$D=""Storage cost per pallet / week"")*('cost master'!$G:$G&lt;=B3119)*(('cost master'!$H:$H&gt;=B3119)+ISBLANK('cost master'!$H:$H))),1),0)"),0.0)</f>
        <v>0</v>
      </c>
      <c r="I3119" s="3">
        <f t="shared" si="4"/>
        <v>0</v>
      </c>
      <c r="J3119" s="27">
        <f t="shared" si="5"/>
        <v>693947</v>
      </c>
      <c r="K3119" s="27">
        <f t="shared" si="6"/>
        <v>693977</v>
      </c>
    </row>
    <row r="3120" hidden="1">
      <c r="A3120" s="3" t="str">
        <f t="shared" si="3"/>
        <v/>
      </c>
      <c r="B3120" s="2" t="str">
        <f t="array" ref="B3120">INDEX(helper!$A$3:$A3996,ROUNDUP((ROW()-1)/COUNTA(helper!$D$3:$D3996),0))</f>
        <v/>
      </c>
      <c r="C3120" s="5" t="str">
        <f t="array" ref="C3120">IF(B3120="","",INDEX(helper!$D$3:$D3996,MOD(ROW()-2,COUNTA(helper!$D$3:$D3996))+1))</f>
        <v/>
      </c>
      <c r="D3120" s="3" t="str">
        <f t="array" ref="D3120">IF(B3120="","",INDEX(helper!$E$3:$E3996,MOD(ROW()-2,COUNTA(helper!$D$3:$D3996))+1))</f>
        <v/>
      </c>
      <c r="E3120" s="3" t="str">
        <f t="array" ref="E3120">IF(B3120="","",INDEX(helper!$F$3:$F3996,MOD(ROW()-2,COUNTA(helper!$D$3:$D3996))+1))</f>
        <v/>
      </c>
      <c r="F3120" s="3" t="str">
        <f>IF(B3120="","",SUMIFS('inventory ledger'!$H:$H,'inventory ledger'!$C:$C,C3120,'inventory ledger'!$D:$D,D3120,'inventory ledger'!$E:$E,E3120,'inventory ledger'!$A:$A,"&lt;="&amp;B3120+TIME(23,59,59))-SUMIFS('inventory ledger'!$I:$I,'inventory ledger'!$C:$C,C3120,'inventory ledger'!$D:$D,D3120,'inventory ledger'!$E:$E,E3120,'inventory ledger'!$A:$A,"&lt;="&amp;B3120+TIME(23,59,59)))</f>
        <v/>
      </c>
      <c r="G3120" s="3">
        <f>IFERROR(__xludf.DUMMYFUNCTION("IF(F3120&lt;=0,0,IFERROR(ROUNDUP(F3120/INDEX(FILTER('warehouse config'!$D:$D,('warehouse config'!$B:$B=C3120)*('warehouse config'!$C:$C=D3120)*('warehouse config'!$G:$G&lt;=B3120)*(('warehouse config'!$H:$H&gt;=B3120)+ISBLANK('warehouse config'!$H:$H))),1)),0))"),0.0)</f>
        <v>0</v>
      </c>
      <c r="H3120" s="3">
        <f>IFERROR(__xludf.DUMMYFUNCTION("IFERROR(INDEX(FILTER('cost master'!$E:$E,('cost master'!$B:$B=C3120)*('cost master'!$D:$D=""Storage cost per pallet / week"")*('cost master'!$G:$G&lt;=B3120)*(('cost master'!$H:$H&gt;=B3120)+ISBLANK('cost master'!$H:$H))),1),0)"),0.0)</f>
        <v>0</v>
      </c>
      <c r="I3120" s="3">
        <f t="shared" si="4"/>
        <v>0</v>
      </c>
      <c r="J3120" s="27">
        <f t="shared" si="5"/>
        <v>693947</v>
      </c>
      <c r="K3120" s="27">
        <f t="shared" si="6"/>
        <v>693977</v>
      </c>
    </row>
    <row r="3121" hidden="1">
      <c r="A3121" s="3" t="str">
        <f t="shared" si="3"/>
        <v/>
      </c>
      <c r="B3121" s="2" t="str">
        <f t="array" ref="B3121">INDEX(helper!$A$3:$A3996,ROUNDUP((ROW()-1)/COUNTA(helper!$D$3:$D3996),0))</f>
        <v/>
      </c>
      <c r="C3121" s="5" t="str">
        <f t="array" ref="C3121">IF(B3121="","",INDEX(helper!$D$3:$D3996,MOD(ROW()-2,COUNTA(helper!$D$3:$D3996))+1))</f>
        <v/>
      </c>
      <c r="D3121" s="3" t="str">
        <f t="array" ref="D3121">IF(B3121="","",INDEX(helper!$E$3:$E3996,MOD(ROW()-2,COUNTA(helper!$D$3:$D3996))+1))</f>
        <v/>
      </c>
      <c r="E3121" s="3" t="str">
        <f t="array" ref="E3121">IF(B3121="","",INDEX(helper!$F$3:$F3996,MOD(ROW()-2,COUNTA(helper!$D$3:$D3996))+1))</f>
        <v/>
      </c>
      <c r="F3121" s="3" t="str">
        <f>IF(B3121="","",SUMIFS('inventory ledger'!$H:$H,'inventory ledger'!$C:$C,C3121,'inventory ledger'!$D:$D,D3121,'inventory ledger'!$E:$E,E3121,'inventory ledger'!$A:$A,"&lt;="&amp;B3121+TIME(23,59,59))-SUMIFS('inventory ledger'!$I:$I,'inventory ledger'!$C:$C,C3121,'inventory ledger'!$D:$D,D3121,'inventory ledger'!$E:$E,E3121,'inventory ledger'!$A:$A,"&lt;="&amp;B3121+TIME(23,59,59)))</f>
        <v/>
      </c>
      <c r="G3121" s="3">
        <f>IFERROR(__xludf.DUMMYFUNCTION("IF(F3121&lt;=0,0,IFERROR(ROUNDUP(F3121/INDEX(FILTER('warehouse config'!$D:$D,('warehouse config'!$B:$B=C3121)*('warehouse config'!$C:$C=D3121)*('warehouse config'!$G:$G&lt;=B3121)*(('warehouse config'!$H:$H&gt;=B3121)+ISBLANK('warehouse config'!$H:$H))),1)),0))"),0.0)</f>
        <v>0</v>
      </c>
      <c r="H3121" s="3">
        <f>IFERROR(__xludf.DUMMYFUNCTION("IFERROR(INDEX(FILTER('cost master'!$E:$E,('cost master'!$B:$B=C3121)*('cost master'!$D:$D=""Storage cost per pallet / week"")*('cost master'!$G:$G&lt;=B3121)*(('cost master'!$H:$H&gt;=B3121)+ISBLANK('cost master'!$H:$H))),1),0)"),0.0)</f>
        <v>0</v>
      </c>
      <c r="I3121" s="3">
        <f t="shared" si="4"/>
        <v>0</v>
      </c>
      <c r="J3121" s="27">
        <f t="shared" si="5"/>
        <v>693947</v>
      </c>
      <c r="K3121" s="27">
        <f t="shared" si="6"/>
        <v>693977</v>
      </c>
    </row>
    <row r="3122" hidden="1">
      <c r="A3122" s="3" t="str">
        <f t="shared" si="3"/>
        <v/>
      </c>
      <c r="B3122" s="2" t="str">
        <f t="array" ref="B3122">INDEX(helper!$A$3:$A3996,ROUNDUP((ROW()-1)/COUNTA(helper!$D$3:$D3996),0))</f>
        <v/>
      </c>
      <c r="C3122" s="5" t="str">
        <f t="array" ref="C3122">IF(B3122="","",INDEX(helper!$D$3:$D3996,MOD(ROW()-2,COUNTA(helper!$D$3:$D3996))+1))</f>
        <v/>
      </c>
      <c r="D3122" s="3" t="str">
        <f t="array" ref="D3122">IF(B3122="","",INDEX(helper!$E$3:$E3996,MOD(ROW()-2,COUNTA(helper!$D$3:$D3996))+1))</f>
        <v/>
      </c>
      <c r="E3122" s="3" t="str">
        <f t="array" ref="E3122">IF(B3122="","",INDEX(helper!$F$3:$F3996,MOD(ROW()-2,COUNTA(helper!$D$3:$D3996))+1))</f>
        <v/>
      </c>
      <c r="F3122" s="3" t="str">
        <f>IF(B3122="","",SUMIFS('inventory ledger'!$H:$H,'inventory ledger'!$C:$C,C3122,'inventory ledger'!$D:$D,D3122,'inventory ledger'!$E:$E,E3122,'inventory ledger'!$A:$A,"&lt;="&amp;B3122+TIME(23,59,59))-SUMIFS('inventory ledger'!$I:$I,'inventory ledger'!$C:$C,C3122,'inventory ledger'!$D:$D,D3122,'inventory ledger'!$E:$E,E3122,'inventory ledger'!$A:$A,"&lt;="&amp;B3122+TIME(23,59,59)))</f>
        <v/>
      </c>
      <c r="G3122" s="3">
        <f>IFERROR(__xludf.DUMMYFUNCTION("IF(F3122&lt;=0,0,IFERROR(ROUNDUP(F3122/INDEX(FILTER('warehouse config'!$D:$D,('warehouse config'!$B:$B=C3122)*('warehouse config'!$C:$C=D3122)*('warehouse config'!$G:$G&lt;=B3122)*(('warehouse config'!$H:$H&gt;=B3122)+ISBLANK('warehouse config'!$H:$H))),1)),0))"),0.0)</f>
        <v>0</v>
      </c>
      <c r="H3122" s="3">
        <f>IFERROR(__xludf.DUMMYFUNCTION("IFERROR(INDEX(FILTER('cost master'!$E:$E,('cost master'!$B:$B=C3122)*('cost master'!$D:$D=""Storage cost per pallet / week"")*('cost master'!$G:$G&lt;=B3122)*(('cost master'!$H:$H&gt;=B3122)+ISBLANK('cost master'!$H:$H))),1),0)"),0.0)</f>
        <v>0</v>
      </c>
      <c r="I3122" s="3">
        <f t="shared" si="4"/>
        <v>0</v>
      </c>
      <c r="J3122" s="27">
        <f t="shared" si="5"/>
        <v>693947</v>
      </c>
      <c r="K3122" s="27">
        <f t="shared" si="6"/>
        <v>693977</v>
      </c>
    </row>
    <row r="3123" hidden="1">
      <c r="A3123" s="3" t="str">
        <f t="shared" si="3"/>
        <v/>
      </c>
      <c r="B3123" s="2" t="str">
        <f t="array" ref="B3123">INDEX(helper!$A$3:$A3996,ROUNDUP((ROW()-1)/COUNTA(helper!$D$3:$D3996),0))</f>
        <v/>
      </c>
      <c r="C3123" s="5" t="str">
        <f t="array" ref="C3123">IF(B3123="","",INDEX(helper!$D$3:$D3996,MOD(ROW()-2,COUNTA(helper!$D$3:$D3996))+1))</f>
        <v/>
      </c>
      <c r="D3123" s="3" t="str">
        <f t="array" ref="D3123">IF(B3123="","",INDEX(helper!$E$3:$E3996,MOD(ROW()-2,COUNTA(helper!$D$3:$D3996))+1))</f>
        <v/>
      </c>
      <c r="E3123" s="3" t="str">
        <f t="array" ref="E3123">IF(B3123="","",INDEX(helper!$F$3:$F3996,MOD(ROW()-2,COUNTA(helper!$D$3:$D3996))+1))</f>
        <v/>
      </c>
      <c r="F3123" s="3" t="str">
        <f>IF(B3123="","",SUMIFS('inventory ledger'!$H:$H,'inventory ledger'!$C:$C,C3123,'inventory ledger'!$D:$D,D3123,'inventory ledger'!$E:$E,E3123,'inventory ledger'!$A:$A,"&lt;="&amp;B3123+TIME(23,59,59))-SUMIFS('inventory ledger'!$I:$I,'inventory ledger'!$C:$C,C3123,'inventory ledger'!$D:$D,D3123,'inventory ledger'!$E:$E,E3123,'inventory ledger'!$A:$A,"&lt;="&amp;B3123+TIME(23,59,59)))</f>
        <v/>
      </c>
      <c r="G3123" s="3">
        <f>IFERROR(__xludf.DUMMYFUNCTION("IF(F3123&lt;=0,0,IFERROR(ROUNDUP(F3123/INDEX(FILTER('warehouse config'!$D:$D,('warehouse config'!$B:$B=C3123)*('warehouse config'!$C:$C=D3123)*('warehouse config'!$G:$G&lt;=B3123)*(('warehouse config'!$H:$H&gt;=B3123)+ISBLANK('warehouse config'!$H:$H))),1)),0))"),0.0)</f>
        <v>0</v>
      </c>
      <c r="H3123" s="3">
        <f>IFERROR(__xludf.DUMMYFUNCTION("IFERROR(INDEX(FILTER('cost master'!$E:$E,('cost master'!$B:$B=C3123)*('cost master'!$D:$D=""Storage cost per pallet / week"")*('cost master'!$G:$G&lt;=B3123)*(('cost master'!$H:$H&gt;=B3123)+ISBLANK('cost master'!$H:$H))),1),0)"),0.0)</f>
        <v>0</v>
      </c>
      <c r="I3123" s="3">
        <f t="shared" si="4"/>
        <v>0</v>
      </c>
      <c r="J3123" s="27">
        <f t="shared" si="5"/>
        <v>693947</v>
      </c>
      <c r="K3123" s="27">
        <f t="shared" si="6"/>
        <v>693977</v>
      </c>
    </row>
    <row r="3124" hidden="1">
      <c r="A3124" s="3" t="str">
        <f t="shared" si="3"/>
        <v/>
      </c>
      <c r="B3124" s="2" t="str">
        <f t="array" ref="B3124">INDEX(helper!$A$3:$A3996,ROUNDUP((ROW()-1)/COUNTA(helper!$D$3:$D3996),0))</f>
        <v/>
      </c>
      <c r="C3124" s="5" t="str">
        <f t="array" ref="C3124">IF(B3124="","",INDEX(helper!$D$3:$D3996,MOD(ROW()-2,COUNTA(helper!$D$3:$D3996))+1))</f>
        <v/>
      </c>
      <c r="D3124" s="3" t="str">
        <f t="array" ref="D3124">IF(B3124="","",INDEX(helper!$E$3:$E3996,MOD(ROW()-2,COUNTA(helper!$D$3:$D3996))+1))</f>
        <v/>
      </c>
      <c r="E3124" s="3" t="str">
        <f t="array" ref="E3124">IF(B3124="","",INDEX(helper!$F$3:$F3996,MOD(ROW()-2,COUNTA(helper!$D$3:$D3996))+1))</f>
        <v/>
      </c>
      <c r="F3124" s="3" t="str">
        <f>IF(B3124="","",SUMIFS('inventory ledger'!$H:$H,'inventory ledger'!$C:$C,C3124,'inventory ledger'!$D:$D,D3124,'inventory ledger'!$E:$E,E3124,'inventory ledger'!$A:$A,"&lt;="&amp;B3124+TIME(23,59,59))-SUMIFS('inventory ledger'!$I:$I,'inventory ledger'!$C:$C,C3124,'inventory ledger'!$D:$D,D3124,'inventory ledger'!$E:$E,E3124,'inventory ledger'!$A:$A,"&lt;="&amp;B3124+TIME(23,59,59)))</f>
        <v/>
      </c>
      <c r="G3124" s="3">
        <f>IFERROR(__xludf.DUMMYFUNCTION("IF(F3124&lt;=0,0,IFERROR(ROUNDUP(F3124/INDEX(FILTER('warehouse config'!$D:$D,('warehouse config'!$B:$B=C3124)*('warehouse config'!$C:$C=D3124)*('warehouse config'!$G:$G&lt;=B3124)*(('warehouse config'!$H:$H&gt;=B3124)+ISBLANK('warehouse config'!$H:$H))),1)),0))"),0.0)</f>
        <v>0</v>
      </c>
      <c r="H3124" s="3">
        <f>IFERROR(__xludf.DUMMYFUNCTION("IFERROR(INDEX(FILTER('cost master'!$E:$E,('cost master'!$B:$B=C3124)*('cost master'!$D:$D=""Storage cost per pallet / week"")*('cost master'!$G:$G&lt;=B3124)*(('cost master'!$H:$H&gt;=B3124)+ISBLANK('cost master'!$H:$H))),1),0)"),0.0)</f>
        <v>0</v>
      </c>
      <c r="I3124" s="3">
        <f t="shared" si="4"/>
        <v>0</v>
      </c>
      <c r="J3124" s="27">
        <f t="shared" si="5"/>
        <v>693947</v>
      </c>
      <c r="K3124" s="27">
        <f t="shared" si="6"/>
        <v>693977</v>
      </c>
    </row>
    <row r="3125" hidden="1">
      <c r="A3125" s="3" t="str">
        <f t="shared" si="3"/>
        <v/>
      </c>
      <c r="B3125" s="2" t="str">
        <f t="array" ref="B3125">INDEX(helper!$A$3:$A3996,ROUNDUP((ROW()-1)/COUNTA(helper!$D$3:$D3996),0))</f>
        <v/>
      </c>
      <c r="C3125" s="5" t="str">
        <f t="array" ref="C3125">IF(B3125="","",INDEX(helper!$D$3:$D3996,MOD(ROW()-2,COUNTA(helper!$D$3:$D3996))+1))</f>
        <v/>
      </c>
      <c r="D3125" s="3" t="str">
        <f t="array" ref="D3125">IF(B3125="","",INDEX(helper!$E$3:$E3996,MOD(ROW()-2,COUNTA(helper!$D$3:$D3996))+1))</f>
        <v/>
      </c>
      <c r="E3125" s="3" t="str">
        <f t="array" ref="E3125">IF(B3125="","",INDEX(helper!$F$3:$F3996,MOD(ROW()-2,COUNTA(helper!$D$3:$D3996))+1))</f>
        <v/>
      </c>
      <c r="F3125" s="3" t="str">
        <f>IF(B3125="","",SUMIFS('inventory ledger'!$H:$H,'inventory ledger'!$C:$C,C3125,'inventory ledger'!$D:$D,D3125,'inventory ledger'!$E:$E,E3125,'inventory ledger'!$A:$A,"&lt;="&amp;B3125+TIME(23,59,59))-SUMIFS('inventory ledger'!$I:$I,'inventory ledger'!$C:$C,C3125,'inventory ledger'!$D:$D,D3125,'inventory ledger'!$E:$E,E3125,'inventory ledger'!$A:$A,"&lt;="&amp;B3125+TIME(23,59,59)))</f>
        <v/>
      </c>
      <c r="G3125" s="3">
        <f>IFERROR(__xludf.DUMMYFUNCTION("IF(F3125&lt;=0,0,IFERROR(ROUNDUP(F3125/INDEX(FILTER('warehouse config'!$D:$D,('warehouse config'!$B:$B=C3125)*('warehouse config'!$C:$C=D3125)*('warehouse config'!$G:$G&lt;=B3125)*(('warehouse config'!$H:$H&gt;=B3125)+ISBLANK('warehouse config'!$H:$H))),1)),0))"),0.0)</f>
        <v>0</v>
      </c>
      <c r="H3125" s="3">
        <f>IFERROR(__xludf.DUMMYFUNCTION("IFERROR(INDEX(FILTER('cost master'!$E:$E,('cost master'!$B:$B=C3125)*('cost master'!$D:$D=""Storage cost per pallet / week"")*('cost master'!$G:$G&lt;=B3125)*(('cost master'!$H:$H&gt;=B3125)+ISBLANK('cost master'!$H:$H))),1),0)"),0.0)</f>
        <v>0</v>
      </c>
      <c r="I3125" s="3">
        <f t="shared" si="4"/>
        <v>0</v>
      </c>
      <c r="J3125" s="27">
        <f t="shared" si="5"/>
        <v>693947</v>
      </c>
      <c r="K3125" s="27">
        <f t="shared" si="6"/>
        <v>693977</v>
      </c>
    </row>
    <row r="3126" hidden="1">
      <c r="A3126" s="3" t="str">
        <f t="shared" si="3"/>
        <v/>
      </c>
      <c r="B3126" s="2" t="str">
        <f t="array" ref="B3126">INDEX(helper!$A$3:$A3996,ROUNDUP((ROW()-1)/COUNTA(helper!$D$3:$D3996),0))</f>
        <v/>
      </c>
      <c r="C3126" s="5" t="str">
        <f t="array" ref="C3126">IF(B3126="","",INDEX(helper!$D$3:$D3996,MOD(ROW()-2,COUNTA(helper!$D$3:$D3996))+1))</f>
        <v/>
      </c>
      <c r="D3126" s="3" t="str">
        <f t="array" ref="D3126">IF(B3126="","",INDEX(helper!$E$3:$E3996,MOD(ROW()-2,COUNTA(helper!$D$3:$D3996))+1))</f>
        <v/>
      </c>
      <c r="E3126" s="3" t="str">
        <f t="array" ref="E3126">IF(B3126="","",INDEX(helper!$F$3:$F3996,MOD(ROW()-2,COUNTA(helper!$D$3:$D3996))+1))</f>
        <v/>
      </c>
      <c r="F3126" s="3" t="str">
        <f>IF(B3126="","",SUMIFS('inventory ledger'!$H:$H,'inventory ledger'!$C:$C,C3126,'inventory ledger'!$D:$D,D3126,'inventory ledger'!$E:$E,E3126,'inventory ledger'!$A:$A,"&lt;="&amp;B3126+TIME(23,59,59))-SUMIFS('inventory ledger'!$I:$I,'inventory ledger'!$C:$C,C3126,'inventory ledger'!$D:$D,D3126,'inventory ledger'!$E:$E,E3126,'inventory ledger'!$A:$A,"&lt;="&amp;B3126+TIME(23,59,59)))</f>
        <v/>
      </c>
      <c r="G3126" s="3">
        <f>IFERROR(__xludf.DUMMYFUNCTION("IF(F3126&lt;=0,0,IFERROR(ROUNDUP(F3126/INDEX(FILTER('warehouse config'!$D:$D,('warehouse config'!$B:$B=C3126)*('warehouse config'!$C:$C=D3126)*('warehouse config'!$G:$G&lt;=B3126)*(('warehouse config'!$H:$H&gt;=B3126)+ISBLANK('warehouse config'!$H:$H))),1)),0))"),0.0)</f>
        <v>0</v>
      </c>
      <c r="H3126" s="3">
        <f>IFERROR(__xludf.DUMMYFUNCTION("IFERROR(INDEX(FILTER('cost master'!$E:$E,('cost master'!$B:$B=C3126)*('cost master'!$D:$D=""Storage cost per pallet / week"")*('cost master'!$G:$G&lt;=B3126)*(('cost master'!$H:$H&gt;=B3126)+ISBLANK('cost master'!$H:$H))),1),0)"),0.0)</f>
        <v>0</v>
      </c>
      <c r="I3126" s="3">
        <f t="shared" si="4"/>
        <v>0</v>
      </c>
      <c r="J3126" s="27">
        <f t="shared" si="5"/>
        <v>693947</v>
      </c>
      <c r="K3126" s="27">
        <f t="shared" si="6"/>
        <v>693977</v>
      </c>
    </row>
    <row r="3127" hidden="1">
      <c r="A3127" s="3" t="str">
        <f t="shared" si="3"/>
        <v/>
      </c>
      <c r="B3127" s="2" t="str">
        <f t="array" ref="B3127">INDEX(helper!$A$3:$A3996,ROUNDUP((ROW()-1)/COUNTA(helper!$D$3:$D3996),0))</f>
        <v/>
      </c>
      <c r="C3127" s="5" t="str">
        <f t="array" ref="C3127">IF(B3127="","",INDEX(helper!$D$3:$D3996,MOD(ROW()-2,COUNTA(helper!$D$3:$D3996))+1))</f>
        <v/>
      </c>
      <c r="D3127" s="3" t="str">
        <f t="array" ref="D3127">IF(B3127="","",INDEX(helper!$E$3:$E3996,MOD(ROW()-2,COUNTA(helper!$D$3:$D3996))+1))</f>
        <v/>
      </c>
      <c r="E3127" s="3" t="str">
        <f t="array" ref="E3127">IF(B3127="","",INDEX(helper!$F$3:$F3996,MOD(ROW()-2,COUNTA(helper!$D$3:$D3996))+1))</f>
        <v/>
      </c>
      <c r="F3127" s="3" t="str">
        <f>IF(B3127="","",SUMIFS('inventory ledger'!$H:$H,'inventory ledger'!$C:$C,C3127,'inventory ledger'!$D:$D,D3127,'inventory ledger'!$E:$E,E3127,'inventory ledger'!$A:$A,"&lt;="&amp;B3127+TIME(23,59,59))-SUMIFS('inventory ledger'!$I:$I,'inventory ledger'!$C:$C,C3127,'inventory ledger'!$D:$D,D3127,'inventory ledger'!$E:$E,E3127,'inventory ledger'!$A:$A,"&lt;="&amp;B3127+TIME(23,59,59)))</f>
        <v/>
      </c>
      <c r="G3127" s="3">
        <f>IFERROR(__xludf.DUMMYFUNCTION("IF(F3127&lt;=0,0,IFERROR(ROUNDUP(F3127/INDEX(FILTER('warehouse config'!$D:$D,('warehouse config'!$B:$B=C3127)*('warehouse config'!$C:$C=D3127)*('warehouse config'!$G:$G&lt;=B3127)*(('warehouse config'!$H:$H&gt;=B3127)+ISBLANK('warehouse config'!$H:$H))),1)),0))"),0.0)</f>
        <v>0</v>
      </c>
      <c r="H3127" s="3">
        <f>IFERROR(__xludf.DUMMYFUNCTION("IFERROR(INDEX(FILTER('cost master'!$E:$E,('cost master'!$B:$B=C3127)*('cost master'!$D:$D=""Storage cost per pallet / week"")*('cost master'!$G:$G&lt;=B3127)*(('cost master'!$H:$H&gt;=B3127)+ISBLANK('cost master'!$H:$H))),1),0)"),0.0)</f>
        <v>0</v>
      </c>
      <c r="I3127" s="3">
        <f t="shared" si="4"/>
        <v>0</v>
      </c>
      <c r="J3127" s="27">
        <f t="shared" si="5"/>
        <v>693947</v>
      </c>
      <c r="K3127" s="27">
        <f t="shared" si="6"/>
        <v>693977</v>
      </c>
    </row>
    <row r="3128" hidden="1">
      <c r="A3128" s="3" t="str">
        <f t="shared" si="3"/>
        <v/>
      </c>
      <c r="B3128" s="2" t="str">
        <f t="array" ref="B3128">INDEX(helper!$A$3:$A3996,ROUNDUP((ROW()-1)/COUNTA(helper!$D$3:$D3996),0))</f>
        <v/>
      </c>
      <c r="C3128" s="5" t="str">
        <f t="array" ref="C3128">IF(B3128="","",INDEX(helper!$D$3:$D3996,MOD(ROW()-2,COUNTA(helper!$D$3:$D3996))+1))</f>
        <v/>
      </c>
      <c r="D3128" s="3" t="str">
        <f t="array" ref="D3128">IF(B3128="","",INDEX(helper!$E$3:$E3996,MOD(ROW()-2,COUNTA(helper!$D$3:$D3996))+1))</f>
        <v/>
      </c>
      <c r="E3128" s="3" t="str">
        <f t="array" ref="E3128">IF(B3128="","",INDEX(helper!$F$3:$F3996,MOD(ROW()-2,COUNTA(helper!$D$3:$D3996))+1))</f>
        <v/>
      </c>
      <c r="F3128" s="3" t="str">
        <f>IF(B3128="","",SUMIFS('inventory ledger'!$H:$H,'inventory ledger'!$C:$C,C3128,'inventory ledger'!$D:$D,D3128,'inventory ledger'!$E:$E,E3128,'inventory ledger'!$A:$A,"&lt;="&amp;B3128+TIME(23,59,59))-SUMIFS('inventory ledger'!$I:$I,'inventory ledger'!$C:$C,C3128,'inventory ledger'!$D:$D,D3128,'inventory ledger'!$E:$E,E3128,'inventory ledger'!$A:$A,"&lt;="&amp;B3128+TIME(23,59,59)))</f>
        <v/>
      </c>
      <c r="G3128" s="3">
        <f>IFERROR(__xludf.DUMMYFUNCTION("IF(F3128&lt;=0,0,IFERROR(ROUNDUP(F3128/INDEX(FILTER('warehouse config'!$D:$D,('warehouse config'!$B:$B=C3128)*('warehouse config'!$C:$C=D3128)*('warehouse config'!$G:$G&lt;=B3128)*(('warehouse config'!$H:$H&gt;=B3128)+ISBLANK('warehouse config'!$H:$H))),1)),0))"),0.0)</f>
        <v>0</v>
      </c>
      <c r="H3128" s="3">
        <f>IFERROR(__xludf.DUMMYFUNCTION("IFERROR(INDEX(FILTER('cost master'!$E:$E,('cost master'!$B:$B=C3128)*('cost master'!$D:$D=""Storage cost per pallet / week"")*('cost master'!$G:$G&lt;=B3128)*(('cost master'!$H:$H&gt;=B3128)+ISBLANK('cost master'!$H:$H))),1),0)"),0.0)</f>
        <v>0</v>
      </c>
      <c r="I3128" s="3">
        <f t="shared" si="4"/>
        <v>0</v>
      </c>
      <c r="J3128" s="27">
        <f t="shared" si="5"/>
        <v>693947</v>
      </c>
      <c r="K3128" s="27">
        <f t="shared" si="6"/>
        <v>693977</v>
      </c>
    </row>
    <row r="3129" hidden="1">
      <c r="A3129" s="3" t="str">
        <f t="shared" si="3"/>
        <v/>
      </c>
      <c r="B3129" s="2" t="str">
        <f t="array" ref="B3129">INDEX(helper!$A$3:$A3996,ROUNDUP((ROW()-1)/COUNTA(helper!$D$3:$D3996),0))</f>
        <v/>
      </c>
      <c r="C3129" s="5" t="str">
        <f t="array" ref="C3129">IF(B3129="","",INDEX(helper!$D$3:$D3996,MOD(ROW()-2,COUNTA(helper!$D$3:$D3996))+1))</f>
        <v/>
      </c>
      <c r="D3129" s="3" t="str">
        <f t="array" ref="D3129">IF(B3129="","",INDEX(helper!$E$3:$E3996,MOD(ROW()-2,COUNTA(helper!$D$3:$D3996))+1))</f>
        <v/>
      </c>
      <c r="E3129" s="3" t="str">
        <f t="array" ref="E3129">IF(B3129="","",INDEX(helper!$F$3:$F3996,MOD(ROW()-2,COUNTA(helper!$D$3:$D3996))+1))</f>
        <v/>
      </c>
      <c r="F3129" s="3" t="str">
        <f>IF(B3129="","",SUMIFS('inventory ledger'!$H:$H,'inventory ledger'!$C:$C,C3129,'inventory ledger'!$D:$D,D3129,'inventory ledger'!$E:$E,E3129,'inventory ledger'!$A:$A,"&lt;="&amp;B3129+TIME(23,59,59))-SUMIFS('inventory ledger'!$I:$I,'inventory ledger'!$C:$C,C3129,'inventory ledger'!$D:$D,D3129,'inventory ledger'!$E:$E,E3129,'inventory ledger'!$A:$A,"&lt;="&amp;B3129+TIME(23,59,59)))</f>
        <v/>
      </c>
      <c r="G3129" s="3">
        <f>IFERROR(__xludf.DUMMYFUNCTION("IF(F3129&lt;=0,0,IFERROR(ROUNDUP(F3129/INDEX(FILTER('warehouse config'!$D:$D,('warehouse config'!$B:$B=C3129)*('warehouse config'!$C:$C=D3129)*('warehouse config'!$G:$G&lt;=B3129)*(('warehouse config'!$H:$H&gt;=B3129)+ISBLANK('warehouse config'!$H:$H))),1)),0))"),0.0)</f>
        <v>0</v>
      </c>
      <c r="H3129" s="3">
        <f>IFERROR(__xludf.DUMMYFUNCTION("IFERROR(INDEX(FILTER('cost master'!$E:$E,('cost master'!$B:$B=C3129)*('cost master'!$D:$D=""Storage cost per pallet / week"")*('cost master'!$G:$G&lt;=B3129)*(('cost master'!$H:$H&gt;=B3129)+ISBLANK('cost master'!$H:$H))),1),0)"),0.0)</f>
        <v>0</v>
      </c>
      <c r="I3129" s="3">
        <f t="shared" si="4"/>
        <v>0</v>
      </c>
      <c r="J3129" s="27">
        <f t="shared" si="5"/>
        <v>693947</v>
      </c>
      <c r="K3129" s="27">
        <f t="shared" si="6"/>
        <v>693977</v>
      </c>
    </row>
    <row r="3130" hidden="1">
      <c r="A3130" s="3" t="str">
        <f t="shared" si="3"/>
        <v/>
      </c>
      <c r="B3130" s="2" t="str">
        <f t="array" ref="B3130">INDEX(helper!$A$3:$A3996,ROUNDUP((ROW()-1)/COUNTA(helper!$D$3:$D3996),0))</f>
        <v/>
      </c>
      <c r="C3130" s="5" t="str">
        <f t="array" ref="C3130">IF(B3130="","",INDEX(helper!$D$3:$D3996,MOD(ROW()-2,COUNTA(helper!$D$3:$D3996))+1))</f>
        <v/>
      </c>
      <c r="D3130" s="3" t="str">
        <f t="array" ref="D3130">IF(B3130="","",INDEX(helper!$E$3:$E3996,MOD(ROW()-2,COUNTA(helper!$D$3:$D3996))+1))</f>
        <v/>
      </c>
      <c r="E3130" s="3" t="str">
        <f t="array" ref="E3130">IF(B3130="","",INDEX(helper!$F$3:$F3996,MOD(ROW()-2,COUNTA(helper!$D$3:$D3996))+1))</f>
        <v/>
      </c>
      <c r="F3130" s="3" t="str">
        <f>IF(B3130="","",SUMIFS('inventory ledger'!$H:$H,'inventory ledger'!$C:$C,C3130,'inventory ledger'!$D:$D,D3130,'inventory ledger'!$E:$E,E3130,'inventory ledger'!$A:$A,"&lt;="&amp;B3130+TIME(23,59,59))-SUMIFS('inventory ledger'!$I:$I,'inventory ledger'!$C:$C,C3130,'inventory ledger'!$D:$D,D3130,'inventory ledger'!$E:$E,E3130,'inventory ledger'!$A:$A,"&lt;="&amp;B3130+TIME(23,59,59)))</f>
        <v/>
      </c>
      <c r="G3130" s="3">
        <f>IFERROR(__xludf.DUMMYFUNCTION("IF(F3130&lt;=0,0,IFERROR(ROUNDUP(F3130/INDEX(FILTER('warehouse config'!$D:$D,('warehouse config'!$B:$B=C3130)*('warehouse config'!$C:$C=D3130)*('warehouse config'!$G:$G&lt;=B3130)*(('warehouse config'!$H:$H&gt;=B3130)+ISBLANK('warehouse config'!$H:$H))),1)),0))"),0.0)</f>
        <v>0</v>
      </c>
      <c r="H3130" s="3">
        <f>IFERROR(__xludf.DUMMYFUNCTION("IFERROR(INDEX(FILTER('cost master'!$E:$E,('cost master'!$B:$B=C3130)*('cost master'!$D:$D=""Storage cost per pallet / week"")*('cost master'!$G:$G&lt;=B3130)*(('cost master'!$H:$H&gt;=B3130)+ISBLANK('cost master'!$H:$H))),1),0)"),0.0)</f>
        <v>0</v>
      </c>
      <c r="I3130" s="3">
        <f t="shared" si="4"/>
        <v>0</v>
      </c>
      <c r="J3130" s="27">
        <f t="shared" si="5"/>
        <v>693947</v>
      </c>
      <c r="K3130" s="27">
        <f t="shared" si="6"/>
        <v>693977</v>
      </c>
    </row>
    <row r="3131" hidden="1">
      <c r="A3131" s="3" t="str">
        <f t="shared" si="3"/>
        <v/>
      </c>
      <c r="B3131" s="2" t="str">
        <f t="array" ref="B3131">INDEX(helper!$A$3:$A3996,ROUNDUP((ROW()-1)/COUNTA(helper!$D$3:$D3996),0))</f>
        <v/>
      </c>
      <c r="C3131" s="5" t="str">
        <f t="array" ref="C3131">IF(B3131="","",INDEX(helper!$D$3:$D3996,MOD(ROW()-2,COUNTA(helper!$D$3:$D3996))+1))</f>
        <v/>
      </c>
      <c r="D3131" s="3" t="str">
        <f t="array" ref="D3131">IF(B3131="","",INDEX(helper!$E$3:$E3996,MOD(ROW()-2,COUNTA(helper!$D$3:$D3996))+1))</f>
        <v/>
      </c>
      <c r="E3131" s="3" t="str">
        <f t="array" ref="E3131">IF(B3131="","",INDEX(helper!$F$3:$F3996,MOD(ROW()-2,COUNTA(helper!$D$3:$D3996))+1))</f>
        <v/>
      </c>
      <c r="F3131" s="3" t="str">
        <f>IF(B3131="","",SUMIFS('inventory ledger'!$H:$H,'inventory ledger'!$C:$C,C3131,'inventory ledger'!$D:$D,D3131,'inventory ledger'!$E:$E,E3131,'inventory ledger'!$A:$A,"&lt;="&amp;B3131+TIME(23,59,59))-SUMIFS('inventory ledger'!$I:$I,'inventory ledger'!$C:$C,C3131,'inventory ledger'!$D:$D,D3131,'inventory ledger'!$E:$E,E3131,'inventory ledger'!$A:$A,"&lt;="&amp;B3131+TIME(23,59,59)))</f>
        <v/>
      </c>
      <c r="G3131" s="3">
        <f>IFERROR(__xludf.DUMMYFUNCTION("IF(F3131&lt;=0,0,IFERROR(ROUNDUP(F3131/INDEX(FILTER('warehouse config'!$D:$D,('warehouse config'!$B:$B=C3131)*('warehouse config'!$C:$C=D3131)*('warehouse config'!$G:$G&lt;=B3131)*(('warehouse config'!$H:$H&gt;=B3131)+ISBLANK('warehouse config'!$H:$H))),1)),0))"),0.0)</f>
        <v>0</v>
      </c>
      <c r="H3131" s="3">
        <f>IFERROR(__xludf.DUMMYFUNCTION("IFERROR(INDEX(FILTER('cost master'!$E:$E,('cost master'!$B:$B=C3131)*('cost master'!$D:$D=""Storage cost per pallet / week"")*('cost master'!$G:$G&lt;=B3131)*(('cost master'!$H:$H&gt;=B3131)+ISBLANK('cost master'!$H:$H))),1),0)"),0.0)</f>
        <v>0</v>
      </c>
      <c r="I3131" s="3">
        <f t="shared" si="4"/>
        <v>0</v>
      </c>
      <c r="J3131" s="27">
        <f t="shared" si="5"/>
        <v>693947</v>
      </c>
      <c r="K3131" s="27">
        <f t="shared" si="6"/>
        <v>693977</v>
      </c>
    </row>
    <row r="3132" hidden="1">
      <c r="A3132" s="3" t="str">
        <f t="shared" si="3"/>
        <v/>
      </c>
      <c r="B3132" s="2" t="str">
        <f t="array" ref="B3132">INDEX(helper!$A$3:$A3996,ROUNDUP((ROW()-1)/COUNTA(helper!$D$3:$D3996),0))</f>
        <v/>
      </c>
      <c r="C3132" s="5" t="str">
        <f t="array" ref="C3132">IF(B3132="","",INDEX(helper!$D$3:$D3996,MOD(ROW()-2,COUNTA(helper!$D$3:$D3996))+1))</f>
        <v/>
      </c>
      <c r="D3132" s="3" t="str">
        <f t="array" ref="D3132">IF(B3132="","",INDEX(helper!$E$3:$E3996,MOD(ROW()-2,COUNTA(helper!$D$3:$D3996))+1))</f>
        <v/>
      </c>
      <c r="E3132" s="3" t="str">
        <f t="array" ref="E3132">IF(B3132="","",INDEX(helper!$F$3:$F3996,MOD(ROW()-2,COUNTA(helper!$D$3:$D3996))+1))</f>
        <v/>
      </c>
      <c r="F3132" s="3" t="str">
        <f>IF(B3132="","",SUMIFS('inventory ledger'!$H:$H,'inventory ledger'!$C:$C,C3132,'inventory ledger'!$D:$D,D3132,'inventory ledger'!$E:$E,E3132,'inventory ledger'!$A:$A,"&lt;="&amp;B3132+TIME(23,59,59))-SUMIFS('inventory ledger'!$I:$I,'inventory ledger'!$C:$C,C3132,'inventory ledger'!$D:$D,D3132,'inventory ledger'!$E:$E,E3132,'inventory ledger'!$A:$A,"&lt;="&amp;B3132+TIME(23,59,59)))</f>
        <v/>
      </c>
      <c r="G3132" s="3">
        <f>IFERROR(__xludf.DUMMYFUNCTION("IF(F3132&lt;=0,0,IFERROR(ROUNDUP(F3132/INDEX(FILTER('warehouse config'!$D:$D,('warehouse config'!$B:$B=C3132)*('warehouse config'!$C:$C=D3132)*('warehouse config'!$G:$G&lt;=B3132)*(('warehouse config'!$H:$H&gt;=B3132)+ISBLANK('warehouse config'!$H:$H))),1)),0))"),0.0)</f>
        <v>0</v>
      </c>
      <c r="H3132" s="3">
        <f>IFERROR(__xludf.DUMMYFUNCTION("IFERROR(INDEX(FILTER('cost master'!$E:$E,('cost master'!$B:$B=C3132)*('cost master'!$D:$D=""Storage cost per pallet / week"")*('cost master'!$G:$G&lt;=B3132)*(('cost master'!$H:$H&gt;=B3132)+ISBLANK('cost master'!$H:$H))),1),0)"),0.0)</f>
        <v>0</v>
      </c>
      <c r="I3132" s="3">
        <f t="shared" si="4"/>
        <v>0</v>
      </c>
      <c r="J3132" s="27">
        <f t="shared" si="5"/>
        <v>693947</v>
      </c>
      <c r="K3132" s="27">
        <f t="shared" si="6"/>
        <v>693977</v>
      </c>
    </row>
    <row r="3133" hidden="1">
      <c r="A3133" s="3" t="str">
        <f t="shared" si="3"/>
        <v/>
      </c>
      <c r="B3133" s="2" t="str">
        <f t="array" ref="B3133">INDEX(helper!$A$3:$A3996,ROUNDUP((ROW()-1)/COUNTA(helper!$D$3:$D3996),0))</f>
        <v/>
      </c>
      <c r="C3133" s="5" t="str">
        <f t="array" ref="C3133">IF(B3133="","",INDEX(helper!$D$3:$D3996,MOD(ROW()-2,COUNTA(helper!$D$3:$D3996))+1))</f>
        <v/>
      </c>
      <c r="D3133" s="3" t="str">
        <f t="array" ref="D3133">IF(B3133="","",INDEX(helper!$E$3:$E3996,MOD(ROW()-2,COUNTA(helper!$D$3:$D3996))+1))</f>
        <v/>
      </c>
      <c r="E3133" s="3" t="str">
        <f t="array" ref="E3133">IF(B3133="","",INDEX(helper!$F$3:$F3996,MOD(ROW()-2,COUNTA(helper!$D$3:$D3996))+1))</f>
        <v/>
      </c>
      <c r="F3133" s="3" t="str">
        <f>IF(B3133="","",SUMIFS('inventory ledger'!$H:$H,'inventory ledger'!$C:$C,C3133,'inventory ledger'!$D:$D,D3133,'inventory ledger'!$E:$E,E3133,'inventory ledger'!$A:$A,"&lt;="&amp;B3133+TIME(23,59,59))-SUMIFS('inventory ledger'!$I:$I,'inventory ledger'!$C:$C,C3133,'inventory ledger'!$D:$D,D3133,'inventory ledger'!$E:$E,E3133,'inventory ledger'!$A:$A,"&lt;="&amp;B3133+TIME(23,59,59)))</f>
        <v/>
      </c>
      <c r="G3133" s="3">
        <f>IFERROR(__xludf.DUMMYFUNCTION("IF(F3133&lt;=0,0,IFERROR(ROUNDUP(F3133/INDEX(FILTER('warehouse config'!$D:$D,('warehouse config'!$B:$B=C3133)*('warehouse config'!$C:$C=D3133)*('warehouse config'!$G:$G&lt;=B3133)*(('warehouse config'!$H:$H&gt;=B3133)+ISBLANK('warehouse config'!$H:$H))),1)),0))"),0.0)</f>
        <v>0</v>
      </c>
      <c r="H3133" s="3">
        <f>IFERROR(__xludf.DUMMYFUNCTION("IFERROR(INDEX(FILTER('cost master'!$E:$E,('cost master'!$B:$B=C3133)*('cost master'!$D:$D=""Storage cost per pallet / week"")*('cost master'!$G:$G&lt;=B3133)*(('cost master'!$H:$H&gt;=B3133)+ISBLANK('cost master'!$H:$H))),1),0)"),0.0)</f>
        <v>0</v>
      </c>
      <c r="I3133" s="3">
        <f t="shared" si="4"/>
        <v>0</v>
      </c>
      <c r="J3133" s="27">
        <f t="shared" si="5"/>
        <v>693947</v>
      </c>
      <c r="K3133" s="27">
        <f t="shared" si="6"/>
        <v>693977</v>
      </c>
    </row>
    <row r="3134" hidden="1">
      <c r="A3134" s="3" t="str">
        <f t="shared" si="3"/>
        <v/>
      </c>
      <c r="B3134" s="2" t="str">
        <f t="array" ref="B3134">INDEX(helper!$A$3:$A3996,ROUNDUP((ROW()-1)/COUNTA(helper!$D$3:$D3996),0))</f>
        <v/>
      </c>
      <c r="C3134" s="5" t="str">
        <f t="array" ref="C3134">IF(B3134="","",INDEX(helper!$D$3:$D3996,MOD(ROW()-2,COUNTA(helper!$D$3:$D3996))+1))</f>
        <v/>
      </c>
      <c r="D3134" s="3" t="str">
        <f t="array" ref="D3134">IF(B3134="","",INDEX(helper!$E$3:$E3996,MOD(ROW()-2,COUNTA(helper!$D$3:$D3996))+1))</f>
        <v/>
      </c>
      <c r="E3134" s="3" t="str">
        <f t="array" ref="E3134">IF(B3134="","",INDEX(helper!$F$3:$F3996,MOD(ROW()-2,COUNTA(helper!$D$3:$D3996))+1))</f>
        <v/>
      </c>
      <c r="F3134" s="3" t="str">
        <f>IF(B3134="","",SUMIFS('inventory ledger'!$H:$H,'inventory ledger'!$C:$C,C3134,'inventory ledger'!$D:$D,D3134,'inventory ledger'!$E:$E,E3134,'inventory ledger'!$A:$A,"&lt;="&amp;B3134+TIME(23,59,59))-SUMIFS('inventory ledger'!$I:$I,'inventory ledger'!$C:$C,C3134,'inventory ledger'!$D:$D,D3134,'inventory ledger'!$E:$E,E3134,'inventory ledger'!$A:$A,"&lt;="&amp;B3134+TIME(23,59,59)))</f>
        <v/>
      </c>
      <c r="G3134" s="3">
        <f>IFERROR(__xludf.DUMMYFUNCTION("IF(F3134&lt;=0,0,IFERROR(ROUNDUP(F3134/INDEX(FILTER('warehouse config'!$D:$D,('warehouse config'!$B:$B=C3134)*('warehouse config'!$C:$C=D3134)*('warehouse config'!$G:$G&lt;=B3134)*(('warehouse config'!$H:$H&gt;=B3134)+ISBLANK('warehouse config'!$H:$H))),1)),0))"),0.0)</f>
        <v>0</v>
      </c>
      <c r="H3134" s="3">
        <f>IFERROR(__xludf.DUMMYFUNCTION("IFERROR(INDEX(FILTER('cost master'!$E:$E,('cost master'!$B:$B=C3134)*('cost master'!$D:$D=""Storage cost per pallet / week"")*('cost master'!$G:$G&lt;=B3134)*(('cost master'!$H:$H&gt;=B3134)+ISBLANK('cost master'!$H:$H))),1),0)"),0.0)</f>
        <v>0</v>
      </c>
      <c r="I3134" s="3">
        <f t="shared" si="4"/>
        <v>0</v>
      </c>
      <c r="J3134" s="27">
        <f t="shared" si="5"/>
        <v>693947</v>
      </c>
      <c r="K3134" s="27">
        <f t="shared" si="6"/>
        <v>693977</v>
      </c>
    </row>
    <row r="3135" hidden="1">
      <c r="A3135" s="3" t="str">
        <f t="shared" si="3"/>
        <v/>
      </c>
      <c r="B3135" s="2" t="str">
        <f t="array" ref="B3135">INDEX(helper!$A$3:$A3996,ROUNDUP((ROW()-1)/COUNTA(helper!$D$3:$D3996),0))</f>
        <v/>
      </c>
      <c r="C3135" s="5" t="str">
        <f t="array" ref="C3135">IF(B3135="","",INDEX(helper!$D$3:$D3996,MOD(ROW()-2,COUNTA(helper!$D$3:$D3996))+1))</f>
        <v/>
      </c>
      <c r="D3135" s="3" t="str">
        <f t="array" ref="D3135">IF(B3135="","",INDEX(helper!$E$3:$E3996,MOD(ROW()-2,COUNTA(helper!$D$3:$D3996))+1))</f>
        <v/>
      </c>
      <c r="E3135" s="3" t="str">
        <f t="array" ref="E3135">IF(B3135="","",INDEX(helper!$F$3:$F3996,MOD(ROW()-2,COUNTA(helper!$D$3:$D3996))+1))</f>
        <v/>
      </c>
      <c r="F3135" s="3" t="str">
        <f>IF(B3135="","",SUMIFS('inventory ledger'!$H:$H,'inventory ledger'!$C:$C,C3135,'inventory ledger'!$D:$D,D3135,'inventory ledger'!$E:$E,E3135,'inventory ledger'!$A:$A,"&lt;="&amp;B3135+TIME(23,59,59))-SUMIFS('inventory ledger'!$I:$I,'inventory ledger'!$C:$C,C3135,'inventory ledger'!$D:$D,D3135,'inventory ledger'!$E:$E,E3135,'inventory ledger'!$A:$A,"&lt;="&amp;B3135+TIME(23,59,59)))</f>
        <v/>
      </c>
      <c r="G3135" s="3">
        <f>IFERROR(__xludf.DUMMYFUNCTION("IF(F3135&lt;=0,0,IFERROR(ROUNDUP(F3135/INDEX(FILTER('warehouse config'!$D:$D,('warehouse config'!$B:$B=C3135)*('warehouse config'!$C:$C=D3135)*('warehouse config'!$G:$G&lt;=B3135)*(('warehouse config'!$H:$H&gt;=B3135)+ISBLANK('warehouse config'!$H:$H))),1)),0))"),0.0)</f>
        <v>0</v>
      </c>
      <c r="H3135" s="3">
        <f>IFERROR(__xludf.DUMMYFUNCTION("IFERROR(INDEX(FILTER('cost master'!$E:$E,('cost master'!$B:$B=C3135)*('cost master'!$D:$D=""Storage cost per pallet / week"")*('cost master'!$G:$G&lt;=B3135)*(('cost master'!$H:$H&gt;=B3135)+ISBLANK('cost master'!$H:$H))),1),0)"),0.0)</f>
        <v>0</v>
      </c>
      <c r="I3135" s="3">
        <f t="shared" si="4"/>
        <v>0</v>
      </c>
      <c r="J3135" s="27">
        <f t="shared" si="5"/>
        <v>693947</v>
      </c>
      <c r="K3135" s="27">
        <f t="shared" si="6"/>
        <v>693977</v>
      </c>
    </row>
    <row r="3136" hidden="1">
      <c r="A3136" s="3" t="str">
        <f t="shared" si="3"/>
        <v/>
      </c>
      <c r="B3136" s="2" t="str">
        <f t="array" ref="B3136">INDEX(helper!$A$3:$A3996,ROUNDUP((ROW()-1)/COUNTA(helper!$D$3:$D3996),0))</f>
        <v/>
      </c>
      <c r="C3136" s="5" t="str">
        <f t="array" ref="C3136">IF(B3136="","",INDEX(helper!$D$3:$D3996,MOD(ROW()-2,COUNTA(helper!$D$3:$D3996))+1))</f>
        <v/>
      </c>
      <c r="D3136" s="3" t="str">
        <f t="array" ref="D3136">IF(B3136="","",INDEX(helper!$E$3:$E3996,MOD(ROW()-2,COUNTA(helper!$D$3:$D3996))+1))</f>
        <v/>
      </c>
      <c r="E3136" s="3" t="str">
        <f t="array" ref="E3136">IF(B3136="","",INDEX(helper!$F$3:$F3996,MOD(ROW()-2,COUNTA(helper!$D$3:$D3996))+1))</f>
        <v/>
      </c>
      <c r="F3136" s="3" t="str">
        <f>IF(B3136="","",SUMIFS('inventory ledger'!$H:$H,'inventory ledger'!$C:$C,C3136,'inventory ledger'!$D:$D,D3136,'inventory ledger'!$E:$E,E3136,'inventory ledger'!$A:$A,"&lt;="&amp;B3136+TIME(23,59,59))-SUMIFS('inventory ledger'!$I:$I,'inventory ledger'!$C:$C,C3136,'inventory ledger'!$D:$D,D3136,'inventory ledger'!$E:$E,E3136,'inventory ledger'!$A:$A,"&lt;="&amp;B3136+TIME(23,59,59)))</f>
        <v/>
      </c>
      <c r="G3136" s="3">
        <f>IFERROR(__xludf.DUMMYFUNCTION("IF(F3136&lt;=0,0,IFERROR(ROUNDUP(F3136/INDEX(FILTER('warehouse config'!$D:$D,('warehouse config'!$B:$B=C3136)*('warehouse config'!$C:$C=D3136)*('warehouse config'!$G:$G&lt;=B3136)*(('warehouse config'!$H:$H&gt;=B3136)+ISBLANK('warehouse config'!$H:$H))),1)),0))"),0.0)</f>
        <v>0</v>
      </c>
      <c r="H3136" s="3">
        <f>IFERROR(__xludf.DUMMYFUNCTION("IFERROR(INDEX(FILTER('cost master'!$E:$E,('cost master'!$B:$B=C3136)*('cost master'!$D:$D=""Storage cost per pallet / week"")*('cost master'!$G:$G&lt;=B3136)*(('cost master'!$H:$H&gt;=B3136)+ISBLANK('cost master'!$H:$H))),1),0)"),0.0)</f>
        <v>0</v>
      </c>
      <c r="I3136" s="3">
        <f t="shared" si="4"/>
        <v>0</v>
      </c>
      <c r="J3136" s="27">
        <f t="shared" si="5"/>
        <v>693947</v>
      </c>
      <c r="K3136" s="27">
        <f t="shared" si="6"/>
        <v>693977</v>
      </c>
    </row>
    <row r="3137" hidden="1">
      <c r="A3137" s="3" t="str">
        <f t="shared" si="3"/>
        <v/>
      </c>
      <c r="B3137" s="2" t="str">
        <f t="array" ref="B3137">INDEX(helper!$A$3:$A3996,ROUNDUP((ROW()-1)/COUNTA(helper!$D$3:$D3996),0))</f>
        <v/>
      </c>
      <c r="C3137" s="5" t="str">
        <f t="array" ref="C3137">IF(B3137="","",INDEX(helper!$D$3:$D3996,MOD(ROW()-2,COUNTA(helper!$D$3:$D3996))+1))</f>
        <v/>
      </c>
      <c r="D3137" s="3" t="str">
        <f t="array" ref="D3137">IF(B3137="","",INDEX(helper!$E$3:$E3996,MOD(ROW()-2,COUNTA(helper!$D$3:$D3996))+1))</f>
        <v/>
      </c>
      <c r="E3137" s="3" t="str">
        <f t="array" ref="E3137">IF(B3137="","",INDEX(helper!$F$3:$F3996,MOD(ROW()-2,COUNTA(helper!$D$3:$D3996))+1))</f>
        <v/>
      </c>
      <c r="F3137" s="3" t="str">
        <f>IF(B3137="","",SUMIFS('inventory ledger'!$H:$H,'inventory ledger'!$C:$C,C3137,'inventory ledger'!$D:$D,D3137,'inventory ledger'!$E:$E,E3137,'inventory ledger'!$A:$A,"&lt;="&amp;B3137+TIME(23,59,59))-SUMIFS('inventory ledger'!$I:$I,'inventory ledger'!$C:$C,C3137,'inventory ledger'!$D:$D,D3137,'inventory ledger'!$E:$E,E3137,'inventory ledger'!$A:$A,"&lt;="&amp;B3137+TIME(23,59,59)))</f>
        <v/>
      </c>
      <c r="G3137" s="3">
        <f>IFERROR(__xludf.DUMMYFUNCTION("IF(F3137&lt;=0,0,IFERROR(ROUNDUP(F3137/INDEX(FILTER('warehouse config'!$D:$D,('warehouse config'!$B:$B=C3137)*('warehouse config'!$C:$C=D3137)*('warehouse config'!$G:$G&lt;=B3137)*(('warehouse config'!$H:$H&gt;=B3137)+ISBLANK('warehouse config'!$H:$H))),1)),0))"),0.0)</f>
        <v>0</v>
      </c>
      <c r="H3137" s="3">
        <f>IFERROR(__xludf.DUMMYFUNCTION("IFERROR(INDEX(FILTER('cost master'!$E:$E,('cost master'!$B:$B=C3137)*('cost master'!$D:$D=""Storage cost per pallet / week"")*('cost master'!$G:$G&lt;=B3137)*(('cost master'!$H:$H&gt;=B3137)+ISBLANK('cost master'!$H:$H))),1),0)"),0.0)</f>
        <v>0</v>
      </c>
      <c r="I3137" s="3">
        <f t="shared" si="4"/>
        <v>0</v>
      </c>
      <c r="J3137" s="27">
        <f t="shared" si="5"/>
        <v>693947</v>
      </c>
      <c r="K3137" s="27">
        <f t="shared" si="6"/>
        <v>693977</v>
      </c>
    </row>
    <row r="3138" hidden="1">
      <c r="A3138" s="3" t="str">
        <f t="shared" si="3"/>
        <v/>
      </c>
      <c r="B3138" s="2" t="str">
        <f t="array" ref="B3138">INDEX(helper!$A$3:$A3996,ROUNDUP((ROW()-1)/COUNTA(helper!$D$3:$D3996),0))</f>
        <v/>
      </c>
      <c r="C3138" s="5" t="str">
        <f t="array" ref="C3138">IF(B3138="","",INDEX(helper!$D$3:$D3996,MOD(ROW()-2,COUNTA(helper!$D$3:$D3996))+1))</f>
        <v/>
      </c>
      <c r="D3138" s="3" t="str">
        <f t="array" ref="D3138">IF(B3138="","",INDEX(helper!$E$3:$E3996,MOD(ROW()-2,COUNTA(helper!$D$3:$D3996))+1))</f>
        <v/>
      </c>
      <c r="E3138" s="3" t="str">
        <f t="array" ref="E3138">IF(B3138="","",INDEX(helper!$F$3:$F3996,MOD(ROW()-2,COUNTA(helper!$D$3:$D3996))+1))</f>
        <v/>
      </c>
      <c r="F3138" s="3" t="str">
        <f>IF(B3138="","",SUMIFS('inventory ledger'!$H:$H,'inventory ledger'!$C:$C,C3138,'inventory ledger'!$D:$D,D3138,'inventory ledger'!$E:$E,E3138,'inventory ledger'!$A:$A,"&lt;="&amp;B3138+TIME(23,59,59))-SUMIFS('inventory ledger'!$I:$I,'inventory ledger'!$C:$C,C3138,'inventory ledger'!$D:$D,D3138,'inventory ledger'!$E:$E,E3138,'inventory ledger'!$A:$A,"&lt;="&amp;B3138+TIME(23,59,59)))</f>
        <v/>
      </c>
      <c r="G3138" s="3">
        <f>IFERROR(__xludf.DUMMYFUNCTION("IF(F3138&lt;=0,0,IFERROR(ROUNDUP(F3138/INDEX(FILTER('warehouse config'!$D:$D,('warehouse config'!$B:$B=C3138)*('warehouse config'!$C:$C=D3138)*('warehouse config'!$G:$G&lt;=B3138)*(('warehouse config'!$H:$H&gt;=B3138)+ISBLANK('warehouse config'!$H:$H))),1)),0))"),0.0)</f>
        <v>0</v>
      </c>
      <c r="H3138" s="3">
        <f>IFERROR(__xludf.DUMMYFUNCTION("IFERROR(INDEX(FILTER('cost master'!$E:$E,('cost master'!$B:$B=C3138)*('cost master'!$D:$D=""Storage cost per pallet / week"")*('cost master'!$G:$G&lt;=B3138)*(('cost master'!$H:$H&gt;=B3138)+ISBLANK('cost master'!$H:$H))),1),0)"),0.0)</f>
        <v>0</v>
      </c>
      <c r="I3138" s="3">
        <f t="shared" si="4"/>
        <v>0</v>
      </c>
      <c r="J3138" s="27">
        <f t="shared" si="5"/>
        <v>693947</v>
      </c>
      <c r="K3138" s="27">
        <f t="shared" si="6"/>
        <v>693977</v>
      </c>
    </row>
    <row r="3139" hidden="1">
      <c r="A3139" s="3" t="str">
        <f t="shared" si="3"/>
        <v/>
      </c>
      <c r="B3139" s="2" t="str">
        <f t="array" ref="B3139">INDEX(helper!$A$3:$A3996,ROUNDUP((ROW()-1)/COUNTA(helper!$D$3:$D3996),0))</f>
        <v/>
      </c>
      <c r="C3139" s="5" t="str">
        <f t="array" ref="C3139">IF(B3139="","",INDEX(helper!$D$3:$D3996,MOD(ROW()-2,COUNTA(helper!$D$3:$D3996))+1))</f>
        <v/>
      </c>
      <c r="D3139" s="3" t="str">
        <f t="array" ref="D3139">IF(B3139="","",INDEX(helper!$E$3:$E3996,MOD(ROW()-2,COUNTA(helper!$D$3:$D3996))+1))</f>
        <v/>
      </c>
      <c r="E3139" s="3" t="str">
        <f t="array" ref="E3139">IF(B3139="","",INDEX(helper!$F$3:$F3996,MOD(ROW()-2,COUNTA(helper!$D$3:$D3996))+1))</f>
        <v/>
      </c>
      <c r="F3139" s="3" t="str">
        <f>IF(B3139="","",SUMIFS('inventory ledger'!$H:$H,'inventory ledger'!$C:$C,C3139,'inventory ledger'!$D:$D,D3139,'inventory ledger'!$E:$E,E3139,'inventory ledger'!$A:$A,"&lt;="&amp;B3139+TIME(23,59,59))-SUMIFS('inventory ledger'!$I:$I,'inventory ledger'!$C:$C,C3139,'inventory ledger'!$D:$D,D3139,'inventory ledger'!$E:$E,E3139,'inventory ledger'!$A:$A,"&lt;="&amp;B3139+TIME(23,59,59)))</f>
        <v/>
      </c>
      <c r="G3139" s="3">
        <f>IFERROR(__xludf.DUMMYFUNCTION("IF(F3139&lt;=0,0,IFERROR(ROUNDUP(F3139/INDEX(FILTER('warehouse config'!$D:$D,('warehouse config'!$B:$B=C3139)*('warehouse config'!$C:$C=D3139)*('warehouse config'!$G:$G&lt;=B3139)*(('warehouse config'!$H:$H&gt;=B3139)+ISBLANK('warehouse config'!$H:$H))),1)),0))"),0.0)</f>
        <v>0</v>
      </c>
      <c r="H3139" s="3">
        <f>IFERROR(__xludf.DUMMYFUNCTION("IFERROR(INDEX(FILTER('cost master'!$E:$E,('cost master'!$B:$B=C3139)*('cost master'!$D:$D=""Storage cost per pallet / week"")*('cost master'!$G:$G&lt;=B3139)*(('cost master'!$H:$H&gt;=B3139)+ISBLANK('cost master'!$H:$H))),1),0)"),0.0)</f>
        <v>0</v>
      </c>
      <c r="I3139" s="3">
        <f t="shared" si="4"/>
        <v>0</v>
      </c>
      <c r="J3139" s="27">
        <f t="shared" si="5"/>
        <v>693947</v>
      </c>
      <c r="K3139" s="27">
        <f t="shared" si="6"/>
        <v>693977</v>
      </c>
    </row>
    <row r="3140" hidden="1">
      <c r="A3140" s="3" t="str">
        <f t="shared" si="3"/>
        <v/>
      </c>
      <c r="B3140" s="2" t="str">
        <f t="array" ref="B3140">INDEX(helper!$A$3:$A3996,ROUNDUP((ROW()-1)/COUNTA(helper!$D$3:$D3996),0))</f>
        <v/>
      </c>
      <c r="C3140" s="5" t="str">
        <f t="array" ref="C3140">IF(B3140="","",INDEX(helper!$D$3:$D3996,MOD(ROW()-2,COUNTA(helper!$D$3:$D3996))+1))</f>
        <v/>
      </c>
      <c r="D3140" s="3" t="str">
        <f t="array" ref="D3140">IF(B3140="","",INDEX(helper!$E$3:$E3996,MOD(ROW()-2,COUNTA(helper!$D$3:$D3996))+1))</f>
        <v/>
      </c>
      <c r="E3140" s="3" t="str">
        <f t="array" ref="E3140">IF(B3140="","",INDEX(helper!$F$3:$F3996,MOD(ROW()-2,COUNTA(helper!$D$3:$D3996))+1))</f>
        <v/>
      </c>
      <c r="F3140" s="3" t="str">
        <f>IF(B3140="","",SUMIFS('inventory ledger'!$H:$H,'inventory ledger'!$C:$C,C3140,'inventory ledger'!$D:$D,D3140,'inventory ledger'!$E:$E,E3140,'inventory ledger'!$A:$A,"&lt;="&amp;B3140+TIME(23,59,59))-SUMIFS('inventory ledger'!$I:$I,'inventory ledger'!$C:$C,C3140,'inventory ledger'!$D:$D,D3140,'inventory ledger'!$E:$E,E3140,'inventory ledger'!$A:$A,"&lt;="&amp;B3140+TIME(23,59,59)))</f>
        <v/>
      </c>
      <c r="G3140" s="3">
        <f>IFERROR(__xludf.DUMMYFUNCTION("IF(F3140&lt;=0,0,IFERROR(ROUNDUP(F3140/INDEX(FILTER('warehouse config'!$D:$D,('warehouse config'!$B:$B=C3140)*('warehouse config'!$C:$C=D3140)*('warehouse config'!$G:$G&lt;=B3140)*(('warehouse config'!$H:$H&gt;=B3140)+ISBLANK('warehouse config'!$H:$H))),1)),0))"),0.0)</f>
        <v>0</v>
      </c>
      <c r="H3140" s="3">
        <f>IFERROR(__xludf.DUMMYFUNCTION("IFERROR(INDEX(FILTER('cost master'!$E:$E,('cost master'!$B:$B=C3140)*('cost master'!$D:$D=""Storage cost per pallet / week"")*('cost master'!$G:$G&lt;=B3140)*(('cost master'!$H:$H&gt;=B3140)+ISBLANK('cost master'!$H:$H))),1),0)"),0.0)</f>
        <v>0</v>
      </c>
      <c r="I3140" s="3">
        <f t="shared" si="4"/>
        <v>0</v>
      </c>
      <c r="J3140" s="27">
        <f t="shared" si="5"/>
        <v>693947</v>
      </c>
      <c r="K3140" s="27">
        <f t="shared" si="6"/>
        <v>693977</v>
      </c>
    </row>
    <row r="3141" hidden="1">
      <c r="A3141" s="3" t="str">
        <f t="shared" si="3"/>
        <v/>
      </c>
      <c r="B3141" s="2" t="str">
        <f t="array" ref="B3141">INDEX(helper!$A$3:$A3996,ROUNDUP((ROW()-1)/COUNTA(helper!$D$3:$D3996),0))</f>
        <v/>
      </c>
      <c r="C3141" s="5" t="str">
        <f t="array" ref="C3141">IF(B3141="","",INDEX(helper!$D$3:$D3996,MOD(ROW()-2,COUNTA(helper!$D$3:$D3996))+1))</f>
        <v/>
      </c>
      <c r="D3141" s="3" t="str">
        <f t="array" ref="D3141">IF(B3141="","",INDEX(helper!$E$3:$E3996,MOD(ROW()-2,COUNTA(helper!$D$3:$D3996))+1))</f>
        <v/>
      </c>
      <c r="E3141" s="3" t="str">
        <f t="array" ref="E3141">IF(B3141="","",INDEX(helper!$F$3:$F3996,MOD(ROW()-2,COUNTA(helper!$D$3:$D3996))+1))</f>
        <v/>
      </c>
      <c r="F3141" s="3" t="str">
        <f>IF(B3141="","",SUMIFS('inventory ledger'!$H:$H,'inventory ledger'!$C:$C,C3141,'inventory ledger'!$D:$D,D3141,'inventory ledger'!$E:$E,E3141,'inventory ledger'!$A:$A,"&lt;="&amp;B3141+TIME(23,59,59))-SUMIFS('inventory ledger'!$I:$I,'inventory ledger'!$C:$C,C3141,'inventory ledger'!$D:$D,D3141,'inventory ledger'!$E:$E,E3141,'inventory ledger'!$A:$A,"&lt;="&amp;B3141+TIME(23,59,59)))</f>
        <v/>
      </c>
      <c r="G3141" s="3">
        <f>IFERROR(__xludf.DUMMYFUNCTION("IF(F3141&lt;=0,0,IFERROR(ROUNDUP(F3141/INDEX(FILTER('warehouse config'!$D:$D,('warehouse config'!$B:$B=C3141)*('warehouse config'!$C:$C=D3141)*('warehouse config'!$G:$G&lt;=B3141)*(('warehouse config'!$H:$H&gt;=B3141)+ISBLANK('warehouse config'!$H:$H))),1)),0))"),0.0)</f>
        <v>0</v>
      </c>
      <c r="H3141" s="3">
        <f>IFERROR(__xludf.DUMMYFUNCTION("IFERROR(INDEX(FILTER('cost master'!$E:$E,('cost master'!$B:$B=C3141)*('cost master'!$D:$D=""Storage cost per pallet / week"")*('cost master'!$G:$G&lt;=B3141)*(('cost master'!$H:$H&gt;=B3141)+ISBLANK('cost master'!$H:$H))),1),0)"),0.0)</f>
        <v>0</v>
      </c>
      <c r="I3141" s="3">
        <f t="shared" si="4"/>
        <v>0</v>
      </c>
      <c r="J3141" s="27">
        <f t="shared" si="5"/>
        <v>693947</v>
      </c>
      <c r="K3141" s="27">
        <f t="shared" si="6"/>
        <v>693977</v>
      </c>
    </row>
    <row r="3142" hidden="1">
      <c r="A3142" s="3" t="str">
        <f t="shared" si="3"/>
        <v/>
      </c>
      <c r="B3142" s="2" t="str">
        <f t="array" ref="B3142">INDEX(helper!$A$3:$A3996,ROUNDUP((ROW()-1)/COUNTA(helper!$D$3:$D3996),0))</f>
        <v/>
      </c>
      <c r="C3142" s="5" t="str">
        <f t="array" ref="C3142">IF(B3142="","",INDEX(helper!$D$3:$D3996,MOD(ROW()-2,COUNTA(helper!$D$3:$D3996))+1))</f>
        <v/>
      </c>
      <c r="D3142" s="3" t="str">
        <f t="array" ref="D3142">IF(B3142="","",INDEX(helper!$E$3:$E3996,MOD(ROW()-2,COUNTA(helper!$D$3:$D3996))+1))</f>
        <v/>
      </c>
      <c r="E3142" s="3" t="str">
        <f t="array" ref="E3142">IF(B3142="","",INDEX(helper!$F$3:$F3996,MOD(ROW()-2,COUNTA(helper!$D$3:$D3996))+1))</f>
        <v/>
      </c>
      <c r="F3142" s="3" t="str">
        <f>IF(B3142="","",SUMIFS('inventory ledger'!$H:$H,'inventory ledger'!$C:$C,C3142,'inventory ledger'!$D:$D,D3142,'inventory ledger'!$E:$E,E3142,'inventory ledger'!$A:$A,"&lt;="&amp;B3142+TIME(23,59,59))-SUMIFS('inventory ledger'!$I:$I,'inventory ledger'!$C:$C,C3142,'inventory ledger'!$D:$D,D3142,'inventory ledger'!$E:$E,E3142,'inventory ledger'!$A:$A,"&lt;="&amp;B3142+TIME(23,59,59)))</f>
        <v/>
      </c>
      <c r="G3142" s="3">
        <f>IFERROR(__xludf.DUMMYFUNCTION("IF(F3142&lt;=0,0,IFERROR(ROUNDUP(F3142/INDEX(FILTER('warehouse config'!$D:$D,('warehouse config'!$B:$B=C3142)*('warehouse config'!$C:$C=D3142)*('warehouse config'!$G:$G&lt;=B3142)*(('warehouse config'!$H:$H&gt;=B3142)+ISBLANK('warehouse config'!$H:$H))),1)),0))"),0.0)</f>
        <v>0</v>
      </c>
      <c r="H3142" s="3">
        <f>IFERROR(__xludf.DUMMYFUNCTION("IFERROR(INDEX(FILTER('cost master'!$E:$E,('cost master'!$B:$B=C3142)*('cost master'!$D:$D=""Storage cost per pallet / week"")*('cost master'!$G:$G&lt;=B3142)*(('cost master'!$H:$H&gt;=B3142)+ISBLANK('cost master'!$H:$H))),1),0)"),0.0)</f>
        <v>0</v>
      </c>
      <c r="I3142" s="3">
        <f t="shared" si="4"/>
        <v>0</v>
      </c>
      <c r="J3142" s="27">
        <f t="shared" si="5"/>
        <v>693947</v>
      </c>
      <c r="K3142" s="27">
        <f t="shared" si="6"/>
        <v>693977</v>
      </c>
    </row>
    <row r="3143" hidden="1">
      <c r="A3143" s="3" t="str">
        <f t="shared" si="3"/>
        <v/>
      </c>
      <c r="B3143" s="2" t="str">
        <f t="array" ref="B3143">INDEX(helper!$A$3:$A3996,ROUNDUP((ROW()-1)/COUNTA(helper!$D$3:$D3996),0))</f>
        <v/>
      </c>
      <c r="C3143" s="5" t="str">
        <f t="array" ref="C3143">IF(B3143="","",INDEX(helper!$D$3:$D3996,MOD(ROW()-2,COUNTA(helper!$D$3:$D3996))+1))</f>
        <v/>
      </c>
      <c r="D3143" s="3" t="str">
        <f t="array" ref="D3143">IF(B3143="","",INDEX(helper!$E$3:$E3996,MOD(ROW()-2,COUNTA(helper!$D$3:$D3996))+1))</f>
        <v/>
      </c>
      <c r="E3143" s="3" t="str">
        <f t="array" ref="E3143">IF(B3143="","",INDEX(helper!$F$3:$F3996,MOD(ROW()-2,COUNTA(helper!$D$3:$D3996))+1))</f>
        <v/>
      </c>
      <c r="F3143" s="3" t="str">
        <f>IF(B3143="","",SUMIFS('inventory ledger'!$H:$H,'inventory ledger'!$C:$C,C3143,'inventory ledger'!$D:$D,D3143,'inventory ledger'!$E:$E,E3143,'inventory ledger'!$A:$A,"&lt;="&amp;B3143+TIME(23,59,59))-SUMIFS('inventory ledger'!$I:$I,'inventory ledger'!$C:$C,C3143,'inventory ledger'!$D:$D,D3143,'inventory ledger'!$E:$E,E3143,'inventory ledger'!$A:$A,"&lt;="&amp;B3143+TIME(23,59,59)))</f>
        <v/>
      </c>
      <c r="G3143" s="3">
        <f>IFERROR(__xludf.DUMMYFUNCTION("IF(F3143&lt;=0,0,IFERROR(ROUNDUP(F3143/INDEX(FILTER('warehouse config'!$D:$D,('warehouse config'!$B:$B=C3143)*('warehouse config'!$C:$C=D3143)*('warehouse config'!$G:$G&lt;=B3143)*(('warehouse config'!$H:$H&gt;=B3143)+ISBLANK('warehouse config'!$H:$H))),1)),0))"),0.0)</f>
        <v>0</v>
      </c>
      <c r="H3143" s="3">
        <f>IFERROR(__xludf.DUMMYFUNCTION("IFERROR(INDEX(FILTER('cost master'!$E:$E,('cost master'!$B:$B=C3143)*('cost master'!$D:$D=""Storage cost per pallet / week"")*('cost master'!$G:$G&lt;=B3143)*(('cost master'!$H:$H&gt;=B3143)+ISBLANK('cost master'!$H:$H))),1),0)"),0.0)</f>
        <v>0</v>
      </c>
      <c r="I3143" s="3">
        <f t="shared" si="4"/>
        <v>0</v>
      </c>
      <c r="J3143" s="27">
        <f t="shared" si="5"/>
        <v>693947</v>
      </c>
      <c r="K3143" s="27">
        <f t="shared" si="6"/>
        <v>693977</v>
      </c>
    </row>
    <row r="3144" hidden="1">
      <c r="A3144" s="3" t="str">
        <f t="shared" si="3"/>
        <v/>
      </c>
      <c r="B3144" s="2" t="str">
        <f t="array" ref="B3144">INDEX(helper!$A$3:$A3996,ROUNDUP((ROW()-1)/COUNTA(helper!$D$3:$D3996),0))</f>
        <v/>
      </c>
      <c r="C3144" s="5" t="str">
        <f t="array" ref="C3144">IF(B3144="","",INDEX(helper!$D$3:$D3996,MOD(ROW()-2,COUNTA(helper!$D$3:$D3996))+1))</f>
        <v/>
      </c>
      <c r="D3144" s="3" t="str">
        <f t="array" ref="D3144">IF(B3144="","",INDEX(helper!$E$3:$E3996,MOD(ROW()-2,COUNTA(helper!$D$3:$D3996))+1))</f>
        <v/>
      </c>
      <c r="E3144" s="3" t="str">
        <f t="array" ref="E3144">IF(B3144="","",INDEX(helper!$F$3:$F3996,MOD(ROW()-2,COUNTA(helper!$D$3:$D3996))+1))</f>
        <v/>
      </c>
      <c r="F3144" s="3" t="str">
        <f>IF(B3144="","",SUMIFS('inventory ledger'!$H:$H,'inventory ledger'!$C:$C,C3144,'inventory ledger'!$D:$D,D3144,'inventory ledger'!$E:$E,E3144,'inventory ledger'!$A:$A,"&lt;="&amp;B3144+TIME(23,59,59))-SUMIFS('inventory ledger'!$I:$I,'inventory ledger'!$C:$C,C3144,'inventory ledger'!$D:$D,D3144,'inventory ledger'!$E:$E,E3144,'inventory ledger'!$A:$A,"&lt;="&amp;B3144+TIME(23,59,59)))</f>
        <v/>
      </c>
      <c r="G3144" s="3">
        <f>IFERROR(__xludf.DUMMYFUNCTION("IF(F3144&lt;=0,0,IFERROR(ROUNDUP(F3144/INDEX(FILTER('warehouse config'!$D:$D,('warehouse config'!$B:$B=C3144)*('warehouse config'!$C:$C=D3144)*('warehouse config'!$G:$G&lt;=B3144)*(('warehouse config'!$H:$H&gt;=B3144)+ISBLANK('warehouse config'!$H:$H))),1)),0))"),0.0)</f>
        <v>0</v>
      </c>
      <c r="H3144" s="3">
        <f>IFERROR(__xludf.DUMMYFUNCTION("IFERROR(INDEX(FILTER('cost master'!$E:$E,('cost master'!$B:$B=C3144)*('cost master'!$D:$D=""Storage cost per pallet / week"")*('cost master'!$G:$G&lt;=B3144)*(('cost master'!$H:$H&gt;=B3144)+ISBLANK('cost master'!$H:$H))),1),0)"),0.0)</f>
        <v>0</v>
      </c>
      <c r="I3144" s="3">
        <f t="shared" si="4"/>
        <v>0</v>
      </c>
      <c r="J3144" s="27">
        <f t="shared" si="5"/>
        <v>693947</v>
      </c>
      <c r="K3144" s="27">
        <f t="shared" si="6"/>
        <v>693977</v>
      </c>
    </row>
    <row r="3145" hidden="1">
      <c r="A3145" s="3" t="str">
        <f t="shared" si="3"/>
        <v/>
      </c>
      <c r="B3145" s="2" t="str">
        <f t="array" ref="B3145">INDEX(helper!$A$3:$A3996,ROUNDUP((ROW()-1)/COUNTA(helper!$D$3:$D3996),0))</f>
        <v/>
      </c>
      <c r="C3145" s="5" t="str">
        <f t="array" ref="C3145">IF(B3145="","",INDEX(helper!$D$3:$D3996,MOD(ROW()-2,COUNTA(helper!$D$3:$D3996))+1))</f>
        <v/>
      </c>
      <c r="D3145" s="3" t="str">
        <f t="array" ref="D3145">IF(B3145="","",INDEX(helper!$E$3:$E3996,MOD(ROW()-2,COUNTA(helper!$D$3:$D3996))+1))</f>
        <v/>
      </c>
      <c r="E3145" s="3" t="str">
        <f t="array" ref="E3145">IF(B3145="","",INDEX(helper!$F$3:$F3996,MOD(ROW()-2,COUNTA(helper!$D$3:$D3996))+1))</f>
        <v/>
      </c>
      <c r="F3145" s="3" t="str">
        <f>IF(B3145="","",SUMIFS('inventory ledger'!$H:$H,'inventory ledger'!$C:$C,C3145,'inventory ledger'!$D:$D,D3145,'inventory ledger'!$E:$E,E3145,'inventory ledger'!$A:$A,"&lt;="&amp;B3145+TIME(23,59,59))-SUMIFS('inventory ledger'!$I:$I,'inventory ledger'!$C:$C,C3145,'inventory ledger'!$D:$D,D3145,'inventory ledger'!$E:$E,E3145,'inventory ledger'!$A:$A,"&lt;="&amp;B3145+TIME(23,59,59)))</f>
        <v/>
      </c>
      <c r="G3145" s="3">
        <f>IFERROR(__xludf.DUMMYFUNCTION("IF(F3145&lt;=0,0,IFERROR(ROUNDUP(F3145/INDEX(FILTER('warehouse config'!$D:$D,('warehouse config'!$B:$B=C3145)*('warehouse config'!$C:$C=D3145)*('warehouse config'!$G:$G&lt;=B3145)*(('warehouse config'!$H:$H&gt;=B3145)+ISBLANK('warehouse config'!$H:$H))),1)),0))"),0.0)</f>
        <v>0</v>
      </c>
      <c r="H3145" s="3">
        <f>IFERROR(__xludf.DUMMYFUNCTION("IFERROR(INDEX(FILTER('cost master'!$E:$E,('cost master'!$B:$B=C3145)*('cost master'!$D:$D=""Storage cost per pallet / week"")*('cost master'!$G:$G&lt;=B3145)*(('cost master'!$H:$H&gt;=B3145)+ISBLANK('cost master'!$H:$H))),1),0)"),0.0)</f>
        <v>0</v>
      </c>
      <c r="I3145" s="3">
        <f t="shared" si="4"/>
        <v>0</v>
      </c>
      <c r="J3145" s="27">
        <f t="shared" si="5"/>
        <v>693947</v>
      </c>
      <c r="K3145" s="27">
        <f t="shared" si="6"/>
        <v>693977</v>
      </c>
    </row>
    <row r="3146" hidden="1">
      <c r="A3146" s="3" t="str">
        <f t="shared" si="3"/>
        <v/>
      </c>
      <c r="B3146" s="2" t="str">
        <f t="array" ref="B3146">INDEX(helper!$A$3:$A3996,ROUNDUP((ROW()-1)/COUNTA(helper!$D$3:$D3996),0))</f>
        <v/>
      </c>
      <c r="C3146" s="5" t="str">
        <f t="array" ref="C3146">IF(B3146="","",INDEX(helper!$D$3:$D3996,MOD(ROW()-2,COUNTA(helper!$D$3:$D3996))+1))</f>
        <v/>
      </c>
      <c r="D3146" s="3" t="str">
        <f t="array" ref="D3146">IF(B3146="","",INDEX(helper!$E$3:$E3996,MOD(ROW()-2,COUNTA(helper!$D$3:$D3996))+1))</f>
        <v/>
      </c>
      <c r="E3146" s="3" t="str">
        <f t="array" ref="E3146">IF(B3146="","",INDEX(helper!$F$3:$F3996,MOD(ROW()-2,COUNTA(helper!$D$3:$D3996))+1))</f>
        <v/>
      </c>
      <c r="F3146" s="3" t="str">
        <f>IF(B3146="","",SUMIFS('inventory ledger'!$H:$H,'inventory ledger'!$C:$C,C3146,'inventory ledger'!$D:$D,D3146,'inventory ledger'!$E:$E,E3146,'inventory ledger'!$A:$A,"&lt;="&amp;B3146+TIME(23,59,59))-SUMIFS('inventory ledger'!$I:$I,'inventory ledger'!$C:$C,C3146,'inventory ledger'!$D:$D,D3146,'inventory ledger'!$E:$E,E3146,'inventory ledger'!$A:$A,"&lt;="&amp;B3146+TIME(23,59,59)))</f>
        <v/>
      </c>
      <c r="G3146" s="3">
        <f>IFERROR(__xludf.DUMMYFUNCTION("IF(F3146&lt;=0,0,IFERROR(ROUNDUP(F3146/INDEX(FILTER('warehouse config'!$D:$D,('warehouse config'!$B:$B=C3146)*('warehouse config'!$C:$C=D3146)*('warehouse config'!$G:$G&lt;=B3146)*(('warehouse config'!$H:$H&gt;=B3146)+ISBLANK('warehouse config'!$H:$H))),1)),0))"),0.0)</f>
        <v>0</v>
      </c>
      <c r="H3146" s="3">
        <f>IFERROR(__xludf.DUMMYFUNCTION("IFERROR(INDEX(FILTER('cost master'!$E:$E,('cost master'!$B:$B=C3146)*('cost master'!$D:$D=""Storage cost per pallet / week"")*('cost master'!$G:$G&lt;=B3146)*(('cost master'!$H:$H&gt;=B3146)+ISBLANK('cost master'!$H:$H))),1),0)"),0.0)</f>
        <v>0</v>
      </c>
      <c r="I3146" s="3">
        <f t="shared" si="4"/>
        <v>0</v>
      </c>
      <c r="J3146" s="27">
        <f t="shared" si="5"/>
        <v>693947</v>
      </c>
      <c r="K3146" s="27">
        <f t="shared" si="6"/>
        <v>693977</v>
      </c>
    </row>
    <row r="3147" hidden="1">
      <c r="A3147" s="3" t="str">
        <f t="shared" si="3"/>
        <v/>
      </c>
      <c r="B3147" s="2" t="str">
        <f t="array" ref="B3147">INDEX(helper!$A$3:$A3996,ROUNDUP((ROW()-1)/COUNTA(helper!$D$3:$D3996),0))</f>
        <v/>
      </c>
      <c r="C3147" s="5" t="str">
        <f t="array" ref="C3147">IF(B3147="","",INDEX(helper!$D$3:$D3996,MOD(ROW()-2,COUNTA(helper!$D$3:$D3996))+1))</f>
        <v/>
      </c>
      <c r="D3147" s="3" t="str">
        <f t="array" ref="D3147">IF(B3147="","",INDEX(helper!$E$3:$E3996,MOD(ROW()-2,COUNTA(helper!$D$3:$D3996))+1))</f>
        <v/>
      </c>
      <c r="E3147" s="3" t="str">
        <f t="array" ref="E3147">IF(B3147="","",INDEX(helper!$F$3:$F3996,MOD(ROW()-2,COUNTA(helper!$D$3:$D3996))+1))</f>
        <v/>
      </c>
      <c r="F3147" s="3" t="str">
        <f>IF(B3147="","",SUMIFS('inventory ledger'!$H:$H,'inventory ledger'!$C:$C,C3147,'inventory ledger'!$D:$D,D3147,'inventory ledger'!$E:$E,E3147,'inventory ledger'!$A:$A,"&lt;="&amp;B3147+TIME(23,59,59))-SUMIFS('inventory ledger'!$I:$I,'inventory ledger'!$C:$C,C3147,'inventory ledger'!$D:$D,D3147,'inventory ledger'!$E:$E,E3147,'inventory ledger'!$A:$A,"&lt;="&amp;B3147+TIME(23,59,59)))</f>
        <v/>
      </c>
      <c r="G3147" s="3">
        <f>IFERROR(__xludf.DUMMYFUNCTION("IF(F3147&lt;=0,0,IFERROR(ROUNDUP(F3147/INDEX(FILTER('warehouse config'!$D:$D,('warehouse config'!$B:$B=C3147)*('warehouse config'!$C:$C=D3147)*('warehouse config'!$G:$G&lt;=B3147)*(('warehouse config'!$H:$H&gt;=B3147)+ISBLANK('warehouse config'!$H:$H))),1)),0))"),0.0)</f>
        <v>0</v>
      </c>
      <c r="H3147" s="3">
        <f>IFERROR(__xludf.DUMMYFUNCTION("IFERROR(INDEX(FILTER('cost master'!$E:$E,('cost master'!$B:$B=C3147)*('cost master'!$D:$D=""Storage cost per pallet / week"")*('cost master'!$G:$G&lt;=B3147)*(('cost master'!$H:$H&gt;=B3147)+ISBLANK('cost master'!$H:$H))),1),0)"),0.0)</f>
        <v>0</v>
      </c>
      <c r="I3147" s="3">
        <f t="shared" si="4"/>
        <v>0</v>
      </c>
      <c r="J3147" s="27">
        <f t="shared" si="5"/>
        <v>693947</v>
      </c>
      <c r="K3147" s="27">
        <f t="shared" si="6"/>
        <v>693977</v>
      </c>
    </row>
    <row r="3148" hidden="1">
      <c r="A3148" s="3" t="str">
        <f t="shared" si="3"/>
        <v/>
      </c>
      <c r="B3148" s="2" t="str">
        <f t="array" ref="B3148">INDEX(helper!$A$3:$A3996,ROUNDUP((ROW()-1)/COUNTA(helper!$D$3:$D3996),0))</f>
        <v/>
      </c>
      <c r="C3148" s="5" t="str">
        <f t="array" ref="C3148">IF(B3148="","",INDEX(helper!$D$3:$D3996,MOD(ROW()-2,COUNTA(helper!$D$3:$D3996))+1))</f>
        <v/>
      </c>
      <c r="D3148" s="3" t="str">
        <f t="array" ref="D3148">IF(B3148="","",INDEX(helper!$E$3:$E3996,MOD(ROW()-2,COUNTA(helper!$D$3:$D3996))+1))</f>
        <v/>
      </c>
      <c r="E3148" s="3" t="str">
        <f t="array" ref="E3148">IF(B3148="","",INDEX(helper!$F$3:$F3996,MOD(ROW()-2,COUNTA(helper!$D$3:$D3996))+1))</f>
        <v/>
      </c>
      <c r="F3148" s="3" t="str">
        <f>IF(B3148="","",SUMIFS('inventory ledger'!$H:$H,'inventory ledger'!$C:$C,C3148,'inventory ledger'!$D:$D,D3148,'inventory ledger'!$E:$E,E3148,'inventory ledger'!$A:$A,"&lt;="&amp;B3148+TIME(23,59,59))-SUMIFS('inventory ledger'!$I:$I,'inventory ledger'!$C:$C,C3148,'inventory ledger'!$D:$D,D3148,'inventory ledger'!$E:$E,E3148,'inventory ledger'!$A:$A,"&lt;="&amp;B3148+TIME(23,59,59)))</f>
        <v/>
      </c>
      <c r="G3148" s="3">
        <f>IFERROR(__xludf.DUMMYFUNCTION("IF(F3148&lt;=0,0,IFERROR(ROUNDUP(F3148/INDEX(FILTER('warehouse config'!$D:$D,('warehouse config'!$B:$B=C3148)*('warehouse config'!$C:$C=D3148)*('warehouse config'!$G:$G&lt;=B3148)*(('warehouse config'!$H:$H&gt;=B3148)+ISBLANK('warehouse config'!$H:$H))),1)),0))"),0.0)</f>
        <v>0</v>
      </c>
      <c r="H3148" s="3">
        <f>IFERROR(__xludf.DUMMYFUNCTION("IFERROR(INDEX(FILTER('cost master'!$E:$E,('cost master'!$B:$B=C3148)*('cost master'!$D:$D=""Storage cost per pallet / week"")*('cost master'!$G:$G&lt;=B3148)*(('cost master'!$H:$H&gt;=B3148)+ISBLANK('cost master'!$H:$H))),1),0)"),0.0)</f>
        <v>0</v>
      </c>
      <c r="I3148" s="3">
        <f t="shared" si="4"/>
        <v>0</v>
      </c>
      <c r="J3148" s="27">
        <f t="shared" si="5"/>
        <v>693947</v>
      </c>
      <c r="K3148" s="27">
        <f t="shared" si="6"/>
        <v>693977</v>
      </c>
    </row>
    <row r="3149" hidden="1">
      <c r="A3149" s="3" t="str">
        <f t="shared" si="3"/>
        <v/>
      </c>
      <c r="B3149" s="2" t="str">
        <f t="array" ref="B3149">INDEX(helper!$A$3:$A3996,ROUNDUP((ROW()-1)/COUNTA(helper!$D$3:$D3996),0))</f>
        <v/>
      </c>
      <c r="C3149" s="5" t="str">
        <f t="array" ref="C3149">IF(B3149="","",INDEX(helper!$D$3:$D3996,MOD(ROW()-2,COUNTA(helper!$D$3:$D3996))+1))</f>
        <v/>
      </c>
      <c r="D3149" s="3" t="str">
        <f t="array" ref="D3149">IF(B3149="","",INDEX(helper!$E$3:$E3996,MOD(ROW()-2,COUNTA(helper!$D$3:$D3996))+1))</f>
        <v/>
      </c>
      <c r="E3149" s="3" t="str">
        <f t="array" ref="E3149">IF(B3149="","",INDEX(helper!$F$3:$F3996,MOD(ROW()-2,COUNTA(helper!$D$3:$D3996))+1))</f>
        <v/>
      </c>
      <c r="F3149" s="3" t="str">
        <f>IF(B3149="","",SUMIFS('inventory ledger'!$H:$H,'inventory ledger'!$C:$C,C3149,'inventory ledger'!$D:$D,D3149,'inventory ledger'!$E:$E,E3149,'inventory ledger'!$A:$A,"&lt;="&amp;B3149+TIME(23,59,59))-SUMIFS('inventory ledger'!$I:$I,'inventory ledger'!$C:$C,C3149,'inventory ledger'!$D:$D,D3149,'inventory ledger'!$E:$E,E3149,'inventory ledger'!$A:$A,"&lt;="&amp;B3149+TIME(23,59,59)))</f>
        <v/>
      </c>
      <c r="G3149" s="3">
        <f>IFERROR(__xludf.DUMMYFUNCTION("IF(F3149&lt;=0,0,IFERROR(ROUNDUP(F3149/INDEX(FILTER('warehouse config'!$D:$D,('warehouse config'!$B:$B=C3149)*('warehouse config'!$C:$C=D3149)*('warehouse config'!$G:$G&lt;=B3149)*(('warehouse config'!$H:$H&gt;=B3149)+ISBLANK('warehouse config'!$H:$H))),1)),0))"),0.0)</f>
        <v>0</v>
      </c>
      <c r="H3149" s="3">
        <f>IFERROR(__xludf.DUMMYFUNCTION("IFERROR(INDEX(FILTER('cost master'!$E:$E,('cost master'!$B:$B=C3149)*('cost master'!$D:$D=""Storage cost per pallet / week"")*('cost master'!$G:$G&lt;=B3149)*(('cost master'!$H:$H&gt;=B3149)+ISBLANK('cost master'!$H:$H))),1),0)"),0.0)</f>
        <v>0</v>
      </c>
      <c r="I3149" s="3">
        <f t="shared" si="4"/>
        <v>0</v>
      </c>
      <c r="J3149" s="27">
        <f t="shared" si="5"/>
        <v>693947</v>
      </c>
      <c r="K3149" s="27">
        <f t="shared" si="6"/>
        <v>693977</v>
      </c>
    </row>
    <row r="3150" hidden="1">
      <c r="A3150" s="3" t="str">
        <f t="shared" si="3"/>
        <v/>
      </c>
      <c r="B3150" s="2" t="str">
        <f t="array" ref="B3150">INDEX(helper!$A$3:$A3996,ROUNDUP((ROW()-1)/COUNTA(helper!$D$3:$D3996),0))</f>
        <v/>
      </c>
      <c r="C3150" s="5" t="str">
        <f t="array" ref="C3150">IF(B3150="","",INDEX(helper!$D$3:$D3996,MOD(ROW()-2,COUNTA(helper!$D$3:$D3996))+1))</f>
        <v/>
      </c>
      <c r="D3150" s="3" t="str">
        <f t="array" ref="D3150">IF(B3150="","",INDEX(helper!$E$3:$E3996,MOD(ROW()-2,COUNTA(helper!$D$3:$D3996))+1))</f>
        <v/>
      </c>
      <c r="E3150" s="3" t="str">
        <f t="array" ref="E3150">IF(B3150="","",INDEX(helper!$F$3:$F3996,MOD(ROW()-2,COUNTA(helper!$D$3:$D3996))+1))</f>
        <v/>
      </c>
      <c r="F3150" s="3" t="str">
        <f>IF(B3150="","",SUMIFS('inventory ledger'!$H:$H,'inventory ledger'!$C:$C,C3150,'inventory ledger'!$D:$D,D3150,'inventory ledger'!$E:$E,E3150,'inventory ledger'!$A:$A,"&lt;="&amp;B3150+TIME(23,59,59))-SUMIFS('inventory ledger'!$I:$I,'inventory ledger'!$C:$C,C3150,'inventory ledger'!$D:$D,D3150,'inventory ledger'!$E:$E,E3150,'inventory ledger'!$A:$A,"&lt;="&amp;B3150+TIME(23,59,59)))</f>
        <v/>
      </c>
      <c r="G3150" s="3">
        <f>IFERROR(__xludf.DUMMYFUNCTION("IF(F3150&lt;=0,0,IFERROR(ROUNDUP(F3150/INDEX(FILTER('warehouse config'!$D:$D,('warehouse config'!$B:$B=C3150)*('warehouse config'!$C:$C=D3150)*('warehouse config'!$G:$G&lt;=B3150)*(('warehouse config'!$H:$H&gt;=B3150)+ISBLANK('warehouse config'!$H:$H))),1)),0))"),0.0)</f>
        <v>0</v>
      </c>
      <c r="H3150" s="3">
        <f>IFERROR(__xludf.DUMMYFUNCTION("IFERROR(INDEX(FILTER('cost master'!$E:$E,('cost master'!$B:$B=C3150)*('cost master'!$D:$D=""Storage cost per pallet / week"")*('cost master'!$G:$G&lt;=B3150)*(('cost master'!$H:$H&gt;=B3150)+ISBLANK('cost master'!$H:$H))),1),0)"),0.0)</f>
        <v>0</v>
      </c>
      <c r="I3150" s="3">
        <f t="shared" si="4"/>
        <v>0</v>
      </c>
      <c r="J3150" s="27">
        <f t="shared" si="5"/>
        <v>693947</v>
      </c>
      <c r="K3150" s="27">
        <f t="shared" si="6"/>
        <v>693977</v>
      </c>
    </row>
    <row r="3151" hidden="1">
      <c r="A3151" s="3" t="str">
        <f t="shared" si="3"/>
        <v/>
      </c>
      <c r="B3151" s="2" t="str">
        <f t="array" ref="B3151">INDEX(helper!$A$3:$A3996,ROUNDUP((ROW()-1)/COUNTA(helper!$D$3:$D3996),0))</f>
        <v/>
      </c>
      <c r="C3151" s="5" t="str">
        <f t="array" ref="C3151">IF(B3151="","",INDEX(helper!$D$3:$D3996,MOD(ROW()-2,COUNTA(helper!$D$3:$D3996))+1))</f>
        <v/>
      </c>
      <c r="D3151" s="3" t="str">
        <f t="array" ref="D3151">IF(B3151="","",INDEX(helper!$E$3:$E3996,MOD(ROW()-2,COUNTA(helper!$D$3:$D3996))+1))</f>
        <v/>
      </c>
      <c r="E3151" s="3" t="str">
        <f t="array" ref="E3151">IF(B3151="","",INDEX(helper!$F$3:$F3996,MOD(ROW()-2,COUNTA(helper!$D$3:$D3996))+1))</f>
        <v/>
      </c>
      <c r="F3151" s="3" t="str">
        <f>IF(B3151="","",SUMIFS('inventory ledger'!$H:$H,'inventory ledger'!$C:$C,C3151,'inventory ledger'!$D:$D,D3151,'inventory ledger'!$E:$E,E3151,'inventory ledger'!$A:$A,"&lt;="&amp;B3151+TIME(23,59,59))-SUMIFS('inventory ledger'!$I:$I,'inventory ledger'!$C:$C,C3151,'inventory ledger'!$D:$D,D3151,'inventory ledger'!$E:$E,E3151,'inventory ledger'!$A:$A,"&lt;="&amp;B3151+TIME(23,59,59)))</f>
        <v/>
      </c>
      <c r="G3151" s="3">
        <f>IFERROR(__xludf.DUMMYFUNCTION("IF(F3151&lt;=0,0,IFERROR(ROUNDUP(F3151/INDEX(FILTER('warehouse config'!$D:$D,('warehouse config'!$B:$B=C3151)*('warehouse config'!$C:$C=D3151)*('warehouse config'!$G:$G&lt;=B3151)*(('warehouse config'!$H:$H&gt;=B3151)+ISBLANK('warehouse config'!$H:$H))),1)),0))"),0.0)</f>
        <v>0</v>
      </c>
      <c r="H3151" s="3">
        <f>IFERROR(__xludf.DUMMYFUNCTION("IFERROR(INDEX(FILTER('cost master'!$E:$E,('cost master'!$B:$B=C3151)*('cost master'!$D:$D=""Storage cost per pallet / week"")*('cost master'!$G:$G&lt;=B3151)*(('cost master'!$H:$H&gt;=B3151)+ISBLANK('cost master'!$H:$H))),1),0)"),0.0)</f>
        <v>0</v>
      </c>
      <c r="I3151" s="3">
        <f t="shared" si="4"/>
        <v>0</v>
      </c>
      <c r="J3151" s="27">
        <f t="shared" si="5"/>
        <v>693947</v>
      </c>
      <c r="K3151" s="27">
        <f t="shared" si="6"/>
        <v>693977</v>
      </c>
    </row>
    <row r="3152" hidden="1">
      <c r="A3152" s="3" t="str">
        <f t="shared" si="3"/>
        <v/>
      </c>
      <c r="B3152" s="2" t="str">
        <f t="array" ref="B3152">INDEX(helper!$A$3:$A3996,ROUNDUP((ROW()-1)/COUNTA(helper!$D$3:$D3996),0))</f>
        <v/>
      </c>
      <c r="C3152" s="5" t="str">
        <f t="array" ref="C3152">IF(B3152="","",INDEX(helper!$D$3:$D3996,MOD(ROW()-2,COUNTA(helper!$D$3:$D3996))+1))</f>
        <v/>
      </c>
      <c r="D3152" s="3" t="str">
        <f t="array" ref="D3152">IF(B3152="","",INDEX(helper!$E$3:$E3996,MOD(ROW()-2,COUNTA(helper!$D$3:$D3996))+1))</f>
        <v/>
      </c>
      <c r="E3152" s="3" t="str">
        <f t="array" ref="E3152">IF(B3152="","",INDEX(helper!$F$3:$F3996,MOD(ROW()-2,COUNTA(helper!$D$3:$D3996))+1))</f>
        <v/>
      </c>
      <c r="F3152" s="3" t="str">
        <f>IF(B3152="","",SUMIFS('inventory ledger'!$H:$H,'inventory ledger'!$C:$C,C3152,'inventory ledger'!$D:$D,D3152,'inventory ledger'!$E:$E,E3152,'inventory ledger'!$A:$A,"&lt;="&amp;B3152+TIME(23,59,59))-SUMIFS('inventory ledger'!$I:$I,'inventory ledger'!$C:$C,C3152,'inventory ledger'!$D:$D,D3152,'inventory ledger'!$E:$E,E3152,'inventory ledger'!$A:$A,"&lt;="&amp;B3152+TIME(23,59,59)))</f>
        <v/>
      </c>
      <c r="G3152" s="3">
        <f>IFERROR(__xludf.DUMMYFUNCTION("IF(F3152&lt;=0,0,IFERROR(ROUNDUP(F3152/INDEX(FILTER('warehouse config'!$D:$D,('warehouse config'!$B:$B=C3152)*('warehouse config'!$C:$C=D3152)*('warehouse config'!$G:$G&lt;=B3152)*(('warehouse config'!$H:$H&gt;=B3152)+ISBLANK('warehouse config'!$H:$H))),1)),0))"),0.0)</f>
        <v>0</v>
      </c>
      <c r="H3152" s="3">
        <f>IFERROR(__xludf.DUMMYFUNCTION("IFERROR(INDEX(FILTER('cost master'!$E:$E,('cost master'!$B:$B=C3152)*('cost master'!$D:$D=""Storage cost per pallet / week"")*('cost master'!$G:$G&lt;=B3152)*(('cost master'!$H:$H&gt;=B3152)+ISBLANK('cost master'!$H:$H))),1),0)"),0.0)</f>
        <v>0</v>
      </c>
      <c r="I3152" s="3">
        <f t="shared" si="4"/>
        <v>0</v>
      </c>
      <c r="J3152" s="27">
        <f t="shared" si="5"/>
        <v>693947</v>
      </c>
      <c r="K3152" s="27">
        <f t="shared" si="6"/>
        <v>693977</v>
      </c>
    </row>
    <row r="3153" hidden="1">
      <c r="A3153" s="3" t="str">
        <f t="shared" si="3"/>
        <v/>
      </c>
      <c r="B3153" s="2" t="str">
        <f t="array" ref="B3153">INDEX(helper!$A$3:$A3996,ROUNDUP((ROW()-1)/COUNTA(helper!$D$3:$D3996),0))</f>
        <v/>
      </c>
      <c r="C3153" s="5" t="str">
        <f t="array" ref="C3153">IF(B3153="","",INDEX(helper!$D$3:$D3996,MOD(ROW()-2,COUNTA(helper!$D$3:$D3996))+1))</f>
        <v/>
      </c>
      <c r="D3153" s="3" t="str">
        <f t="array" ref="D3153">IF(B3153="","",INDEX(helper!$E$3:$E3996,MOD(ROW()-2,COUNTA(helper!$D$3:$D3996))+1))</f>
        <v/>
      </c>
      <c r="E3153" s="3" t="str">
        <f t="array" ref="E3153">IF(B3153="","",INDEX(helper!$F$3:$F3996,MOD(ROW()-2,COUNTA(helper!$D$3:$D3996))+1))</f>
        <v/>
      </c>
      <c r="F3153" s="3" t="str">
        <f>IF(B3153="","",SUMIFS('inventory ledger'!$H:$H,'inventory ledger'!$C:$C,C3153,'inventory ledger'!$D:$D,D3153,'inventory ledger'!$E:$E,E3153,'inventory ledger'!$A:$A,"&lt;="&amp;B3153+TIME(23,59,59))-SUMIFS('inventory ledger'!$I:$I,'inventory ledger'!$C:$C,C3153,'inventory ledger'!$D:$D,D3153,'inventory ledger'!$E:$E,E3153,'inventory ledger'!$A:$A,"&lt;="&amp;B3153+TIME(23,59,59)))</f>
        <v/>
      </c>
      <c r="G3153" s="3">
        <f>IFERROR(__xludf.DUMMYFUNCTION("IF(F3153&lt;=0,0,IFERROR(ROUNDUP(F3153/INDEX(FILTER('warehouse config'!$D:$D,('warehouse config'!$B:$B=C3153)*('warehouse config'!$C:$C=D3153)*('warehouse config'!$G:$G&lt;=B3153)*(('warehouse config'!$H:$H&gt;=B3153)+ISBLANK('warehouse config'!$H:$H))),1)),0))"),0.0)</f>
        <v>0</v>
      </c>
      <c r="H3153" s="3">
        <f>IFERROR(__xludf.DUMMYFUNCTION("IFERROR(INDEX(FILTER('cost master'!$E:$E,('cost master'!$B:$B=C3153)*('cost master'!$D:$D=""Storage cost per pallet / week"")*('cost master'!$G:$G&lt;=B3153)*(('cost master'!$H:$H&gt;=B3153)+ISBLANK('cost master'!$H:$H))),1),0)"),0.0)</f>
        <v>0</v>
      </c>
      <c r="I3153" s="3">
        <f t="shared" si="4"/>
        <v>0</v>
      </c>
      <c r="J3153" s="27">
        <f t="shared" si="5"/>
        <v>693947</v>
      </c>
      <c r="K3153" s="27">
        <f t="shared" si="6"/>
        <v>693977</v>
      </c>
    </row>
    <row r="3154" hidden="1">
      <c r="A3154" s="3" t="str">
        <f t="shared" si="3"/>
        <v/>
      </c>
      <c r="B3154" s="2" t="str">
        <f t="array" ref="B3154">INDEX(helper!$A$3:$A3996,ROUNDUP((ROW()-1)/COUNTA(helper!$D$3:$D3996),0))</f>
        <v/>
      </c>
      <c r="C3154" s="5" t="str">
        <f t="array" ref="C3154">IF(B3154="","",INDEX(helper!$D$3:$D3996,MOD(ROW()-2,COUNTA(helper!$D$3:$D3996))+1))</f>
        <v/>
      </c>
      <c r="D3154" s="3" t="str">
        <f t="array" ref="D3154">IF(B3154="","",INDEX(helper!$E$3:$E3996,MOD(ROW()-2,COUNTA(helper!$D$3:$D3996))+1))</f>
        <v/>
      </c>
      <c r="E3154" s="3" t="str">
        <f t="array" ref="E3154">IF(B3154="","",INDEX(helper!$F$3:$F3996,MOD(ROW()-2,COUNTA(helper!$D$3:$D3996))+1))</f>
        <v/>
      </c>
      <c r="F3154" s="3" t="str">
        <f>IF(B3154="","",SUMIFS('inventory ledger'!$H:$H,'inventory ledger'!$C:$C,C3154,'inventory ledger'!$D:$D,D3154,'inventory ledger'!$E:$E,E3154,'inventory ledger'!$A:$A,"&lt;="&amp;B3154+TIME(23,59,59))-SUMIFS('inventory ledger'!$I:$I,'inventory ledger'!$C:$C,C3154,'inventory ledger'!$D:$D,D3154,'inventory ledger'!$E:$E,E3154,'inventory ledger'!$A:$A,"&lt;="&amp;B3154+TIME(23,59,59)))</f>
        <v/>
      </c>
      <c r="G3154" s="3">
        <f>IFERROR(__xludf.DUMMYFUNCTION("IF(F3154&lt;=0,0,IFERROR(ROUNDUP(F3154/INDEX(FILTER('warehouse config'!$D:$D,('warehouse config'!$B:$B=C3154)*('warehouse config'!$C:$C=D3154)*('warehouse config'!$G:$G&lt;=B3154)*(('warehouse config'!$H:$H&gt;=B3154)+ISBLANK('warehouse config'!$H:$H))),1)),0))"),0.0)</f>
        <v>0</v>
      </c>
      <c r="H3154" s="3">
        <f>IFERROR(__xludf.DUMMYFUNCTION("IFERROR(INDEX(FILTER('cost master'!$E:$E,('cost master'!$B:$B=C3154)*('cost master'!$D:$D=""Storage cost per pallet / week"")*('cost master'!$G:$G&lt;=B3154)*(('cost master'!$H:$H&gt;=B3154)+ISBLANK('cost master'!$H:$H))),1),0)"),0.0)</f>
        <v>0</v>
      </c>
      <c r="I3154" s="3">
        <f t="shared" si="4"/>
        <v>0</v>
      </c>
      <c r="J3154" s="27">
        <f t="shared" si="5"/>
        <v>693947</v>
      </c>
      <c r="K3154" s="27">
        <f t="shared" si="6"/>
        <v>693977</v>
      </c>
    </row>
    <row r="3155" hidden="1">
      <c r="A3155" s="3" t="str">
        <f t="shared" si="3"/>
        <v/>
      </c>
      <c r="B3155" s="2" t="str">
        <f t="array" ref="B3155">INDEX(helper!$A$3:$A3996,ROUNDUP((ROW()-1)/COUNTA(helper!$D$3:$D3996),0))</f>
        <v/>
      </c>
      <c r="C3155" s="5" t="str">
        <f t="array" ref="C3155">IF(B3155="","",INDEX(helper!$D$3:$D3996,MOD(ROW()-2,COUNTA(helper!$D$3:$D3996))+1))</f>
        <v/>
      </c>
      <c r="D3155" s="3" t="str">
        <f t="array" ref="D3155">IF(B3155="","",INDEX(helper!$E$3:$E3996,MOD(ROW()-2,COUNTA(helper!$D$3:$D3996))+1))</f>
        <v/>
      </c>
      <c r="E3155" s="3" t="str">
        <f t="array" ref="E3155">IF(B3155="","",INDEX(helper!$F$3:$F3996,MOD(ROW()-2,COUNTA(helper!$D$3:$D3996))+1))</f>
        <v/>
      </c>
      <c r="F3155" s="3" t="str">
        <f>IF(B3155="","",SUMIFS('inventory ledger'!$H:$H,'inventory ledger'!$C:$C,C3155,'inventory ledger'!$D:$D,D3155,'inventory ledger'!$E:$E,E3155,'inventory ledger'!$A:$A,"&lt;="&amp;B3155+TIME(23,59,59))-SUMIFS('inventory ledger'!$I:$I,'inventory ledger'!$C:$C,C3155,'inventory ledger'!$D:$D,D3155,'inventory ledger'!$E:$E,E3155,'inventory ledger'!$A:$A,"&lt;="&amp;B3155+TIME(23,59,59)))</f>
        <v/>
      </c>
      <c r="G3155" s="3">
        <f>IFERROR(__xludf.DUMMYFUNCTION("IF(F3155&lt;=0,0,IFERROR(ROUNDUP(F3155/INDEX(FILTER('warehouse config'!$D:$D,('warehouse config'!$B:$B=C3155)*('warehouse config'!$C:$C=D3155)*('warehouse config'!$G:$G&lt;=B3155)*(('warehouse config'!$H:$H&gt;=B3155)+ISBLANK('warehouse config'!$H:$H))),1)),0))"),0.0)</f>
        <v>0</v>
      </c>
      <c r="H3155" s="3">
        <f>IFERROR(__xludf.DUMMYFUNCTION("IFERROR(INDEX(FILTER('cost master'!$E:$E,('cost master'!$B:$B=C3155)*('cost master'!$D:$D=""Storage cost per pallet / week"")*('cost master'!$G:$G&lt;=B3155)*(('cost master'!$H:$H&gt;=B3155)+ISBLANK('cost master'!$H:$H))),1),0)"),0.0)</f>
        <v>0</v>
      </c>
      <c r="I3155" s="3">
        <f t="shared" si="4"/>
        <v>0</v>
      </c>
      <c r="J3155" s="27">
        <f t="shared" si="5"/>
        <v>693947</v>
      </c>
      <c r="K3155" s="27">
        <f t="shared" si="6"/>
        <v>693977</v>
      </c>
    </row>
    <row r="3156" hidden="1">
      <c r="A3156" s="3" t="str">
        <f t="shared" si="3"/>
        <v/>
      </c>
      <c r="B3156" s="2" t="str">
        <f t="array" ref="B3156">INDEX(helper!$A$3:$A3996,ROUNDUP((ROW()-1)/COUNTA(helper!$D$3:$D3996),0))</f>
        <v/>
      </c>
      <c r="C3156" s="5" t="str">
        <f t="array" ref="C3156">IF(B3156="","",INDEX(helper!$D$3:$D3996,MOD(ROW()-2,COUNTA(helper!$D$3:$D3996))+1))</f>
        <v/>
      </c>
      <c r="D3156" s="3" t="str">
        <f t="array" ref="D3156">IF(B3156="","",INDEX(helper!$E$3:$E3996,MOD(ROW()-2,COUNTA(helper!$D$3:$D3996))+1))</f>
        <v/>
      </c>
      <c r="E3156" s="3" t="str">
        <f t="array" ref="E3156">IF(B3156="","",INDEX(helper!$F$3:$F3996,MOD(ROW()-2,COUNTA(helper!$D$3:$D3996))+1))</f>
        <v/>
      </c>
      <c r="F3156" s="3" t="str">
        <f>IF(B3156="","",SUMIFS('inventory ledger'!$H:$H,'inventory ledger'!$C:$C,C3156,'inventory ledger'!$D:$D,D3156,'inventory ledger'!$E:$E,E3156,'inventory ledger'!$A:$A,"&lt;="&amp;B3156+TIME(23,59,59))-SUMIFS('inventory ledger'!$I:$I,'inventory ledger'!$C:$C,C3156,'inventory ledger'!$D:$D,D3156,'inventory ledger'!$E:$E,E3156,'inventory ledger'!$A:$A,"&lt;="&amp;B3156+TIME(23,59,59)))</f>
        <v/>
      </c>
      <c r="G3156" s="3">
        <f>IFERROR(__xludf.DUMMYFUNCTION("IF(F3156&lt;=0,0,IFERROR(ROUNDUP(F3156/INDEX(FILTER('warehouse config'!$D:$D,('warehouse config'!$B:$B=C3156)*('warehouse config'!$C:$C=D3156)*('warehouse config'!$G:$G&lt;=B3156)*(('warehouse config'!$H:$H&gt;=B3156)+ISBLANK('warehouse config'!$H:$H))),1)),0))"),0.0)</f>
        <v>0</v>
      </c>
      <c r="H3156" s="3">
        <f>IFERROR(__xludf.DUMMYFUNCTION("IFERROR(INDEX(FILTER('cost master'!$E:$E,('cost master'!$B:$B=C3156)*('cost master'!$D:$D=""Storage cost per pallet / week"")*('cost master'!$G:$G&lt;=B3156)*(('cost master'!$H:$H&gt;=B3156)+ISBLANK('cost master'!$H:$H))),1),0)"),0.0)</f>
        <v>0</v>
      </c>
      <c r="I3156" s="3">
        <f t="shared" si="4"/>
        <v>0</v>
      </c>
      <c r="J3156" s="27">
        <f t="shared" si="5"/>
        <v>693947</v>
      </c>
      <c r="K3156" s="27">
        <f t="shared" si="6"/>
        <v>693977</v>
      </c>
    </row>
    <row r="3157" hidden="1">
      <c r="A3157" s="3" t="str">
        <f t="shared" si="3"/>
        <v/>
      </c>
      <c r="B3157" s="2" t="str">
        <f t="array" ref="B3157">INDEX(helper!$A$3:$A3996,ROUNDUP((ROW()-1)/COUNTA(helper!$D$3:$D3996),0))</f>
        <v/>
      </c>
      <c r="C3157" s="5" t="str">
        <f t="array" ref="C3157">IF(B3157="","",INDEX(helper!$D$3:$D3996,MOD(ROW()-2,COUNTA(helper!$D$3:$D3996))+1))</f>
        <v/>
      </c>
      <c r="D3157" s="3" t="str">
        <f t="array" ref="D3157">IF(B3157="","",INDEX(helper!$E$3:$E3996,MOD(ROW()-2,COUNTA(helper!$D$3:$D3996))+1))</f>
        <v/>
      </c>
      <c r="E3157" s="3" t="str">
        <f t="array" ref="E3157">IF(B3157="","",INDEX(helper!$F$3:$F3996,MOD(ROW()-2,COUNTA(helper!$D$3:$D3996))+1))</f>
        <v/>
      </c>
      <c r="F3157" s="3" t="str">
        <f>IF(B3157="","",SUMIFS('inventory ledger'!$H:$H,'inventory ledger'!$C:$C,C3157,'inventory ledger'!$D:$D,D3157,'inventory ledger'!$E:$E,E3157,'inventory ledger'!$A:$A,"&lt;="&amp;B3157+TIME(23,59,59))-SUMIFS('inventory ledger'!$I:$I,'inventory ledger'!$C:$C,C3157,'inventory ledger'!$D:$D,D3157,'inventory ledger'!$E:$E,E3157,'inventory ledger'!$A:$A,"&lt;="&amp;B3157+TIME(23,59,59)))</f>
        <v/>
      </c>
      <c r="G3157" s="3">
        <f>IFERROR(__xludf.DUMMYFUNCTION("IF(F3157&lt;=0,0,IFERROR(ROUNDUP(F3157/INDEX(FILTER('warehouse config'!$D:$D,('warehouse config'!$B:$B=C3157)*('warehouse config'!$C:$C=D3157)*('warehouse config'!$G:$G&lt;=B3157)*(('warehouse config'!$H:$H&gt;=B3157)+ISBLANK('warehouse config'!$H:$H))),1)),0))"),0.0)</f>
        <v>0</v>
      </c>
      <c r="H3157" s="3">
        <f>IFERROR(__xludf.DUMMYFUNCTION("IFERROR(INDEX(FILTER('cost master'!$E:$E,('cost master'!$B:$B=C3157)*('cost master'!$D:$D=""Storage cost per pallet / week"")*('cost master'!$G:$G&lt;=B3157)*(('cost master'!$H:$H&gt;=B3157)+ISBLANK('cost master'!$H:$H))),1),0)"),0.0)</f>
        <v>0</v>
      </c>
      <c r="I3157" s="3">
        <f t="shared" si="4"/>
        <v>0</v>
      </c>
      <c r="J3157" s="27">
        <f t="shared" si="5"/>
        <v>693947</v>
      </c>
      <c r="K3157" s="27">
        <f t="shared" si="6"/>
        <v>693977</v>
      </c>
    </row>
    <row r="3158" hidden="1">
      <c r="A3158" s="3" t="str">
        <f t="shared" si="3"/>
        <v/>
      </c>
      <c r="B3158" s="2" t="str">
        <f t="array" ref="B3158">INDEX(helper!$A$3:$A3996,ROUNDUP((ROW()-1)/COUNTA(helper!$D$3:$D3996),0))</f>
        <v/>
      </c>
      <c r="C3158" s="5" t="str">
        <f t="array" ref="C3158">IF(B3158="","",INDEX(helper!$D$3:$D3996,MOD(ROW()-2,COUNTA(helper!$D$3:$D3996))+1))</f>
        <v/>
      </c>
      <c r="D3158" s="3" t="str">
        <f t="array" ref="D3158">IF(B3158="","",INDEX(helper!$E$3:$E3996,MOD(ROW()-2,COUNTA(helper!$D$3:$D3996))+1))</f>
        <v/>
      </c>
      <c r="E3158" s="3" t="str">
        <f t="array" ref="E3158">IF(B3158="","",INDEX(helper!$F$3:$F3996,MOD(ROW()-2,COUNTA(helper!$D$3:$D3996))+1))</f>
        <v/>
      </c>
      <c r="F3158" s="3" t="str">
        <f>IF(B3158="","",SUMIFS('inventory ledger'!$H:$H,'inventory ledger'!$C:$C,C3158,'inventory ledger'!$D:$D,D3158,'inventory ledger'!$E:$E,E3158,'inventory ledger'!$A:$A,"&lt;="&amp;B3158+TIME(23,59,59))-SUMIFS('inventory ledger'!$I:$I,'inventory ledger'!$C:$C,C3158,'inventory ledger'!$D:$D,D3158,'inventory ledger'!$E:$E,E3158,'inventory ledger'!$A:$A,"&lt;="&amp;B3158+TIME(23,59,59)))</f>
        <v/>
      </c>
      <c r="G3158" s="3">
        <f>IFERROR(__xludf.DUMMYFUNCTION("IF(F3158&lt;=0,0,IFERROR(ROUNDUP(F3158/INDEX(FILTER('warehouse config'!$D:$D,('warehouse config'!$B:$B=C3158)*('warehouse config'!$C:$C=D3158)*('warehouse config'!$G:$G&lt;=B3158)*(('warehouse config'!$H:$H&gt;=B3158)+ISBLANK('warehouse config'!$H:$H))),1)),0))"),0.0)</f>
        <v>0</v>
      </c>
      <c r="H3158" s="3">
        <f>IFERROR(__xludf.DUMMYFUNCTION("IFERROR(INDEX(FILTER('cost master'!$E:$E,('cost master'!$B:$B=C3158)*('cost master'!$D:$D=""Storage cost per pallet / week"")*('cost master'!$G:$G&lt;=B3158)*(('cost master'!$H:$H&gt;=B3158)+ISBLANK('cost master'!$H:$H))),1),0)"),0.0)</f>
        <v>0</v>
      </c>
      <c r="I3158" s="3">
        <f t="shared" si="4"/>
        <v>0</v>
      </c>
      <c r="J3158" s="27">
        <f t="shared" si="5"/>
        <v>693947</v>
      </c>
      <c r="K3158" s="27">
        <f t="shared" si="6"/>
        <v>693977</v>
      </c>
    </row>
    <row r="3159" hidden="1">
      <c r="A3159" s="3" t="str">
        <f t="shared" si="3"/>
        <v/>
      </c>
      <c r="B3159" s="2" t="str">
        <f t="array" ref="B3159">INDEX(helper!$A$3:$A3996,ROUNDUP((ROW()-1)/COUNTA(helper!$D$3:$D3996),0))</f>
        <v/>
      </c>
      <c r="C3159" s="5" t="str">
        <f t="array" ref="C3159">IF(B3159="","",INDEX(helper!$D$3:$D3996,MOD(ROW()-2,COUNTA(helper!$D$3:$D3996))+1))</f>
        <v/>
      </c>
      <c r="D3159" s="3" t="str">
        <f t="array" ref="D3159">IF(B3159="","",INDEX(helper!$E$3:$E3996,MOD(ROW()-2,COUNTA(helper!$D$3:$D3996))+1))</f>
        <v/>
      </c>
      <c r="E3159" s="3" t="str">
        <f t="array" ref="E3159">IF(B3159="","",INDEX(helper!$F$3:$F3996,MOD(ROW()-2,COUNTA(helper!$D$3:$D3996))+1))</f>
        <v/>
      </c>
      <c r="F3159" s="3" t="str">
        <f>IF(B3159="","",SUMIFS('inventory ledger'!$H:$H,'inventory ledger'!$C:$C,C3159,'inventory ledger'!$D:$D,D3159,'inventory ledger'!$E:$E,E3159,'inventory ledger'!$A:$A,"&lt;="&amp;B3159+TIME(23,59,59))-SUMIFS('inventory ledger'!$I:$I,'inventory ledger'!$C:$C,C3159,'inventory ledger'!$D:$D,D3159,'inventory ledger'!$E:$E,E3159,'inventory ledger'!$A:$A,"&lt;="&amp;B3159+TIME(23,59,59)))</f>
        <v/>
      </c>
      <c r="G3159" s="3">
        <f>IFERROR(__xludf.DUMMYFUNCTION("IF(F3159&lt;=0,0,IFERROR(ROUNDUP(F3159/INDEX(FILTER('warehouse config'!$D:$D,('warehouse config'!$B:$B=C3159)*('warehouse config'!$C:$C=D3159)*('warehouse config'!$G:$G&lt;=B3159)*(('warehouse config'!$H:$H&gt;=B3159)+ISBLANK('warehouse config'!$H:$H))),1)),0))"),0.0)</f>
        <v>0</v>
      </c>
      <c r="H3159" s="3">
        <f>IFERROR(__xludf.DUMMYFUNCTION("IFERROR(INDEX(FILTER('cost master'!$E:$E,('cost master'!$B:$B=C3159)*('cost master'!$D:$D=""Storage cost per pallet / week"")*('cost master'!$G:$G&lt;=B3159)*(('cost master'!$H:$H&gt;=B3159)+ISBLANK('cost master'!$H:$H))),1),0)"),0.0)</f>
        <v>0</v>
      </c>
      <c r="I3159" s="3">
        <f t="shared" si="4"/>
        <v>0</v>
      </c>
      <c r="J3159" s="27">
        <f t="shared" si="5"/>
        <v>693947</v>
      </c>
      <c r="K3159" s="27">
        <f t="shared" si="6"/>
        <v>693977</v>
      </c>
    </row>
    <row r="3160" hidden="1">
      <c r="A3160" s="3" t="str">
        <f t="shared" si="3"/>
        <v/>
      </c>
      <c r="B3160" s="2" t="str">
        <f t="array" ref="B3160">INDEX(helper!$A$3:$A3996,ROUNDUP((ROW()-1)/COUNTA(helper!$D$3:$D3996),0))</f>
        <v/>
      </c>
      <c r="C3160" s="5" t="str">
        <f t="array" ref="C3160">IF(B3160="","",INDEX(helper!$D$3:$D3996,MOD(ROW()-2,COUNTA(helper!$D$3:$D3996))+1))</f>
        <v/>
      </c>
      <c r="D3160" s="3" t="str">
        <f t="array" ref="D3160">IF(B3160="","",INDEX(helper!$E$3:$E3996,MOD(ROW()-2,COUNTA(helper!$D$3:$D3996))+1))</f>
        <v/>
      </c>
      <c r="E3160" s="3" t="str">
        <f t="array" ref="E3160">IF(B3160="","",INDEX(helper!$F$3:$F3996,MOD(ROW()-2,COUNTA(helper!$D$3:$D3996))+1))</f>
        <v/>
      </c>
      <c r="F3160" s="3" t="str">
        <f>IF(B3160="","",SUMIFS('inventory ledger'!$H:$H,'inventory ledger'!$C:$C,C3160,'inventory ledger'!$D:$D,D3160,'inventory ledger'!$E:$E,E3160,'inventory ledger'!$A:$A,"&lt;="&amp;B3160+TIME(23,59,59))-SUMIFS('inventory ledger'!$I:$I,'inventory ledger'!$C:$C,C3160,'inventory ledger'!$D:$D,D3160,'inventory ledger'!$E:$E,E3160,'inventory ledger'!$A:$A,"&lt;="&amp;B3160+TIME(23,59,59)))</f>
        <v/>
      </c>
      <c r="G3160" s="3">
        <f>IFERROR(__xludf.DUMMYFUNCTION("IF(F3160&lt;=0,0,IFERROR(ROUNDUP(F3160/INDEX(FILTER('warehouse config'!$D:$D,('warehouse config'!$B:$B=C3160)*('warehouse config'!$C:$C=D3160)*('warehouse config'!$G:$G&lt;=B3160)*(('warehouse config'!$H:$H&gt;=B3160)+ISBLANK('warehouse config'!$H:$H))),1)),0))"),0.0)</f>
        <v>0</v>
      </c>
      <c r="H3160" s="3">
        <f>IFERROR(__xludf.DUMMYFUNCTION("IFERROR(INDEX(FILTER('cost master'!$E:$E,('cost master'!$B:$B=C3160)*('cost master'!$D:$D=""Storage cost per pallet / week"")*('cost master'!$G:$G&lt;=B3160)*(('cost master'!$H:$H&gt;=B3160)+ISBLANK('cost master'!$H:$H))),1),0)"),0.0)</f>
        <v>0</v>
      </c>
      <c r="I3160" s="3">
        <f t="shared" si="4"/>
        <v>0</v>
      </c>
      <c r="J3160" s="27">
        <f t="shared" si="5"/>
        <v>693947</v>
      </c>
      <c r="K3160" s="27">
        <f t="shared" si="6"/>
        <v>693977</v>
      </c>
    </row>
    <row r="3161" hidden="1">
      <c r="A3161" s="3" t="str">
        <f t="shared" si="3"/>
        <v/>
      </c>
      <c r="B3161" s="2" t="str">
        <f t="array" ref="B3161">INDEX(helper!$A$3:$A3996,ROUNDUP((ROW()-1)/COUNTA(helper!$D$3:$D3996),0))</f>
        <v/>
      </c>
      <c r="C3161" s="5" t="str">
        <f t="array" ref="C3161">IF(B3161="","",INDEX(helper!$D$3:$D3996,MOD(ROW()-2,COUNTA(helper!$D$3:$D3996))+1))</f>
        <v/>
      </c>
      <c r="D3161" s="3" t="str">
        <f t="array" ref="D3161">IF(B3161="","",INDEX(helper!$E$3:$E3996,MOD(ROW()-2,COUNTA(helper!$D$3:$D3996))+1))</f>
        <v/>
      </c>
      <c r="E3161" s="3" t="str">
        <f t="array" ref="E3161">IF(B3161="","",INDEX(helper!$F$3:$F3996,MOD(ROW()-2,COUNTA(helper!$D$3:$D3996))+1))</f>
        <v/>
      </c>
      <c r="F3161" s="3" t="str">
        <f>IF(B3161="","",SUMIFS('inventory ledger'!$H:$H,'inventory ledger'!$C:$C,C3161,'inventory ledger'!$D:$D,D3161,'inventory ledger'!$E:$E,E3161,'inventory ledger'!$A:$A,"&lt;="&amp;B3161+TIME(23,59,59))-SUMIFS('inventory ledger'!$I:$I,'inventory ledger'!$C:$C,C3161,'inventory ledger'!$D:$D,D3161,'inventory ledger'!$E:$E,E3161,'inventory ledger'!$A:$A,"&lt;="&amp;B3161+TIME(23,59,59)))</f>
        <v/>
      </c>
      <c r="G3161" s="3">
        <f>IFERROR(__xludf.DUMMYFUNCTION("IF(F3161&lt;=0,0,IFERROR(ROUNDUP(F3161/INDEX(FILTER('warehouse config'!$D:$D,('warehouse config'!$B:$B=C3161)*('warehouse config'!$C:$C=D3161)*('warehouse config'!$G:$G&lt;=B3161)*(('warehouse config'!$H:$H&gt;=B3161)+ISBLANK('warehouse config'!$H:$H))),1)),0))"),0.0)</f>
        <v>0</v>
      </c>
      <c r="H3161" s="3">
        <f>IFERROR(__xludf.DUMMYFUNCTION("IFERROR(INDEX(FILTER('cost master'!$E:$E,('cost master'!$B:$B=C3161)*('cost master'!$D:$D=""Storage cost per pallet / week"")*('cost master'!$G:$G&lt;=B3161)*(('cost master'!$H:$H&gt;=B3161)+ISBLANK('cost master'!$H:$H))),1),0)"),0.0)</f>
        <v>0</v>
      </c>
      <c r="I3161" s="3">
        <f t="shared" si="4"/>
        <v>0</v>
      </c>
      <c r="J3161" s="27">
        <f t="shared" si="5"/>
        <v>693947</v>
      </c>
      <c r="K3161" s="27">
        <f t="shared" si="6"/>
        <v>693977</v>
      </c>
    </row>
    <row r="3162" hidden="1">
      <c r="A3162" s="3" t="str">
        <f t="shared" si="3"/>
        <v/>
      </c>
      <c r="B3162" s="2" t="str">
        <f t="array" ref="B3162">INDEX(helper!$A$3:$A3996,ROUNDUP((ROW()-1)/COUNTA(helper!$D$3:$D3996),0))</f>
        <v/>
      </c>
      <c r="C3162" s="5" t="str">
        <f t="array" ref="C3162">IF(B3162="","",INDEX(helper!$D$3:$D3996,MOD(ROW()-2,COUNTA(helper!$D$3:$D3996))+1))</f>
        <v/>
      </c>
      <c r="D3162" s="3" t="str">
        <f t="array" ref="D3162">IF(B3162="","",INDEX(helper!$E$3:$E3996,MOD(ROW()-2,COUNTA(helper!$D$3:$D3996))+1))</f>
        <v/>
      </c>
      <c r="E3162" s="3" t="str">
        <f t="array" ref="E3162">IF(B3162="","",INDEX(helper!$F$3:$F3996,MOD(ROW()-2,COUNTA(helper!$D$3:$D3996))+1))</f>
        <v/>
      </c>
      <c r="F3162" s="3" t="str">
        <f>IF(B3162="","",SUMIFS('inventory ledger'!$H:$H,'inventory ledger'!$C:$C,C3162,'inventory ledger'!$D:$D,D3162,'inventory ledger'!$E:$E,E3162,'inventory ledger'!$A:$A,"&lt;="&amp;B3162+TIME(23,59,59))-SUMIFS('inventory ledger'!$I:$I,'inventory ledger'!$C:$C,C3162,'inventory ledger'!$D:$D,D3162,'inventory ledger'!$E:$E,E3162,'inventory ledger'!$A:$A,"&lt;="&amp;B3162+TIME(23,59,59)))</f>
        <v/>
      </c>
      <c r="G3162" s="3">
        <f>IFERROR(__xludf.DUMMYFUNCTION("IF(F3162&lt;=0,0,IFERROR(ROUNDUP(F3162/INDEX(FILTER('warehouse config'!$D:$D,('warehouse config'!$B:$B=C3162)*('warehouse config'!$C:$C=D3162)*('warehouse config'!$G:$G&lt;=B3162)*(('warehouse config'!$H:$H&gt;=B3162)+ISBLANK('warehouse config'!$H:$H))),1)),0))"),0.0)</f>
        <v>0</v>
      </c>
      <c r="H3162" s="3">
        <f>IFERROR(__xludf.DUMMYFUNCTION("IFERROR(INDEX(FILTER('cost master'!$E:$E,('cost master'!$B:$B=C3162)*('cost master'!$D:$D=""Storage cost per pallet / week"")*('cost master'!$G:$G&lt;=B3162)*(('cost master'!$H:$H&gt;=B3162)+ISBLANK('cost master'!$H:$H))),1),0)"),0.0)</f>
        <v>0</v>
      </c>
      <c r="I3162" s="3">
        <f t="shared" si="4"/>
        <v>0</v>
      </c>
      <c r="J3162" s="27">
        <f t="shared" si="5"/>
        <v>693947</v>
      </c>
      <c r="K3162" s="27">
        <f t="shared" si="6"/>
        <v>693977</v>
      </c>
    </row>
    <row r="3163" hidden="1">
      <c r="A3163" s="3" t="str">
        <f t="shared" si="3"/>
        <v/>
      </c>
      <c r="B3163" s="2" t="str">
        <f t="array" ref="B3163">INDEX(helper!$A$3:$A3996,ROUNDUP((ROW()-1)/COUNTA(helper!$D$3:$D3996),0))</f>
        <v/>
      </c>
      <c r="C3163" s="5" t="str">
        <f t="array" ref="C3163">IF(B3163="","",INDEX(helper!$D$3:$D3996,MOD(ROW()-2,COUNTA(helper!$D$3:$D3996))+1))</f>
        <v/>
      </c>
      <c r="D3163" s="3" t="str">
        <f t="array" ref="D3163">IF(B3163="","",INDEX(helper!$E$3:$E3996,MOD(ROW()-2,COUNTA(helper!$D$3:$D3996))+1))</f>
        <v/>
      </c>
      <c r="E3163" s="3" t="str">
        <f t="array" ref="E3163">IF(B3163="","",INDEX(helper!$F$3:$F3996,MOD(ROW()-2,COUNTA(helper!$D$3:$D3996))+1))</f>
        <v/>
      </c>
      <c r="F3163" s="3" t="str">
        <f>IF(B3163="","",SUMIFS('inventory ledger'!$H:$H,'inventory ledger'!$C:$C,C3163,'inventory ledger'!$D:$D,D3163,'inventory ledger'!$E:$E,E3163,'inventory ledger'!$A:$A,"&lt;="&amp;B3163+TIME(23,59,59))-SUMIFS('inventory ledger'!$I:$I,'inventory ledger'!$C:$C,C3163,'inventory ledger'!$D:$D,D3163,'inventory ledger'!$E:$E,E3163,'inventory ledger'!$A:$A,"&lt;="&amp;B3163+TIME(23,59,59)))</f>
        <v/>
      </c>
      <c r="G3163" s="3">
        <f>IFERROR(__xludf.DUMMYFUNCTION("IF(F3163&lt;=0,0,IFERROR(ROUNDUP(F3163/INDEX(FILTER('warehouse config'!$D:$D,('warehouse config'!$B:$B=C3163)*('warehouse config'!$C:$C=D3163)*('warehouse config'!$G:$G&lt;=B3163)*(('warehouse config'!$H:$H&gt;=B3163)+ISBLANK('warehouse config'!$H:$H))),1)),0))"),0.0)</f>
        <v>0</v>
      </c>
      <c r="H3163" s="3">
        <f>IFERROR(__xludf.DUMMYFUNCTION("IFERROR(INDEX(FILTER('cost master'!$E:$E,('cost master'!$B:$B=C3163)*('cost master'!$D:$D=""Storage cost per pallet / week"")*('cost master'!$G:$G&lt;=B3163)*(('cost master'!$H:$H&gt;=B3163)+ISBLANK('cost master'!$H:$H))),1),0)"),0.0)</f>
        <v>0</v>
      </c>
      <c r="I3163" s="3">
        <f t="shared" si="4"/>
        <v>0</v>
      </c>
      <c r="J3163" s="27">
        <f t="shared" si="5"/>
        <v>693947</v>
      </c>
      <c r="K3163" s="27">
        <f t="shared" si="6"/>
        <v>693977</v>
      </c>
    </row>
    <row r="3164" hidden="1">
      <c r="A3164" s="3" t="str">
        <f t="shared" si="3"/>
        <v/>
      </c>
      <c r="B3164" s="2" t="str">
        <f t="array" ref="B3164">INDEX(helper!$A$3:$A3996,ROUNDUP((ROW()-1)/COUNTA(helper!$D$3:$D3996),0))</f>
        <v/>
      </c>
      <c r="C3164" s="5" t="str">
        <f t="array" ref="C3164">IF(B3164="","",INDEX(helper!$D$3:$D3996,MOD(ROW()-2,COUNTA(helper!$D$3:$D3996))+1))</f>
        <v/>
      </c>
      <c r="D3164" s="3" t="str">
        <f t="array" ref="D3164">IF(B3164="","",INDEX(helper!$E$3:$E3996,MOD(ROW()-2,COUNTA(helper!$D$3:$D3996))+1))</f>
        <v/>
      </c>
      <c r="E3164" s="3" t="str">
        <f t="array" ref="E3164">IF(B3164="","",INDEX(helper!$F$3:$F3996,MOD(ROW()-2,COUNTA(helper!$D$3:$D3996))+1))</f>
        <v/>
      </c>
      <c r="F3164" s="3" t="str">
        <f>IF(B3164="","",SUMIFS('inventory ledger'!$H:$H,'inventory ledger'!$C:$C,C3164,'inventory ledger'!$D:$D,D3164,'inventory ledger'!$E:$E,E3164,'inventory ledger'!$A:$A,"&lt;="&amp;B3164+TIME(23,59,59))-SUMIFS('inventory ledger'!$I:$I,'inventory ledger'!$C:$C,C3164,'inventory ledger'!$D:$D,D3164,'inventory ledger'!$E:$E,E3164,'inventory ledger'!$A:$A,"&lt;="&amp;B3164+TIME(23,59,59)))</f>
        <v/>
      </c>
      <c r="G3164" s="3">
        <f>IFERROR(__xludf.DUMMYFUNCTION("IF(F3164&lt;=0,0,IFERROR(ROUNDUP(F3164/INDEX(FILTER('warehouse config'!$D:$D,('warehouse config'!$B:$B=C3164)*('warehouse config'!$C:$C=D3164)*('warehouse config'!$G:$G&lt;=B3164)*(('warehouse config'!$H:$H&gt;=B3164)+ISBLANK('warehouse config'!$H:$H))),1)),0))"),0.0)</f>
        <v>0</v>
      </c>
      <c r="H3164" s="3">
        <f>IFERROR(__xludf.DUMMYFUNCTION("IFERROR(INDEX(FILTER('cost master'!$E:$E,('cost master'!$B:$B=C3164)*('cost master'!$D:$D=""Storage cost per pallet / week"")*('cost master'!$G:$G&lt;=B3164)*(('cost master'!$H:$H&gt;=B3164)+ISBLANK('cost master'!$H:$H))),1),0)"),0.0)</f>
        <v>0</v>
      </c>
      <c r="I3164" s="3">
        <f t="shared" si="4"/>
        <v>0</v>
      </c>
      <c r="J3164" s="27">
        <f t="shared" si="5"/>
        <v>693947</v>
      </c>
      <c r="K3164" s="27">
        <f t="shared" si="6"/>
        <v>693977</v>
      </c>
    </row>
    <row r="3165" hidden="1">
      <c r="A3165" s="3" t="str">
        <f t="shared" si="3"/>
        <v/>
      </c>
      <c r="B3165" s="2" t="str">
        <f t="array" ref="B3165">INDEX(helper!$A$3:$A3996,ROUNDUP((ROW()-1)/COUNTA(helper!$D$3:$D3996),0))</f>
        <v/>
      </c>
      <c r="C3165" s="5" t="str">
        <f t="array" ref="C3165">IF(B3165="","",INDEX(helper!$D$3:$D3996,MOD(ROW()-2,COUNTA(helper!$D$3:$D3996))+1))</f>
        <v/>
      </c>
      <c r="D3165" s="3" t="str">
        <f t="array" ref="D3165">IF(B3165="","",INDEX(helper!$E$3:$E3996,MOD(ROW()-2,COUNTA(helper!$D$3:$D3996))+1))</f>
        <v/>
      </c>
      <c r="E3165" s="3" t="str">
        <f t="array" ref="E3165">IF(B3165="","",INDEX(helper!$F$3:$F3996,MOD(ROW()-2,COUNTA(helper!$D$3:$D3996))+1))</f>
        <v/>
      </c>
      <c r="F3165" s="3" t="str">
        <f>IF(B3165="","",SUMIFS('inventory ledger'!$H:$H,'inventory ledger'!$C:$C,C3165,'inventory ledger'!$D:$D,D3165,'inventory ledger'!$E:$E,E3165,'inventory ledger'!$A:$A,"&lt;="&amp;B3165+TIME(23,59,59))-SUMIFS('inventory ledger'!$I:$I,'inventory ledger'!$C:$C,C3165,'inventory ledger'!$D:$D,D3165,'inventory ledger'!$E:$E,E3165,'inventory ledger'!$A:$A,"&lt;="&amp;B3165+TIME(23,59,59)))</f>
        <v/>
      </c>
      <c r="G3165" s="3">
        <f>IFERROR(__xludf.DUMMYFUNCTION("IF(F3165&lt;=0,0,IFERROR(ROUNDUP(F3165/INDEX(FILTER('warehouse config'!$D:$D,('warehouse config'!$B:$B=C3165)*('warehouse config'!$C:$C=D3165)*('warehouse config'!$G:$G&lt;=B3165)*(('warehouse config'!$H:$H&gt;=B3165)+ISBLANK('warehouse config'!$H:$H))),1)),0))"),0.0)</f>
        <v>0</v>
      </c>
      <c r="H3165" s="3">
        <f>IFERROR(__xludf.DUMMYFUNCTION("IFERROR(INDEX(FILTER('cost master'!$E:$E,('cost master'!$B:$B=C3165)*('cost master'!$D:$D=""Storage cost per pallet / week"")*('cost master'!$G:$G&lt;=B3165)*(('cost master'!$H:$H&gt;=B3165)+ISBLANK('cost master'!$H:$H))),1),0)"),0.0)</f>
        <v>0</v>
      </c>
      <c r="I3165" s="3">
        <f t="shared" si="4"/>
        <v>0</v>
      </c>
      <c r="J3165" s="27">
        <f t="shared" si="5"/>
        <v>693947</v>
      </c>
      <c r="K3165" s="27">
        <f t="shared" si="6"/>
        <v>693977</v>
      </c>
    </row>
    <row r="3166" hidden="1">
      <c r="A3166" s="3" t="str">
        <f t="shared" si="3"/>
        <v/>
      </c>
      <c r="B3166" s="2" t="str">
        <f t="array" ref="B3166">INDEX(helper!$A$3:$A3996,ROUNDUP((ROW()-1)/COUNTA(helper!$D$3:$D3996),0))</f>
        <v/>
      </c>
      <c r="C3166" s="5" t="str">
        <f t="array" ref="C3166">IF(B3166="","",INDEX(helper!$D$3:$D3996,MOD(ROW()-2,COUNTA(helper!$D$3:$D3996))+1))</f>
        <v/>
      </c>
      <c r="D3166" s="3" t="str">
        <f t="array" ref="D3166">IF(B3166="","",INDEX(helper!$E$3:$E3996,MOD(ROW()-2,COUNTA(helper!$D$3:$D3996))+1))</f>
        <v/>
      </c>
      <c r="E3166" s="3" t="str">
        <f t="array" ref="E3166">IF(B3166="","",INDEX(helper!$F$3:$F3996,MOD(ROW()-2,COUNTA(helper!$D$3:$D3996))+1))</f>
        <v/>
      </c>
      <c r="F3166" s="3" t="str">
        <f>IF(B3166="","",SUMIFS('inventory ledger'!$H:$H,'inventory ledger'!$C:$C,C3166,'inventory ledger'!$D:$D,D3166,'inventory ledger'!$E:$E,E3166,'inventory ledger'!$A:$A,"&lt;="&amp;B3166+TIME(23,59,59))-SUMIFS('inventory ledger'!$I:$I,'inventory ledger'!$C:$C,C3166,'inventory ledger'!$D:$D,D3166,'inventory ledger'!$E:$E,E3166,'inventory ledger'!$A:$A,"&lt;="&amp;B3166+TIME(23,59,59)))</f>
        <v/>
      </c>
      <c r="G3166" s="3">
        <f>IFERROR(__xludf.DUMMYFUNCTION("IF(F3166&lt;=0,0,IFERROR(ROUNDUP(F3166/INDEX(FILTER('warehouse config'!$D:$D,('warehouse config'!$B:$B=C3166)*('warehouse config'!$C:$C=D3166)*('warehouse config'!$G:$G&lt;=B3166)*(('warehouse config'!$H:$H&gt;=B3166)+ISBLANK('warehouse config'!$H:$H))),1)),0))"),0.0)</f>
        <v>0</v>
      </c>
      <c r="H3166" s="3">
        <f>IFERROR(__xludf.DUMMYFUNCTION("IFERROR(INDEX(FILTER('cost master'!$E:$E,('cost master'!$B:$B=C3166)*('cost master'!$D:$D=""Storage cost per pallet / week"")*('cost master'!$G:$G&lt;=B3166)*(('cost master'!$H:$H&gt;=B3166)+ISBLANK('cost master'!$H:$H))),1),0)"),0.0)</f>
        <v>0</v>
      </c>
      <c r="I3166" s="3">
        <f t="shared" si="4"/>
        <v>0</v>
      </c>
      <c r="J3166" s="27">
        <f t="shared" si="5"/>
        <v>693947</v>
      </c>
      <c r="K3166" s="27">
        <f t="shared" si="6"/>
        <v>693977</v>
      </c>
    </row>
    <row r="3167" hidden="1">
      <c r="A3167" s="3" t="str">
        <f t="shared" si="3"/>
        <v/>
      </c>
      <c r="B3167" s="2" t="str">
        <f t="array" ref="B3167">INDEX(helper!$A$3:$A3996,ROUNDUP((ROW()-1)/COUNTA(helper!$D$3:$D3996),0))</f>
        <v/>
      </c>
      <c r="C3167" s="5" t="str">
        <f t="array" ref="C3167">IF(B3167="","",INDEX(helper!$D$3:$D3996,MOD(ROW()-2,COUNTA(helper!$D$3:$D3996))+1))</f>
        <v/>
      </c>
      <c r="D3167" s="3" t="str">
        <f t="array" ref="D3167">IF(B3167="","",INDEX(helper!$E$3:$E3996,MOD(ROW()-2,COUNTA(helper!$D$3:$D3996))+1))</f>
        <v/>
      </c>
      <c r="E3167" s="3" t="str">
        <f t="array" ref="E3167">IF(B3167="","",INDEX(helper!$F$3:$F3996,MOD(ROW()-2,COUNTA(helper!$D$3:$D3996))+1))</f>
        <v/>
      </c>
      <c r="F3167" s="3" t="str">
        <f>IF(B3167="","",SUMIFS('inventory ledger'!$H:$H,'inventory ledger'!$C:$C,C3167,'inventory ledger'!$D:$D,D3167,'inventory ledger'!$E:$E,E3167,'inventory ledger'!$A:$A,"&lt;="&amp;B3167+TIME(23,59,59))-SUMIFS('inventory ledger'!$I:$I,'inventory ledger'!$C:$C,C3167,'inventory ledger'!$D:$D,D3167,'inventory ledger'!$E:$E,E3167,'inventory ledger'!$A:$A,"&lt;="&amp;B3167+TIME(23,59,59)))</f>
        <v/>
      </c>
      <c r="G3167" s="3">
        <f>IFERROR(__xludf.DUMMYFUNCTION("IF(F3167&lt;=0,0,IFERROR(ROUNDUP(F3167/INDEX(FILTER('warehouse config'!$D:$D,('warehouse config'!$B:$B=C3167)*('warehouse config'!$C:$C=D3167)*('warehouse config'!$G:$G&lt;=B3167)*(('warehouse config'!$H:$H&gt;=B3167)+ISBLANK('warehouse config'!$H:$H))),1)),0))"),0.0)</f>
        <v>0</v>
      </c>
      <c r="H3167" s="3">
        <f>IFERROR(__xludf.DUMMYFUNCTION("IFERROR(INDEX(FILTER('cost master'!$E:$E,('cost master'!$B:$B=C3167)*('cost master'!$D:$D=""Storage cost per pallet / week"")*('cost master'!$G:$G&lt;=B3167)*(('cost master'!$H:$H&gt;=B3167)+ISBLANK('cost master'!$H:$H))),1),0)"),0.0)</f>
        <v>0</v>
      </c>
      <c r="I3167" s="3">
        <f t="shared" si="4"/>
        <v>0</v>
      </c>
      <c r="J3167" s="27">
        <f t="shared" si="5"/>
        <v>693947</v>
      </c>
      <c r="K3167" s="27">
        <f t="shared" si="6"/>
        <v>693977</v>
      </c>
    </row>
    <row r="3168" hidden="1">
      <c r="A3168" s="3" t="str">
        <f t="shared" si="3"/>
        <v/>
      </c>
      <c r="B3168" s="2" t="str">
        <f t="array" ref="B3168">INDEX(helper!$A$3:$A3996,ROUNDUP((ROW()-1)/COUNTA(helper!$D$3:$D3996),0))</f>
        <v/>
      </c>
      <c r="C3168" s="5" t="str">
        <f t="array" ref="C3168">IF(B3168="","",INDEX(helper!$D$3:$D3996,MOD(ROW()-2,COUNTA(helper!$D$3:$D3996))+1))</f>
        <v/>
      </c>
      <c r="D3168" s="3" t="str">
        <f t="array" ref="D3168">IF(B3168="","",INDEX(helper!$E$3:$E3996,MOD(ROW()-2,COUNTA(helper!$D$3:$D3996))+1))</f>
        <v/>
      </c>
      <c r="E3168" s="3" t="str">
        <f t="array" ref="E3168">IF(B3168="","",INDEX(helper!$F$3:$F3996,MOD(ROW()-2,COUNTA(helper!$D$3:$D3996))+1))</f>
        <v/>
      </c>
      <c r="F3168" s="3" t="str">
        <f>IF(B3168="","",SUMIFS('inventory ledger'!$H:$H,'inventory ledger'!$C:$C,C3168,'inventory ledger'!$D:$D,D3168,'inventory ledger'!$E:$E,E3168,'inventory ledger'!$A:$A,"&lt;="&amp;B3168+TIME(23,59,59))-SUMIFS('inventory ledger'!$I:$I,'inventory ledger'!$C:$C,C3168,'inventory ledger'!$D:$D,D3168,'inventory ledger'!$E:$E,E3168,'inventory ledger'!$A:$A,"&lt;="&amp;B3168+TIME(23,59,59)))</f>
        <v/>
      </c>
      <c r="G3168" s="3">
        <f>IFERROR(__xludf.DUMMYFUNCTION("IF(F3168&lt;=0,0,IFERROR(ROUNDUP(F3168/INDEX(FILTER('warehouse config'!$D:$D,('warehouse config'!$B:$B=C3168)*('warehouse config'!$C:$C=D3168)*('warehouse config'!$G:$G&lt;=B3168)*(('warehouse config'!$H:$H&gt;=B3168)+ISBLANK('warehouse config'!$H:$H))),1)),0))"),0.0)</f>
        <v>0</v>
      </c>
      <c r="H3168" s="3">
        <f>IFERROR(__xludf.DUMMYFUNCTION("IFERROR(INDEX(FILTER('cost master'!$E:$E,('cost master'!$B:$B=C3168)*('cost master'!$D:$D=""Storage cost per pallet / week"")*('cost master'!$G:$G&lt;=B3168)*(('cost master'!$H:$H&gt;=B3168)+ISBLANK('cost master'!$H:$H))),1),0)"),0.0)</f>
        <v>0</v>
      </c>
      <c r="I3168" s="3">
        <f t="shared" si="4"/>
        <v>0</v>
      </c>
      <c r="J3168" s="27">
        <f t="shared" si="5"/>
        <v>693947</v>
      </c>
      <c r="K3168" s="27">
        <f t="shared" si="6"/>
        <v>693977</v>
      </c>
    </row>
    <row r="3169" hidden="1">
      <c r="A3169" s="3" t="str">
        <f t="shared" si="3"/>
        <v/>
      </c>
      <c r="B3169" s="2" t="str">
        <f t="array" ref="B3169">INDEX(helper!$A$3:$A3996,ROUNDUP((ROW()-1)/COUNTA(helper!$D$3:$D3996),0))</f>
        <v/>
      </c>
      <c r="C3169" s="5" t="str">
        <f t="array" ref="C3169">IF(B3169="","",INDEX(helper!$D$3:$D3996,MOD(ROW()-2,COUNTA(helper!$D$3:$D3996))+1))</f>
        <v/>
      </c>
      <c r="D3169" s="3" t="str">
        <f t="array" ref="D3169">IF(B3169="","",INDEX(helper!$E$3:$E3996,MOD(ROW()-2,COUNTA(helper!$D$3:$D3996))+1))</f>
        <v/>
      </c>
      <c r="E3169" s="3" t="str">
        <f t="array" ref="E3169">IF(B3169="","",INDEX(helper!$F$3:$F3996,MOD(ROW()-2,COUNTA(helper!$D$3:$D3996))+1))</f>
        <v/>
      </c>
      <c r="F3169" s="3" t="str">
        <f>IF(B3169="","",SUMIFS('inventory ledger'!$H:$H,'inventory ledger'!$C:$C,C3169,'inventory ledger'!$D:$D,D3169,'inventory ledger'!$E:$E,E3169,'inventory ledger'!$A:$A,"&lt;="&amp;B3169+TIME(23,59,59))-SUMIFS('inventory ledger'!$I:$I,'inventory ledger'!$C:$C,C3169,'inventory ledger'!$D:$D,D3169,'inventory ledger'!$E:$E,E3169,'inventory ledger'!$A:$A,"&lt;="&amp;B3169+TIME(23,59,59)))</f>
        <v/>
      </c>
      <c r="G3169" s="3">
        <f>IFERROR(__xludf.DUMMYFUNCTION("IF(F3169&lt;=0,0,IFERROR(ROUNDUP(F3169/INDEX(FILTER('warehouse config'!$D:$D,('warehouse config'!$B:$B=C3169)*('warehouse config'!$C:$C=D3169)*('warehouse config'!$G:$G&lt;=B3169)*(('warehouse config'!$H:$H&gt;=B3169)+ISBLANK('warehouse config'!$H:$H))),1)),0))"),0.0)</f>
        <v>0</v>
      </c>
      <c r="H3169" s="3">
        <f>IFERROR(__xludf.DUMMYFUNCTION("IFERROR(INDEX(FILTER('cost master'!$E:$E,('cost master'!$B:$B=C3169)*('cost master'!$D:$D=""Storage cost per pallet / week"")*('cost master'!$G:$G&lt;=B3169)*(('cost master'!$H:$H&gt;=B3169)+ISBLANK('cost master'!$H:$H))),1),0)"),0.0)</f>
        <v>0</v>
      </c>
      <c r="I3169" s="3">
        <f t="shared" si="4"/>
        <v>0</v>
      </c>
      <c r="J3169" s="27">
        <f t="shared" si="5"/>
        <v>693947</v>
      </c>
      <c r="K3169" s="27">
        <f t="shared" si="6"/>
        <v>693977</v>
      </c>
    </row>
    <row r="3170" hidden="1">
      <c r="A3170" s="3" t="str">
        <f t="shared" si="3"/>
        <v/>
      </c>
      <c r="B3170" s="2" t="str">
        <f t="array" ref="B3170">INDEX(helper!$A$3:$A3996,ROUNDUP((ROW()-1)/COUNTA(helper!$D$3:$D3996),0))</f>
        <v/>
      </c>
      <c r="C3170" s="5" t="str">
        <f t="array" ref="C3170">IF(B3170="","",INDEX(helper!$D$3:$D3996,MOD(ROW()-2,COUNTA(helper!$D$3:$D3996))+1))</f>
        <v/>
      </c>
      <c r="D3170" s="3" t="str">
        <f t="array" ref="D3170">IF(B3170="","",INDEX(helper!$E$3:$E3996,MOD(ROW()-2,COUNTA(helper!$D$3:$D3996))+1))</f>
        <v/>
      </c>
      <c r="E3170" s="3" t="str">
        <f t="array" ref="E3170">IF(B3170="","",INDEX(helper!$F$3:$F3996,MOD(ROW()-2,COUNTA(helper!$D$3:$D3996))+1))</f>
        <v/>
      </c>
      <c r="F3170" s="3" t="str">
        <f>IF(B3170="","",SUMIFS('inventory ledger'!$H:$H,'inventory ledger'!$C:$C,C3170,'inventory ledger'!$D:$D,D3170,'inventory ledger'!$E:$E,E3170,'inventory ledger'!$A:$A,"&lt;="&amp;B3170+TIME(23,59,59))-SUMIFS('inventory ledger'!$I:$I,'inventory ledger'!$C:$C,C3170,'inventory ledger'!$D:$D,D3170,'inventory ledger'!$E:$E,E3170,'inventory ledger'!$A:$A,"&lt;="&amp;B3170+TIME(23,59,59)))</f>
        <v/>
      </c>
      <c r="G3170" s="3">
        <f>IFERROR(__xludf.DUMMYFUNCTION("IF(F3170&lt;=0,0,IFERROR(ROUNDUP(F3170/INDEX(FILTER('warehouse config'!$D:$D,('warehouse config'!$B:$B=C3170)*('warehouse config'!$C:$C=D3170)*('warehouse config'!$G:$G&lt;=B3170)*(('warehouse config'!$H:$H&gt;=B3170)+ISBLANK('warehouse config'!$H:$H))),1)),0))"),0.0)</f>
        <v>0</v>
      </c>
      <c r="H3170" s="3">
        <f>IFERROR(__xludf.DUMMYFUNCTION("IFERROR(INDEX(FILTER('cost master'!$E:$E,('cost master'!$B:$B=C3170)*('cost master'!$D:$D=""Storage cost per pallet / week"")*('cost master'!$G:$G&lt;=B3170)*(('cost master'!$H:$H&gt;=B3170)+ISBLANK('cost master'!$H:$H))),1),0)"),0.0)</f>
        <v>0</v>
      </c>
      <c r="I3170" s="3">
        <f t="shared" si="4"/>
        <v>0</v>
      </c>
      <c r="J3170" s="27">
        <f t="shared" si="5"/>
        <v>693947</v>
      </c>
      <c r="K3170" s="27">
        <f t="shared" si="6"/>
        <v>693977</v>
      </c>
    </row>
    <row r="3171" hidden="1">
      <c r="A3171" s="3" t="str">
        <f t="shared" si="3"/>
        <v/>
      </c>
      <c r="B3171" s="2" t="str">
        <f t="array" ref="B3171">INDEX(helper!$A$3:$A3996,ROUNDUP((ROW()-1)/COUNTA(helper!$D$3:$D3996),0))</f>
        <v/>
      </c>
      <c r="C3171" s="5" t="str">
        <f t="array" ref="C3171">IF(B3171="","",INDEX(helper!$D$3:$D3996,MOD(ROW()-2,COUNTA(helper!$D$3:$D3996))+1))</f>
        <v/>
      </c>
      <c r="D3171" s="3" t="str">
        <f t="array" ref="D3171">IF(B3171="","",INDEX(helper!$E$3:$E3996,MOD(ROW()-2,COUNTA(helper!$D$3:$D3996))+1))</f>
        <v/>
      </c>
      <c r="E3171" s="3" t="str">
        <f t="array" ref="E3171">IF(B3171="","",INDEX(helper!$F$3:$F3996,MOD(ROW()-2,COUNTA(helper!$D$3:$D3996))+1))</f>
        <v/>
      </c>
      <c r="F3171" s="3" t="str">
        <f>IF(B3171="","",SUMIFS('inventory ledger'!$H:$H,'inventory ledger'!$C:$C,C3171,'inventory ledger'!$D:$D,D3171,'inventory ledger'!$E:$E,E3171,'inventory ledger'!$A:$A,"&lt;="&amp;B3171+TIME(23,59,59))-SUMIFS('inventory ledger'!$I:$I,'inventory ledger'!$C:$C,C3171,'inventory ledger'!$D:$D,D3171,'inventory ledger'!$E:$E,E3171,'inventory ledger'!$A:$A,"&lt;="&amp;B3171+TIME(23,59,59)))</f>
        <v/>
      </c>
      <c r="G3171" s="3">
        <f>IFERROR(__xludf.DUMMYFUNCTION("IF(F3171&lt;=0,0,IFERROR(ROUNDUP(F3171/INDEX(FILTER('warehouse config'!$D:$D,('warehouse config'!$B:$B=C3171)*('warehouse config'!$C:$C=D3171)*('warehouse config'!$G:$G&lt;=B3171)*(('warehouse config'!$H:$H&gt;=B3171)+ISBLANK('warehouse config'!$H:$H))),1)),0))"),0.0)</f>
        <v>0</v>
      </c>
      <c r="H3171" s="3">
        <f>IFERROR(__xludf.DUMMYFUNCTION("IFERROR(INDEX(FILTER('cost master'!$E:$E,('cost master'!$B:$B=C3171)*('cost master'!$D:$D=""Storage cost per pallet / week"")*('cost master'!$G:$G&lt;=B3171)*(('cost master'!$H:$H&gt;=B3171)+ISBLANK('cost master'!$H:$H))),1),0)"),0.0)</f>
        <v>0</v>
      </c>
      <c r="I3171" s="3">
        <f t="shared" si="4"/>
        <v>0</v>
      </c>
      <c r="J3171" s="27">
        <f t="shared" si="5"/>
        <v>693947</v>
      </c>
      <c r="K3171" s="27">
        <f t="shared" si="6"/>
        <v>693977</v>
      </c>
    </row>
    <row r="3172" hidden="1">
      <c r="A3172" s="3" t="str">
        <f t="shared" si="3"/>
        <v/>
      </c>
      <c r="B3172" s="2" t="str">
        <f t="array" ref="B3172">INDEX(helper!$A$3:$A3996,ROUNDUP((ROW()-1)/COUNTA(helper!$D$3:$D3996),0))</f>
        <v/>
      </c>
      <c r="C3172" s="5" t="str">
        <f t="array" ref="C3172">IF(B3172="","",INDEX(helper!$D$3:$D3996,MOD(ROW()-2,COUNTA(helper!$D$3:$D3996))+1))</f>
        <v/>
      </c>
      <c r="D3172" s="3" t="str">
        <f t="array" ref="D3172">IF(B3172="","",INDEX(helper!$E$3:$E3996,MOD(ROW()-2,COUNTA(helper!$D$3:$D3996))+1))</f>
        <v/>
      </c>
      <c r="E3172" s="3" t="str">
        <f t="array" ref="E3172">IF(B3172="","",INDEX(helper!$F$3:$F3996,MOD(ROW()-2,COUNTA(helper!$D$3:$D3996))+1))</f>
        <v/>
      </c>
      <c r="F3172" s="3" t="str">
        <f>IF(B3172="","",SUMIFS('inventory ledger'!$H:$H,'inventory ledger'!$C:$C,C3172,'inventory ledger'!$D:$D,D3172,'inventory ledger'!$E:$E,E3172,'inventory ledger'!$A:$A,"&lt;="&amp;B3172+TIME(23,59,59))-SUMIFS('inventory ledger'!$I:$I,'inventory ledger'!$C:$C,C3172,'inventory ledger'!$D:$D,D3172,'inventory ledger'!$E:$E,E3172,'inventory ledger'!$A:$A,"&lt;="&amp;B3172+TIME(23,59,59)))</f>
        <v/>
      </c>
      <c r="G3172" s="3">
        <f>IFERROR(__xludf.DUMMYFUNCTION("IF(F3172&lt;=0,0,IFERROR(ROUNDUP(F3172/INDEX(FILTER('warehouse config'!$D:$D,('warehouse config'!$B:$B=C3172)*('warehouse config'!$C:$C=D3172)*('warehouse config'!$G:$G&lt;=B3172)*(('warehouse config'!$H:$H&gt;=B3172)+ISBLANK('warehouse config'!$H:$H))),1)),0))"),0.0)</f>
        <v>0</v>
      </c>
      <c r="H3172" s="3">
        <f>IFERROR(__xludf.DUMMYFUNCTION("IFERROR(INDEX(FILTER('cost master'!$E:$E,('cost master'!$B:$B=C3172)*('cost master'!$D:$D=""Storage cost per pallet / week"")*('cost master'!$G:$G&lt;=B3172)*(('cost master'!$H:$H&gt;=B3172)+ISBLANK('cost master'!$H:$H))),1),0)"),0.0)</f>
        <v>0</v>
      </c>
      <c r="I3172" s="3">
        <f t="shared" si="4"/>
        <v>0</v>
      </c>
      <c r="J3172" s="27">
        <f t="shared" si="5"/>
        <v>693947</v>
      </c>
      <c r="K3172" s="27">
        <f t="shared" si="6"/>
        <v>693977</v>
      </c>
    </row>
    <row r="3173" hidden="1">
      <c r="A3173" s="3" t="str">
        <f t="shared" si="3"/>
        <v/>
      </c>
      <c r="B3173" s="2" t="str">
        <f t="array" ref="B3173">INDEX(helper!$A$3:$A3996,ROUNDUP((ROW()-1)/COUNTA(helper!$D$3:$D3996),0))</f>
        <v/>
      </c>
      <c r="C3173" s="5" t="str">
        <f t="array" ref="C3173">IF(B3173="","",INDEX(helper!$D$3:$D3996,MOD(ROW()-2,COUNTA(helper!$D$3:$D3996))+1))</f>
        <v/>
      </c>
      <c r="D3173" s="3" t="str">
        <f t="array" ref="D3173">IF(B3173="","",INDEX(helper!$E$3:$E3996,MOD(ROW()-2,COUNTA(helper!$D$3:$D3996))+1))</f>
        <v/>
      </c>
      <c r="E3173" s="3" t="str">
        <f t="array" ref="E3173">IF(B3173="","",INDEX(helper!$F$3:$F3996,MOD(ROW()-2,COUNTA(helper!$D$3:$D3996))+1))</f>
        <v/>
      </c>
      <c r="F3173" s="3" t="str">
        <f>IF(B3173="","",SUMIFS('inventory ledger'!$H:$H,'inventory ledger'!$C:$C,C3173,'inventory ledger'!$D:$D,D3173,'inventory ledger'!$E:$E,E3173,'inventory ledger'!$A:$A,"&lt;="&amp;B3173+TIME(23,59,59))-SUMIFS('inventory ledger'!$I:$I,'inventory ledger'!$C:$C,C3173,'inventory ledger'!$D:$D,D3173,'inventory ledger'!$E:$E,E3173,'inventory ledger'!$A:$A,"&lt;="&amp;B3173+TIME(23,59,59)))</f>
        <v/>
      </c>
      <c r="G3173" s="3">
        <f>IFERROR(__xludf.DUMMYFUNCTION("IF(F3173&lt;=0,0,IFERROR(ROUNDUP(F3173/INDEX(FILTER('warehouse config'!$D:$D,('warehouse config'!$B:$B=C3173)*('warehouse config'!$C:$C=D3173)*('warehouse config'!$G:$G&lt;=B3173)*(('warehouse config'!$H:$H&gt;=B3173)+ISBLANK('warehouse config'!$H:$H))),1)),0))"),0.0)</f>
        <v>0</v>
      </c>
      <c r="H3173" s="3">
        <f>IFERROR(__xludf.DUMMYFUNCTION("IFERROR(INDEX(FILTER('cost master'!$E:$E,('cost master'!$B:$B=C3173)*('cost master'!$D:$D=""Storage cost per pallet / week"")*('cost master'!$G:$G&lt;=B3173)*(('cost master'!$H:$H&gt;=B3173)+ISBLANK('cost master'!$H:$H))),1),0)"),0.0)</f>
        <v>0</v>
      </c>
      <c r="I3173" s="3">
        <f t="shared" si="4"/>
        <v>0</v>
      </c>
      <c r="J3173" s="27">
        <f t="shared" si="5"/>
        <v>693947</v>
      </c>
      <c r="K3173" s="27">
        <f t="shared" si="6"/>
        <v>693977</v>
      </c>
    </row>
    <row r="3174" hidden="1">
      <c r="A3174" s="3" t="str">
        <f t="shared" si="3"/>
        <v/>
      </c>
      <c r="B3174" s="2" t="str">
        <f t="array" ref="B3174">INDEX(helper!$A$3:$A3996,ROUNDUP((ROW()-1)/COUNTA(helper!$D$3:$D3996),0))</f>
        <v/>
      </c>
      <c r="C3174" s="5" t="str">
        <f t="array" ref="C3174">IF(B3174="","",INDEX(helper!$D$3:$D3996,MOD(ROW()-2,COUNTA(helper!$D$3:$D3996))+1))</f>
        <v/>
      </c>
      <c r="D3174" s="3" t="str">
        <f t="array" ref="D3174">IF(B3174="","",INDEX(helper!$E$3:$E3996,MOD(ROW()-2,COUNTA(helper!$D$3:$D3996))+1))</f>
        <v/>
      </c>
      <c r="E3174" s="3" t="str">
        <f t="array" ref="E3174">IF(B3174="","",INDEX(helper!$F$3:$F3996,MOD(ROW()-2,COUNTA(helper!$D$3:$D3996))+1))</f>
        <v/>
      </c>
      <c r="F3174" s="3" t="str">
        <f>IF(B3174="","",SUMIFS('inventory ledger'!$H:$H,'inventory ledger'!$C:$C,C3174,'inventory ledger'!$D:$D,D3174,'inventory ledger'!$E:$E,E3174,'inventory ledger'!$A:$A,"&lt;="&amp;B3174+TIME(23,59,59))-SUMIFS('inventory ledger'!$I:$I,'inventory ledger'!$C:$C,C3174,'inventory ledger'!$D:$D,D3174,'inventory ledger'!$E:$E,E3174,'inventory ledger'!$A:$A,"&lt;="&amp;B3174+TIME(23,59,59)))</f>
        <v/>
      </c>
      <c r="G3174" s="3">
        <f>IFERROR(__xludf.DUMMYFUNCTION("IF(F3174&lt;=0,0,IFERROR(ROUNDUP(F3174/INDEX(FILTER('warehouse config'!$D:$D,('warehouse config'!$B:$B=C3174)*('warehouse config'!$C:$C=D3174)*('warehouse config'!$G:$G&lt;=B3174)*(('warehouse config'!$H:$H&gt;=B3174)+ISBLANK('warehouse config'!$H:$H))),1)),0))"),0.0)</f>
        <v>0</v>
      </c>
      <c r="H3174" s="3">
        <f>IFERROR(__xludf.DUMMYFUNCTION("IFERROR(INDEX(FILTER('cost master'!$E:$E,('cost master'!$B:$B=C3174)*('cost master'!$D:$D=""Storage cost per pallet / week"")*('cost master'!$G:$G&lt;=B3174)*(('cost master'!$H:$H&gt;=B3174)+ISBLANK('cost master'!$H:$H))),1),0)"),0.0)</f>
        <v>0</v>
      </c>
      <c r="I3174" s="3">
        <f t="shared" si="4"/>
        <v>0</v>
      </c>
      <c r="J3174" s="27">
        <f t="shared" si="5"/>
        <v>693947</v>
      </c>
      <c r="K3174" s="27">
        <f t="shared" si="6"/>
        <v>693977</v>
      </c>
    </row>
    <row r="3175" hidden="1">
      <c r="A3175" s="3" t="str">
        <f t="shared" si="3"/>
        <v/>
      </c>
      <c r="B3175" s="2" t="str">
        <f t="array" ref="B3175">INDEX(helper!$A$3:$A3996,ROUNDUP((ROW()-1)/COUNTA(helper!$D$3:$D3996),0))</f>
        <v/>
      </c>
      <c r="C3175" s="5" t="str">
        <f t="array" ref="C3175">IF(B3175="","",INDEX(helper!$D$3:$D3996,MOD(ROW()-2,COUNTA(helper!$D$3:$D3996))+1))</f>
        <v/>
      </c>
      <c r="D3175" s="3" t="str">
        <f t="array" ref="D3175">IF(B3175="","",INDEX(helper!$E$3:$E3996,MOD(ROW()-2,COUNTA(helper!$D$3:$D3996))+1))</f>
        <v/>
      </c>
      <c r="E3175" s="3" t="str">
        <f t="array" ref="E3175">IF(B3175="","",INDEX(helper!$F$3:$F3996,MOD(ROW()-2,COUNTA(helper!$D$3:$D3996))+1))</f>
        <v/>
      </c>
      <c r="F3175" s="3" t="str">
        <f>IF(B3175="","",SUMIFS('inventory ledger'!$H:$H,'inventory ledger'!$C:$C,C3175,'inventory ledger'!$D:$D,D3175,'inventory ledger'!$E:$E,E3175,'inventory ledger'!$A:$A,"&lt;="&amp;B3175+TIME(23,59,59))-SUMIFS('inventory ledger'!$I:$I,'inventory ledger'!$C:$C,C3175,'inventory ledger'!$D:$D,D3175,'inventory ledger'!$E:$E,E3175,'inventory ledger'!$A:$A,"&lt;="&amp;B3175+TIME(23,59,59)))</f>
        <v/>
      </c>
      <c r="G3175" s="3">
        <f>IFERROR(__xludf.DUMMYFUNCTION("IF(F3175&lt;=0,0,IFERROR(ROUNDUP(F3175/INDEX(FILTER('warehouse config'!$D:$D,('warehouse config'!$B:$B=C3175)*('warehouse config'!$C:$C=D3175)*('warehouse config'!$G:$G&lt;=B3175)*(('warehouse config'!$H:$H&gt;=B3175)+ISBLANK('warehouse config'!$H:$H))),1)),0))"),0.0)</f>
        <v>0</v>
      </c>
      <c r="H3175" s="3">
        <f>IFERROR(__xludf.DUMMYFUNCTION("IFERROR(INDEX(FILTER('cost master'!$E:$E,('cost master'!$B:$B=C3175)*('cost master'!$D:$D=""Storage cost per pallet / week"")*('cost master'!$G:$G&lt;=B3175)*(('cost master'!$H:$H&gt;=B3175)+ISBLANK('cost master'!$H:$H))),1),0)"),0.0)</f>
        <v>0</v>
      </c>
      <c r="I3175" s="3">
        <f t="shared" si="4"/>
        <v>0</v>
      </c>
      <c r="J3175" s="27">
        <f t="shared" si="5"/>
        <v>693947</v>
      </c>
      <c r="K3175" s="27">
        <f t="shared" si="6"/>
        <v>693977</v>
      </c>
    </row>
    <row r="3176" hidden="1">
      <c r="A3176" s="3" t="str">
        <f t="shared" si="3"/>
        <v/>
      </c>
      <c r="B3176" s="2" t="str">
        <f t="array" ref="B3176">INDEX(helper!$A$3:$A3996,ROUNDUP((ROW()-1)/COUNTA(helper!$D$3:$D3996),0))</f>
        <v/>
      </c>
      <c r="C3176" s="5" t="str">
        <f t="array" ref="C3176">IF(B3176="","",INDEX(helper!$D$3:$D3996,MOD(ROW()-2,COUNTA(helper!$D$3:$D3996))+1))</f>
        <v/>
      </c>
      <c r="D3176" s="3" t="str">
        <f t="array" ref="D3176">IF(B3176="","",INDEX(helper!$E$3:$E3996,MOD(ROW()-2,COUNTA(helper!$D$3:$D3996))+1))</f>
        <v/>
      </c>
      <c r="E3176" s="3" t="str">
        <f t="array" ref="E3176">IF(B3176="","",INDEX(helper!$F$3:$F3996,MOD(ROW()-2,COUNTA(helper!$D$3:$D3996))+1))</f>
        <v/>
      </c>
      <c r="F3176" s="3" t="str">
        <f>IF(B3176="","",SUMIFS('inventory ledger'!$H:$H,'inventory ledger'!$C:$C,C3176,'inventory ledger'!$D:$D,D3176,'inventory ledger'!$E:$E,E3176,'inventory ledger'!$A:$A,"&lt;="&amp;B3176+TIME(23,59,59))-SUMIFS('inventory ledger'!$I:$I,'inventory ledger'!$C:$C,C3176,'inventory ledger'!$D:$D,D3176,'inventory ledger'!$E:$E,E3176,'inventory ledger'!$A:$A,"&lt;="&amp;B3176+TIME(23,59,59)))</f>
        <v/>
      </c>
      <c r="G3176" s="3">
        <f>IFERROR(__xludf.DUMMYFUNCTION("IF(F3176&lt;=0,0,IFERROR(ROUNDUP(F3176/INDEX(FILTER('warehouse config'!$D:$D,('warehouse config'!$B:$B=C3176)*('warehouse config'!$C:$C=D3176)*('warehouse config'!$G:$G&lt;=B3176)*(('warehouse config'!$H:$H&gt;=B3176)+ISBLANK('warehouse config'!$H:$H))),1)),0))"),0.0)</f>
        <v>0</v>
      </c>
      <c r="H3176" s="3">
        <f>IFERROR(__xludf.DUMMYFUNCTION("IFERROR(INDEX(FILTER('cost master'!$E:$E,('cost master'!$B:$B=C3176)*('cost master'!$D:$D=""Storage cost per pallet / week"")*('cost master'!$G:$G&lt;=B3176)*(('cost master'!$H:$H&gt;=B3176)+ISBLANK('cost master'!$H:$H))),1),0)"),0.0)</f>
        <v>0</v>
      </c>
      <c r="I3176" s="3">
        <f t="shared" si="4"/>
        <v>0</v>
      </c>
      <c r="J3176" s="27">
        <f t="shared" si="5"/>
        <v>693947</v>
      </c>
      <c r="K3176" s="27">
        <f t="shared" si="6"/>
        <v>693977</v>
      </c>
    </row>
    <row r="3177" hidden="1">
      <c r="A3177" s="3" t="str">
        <f t="shared" si="3"/>
        <v/>
      </c>
      <c r="B3177" s="2" t="str">
        <f t="array" ref="B3177">INDEX(helper!$A$3:$A3996,ROUNDUP((ROW()-1)/COUNTA(helper!$D$3:$D3996),0))</f>
        <v/>
      </c>
      <c r="C3177" s="5" t="str">
        <f t="array" ref="C3177">IF(B3177="","",INDEX(helper!$D$3:$D3996,MOD(ROW()-2,COUNTA(helper!$D$3:$D3996))+1))</f>
        <v/>
      </c>
      <c r="D3177" s="3" t="str">
        <f t="array" ref="D3177">IF(B3177="","",INDEX(helper!$E$3:$E3996,MOD(ROW()-2,COUNTA(helper!$D$3:$D3996))+1))</f>
        <v/>
      </c>
      <c r="E3177" s="3" t="str">
        <f t="array" ref="E3177">IF(B3177="","",INDEX(helper!$F$3:$F3996,MOD(ROW()-2,COUNTA(helper!$D$3:$D3996))+1))</f>
        <v/>
      </c>
      <c r="F3177" s="3" t="str">
        <f>IF(B3177="","",SUMIFS('inventory ledger'!$H:$H,'inventory ledger'!$C:$C,C3177,'inventory ledger'!$D:$D,D3177,'inventory ledger'!$E:$E,E3177,'inventory ledger'!$A:$A,"&lt;="&amp;B3177+TIME(23,59,59))-SUMIFS('inventory ledger'!$I:$I,'inventory ledger'!$C:$C,C3177,'inventory ledger'!$D:$D,D3177,'inventory ledger'!$E:$E,E3177,'inventory ledger'!$A:$A,"&lt;="&amp;B3177+TIME(23,59,59)))</f>
        <v/>
      </c>
      <c r="G3177" s="3">
        <f>IFERROR(__xludf.DUMMYFUNCTION("IF(F3177&lt;=0,0,IFERROR(ROUNDUP(F3177/INDEX(FILTER('warehouse config'!$D:$D,('warehouse config'!$B:$B=C3177)*('warehouse config'!$C:$C=D3177)*('warehouse config'!$G:$G&lt;=B3177)*(('warehouse config'!$H:$H&gt;=B3177)+ISBLANK('warehouse config'!$H:$H))),1)),0))"),0.0)</f>
        <v>0</v>
      </c>
      <c r="H3177" s="3">
        <f>IFERROR(__xludf.DUMMYFUNCTION("IFERROR(INDEX(FILTER('cost master'!$E:$E,('cost master'!$B:$B=C3177)*('cost master'!$D:$D=""Storage cost per pallet / week"")*('cost master'!$G:$G&lt;=B3177)*(('cost master'!$H:$H&gt;=B3177)+ISBLANK('cost master'!$H:$H))),1),0)"),0.0)</f>
        <v>0</v>
      </c>
      <c r="I3177" s="3">
        <f t="shared" si="4"/>
        <v>0</v>
      </c>
      <c r="J3177" s="27">
        <f t="shared" si="5"/>
        <v>693947</v>
      </c>
      <c r="K3177" s="27">
        <f t="shared" si="6"/>
        <v>693977</v>
      </c>
    </row>
    <row r="3178" hidden="1">
      <c r="A3178" s="3" t="str">
        <f t="shared" si="3"/>
        <v/>
      </c>
      <c r="B3178" s="2" t="str">
        <f t="array" ref="B3178">INDEX(helper!$A$3:$A3996,ROUNDUP((ROW()-1)/COUNTA(helper!$D$3:$D3996),0))</f>
        <v/>
      </c>
      <c r="C3178" s="5" t="str">
        <f t="array" ref="C3178">IF(B3178="","",INDEX(helper!$D$3:$D3996,MOD(ROW()-2,COUNTA(helper!$D$3:$D3996))+1))</f>
        <v/>
      </c>
      <c r="D3178" s="3" t="str">
        <f t="array" ref="D3178">IF(B3178="","",INDEX(helper!$E$3:$E3996,MOD(ROW()-2,COUNTA(helper!$D$3:$D3996))+1))</f>
        <v/>
      </c>
      <c r="E3178" s="3" t="str">
        <f t="array" ref="E3178">IF(B3178="","",INDEX(helper!$F$3:$F3996,MOD(ROW()-2,COUNTA(helper!$D$3:$D3996))+1))</f>
        <v/>
      </c>
      <c r="F3178" s="3" t="str">
        <f>IF(B3178="","",SUMIFS('inventory ledger'!$H:$H,'inventory ledger'!$C:$C,C3178,'inventory ledger'!$D:$D,D3178,'inventory ledger'!$E:$E,E3178,'inventory ledger'!$A:$A,"&lt;="&amp;B3178+TIME(23,59,59))-SUMIFS('inventory ledger'!$I:$I,'inventory ledger'!$C:$C,C3178,'inventory ledger'!$D:$D,D3178,'inventory ledger'!$E:$E,E3178,'inventory ledger'!$A:$A,"&lt;="&amp;B3178+TIME(23,59,59)))</f>
        <v/>
      </c>
      <c r="G3178" s="3">
        <f>IFERROR(__xludf.DUMMYFUNCTION("IF(F3178&lt;=0,0,IFERROR(ROUNDUP(F3178/INDEX(FILTER('warehouse config'!$D:$D,('warehouse config'!$B:$B=C3178)*('warehouse config'!$C:$C=D3178)*('warehouse config'!$G:$G&lt;=B3178)*(('warehouse config'!$H:$H&gt;=B3178)+ISBLANK('warehouse config'!$H:$H))),1)),0))"),0.0)</f>
        <v>0</v>
      </c>
      <c r="H3178" s="3">
        <f>IFERROR(__xludf.DUMMYFUNCTION("IFERROR(INDEX(FILTER('cost master'!$E:$E,('cost master'!$B:$B=C3178)*('cost master'!$D:$D=""Storage cost per pallet / week"")*('cost master'!$G:$G&lt;=B3178)*(('cost master'!$H:$H&gt;=B3178)+ISBLANK('cost master'!$H:$H))),1),0)"),0.0)</f>
        <v>0</v>
      </c>
      <c r="I3178" s="3">
        <f t="shared" si="4"/>
        <v>0</v>
      </c>
      <c r="J3178" s="27">
        <f t="shared" si="5"/>
        <v>693947</v>
      </c>
      <c r="K3178" s="27">
        <f t="shared" si="6"/>
        <v>693977</v>
      </c>
    </row>
    <row r="3179" hidden="1">
      <c r="A3179" s="3" t="str">
        <f t="shared" si="3"/>
        <v/>
      </c>
      <c r="B3179" s="2" t="str">
        <f t="array" ref="B3179">INDEX(helper!$A$3:$A3996,ROUNDUP((ROW()-1)/COUNTA(helper!$D$3:$D3996),0))</f>
        <v/>
      </c>
      <c r="C3179" s="5" t="str">
        <f t="array" ref="C3179">IF(B3179="","",INDEX(helper!$D$3:$D3996,MOD(ROW()-2,COUNTA(helper!$D$3:$D3996))+1))</f>
        <v/>
      </c>
      <c r="D3179" s="3" t="str">
        <f t="array" ref="D3179">IF(B3179="","",INDEX(helper!$E$3:$E3996,MOD(ROW()-2,COUNTA(helper!$D$3:$D3996))+1))</f>
        <v/>
      </c>
      <c r="E3179" s="3" t="str">
        <f t="array" ref="E3179">IF(B3179="","",INDEX(helper!$F$3:$F3996,MOD(ROW()-2,COUNTA(helper!$D$3:$D3996))+1))</f>
        <v/>
      </c>
      <c r="F3179" s="3" t="str">
        <f>IF(B3179="","",SUMIFS('inventory ledger'!$H:$H,'inventory ledger'!$C:$C,C3179,'inventory ledger'!$D:$D,D3179,'inventory ledger'!$E:$E,E3179,'inventory ledger'!$A:$A,"&lt;="&amp;B3179+TIME(23,59,59))-SUMIFS('inventory ledger'!$I:$I,'inventory ledger'!$C:$C,C3179,'inventory ledger'!$D:$D,D3179,'inventory ledger'!$E:$E,E3179,'inventory ledger'!$A:$A,"&lt;="&amp;B3179+TIME(23,59,59)))</f>
        <v/>
      </c>
      <c r="G3179" s="3">
        <f>IFERROR(__xludf.DUMMYFUNCTION("IF(F3179&lt;=0,0,IFERROR(ROUNDUP(F3179/INDEX(FILTER('warehouse config'!$D:$D,('warehouse config'!$B:$B=C3179)*('warehouse config'!$C:$C=D3179)*('warehouse config'!$G:$G&lt;=B3179)*(('warehouse config'!$H:$H&gt;=B3179)+ISBLANK('warehouse config'!$H:$H))),1)),0))"),0.0)</f>
        <v>0</v>
      </c>
      <c r="H3179" s="3">
        <f>IFERROR(__xludf.DUMMYFUNCTION("IFERROR(INDEX(FILTER('cost master'!$E:$E,('cost master'!$B:$B=C3179)*('cost master'!$D:$D=""Storage cost per pallet / week"")*('cost master'!$G:$G&lt;=B3179)*(('cost master'!$H:$H&gt;=B3179)+ISBLANK('cost master'!$H:$H))),1),0)"),0.0)</f>
        <v>0</v>
      </c>
      <c r="I3179" s="3">
        <f t="shared" si="4"/>
        <v>0</v>
      </c>
      <c r="J3179" s="27">
        <f t="shared" si="5"/>
        <v>693947</v>
      </c>
      <c r="K3179" s="27">
        <f t="shared" si="6"/>
        <v>693977</v>
      </c>
    </row>
    <row r="3180" hidden="1">
      <c r="A3180" s="3" t="str">
        <f t="shared" si="3"/>
        <v/>
      </c>
      <c r="B3180" s="2" t="str">
        <f t="array" ref="B3180">INDEX(helper!$A$3:$A3996,ROUNDUP((ROW()-1)/COUNTA(helper!$D$3:$D3996),0))</f>
        <v/>
      </c>
      <c r="C3180" s="5" t="str">
        <f t="array" ref="C3180">IF(B3180="","",INDEX(helper!$D$3:$D3996,MOD(ROW()-2,COUNTA(helper!$D$3:$D3996))+1))</f>
        <v/>
      </c>
      <c r="D3180" s="3" t="str">
        <f t="array" ref="D3180">IF(B3180="","",INDEX(helper!$E$3:$E3996,MOD(ROW()-2,COUNTA(helper!$D$3:$D3996))+1))</f>
        <v/>
      </c>
      <c r="E3180" s="3" t="str">
        <f t="array" ref="E3180">IF(B3180="","",INDEX(helper!$F$3:$F3996,MOD(ROW()-2,COUNTA(helper!$D$3:$D3996))+1))</f>
        <v/>
      </c>
      <c r="F3180" s="3" t="str">
        <f>IF(B3180="","",SUMIFS('inventory ledger'!$H:$H,'inventory ledger'!$C:$C,C3180,'inventory ledger'!$D:$D,D3180,'inventory ledger'!$E:$E,E3180,'inventory ledger'!$A:$A,"&lt;="&amp;B3180+TIME(23,59,59))-SUMIFS('inventory ledger'!$I:$I,'inventory ledger'!$C:$C,C3180,'inventory ledger'!$D:$D,D3180,'inventory ledger'!$E:$E,E3180,'inventory ledger'!$A:$A,"&lt;="&amp;B3180+TIME(23,59,59)))</f>
        <v/>
      </c>
      <c r="G3180" s="3">
        <f>IFERROR(__xludf.DUMMYFUNCTION("IF(F3180&lt;=0,0,IFERROR(ROUNDUP(F3180/INDEX(FILTER('warehouse config'!$D:$D,('warehouse config'!$B:$B=C3180)*('warehouse config'!$C:$C=D3180)*('warehouse config'!$G:$G&lt;=B3180)*(('warehouse config'!$H:$H&gt;=B3180)+ISBLANK('warehouse config'!$H:$H))),1)),0))"),0.0)</f>
        <v>0</v>
      </c>
      <c r="H3180" s="3">
        <f>IFERROR(__xludf.DUMMYFUNCTION("IFERROR(INDEX(FILTER('cost master'!$E:$E,('cost master'!$B:$B=C3180)*('cost master'!$D:$D=""Storage cost per pallet / week"")*('cost master'!$G:$G&lt;=B3180)*(('cost master'!$H:$H&gt;=B3180)+ISBLANK('cost master'!$H:$H))),1),0)"),0.0)</f>
        <v>0</v>
      </c>
      <c r="I3180" s="3">
        <f t="shared" si="4"/>
        <v>0</v>
      </c>
      <c r="J3180" s="27">
        <f t="shared" si="5"/>
        <v>693947</v>
      </c>
      <c r="K3180" s="27">
        <f t="shared" si="6"/>
        <v>693977</v>
      </c>
    </row>
    <row r="3181" hidden="1">
      <c r="A3181" s="3" t="str">
        <f t="shared" si="3"/>
        <v/>
      </c>
      <c r="B3181" s="2" t="str">
        <f t="array" ref="B3181">INDEX(helper!$A$3:$A3996,ROUNDUP((ROW()-1)/COUNTA(helper!$D$3:$D3996),0))</f>
        <v/>
      </c>
      <c r="C3181" s="5" t="str">
        <f t="array" ref="C3181">IF(B3181="","",INDEX(helper!$D$3:$D3996,MOD(ROW()-2,COUNTA(helper!$D$3:$D3996))+1))</f>
        <v/>
      </c>
      <c r="D3181" s="3" t="str">
        <f t="array" ref="D3181">IF(B3181="","",INDEX(helper!$E$3:$E3996,MOD(ROW()-2,COUNTA(helper!$D$3:$D3996))+1))</f>
        <v/>
      </c>
      <c r="E3181" s="3" t="str">
        <f t="array" ref="E3181">IF(B3181="","",INDEX(helper!$F$3:$F3996,MOD(ROW()-2,COUNTA(helper!$D$3:$D3996))+1))</f>
        <v/>
      </c>
      <c r="F3181" s="3" t="str">
        <f>IF(B3181="","",SUMIFS('inventory ledger'!$H:$H,'inventory ledger'!$C:$C,C3181,'inventory ledger'!$D:$D,D3181,'inventory ledger'!$E:$E,E3181,'inventory ledger'!$A:$A,"&lt;="&amp;B3181+TIME(23,59,59))-SUMIFS('inventory ledger'!$I:$I,'inventory ledger'!$C:$C,C3181,'inventory ledger'!$D:$D,D3181,'inventory ledger'!$E:$E,E3181,'inventory ledger'!$A:$A,"&lt;="&amp;B3181+TIME(23,59,59)))</f>
        <v/>
      </c>
      <c r="G3181" s="3">
        <f>IFERROR(__xludf.DUMMYFUNCTION("IF(F3181&lt;=0,0,IFERROR(ROUNDUP(F3181/INDEX(FILTER('warehouse config'!$D:$D,('warehouse config'!$B:$B=C3181)*('warehouse config'!$C:$C=D3181)*('warehouse config'!$G:$G&lt;=B3181)*(('warehouse config'!$H:$H&gt;=B3181)+ISBLANK('warehouse config'!$H:$H))),1)),0))"),0.0)</f>
        <v>0</v>
      </c>
      <c r="H3181" s="3">
        <f>IFERROR(__xludf.DUMMYFUNCTION("IFERROR(INDEX(FILTER('cost master'!$E:$E,('cost master'!$B:$B=C3181)*('cost master'!$D:$D=""Storage cost per pallet / week"")*('cost master'!$G:$G&lt;=B3181)*(('cost master'!$H:$H&gt;=B3181)+ISBLANK('cost master'!$H:$H))),1),0)"),0.0)</f>
        <v>0</v>
      </c>
      <c r="I3181" s="3">
        <f t="shared" si="4"/>
        <v>0</v>
      </c>
      <c r="J3181" s="27">
        <f t="shared" si="5"/>
        <v>693947</v>
      </c>
      <c r="K3181" s="27">
        <f t="shared" si="6"/>
        <v>693977</v>
      </c>
    </row>
    <row r="3182" hidden="1">
      <c r="A3182" s="3" t="str">
        <f t="shared" si="3"/>
        <v/>
      </c>
      <c r="B3182" s="2" t="str">
        <f t="array" ref="B3182">INDEX(helper!$A$3:$A3996,ROUNDUP((ROW()-1)/COUNTA(helper!$D$3:$D3996),0))</f>
        <v/>
      </c>
      <c r="C3182" s="5" t="str">
        <f t="array" ref="C3182">IF(B3182="","",INDEX(helper!$D$3:$D3996,MOD(ROW()-2,COUNTA(helper!$D$3:$D3996))+1))</f>
        <v/>
      </c>
      <c r="D3182" s="3" t="str">
        <f t="array" ref="D3182">IF(B3182="","",INDEX(helper!$E$3:$E3996,MOD(ROW()-2,COUNTA(helper!$D$3:$D3996))+1))</f>
        <v/>
      </c>
      <c r="E3182" s="3" t="str">
        <f t="array" ref="E3182">IF(B3182="","",INDEX(helper!$F$3:$F3996,MOD(ROW()-2,COUNTA(helper!$D$3:$D3996))+1))</f>
        <v/>
      </c>
      <c r="F3182" s="3" t="str">
        <f>IF(B3182="","",SUMIFS('inventory ledger'!$H:$H,'inventory ledger'!$C:$C,C3182,'inventory ledger'!$D:$D,D3182,'inventory ledger'!$E:$E,E3182,'inventory ledger'!$A:$A,"&lt;="&amp;B3182+TIME(23,59,59))-SUMIFS('inventory ledger'!$I:$I,'inventory ledger'!$C:$C,C3182,'inventory ledger'!$D:$D,D3182,'inventory ledger'!$E:$E,E3182,'inventory ledger'!$A:$A,"&lt;="&amp;B3182+TIME(23,59,59)))</f>
        <v/>
      </c>
      <c r="G3182" s="3">
        <f>IFERROR(__xludf.DUMMYFUNCTION("IF(F3182&lt;=0,0,IFERROR(ROUNDUP(F3182/INDEX(FILTER('warehouse config'!$D:$D,('warehouse config'!$B:$B=C3182)*('warehouse config'!$C:$C=D3182)*('warehouse config'!$G:$G&lt;=B3182)*(('warehouse config'!$H:$H&gt;=B3182)+ISBLANK('warehouse config'!$H:$H))),1)),0))"),0.0)</f>
        <v>0</v>
      </c>
      <c r="H3182" s="3">
        <f>IFERROR(__xludf.DUMMYFUNCTION("IFERROR(INDEX(FILTER('cost master'!$E:$E,('cost master'!$B:$B=C3182)*('cost master'!$D:$D=""Storage cost per pallet / week"")*('cost master'!$G:$G&lt;=B3182)*(('cost master'!$H:$H&gt;=B3182)+ISBLANK('cost master'!$H:$H))),1),0)"),0.0)</f>
        <v>0</v>
      </c>
      <c r="I3182" s="3">
        <f t="shared" si="4"/>
        <v>0</v>
      </c>
      <c r="J3182" s="27">
        <f t="shared" si="5"/>
        <v>693947</v>
      </c>
      <c r="K3182" s="27">
        <f t="shared" si="6"/>
        <v>693977</v>
      </c>
    </row>
    <row r="3183" hidden="1">
      <c r="A3183" s="3" t="str">
        <f t="shared" si="3"/>
        <v/>
      </c>
      <c r="B3183" s="2" t="str">
        <f t="array" ref="B3183">INDEX(helper!$A$3:$A3996,ROUNDUP((ROW()-1)/COUNTA(helper!$D$3:$D3996),0))</f>
        <v/>
      </c>
      <c r="C3183" s="5" t="str">
        <f t="array" ref="C3183">IF(B3183="","",INDEX(helper!$D$3:$D3996,MOD(ROW()-2,COUNTA(helper!$D$3:$D3996))+1))</f>
        <v/>
      </c>
      <c r="D3183" s="3" t="str">
        <f t="array" ref="D3183">IF(B3183="","",INDEX(helper!$E$3:$E3996,MOD(ROW()-2,COUNTA(helper!$D$3:$D3996))+1))</f>
        <v/>
      </c>
      <c r="E3183" s="3" t="str">
        <f t="array" ref="E3183">IF(B3183="","",INDEX(helper!$F$3:$F3996,MOD(ROW()-2,COUNTA(helper!$D$3:$D3996))+1))</f>
        <v/>
      </c>
      <c r="F3183" s="3" t="str">
        <f>IF(B3183="","",SUMIFS('inventory ledger'!$H:$H,'inventory ledger'!$C:$C,C3183,'inventory ledger'!$D:$D,D3183,'inventory ledger'!$E:$E,E3183,'inventory ledger'!$A:$A,"&lt;="&amp;B3183+TIME(23,59,59))-SUMIFS('inventory ledger'!$I:$I,'inventory ledger'!$C:$C,C3183,'inventory ledger'!$D:$D,D3183,'inventory ledger'!$E:$E,E3183,'inventory ledger'!$A:$A,"&lt;="&amp;B3183+TIME(23,59,59)))</f>
        <v/>
      </c>
      <c r="G3183" s="3">
        <f>IFERROR(__xludf.DUMMYFUNCTION("IF(F3183&lt;=0,0,IFERROR(ROUNDUP(F3183/INDEX(FILTER('warehouse config'!$D:$D,('warehouse config'!$B:$B=C3183)*('warehouse config'!$C:$C=D3183)*('warehouse config'!$G:$G&lt;=B3183)*(('warehouse config'!$H:$H&gt;=B3183)+ISBLANK('warehouse config'!$H:$H))),1)),0))"),0.0)</f>
        <v>0</v>
      </c>
      <c r="H3183" s="3">
        <f>IFERROR(__xludf.DUMMYFUNCTION("IFERROR(INDEX(FILTER('cost master'!$E:$E,('cost master'!$B:$B=C3183)*('cost master'!$D:$D=""Storage cost per pallet / week"")*('cost master'!$G:$G&lt;=B3183)*(('cost master'!$H:$H&gt;=B3183)+ISBLANK('cost master'!$H:$H))),1),0)"),0.0)</f>
        <v>0</v>
      </c>
      <c r="I3183" s="3">
        <f t="shared" si="4"/>
        <v>0</v>
      </c>
      <c r="J3183" s="27">
        <f t="shared" si="5"/>
        <v>693947</v>
      </c>
      <c r="K3183" s="27">
        <f t="shared" si="6"/>
        <v>693977</v>
      </c>
    </row>
    <row r="3184" hidden="1">
      <c r="A3184" s="3" t="str">
        <f t="shared" si="3"/>
        <v/>
      </c>
      <c r="B3184" s="2" t="str">
        <f t="array" ref="B3184">INDEX(helper!$A$3:$A3996,ROUNDUP((ROW()-1)/COUNTA(helper!$D$3:$D3996),0))</f>
        <v/>
      </c>
      <c r="C3184" s="5" t="str">
        <f t="array" ref="C3184">IF(B3184="","",INDEX(helper!$D$3:$D3996,MOD(ROW()-2,COUNTA(helper!$D$3:$D3996))+1))</f>
        <v/>
      </c>
      <c r="D3184" s="3" t="str">
        <f t="array" ref="D3184">IF(B3184="","",INDEX(helper!$E$3:$E3996,MOD(ROW()-2,COUNTA(helper!$D$3:$D3996))+1))</f>
        <v/>
      </c>
      <c r="E3184" s="3" t="str">
        <f t="array" ref="E3184">IF(B3184="","",INDEX(helper!$F$3:$F3996,MOD(ROW()-2,COUNTA(helper!$D$3:$D3996))+1))</f>
        <v/>
      </c>
      <c r="F3184" s="3" t="str">
        <f>IF(B3184="","",SUMIFS('inventory ledger'!$H:$H,'inventory ledger'!$C:$C,C3184,'inventory ledger'!$D:$D,D3184,'inventory ledger'!$E:$E,E3184,'inventory ledger'!$A:$A,"&lt;="&amp;B3184+TIME(23,59,59))-SUMIFS('inventory ledger'!$I:$I,'inventory ledger'!$C:$C,C3184,'inventory ledger'!$D:$D,D3184,'inventory ledger'!$E:$E,E3184,'inventory ledger'!$A:$A,"&lt;="&amp;B3184+TIME(23,59,59)))</f>
        <v/>
      </c>
      <c r="G3184" s="3">
        <f>IFERROR(__xludf.DUMMYFUNCTION("IF(F3184&lt;=0,0,IFERROR(ROUNDUP(F3184/INDEX(FILTER('warehouse config'!$D:$D,('warehouse config'!$B:$B=C3184)*('warehouse config'!$C:$C=D3184)*('warehouse config'!$G:$G&lt;=B3184)*(('warehouse config'!$H:$H&gt;=B3184)+ISBLANK('warehouse config'!$H:$H))),1)),0))"),0.0)</f>
        <v>0</v>
      </c>
      <c r="H3184" s="3">
        <f>IFERROR(__xludf.DUMMYFUNCTION("IFERROR(INDEX(FILTER('cost master'!$E:$E,('cost master'!$B:$B=C3184)*('cost master'!$D:$D=""Storage cost per pallet / week"")*('cost master'!$G:$G&lt;=B3184)*(('cost master'!$H:$H&gt;=B3184)+ISBLANK('cost master'!$H:$H))),1),0)"),0.0)</f>
        <v>0</v>
      </c>
      <c r="I3184" s="3">
        <f t="shared" si="4"/>
        <v>0</v>
      </c>
      <c r="J3184" s="27">
        <f t="shared" si="5"/>
        <v>693947</v>
      </c>
      <c r="K3184" s="27">
        <f t="shared" si="6"/>
        <v>693977</v>
      </c>
    </row>
    <row r="3185" hidden="1">
      <c r="A3185" s="3" t="str">
        <f t="shared" si="3"/>
        <v/>
      </c>
      <c r="B3185" s="2" t="str">
        <f t="array" ref="B3185">INDEX(helper!$A$3:$A3996,ROUNDUP((ROW()-1)/COUNTA(helper!$D$3:$D3996),0))</f>
        <v/>
      </c>
      <c r="C3185" s="5" t="str">
        <f t="array" ref="C3185">IF(B3185="","",INDEX(helper!$D$3:$D3996,MOD(ROW()-2,COUNTA(helper!$D$3:$D3996))+1))</f>
        <v/>
      </c>
      <c r="D3185" s="3" t="str">
        <f t="array" ref="D3185">IF(B3185="","",INDEX(helper!$E$3:$E3996,MOD(ROW()-2,COUNTA(helper!$D$3:$D3996))+1))</f>
        <v/>
      </c>
      <c r="E3185" s="3" t="str">
        <f t="array" ref="E3185">IF(B3185="","",INDEX(helper!$F$3:$F3996,MOD(ROW()-2,COUNTA(helper!$D$3:$D3996))+1))</f>
        <v/>
      </c>
      <c r="F3185" s="3" t="str">
        <f>IF(B3185="","",SUMIFS('inventory ledger'!$H:$H,'inventory ledger'!$C:$C,C3185,'inventory ledger'!$D:$D,D3185,'inventory ledger'!$E:$E,E3185,'inventory ledger'!$A:$A,"&lt;="&amp;B3185+TIME(23,59,59))-SUMIFS('inventory ledger'!$I:$I,'inventory ledger'!$C:$C,C3185,'inventory ledger'!$D:$D,D3185,'inventory ledger'!$E:$E,E3185,'inventory ledger'!$A:$A,"&lt;="&amp;B3185+TIME(23,59,59)))</f>
        <v/>
      </c>
      <c r="G3185" s="3">
        <f>IFERROR(__xludf.DUMMYFUNCTION("IF(F3185&lt;=0,0,IFERROR(ROUNDUP(F3185/INDEX(FILTER('warehouse config'!$D:$D,('warehouse config'!$B:$B=C3185)*('warehouse config'!$C:$C=D3185)*('warehouse config'!$G:$G&lt;=B3185)*(('warehouse config'!$H:$H&gt;=B3185)+ISBLANK('warehouse config'!$H:$H))),1)),0))"),0.0)</f>
        <v>0</v>
      </c>
      <c r="H3185" s="3">
        <f>IFERROR(__xludf.DUMMYFUNCTION("IFERROR(INDEX(FILTER('cost master'!$E:$E,('cost master'!$B:$B=C3185)*('cost master'!$D:$D=""Storage cost per pallet / week"")*('cost master'!$G:$G&lt;=B3185)*(('cost master'!$H:$H&gt;=B3185)+ISBLANK('cost master'!$H:$H))),1),0)"),0.0)</f>
        <v>0</v>
      </c>
      <c r="I3185" s="3">
        <f t="shared" si="4"/>
        <v>0</v>
      </c>
      <c r="J3185" s="27">
        <f t="shared" si="5"/>
        <v>693947</v>
      </c>
      <c r="K3185" s="27">
        <f t="shared" si="6"/>
        <v>693977</v>
      </c>
    </row>
    <row r="3186" hidden="1">
      <c r="A3186" s="3" t="str">
        <f t="shared" si="3"/>
        <v/>
      </c>
      <c r="B3186" s="2" t="str">
        <f t="array" ref="B3186">INDEX(helper!$A$3:$A3996,ROUNDUP((ROW()-1)/COUNTA(helper!$D$3:$D3996),0))</f>
        <v/>
      </c>
      <c r="C3186" s="5" t="str">
        <f t="array" ref="C3186">IF(B3186="","",INDEX(helper!$D$3:$D3996,MOD(ROW()-2,COUNTA(helper!$D$3:$D3996))+1))</f>
        <v/>
      </c>
      <c r="D3186" s="3" t="str">
        <f t="array" ref="D3186">IF(B3186="","",INDEX(helper!$E$3:$E3996,MOD(ROW()-2,COUNTA(helper!$D$3:$D3996))+1))</f>
        <v/>
      </c>
      <c r="E3186" s="3" t="str">
        <f t="array" ref="E3186">IF(B3186="","",INDEX(helper!$F$3:$F3996,MOD(ROW()-2,COUNTA(helper!$D$3:$D3996))+1))</f>
        <v/>
      </c>
      <c r="F3186" s="3" t="str">
        <f>IF(B3186="","",SUMIFS('inventory ledger'!$H:$H,'inventory ledger'!$C:$C,C3186,'inventory ledger'!$D:$D,D3186,'inventory ledger'!$E:$E,E3186,'inventory ledger'!$A:$A,"&lt;="&amp;B3186+TIME(23,59,59))-SUMIFS('inventory ledger'!$I:$I,'inventory ledger'!$C:$C,C3186,'inventory ledger'!$D:$D,D3186,'inventory ledger'!$E:$E,E3186,'inventory ledger'!$A:$A,"&lt;="&amp;B3186+TIME(23,59,59)))</f>
        <v/>
      </c>
      <c r="G3186" s="3">
        <f>IFERROR(__xludf.DUMMYFUNCTION("IF(F3186&lt;=0,0,IFERROR(ROUNDUP(F3186/INDEX(FILTER('warehouse config'!$D:$D,('warehouse config'!$B:$B=C3186)*('warehouse config'!$C:$C=D3186)*('warehouse config'!$G:$G&lt;=B3186)*(('warehouse config'!$H:$H&gt;=B3186)+ISBLANK('warehouse config'!$H:$H))),1)),0))"),0.0)</f>
        <v>0</v>
      </c>
      <c r="H3186" s="3">
        <f>IFERROR(__xludf.DUMMYFUNCTION("IFERROR(INDEX(FILTER('cost master'!$E:$E,('cost master'!$B:$B=C3186)*('cost master'!$D:$D=""Storage cost per pallet / week"")*('cost master'!$G:$G&lt;=B3186)*(('cost master'!$H:$H&gt;=B3186)+ISBLANK('cost master'!$H:$H))),1),0)"),0.0)</f>
        <v>0</v>
      </c>
      <c r="I3186" s="3">
        <f t="shared" si="4"/>
        <v>0</v>
      </c>
      <c r="J3186" s="27">
        <f t="shared" si="5"/>
        <v>693947</v>
      </c>
      <c r="K3186" s="27">
        <f t="shared" si="6"/>
        <v>693977</v>
      </c>
    </row>
    <row r="3187" hidden="1">
      <c r="A3187" s="3" t="str">
        <f t="shared" si="3"/>
        <v/>
      </c>
      <c r="B3187" s="2" t="str">
        <f t="array" ref="B3187">INDEX(helper!$A$3:$A3996,ROUNDUP((ROW()-1)/COUNTA(helper!$D$3:$D3996),0))</f>
        <v/>
      </c>
      <c r="C3187" s="5" t="str">
        <f t="array" ref="C3187">IF(B3187="","",INDEX(helper!$D$3:$D3996,MOD(ROW()-2,COUNTA(helper!$D$3:$D3996))+1))</f>
        <v/>
      </c>
      <c r="D3187" s="3" t="str">
        <f t="array" ref="D3187">IF(B3187="","",INDEX(helper!$E$3:$E3996,MOD(ROW()-2,COUNTA(helper!$D$3:$D3996))+1))</f>
        <v/>
      </c>
      <c r="E3187" s="3" t="str">
        <f t="array" ref="E3187">IF(B3187="","",INDEX(helper!$F$3:$F3996,MOD(ROW()-2,COUNTA(helper!$D$3:$D3996))+1))</f>
        <v/>
      </c>
      <c r="F3187" s="3" t="str">
        <f>IF(B3187="","",SUMIFS('inventory ledger'!$H:$H,'inventory ledger'!$C:$C,C3187,'inventory ledger'!$D:$D,D3187,'inventory ledger'!$E:$E,E3187,'inventory ledger'!$A:$A,"&lt;="&amp;B3187+TIME(23,59,59))-SUMIFS('inventory ledger'!$I:$I,'inventory ledger'!$C:$C,C3187,'inventory ledger'!$D:$D,D3187,'inventory ledger'!$E:$E,E3187,'inventory ledger'!$A:$A,"&lt;="&amp;B3187+TIME(23,59,59)))</f>
        <v/>
      </c>
      <c r="G3187" s="3">
        <f>IFERROR(__xludf.DUMMYFUNCTION("IF(F3187&lt;=0,0,IFERROR(ROUNDUP(F3187/INDEX(FILTER('warehouse config'!$D:$D,('warehouse config'!$B:$B=C3187)*('warehouse config'!$C:$C=D3187)*('warehouse config'!$G:$G&lt;=B3187)*(('warehouse config'!$H:$H&gt;=B3187)+ISBLANK('warehouse config'!$H:$H))),1)),0))"),0.0)</f>
        <v>0</v>
      </c>
      <c r="H3187" s="3">
        <f>IFERROR(__xludf.DUMMYFUNCTION("IFERROR(INDEX(FILTER('cost master'!$E:$E,('cost master'!$B:$B=C3187)*('cost master'!$D:$D=""Storage cost per pallet / week"")*('cost master'!$G:$G&lt;=B3187)*(('cost master'!$H:$H&gt;=B3187)+ISBLANK('cost master'!$H:$H))),1),0)"),0.0)</f>
        <v>0</v>
      </c>
      <c r="I3187" s="3">
        <f t="shared" si="4"/>
        <v>0</v>
      </c>
      <c r="J3187" s="27">
        <f t="shared" si="5"/>
        <v>693947</v>
      </c>
      <c r="K3187" s="27">
        <f t="shared" si="6"/>
        <v>693977</v>
      </c>
    </row>
    <row r="3188" hidden="1">
      <c r="A3188" s="3" t="str">
        <f t="shared" si="3"/>
        <v/>
      </c>
      <c r="B3188" s="2" t="str">
        <f t="array" ref="B3188">INDEX(helper!$A$3:$A3996,ROUNDUP((ROW()-1)/COUNTA(helper!$D$3:$D3996),0))</f>
        <v/>
      </c>
      <c r="C3188" s="5" t="str">
        <f t="array" ref="C3188">IF(B3188="","",INDEX(helper!$D$3:$D3996,MOD(ROW()-2,COUNTA(helper!$D$3:$D3996))+1))</f>
        <v/>
      </c>
      <c r="D3188" s="3" t="str">
        <f t="array" ref="D3188">IF(B3188="","",INDEX(helper!$E$3:$E3996,MOD(ROW()-2,COUNTA(helper!$D$3:$D3996))+1))</f>
        <v/>
      </c>
      <c r="E3188" s="3" t="str">
        <f t="array" ref="E3188">IF(B3188="","",INDEX(helper!$F$3:$F3996,MOD(ROW()-2,COUNTA(helper!$D$3:$D3996))+1))</f>
        <v/>
      </c>
      <c r="F3188" s="3" t="str">
        <f>IF(B3188="","",SUMIFS('inventory ledger'!$H:$H,'inventory ledger'!$C:$C,C3188,'inventory ledger'!$D:$D,D3188,'inventory ledger'!$E:$E,E3188,'inventory ledger'!$A:$A,"&lt;="&amp;B3188+TIME(23,59,59))-SUMIFS('inventory ledger'!$I:$I,'inventory ledger'!$C:$C,C3188,'inventory ledger'!$D:$D,D3188,'inventory ledger'!$E:$E,E3188,'inventory ledger'!$A:$A,"&lt;="&amp;B3188+TIME(23,59,59)))</f>
        <v/>
      </c>
      <c r="G3188" s="3">
        <f>IFERROR(__xludf.DUMMYFUNCTION("IF(F3188&lt;=0,0,IFERROR(ROUNDUP(F3188/INDEX(FILTER('warehouse config'!$D:$D,('warehouse config'!$B:$B=C3188)*('warehouse config'!$C:$C=D3188)*('warehouse config'!$G:$G&lt;=B3188)*(('warehouse config'!$H:$H&gt;=B3188)+ISBLANK('warehouse config'!$H:$H))),1)),0))"),0.0)</f>
        <v>0</v>
      </c>
      <c r="H3188" s="3">
        <f>IFERROR(__xludf.DUMMYFUNCTION("IFERROR(INDEX(FILTER('cost master'!$E:$E,('cost master'!$B:$B=C3188)*('cost master'!$D:$D=""Storage cost per pallet / week"")*('cost master'!$G:$G&lt;=B3188)*(('cost master'!$H:$H&gt;=B3188)+ISBLANK('cost master'!$H:$H))),1),0)"),0.0)</f>
        <v>0</v>
      </c>
      <c r="I3188" s="3">
        <f t="shared" si="4"/>
        <v>0</v>
      </c>
      <c r="J3188" s="27">
        <f t="shared" si="5"/>
        <v>693947</v>
      </c>
      <c r="K3188" s="27">
        <f t="shared" si="6"/>
        <v>693977</v>
      </c>
    </row>
    <row r="3189" hidden="1">
      <c r="A3189" s="3" t="str">
        <f t="shared" si="3"/>
        <v/>
      </c>
      <c r="B3189" s="2" t="str">
        <f t="array" ref="B3189">INDEX(helper!$A$3:$A3996,ROUNDUP((ROW()-1)/COUNTA(helper!$D$3:$D3996),0))</f>
        <v/>
      </c>
      <c r="C3189" s="5" t="str">
        <f t="array" ref="C3189">IF(B3189="","",INDEX(helper!$D$3:$D3996,MOD(ROW()-2,COUNTA(helper!$D$3:$D3996))+1))</f>
        <v/>
      </c>
      <c r="D3189" s="3" t="str">
        <f t="array" ref="D3189">IF(B3189="","",INDEX(helper!$E$3:$E3996,MOD(ROW()-2,COUNTA(helper!$D$3:$D3996))+1))</f>
        <v/>
      </c>
      <c r="E3189" s="3" t="str">
        <f t="array" ref="E3189">IF(B3189="","",INDEX(helper!$F$3:$F3996,MOD(ROW()-2,COUNTA(helper!$D$3:$D3996))+1))</f>
        <v/>
      </c>
      <c r="F3189" s="3" t="str">
        <f>IF(B3189="","",SUMIFS('inventory ledger'!$H:$H,'inventory ledger'!$C:$C,C3189,'inventory ledger'!$D:$D,D3189,'inventory ledger'!$E:$E,E3189,'inventory ledger'!$A:$A,"&lt;="&amp;B3189+TIME(23,59,59))-SUMIFS('inventory ledger'!$I:$I,'inventory ledger'!$C:$C,C3189,'inventory ledger'!$D:$D,D3189,'inventory ledger'!$E:$E,E3189,'inventory ledger'!$A:$A,"&lt;="&amp;B3189+TIME(23,59,59)))</f>
        <v/>
      </c>
      <c r="G3189" s="3">
        <f>IFERROR(__xludf.DUMMYFUNCTION("IF(F3189&lt;=0,0,IFERROR(ROUNDUP(F3189/INDEX(FILTER('warehouse config'!$D:$D,('warehouse config'!$B:$B=C3189)*('warehouse config'!$C:$C=D3189)*('warehouse config'!$G:$G&lt;=B3189)*(('warehouse config'!$H:$H&gt;=B3189)+ISBLANK('warehouse config'!$H:$H))),1)),0))"),0.0)</f>
        <v>0</v>
      </c>
      <c r="H3189" s="3">
        <f>IFERROR(__xludf.DUMMYFUNCTION("IFERROR(INDEX(FILTER('cost master'!$E:$E,('cost master'!$B:$B=C3189)*('cost master'!$D:$D=""Storage cost per pallet / week"")*('cost master'!$G:$G&lt;=B3189)*(('cost master'!$H:$H&gt;=B3189)+ISBLANK('cost master'!$H:$H))),1),0)"),0.0)</f>
        <v>0</v>
      </c>
      <c r="I3189" s="3">
        <f t="shared" si="4"/>
        <v>0</v>
      </c>
      <c r="J3189" s="27">
        <f t="shared" si="5"/>
        <v>693947</v>
      </c>
      <c r="K3189" s="27">
        <f t="shared" si="6"/>
        <v>693977</v>
      </c>
    </row>
    <row r="3190" hidden="1">
      <c r="A3190" s="3" t="str">
        <f t="shared" si="3"/>
        <v/>
      </c>
      <c r="B3190" s="2" t="str">
        <f t="array" ref="B3190">INDEX(helper!$A$3:$A3996,ROUNDUP((ROW()-1)/COUNTA(helper!$D$3:$D3996),0))</f>
        <v/>
      </c>
      <c r="C3190" s="5" t="str">
        <f t="array" ref="C3190">IF(B3190="","",INDEX(helper!$D$3:$D3996,MOD(ROW()-2,COUNTA(helper!$D$3:$D3996))+1))</f>
        <v/>
      </c>
      <c r="D3190" s="3" t="str">
        <f t="array" ref="D3190">IF(B3190="","",INDEX(helper!$E$3:$E3996,MOD(ROW()-2,COUNTA(helper!$D$3:$D3996))+1))</f>
        <v/>
      </c>
      <c r="E3190" s="3" t="str">
        <f t="array" ref="E3190">IF(B3190="","",INDEX(helper!$F$3:$F3996,MOD(ROW()-2,COUNTA(helper!$D$3:$D3996))+1))</f>
        <v/>
      </c>
      <c r="F3190" s="3" t="str">
        <f>IF(B3190="","",SUMIFS('inventory ledger'!$H:$H,'inventory ledger'!$C:$C,C3190,'inventory ledger'!$D:$D,D3190,'inventory ledger'!$E:$E,E3190,'inventory ledger'!$A:$A,"&lt;="&amp;B3190+TIME(23,59,59))-SUMIFS('inventory ledger'!$I:$I,'inventory ledger'!$C:$C,C3190,'inventory ledger'!$D:$D,D3190,'inventory ledger'!$E:$E,E3190,'inventory ledger'!$A:$A,"&lt;="&amp;B3190+TIME(23,59,59)))</f>
        <v/>
      </c>
      <c r="G3190" s="3">
        <f>IFERROR(__xludf.DUMMYFUNCTION("IF(F3190&lt;=0,0,IFERROR(ROUNDUP(F3190/INDEX(FILTER('warehouse config'!$D:$D,('warehouse config'!$B:$B=C3190)*('warehouse config'!$C:$C=D3190)*('warehouse config'!$G:$G&lt;=B3190)*(('warehouse config'!$H:$H&gt;=B3190)+ISBLANK('warehouse config'!$H:$H))),1)),0))"),0.0)</f>
        <v>0</v>
      </c>
      <c r="H3190" s="3">
        <f>IFERROR(__xludf.DUMMYFUNCTION("IFERROR(INDEX(FILTER('cost master'!$E:$E,('cost master'!$B:$B=C3190)*('cost master'!$D:$D=""Storage cost per pallet / week"")*('cost master'!$G:$G&lt;=B3190)*(('cost master'!$H:$H&gt;=B3190)+ISBLANK('cost master'!$H:$H))),1),0)"),0.0)</f>
        <v>0</v>
      </c>
      <c r="I3190" s="3">
        <f t="shared" si="4"/>
        <v>0</v>
      </c>
      <c r="J3190" s="27">
        <f t="shared" si="5"/>
        <v>693947</v>
      </c>
      <c r="K3190" s="27">
        <f t="shared" si="6"/>
        <v>693977</v>
      </c>
    </row>
    <row r="3191" hidden="1">
      <c r="A3191" s="3" t="str">
        <f t="shared" si="3"/>
        <v/>
      </c>
      <c r="B3191" s="2" t="str">
        <f t="array" ref="B3191">INDEX(helper!$A$3:$A3996,ROUNDUP((ROW()-1)/COUNTA(helper!$D$3:$D3996),0))</f>
        <v/>
      </c>
      <c r="C3191" s="5" t="str">
        <f t="array" ref="C3191">IF(B3191="","",INDEX(helper!$D$3:$D3996,MOD(ROW()-2,COUNTA(helper!$D$3:$D3996))+1))</f>
        <v/>
      </c>
      <c r="D3191" s="3" t="str">
        <f t="array" ref="D3191">IF(B3191="","",INDEX(helper!$E$3:$E3996,MOD(ROW()-2,COUNTA(helper!$D$3:$D3996))+1))</f>
        <v/>
      </c>
      <c r="E3191" s="3" t="str">
        <f t="array" ref="E3191">IF(B3191="","",INDEX(helper!$F$3:$F3996,MOD(ROW()-2,COUNTA(helper!$D$3:$D3996))+1))</f>
        <v/>
      </c>
      <c r="F3191" s="3" t="str">
        <f>IF(B3191="","",SUMIFS('inventory ledger'!$H:$H,'inventory ledger'!$C:$C,C3191,'inventory ledger'!$D:$D,D3191,'inventory ledger'!$E:$E,E3191,'inventory ledger'!$A:$A,"&lt;="&amp;B3191+TIME(23,59,59))-SUMIFS('inventory ledger'!$I:$I,'inventory ledger'!$C:$C,C3191,'inventory ledger'!$D:$D,D3191,'inventory ledger'!$E:$E,E3191,'inventory ledger'!$A:$A,"&lt;="&amp;B3191+TIME(23,59,59)))</f>
        <v/>
      </c>
      <c r="G3191" s="3">
        <f>IFERROR(__xludf.DUMMYFUNCTION("IF(F3191&lt;=0,0,IFERROR(ROUNDUP(F3191/INDEX(FILTER('warehouse config'!$D:$D,('warehouse config'!$B:$B=C3191)*('warehouse config'!$C:$C=D3191)*('warehouse config'!$G:$G&lt;=B3191)*(('warehouse config'!$H:$H&gt;=B3191)+ISBLANK('warehouse config'!$H:$H))),1)),0))"),0.0)</f>
        <v>0</v>
      </c>
      <c r="H3191" s="3">
        <f>IFERROR(__xludf.DUMMYFUNCTION("IFERROR(INDEX(FILTER('cost master'!$E:$E,('cost master'!$B:$B=C3191)*('cost master'!$D:$D=""Storage cost per pallet / week"")*('cost master'!$G:$G&lt;=B3191)*(('cost master'!$H:$H&gt;=B3191)+ISBLANK('cost master'!$H:$H))),1),0)"),0.0)</f>
        <v>0</v>
      </c>
      <c r="I3191" s="3">
        <f t="shared" si="4"/>
        <v>0</v>
      </c>
      <c r="J3191" s="27">
        <f t="shared" si="5"/>
        <v>693947</v>
      </c>
      <c r="K3191" s="27">
        <f t="shared" si="6"/>
        <v>693977</v>
      </c>
    </row>
    <row r="3192" hidden="1">
      <c r="A3192" s="3" t="str">
        <f t="shared" si="3"/>
        <v/>
      </c>
      <c r="B3192" s="2" t="str">
        <f t="array" ref="B3192">INDEX(helper!$A$3:$A3996,ROUNDUP((ROW()-1)/COUNTA(helper!$D$3:$D3996),0))</f>
        <v/>
      </c>
      <c r="C3192" s="5" t="str">
        <f t="array" ref="C3192">IF(B3192="","",INDEX(helper!$D$3:$D3996,MOD(ROW()-2,COUNTA(helper!$D$3:$D3996))+1))</f>
        <v/>
      </c>
      <c r="D3192" s="3" t="str">
        <f t="array" ref="D3192">IF(B3192="","",INDEX(helper!$E$3:$E3996,MOD(ROW()-2,COUNTA(helper!$D$3:$D3996))+1))</f>
        <v/>
      </c>
      <c r="E3192" s="3" t="str">
        <f t="array" ref="E3192">IF(B3192="","",INDEX(helper!$F$3:$F3996,MOD(ROW()-2,COUNTA(helper!$D$3:$D3996))+1))</f>
        <v/>
      </c>
      <c r="F3192" s="3" t="str">
        <f>IF(B3192="","",SUMIFS('inventory ledger'!$H:$H,'inventory ledger'!$C:$C,C3192,'inventory ledger'!$D:$D,D3192,'inventory ledger'!$E:$E,E3192,'inventory ledger'!$A:$A,"&lt;="&amp;B3192+TIME(23,59,59))-SUMIFS('inventory ledger'!$I:$I,'inventory ledger'!$C:$C,C3192,'inventory ledger'!$D:$D,D3192,'inventory ledger'!$E:$E,E3192,'inventory ledger'!$A:$A,"&lt;="&amp;B3192+TIME(23,59,59)))</f>
        <v/>
      </c>
      <c r="G3192" s="3">
        <f>IFERROR(__xludf.DUMMYFUNCTION("IF(F3192&lt;=0,0,IFERROR(ROUNDUP(F3192/INDEX(FILTER('warehouse config'!$D:$D,('warehouse config'!$B:$B=C3192)*('warehouse config'!$C:$C=D3192)*('warehouse config'!$G:$G&lt;=B3192)*(('warehouse config'!$H:$H&gt;=B3192)+ISBLANK('warehouse config'!$H:$H))),1)),0))"),0.0)</f>
        <v>0</v>
      </c>
      <c r="H3192" s="3">
        <f>IFERROR(__xludf.DUMMYFUNCTION("IFERROR(INDEX(FILTER('cost master'!$E:$E,('cost master'!$B:$B=C3192)*('cost master'!$D:$D=""Storage cost per pallet / week"")*('cost master'!$G:$G&lt;=B3192)*(('cost master'!$H:$H&gt;=B3192)+ISBLANK('cost master'!$H:$H))),1),0)"),0.0)</f>
        <v>0</v>
      </c>
      <c r="I3192" s="3">
        <f t="shared" si="4"/>
        <v>0</v>
      </c>
      <c r="J3192" s="27">
        <f t="shared" si="5"/>
        <v>693947</v>
      </c>
      <c r="K3192" s="27">
        <f t="shared" si="6"/>
        <v>693977</v>
      </c>
    </row>
    <row r="3193" hidden="1">
      <c r="A3193" s="3" t="str">
        <f t="shared" si="3"/>
        <v/>
      </c>
      <c r="B3193" s="2" t="str">
        <f t="array" ref="B3193">INDEX(helper!$A$3:$A3996,ROUNDUP((ROW()-1)/COUNTA(helper!$D$3:$D3996),0))</f>
        <v/>
      </c>
      <c r="C3193" s="5" t="str">
        <f t="array" ref="C3193">IF(B3193="","",INDEX(helper!$D$3:$D3996,MOD(ROW()-2,COUNTA(helper!$D$3:$D3996))+1))</f>
        <v/>
      </c>
      <c r="D3193" s="3" t="str">
        <f t="array" ref="D3193">IF(B3193="","",INDEX(helper!$E$3:$E3996,MOD(ROW()-2,COUNTA(helper!$D$3:$D3996))+1))</f>
        <v/>
      </c>
      <c r="E3193" s="3" t="str">
        <f t="array" ref="E3193">IF(B3193="","",INDEX(helper!$F$3:$F3996,MOD(ROW()-2,COUNTA(helper!$D$3:$D3996))+1))</f>
        <v/>
      </c>
      <c r="F3193" s="3" t="str">
        <f>IF(B3193="","",SUMIFS('inventory ledger'!$H:$H,'inventory ledger'!$C:$C,C3193,'inventory ledger'!$D:$D,D3193,'inventory ledger'!$E:$E,E3193,'inventory ledger'!$A:$A,"&lt;="&amp;B3193+TIME(23,59,59))-SUMIFS('inventory ledger'!$I:$I,'inventory ledger'!$C:$C,C3193,'inventory ledger'!$D:$D,D3193,'inventory ledger'!$E:$E,E3193,'inventory ledger'!$A:$A,"&lt;="&amp;B3193+TIME(23,59,59)))</f>
        <v/>
      </c>
      <c r="G3193" s="3">
        <f>IFERROR(__xludf.DUMMYFUNCTION("IF(F3193&lt;=0,0,IFERROR(ROUNDUP(F3193/INDEX(FILTER('warehouse config'!$D:$D,('warehouse config'!$B:$B=C3193)*('warehouse config'!$C:$C=D3193)*('warehouse config'!$G:$G&lt;=B3193)*(('warehouse config'!$H:$H&gt;=B3193)+ISBLANK('warehouse config'!$H:$H))),1)),0))"),0.0)</f>
        <v>0</v>
      </c>
      <c r="H3193" s="3">
        <f>IFERROR(__xludf.DUMMYFUNCTION("IFERROR(INDEX(FILTER('cost master'!$E:$E,('cost master'!$B:$B=C3193)*('cost master'!$D:$D=""Storage cost per pallet / week"")*('cost master'!$G:$G&lt;=B3193)*(('cost master'!$H:$H&gt;=B3193)+ISBLANK('cost master'!$H:$H))),1),0)"),0.0)</f>
        <v>0</v>
      </c>
      <c r="I3193" s="3">
        <f t="shared" si="4"/>
        <v>0</v>
      </c>
      <c r="J3193" s="27">
        <f t="shared" si="5"/>
        <v>693947</v>
      </c>
      <c r="K3193" s="27">
        <f t="shared" si="6"/>
        <v>693977</v>
      </c>
    </row>
    <row r="3194" hidden="1">
      <c r="A3194" s="3" t="str">
        <f t="shared" si="3"/>
        <v/>
      </c>
      <c r="B3194" s="2" t="str">
        <f t="array" ref="B3194">INDEX(helper!$A$3:$A3996,ROUNDUP((ROW()-1)/COUNTA(helper!$D$3:$D3996),0))</f>
        <v/>
      </c>
      <c r="C3194" s="5" t="str">
        <f t="array" ref="C3194">IF(B3194="","",INDEX(helper!$D$3:$D3996,MOD(ROW()-2,COUNTA(helper!$D$3:$D3996))+1))</f>
        <v/>
      </c>
      <c r="D3194" s="3" t="str">
        <f t="array" ref="D3194">IF(B3194="","",INDEX(helper!$E$3:$E3996,MOD(ROW()-2,COUNTA(helper!$D$3:$D3996))+1))</f>
        <v/>
      </c>
      <c r="E3194" s="3" t="str">
        <f t="array" ref="E3194">IF(B3194="","",INDEX(helper!$F$3:$F3996,MOD(ROW()-2,COUNTA(helper!$D$3:$D3996))+1))</f>
        <v/>
      </c>
      <c r="F3194" s="3" t="str">
        <f>IF(B3194="","",SUMIFS('inventory ledger'!$H:$H,'inventory ledger'!$C:$C,C3194,'inventory ledger'!$D:$D,D3194,'inventory ledger'!$E:$E,E3194,'inventory ledger'!$A:$A,"&lt;="&amp;B3194+TIME(23,59,59))-SUMIFS('inventory ledger'!$I:$I,'inventory ledger'!$C:$C,C3194,'inventory ledger'!$D:$D,D3194,'inventory ledger'!$E:$E,E3194,'inventory ledger'!$A:$A,"&lt;="&amp;B3194+TIME(23,59,59)))</f>
        <v/>
      </c>
      <c r="G3194" s="3">
        <f>IFERROR(__xludf.DUMMYFUNCTION("IF(F3194&lt;=0,0,IFERROR(ROUNDUP(F3194/INDEX(FILTER('warehouse config'!$D:$D,('warehouse config'!$B:$B=C3194)*('warehouse config'!$C:$C=D3194)*('warehouse config'!$G:$G&lt;=B3194)*(('warehouse config'!$H:$H&gt;=B3194)+ISBLANK('warehouse config'!$H:$H))),1)),0))"),0.0)</f>
        <v>0</v>
      </c>
      <c r="H3194" s="3">
        <f>IFERROR(__xludf.DUMMYFUNCTION("IFERROR(INDEX(FILTER('cost master'!$E:$E,('cost master'!$B:$B=C3194)*('cost master'!$D:$D=""Storage cost per pallet / week"")*('cost master'!$G:$G&lt;=B3194)*(('cost master'!$H:$H&gt;=B3194)+ISBLANK('cost master'!$H:$H))),1),0)"),0.0)</f>
        <v>0</v>
      </c>
      <c r="I3194" s="3">
        <f t="shared" si="4"/>
        <v>0</v>
      </c>
      <c r="J3194" s="27">
        <f t="shared" si="5"/>
        <v>693947</v>
      </c>
      <c r="K3194" s="27">
        <f t="shared" si="6"/>
        <v>693977</v>
      </c>
    </row>
    <row r="3195" hidden="1">
      <c r="A3195" s="3" t="str">
        <f t="shared" si="3"/>
        <v/>
      </c>
      <c r="B3195" s="2" t="str">
        <f t="array" ref="B3195">INDEX(helper!$A$3:$A3996,ROUNDUP((ROW()-1)/COUNTA(helper!$D$3:$D3996),0))</f>
        <v/>
      </c>
      <c r="C3195" s="5" t="str">
        <f t="array" ref="C3195">IF(B3195="","",INDEX(helper!$D$3:$D3996,MOD(ROW()-2,COUNTA(helper!$D$3:$D3996))+1))</f>
        <v/>
      </c>
      <c r="D3195" s="3" t="str">
        <f t="array" ref="D3195">IF(B3195="","",INDEX(helper!$E$3:$E3996,MOD(ROW()-2,COUNTA(helper!$D$3:$D3996))+1))</f>
        <v/>
      </c>
      <c r="E3195" s="3" t="str">
        <f t="array" ref="E3195">IF(B3195="","",INDEX(helper!$F$3:$F3996,MOD(ROW()-2,COUNTA(helper!$D$3:$D3996))+1))</f>
        <v/>
      </c>
      <c r="F3195" s="3" t="str">
        <f>IF(B3195="","",SUMIFS('inventory ledger'!$H:$H,'inventory ledger'!$C:$C,C3195,'inventory ledger'!$D:$D,D3195,'inventory ledger'!$E:$E,E3195,'inventory ledger'!$A:$A,"&lt;="&amp;B3195+TIME(23,59,59))-SUMIFS('inventory ledger'!$I:$I,'inventory ledger'!$C:$C,C3195,'inventory ledger'!$D:$D,D3195,'inventory ledger'!$E:$E,E3195,'inventory ledger'!$A:$A,"&lt;="&amp;B3195+TIME(23,59,59)))</f>
        <v/>
      </c>
      <c r="G3195" s="3">
        <f>IFERROR(__xludf.DUMMYFUNCTION("IF(F3195&lt;=0,0,IFERROR(ROUNDUP(F3195/INDEX(FILTER('warehouse config'!$D:$D,('warehouse config'!$B:$B=C3195)*('warehouse config'!$C:$C=D3195)*('warehouse config'!$G:$G&lt;=B3195)*(('warehouse config'!$H:$H&gt;=B3195)+ISBLANK('warehouse config'!$H:$H))),1)),0))"),0.0)</f>
        <v>0</v>
      </c>
      <c r="H3195" s="3">
        <f>IFERROR(__xludf.DUMMYFUNCTION("IFERROR(INDEX(FILTER('cost master'!$E:$E,('cost master'!$B:$B=C3195)*('cost master'!$D:$D=""Storage cost per pallet / week"")*('cost master'!$G:$G&lt;=B3195)*(('cost master'!$H:$H&gt;=B3195)+ISBLANK('cost master'!$H:$H))),1),0)"),0.0)</f>
        <v>0</v>
      </c>
      <c r="I3195" s="3">
        <f t="shared" si="4"/>
        <v>0</v>
      </c>
      <c r="J3195" s="27">
        <f t="shared" si="5"/>
        <v>693947</v>
      </c>
      <c r="K3195" s="27">
        <f t="shared" si="6"/>
        <v>693977</v>
      </c>
    </row>
    <row r="3196" hidden="1">
      <c r="A3196" s="3" t="str">
        <f t="shared" si="3"/>
        <v/>
      </c>
      <c r="B3196" s="2" t="str">
        <f t="array" ref="B3196">INDEX(helper!$A$3:$A3996,ROUNDUP((ROW()-1)/COUNTA(helper!$D$3:$D3996),0))</f>
        <v/>
      </c>
      <c r="C3196" s="5" t="str">
        <f t="array" ref="C3196">IF(B3196="","",INDEX(helper!$D$3:$D3996,MOD(ROW()-2,COUNTA(helper!$D$3:$D3996))+1))</f>
        <v/>
      </c>
      <c r="D3196" s="3" t="str">
        <f t="array" ref="D3196">IF(B3196="","",INDEX(helper!$E$3:$E3996,MOD(ROW()-2,COUNTA(helper!$D$3:$D3996))+1))</f>
        <v/>
      </c>
      <c r="E3196" s="3" t="str">
        <f t="array" ref="E3196">IF(B3196="","",INDEX(helper!$F$3:$F3996,MOD(ROW()-2,COUNTA(helper!$D$3:$D3996))+1))</f>
        <v/>
      </c>
      <c r="F3196" s="3" t="str">
        <f>IF(B3196="","",SUMIFS('inventory ledger'!$H:$H,'inventory ledger'!$C:$C,C3196,'inventory ledger'!$D:$D,D3196,'inventory ledger'!$E:$E,E3196,'inventory ledger'!$A:$A,"&lt;="&amp;B3196+TIME(23,59,59))-SUMIFS('inventory ledger'!$I:$I,'inventory ledger'!$C:$C,C3196,'inventory ledger'!$D:$D,D3196,'inventory ledger'!$E:$E,E3196,'inventory ledger'!$A:$A,"&lt;="&amp;B3196+TIME(23,59,59)))</f>
        <v/>
      </c>
      <c r="G3196" s="3">
        <f>IFERROR(__xludf.DUMMYFUNCTION("IF(F3196&lt;=0,0,IFERROR(ROUNDUP(F3196/INDEX(FILTER('warehouse config'!$D:$D,('warehouse config'!$B:$B=C3196)*('warehouse config'!$C:$C=D3196)*('warehouse config'!$G:$G&lt;=B3196)*(('warehouse config'!$H:$H&gt;=B3196)+ISBLANK('warehouse config'!$H:$H))),1)),0))"),0.0)</f>
        <v>0</v>
      </c>
      <c r="H3196" s="3">
        <f>IFERROR(__xludf.DUMMYFUNCTION("IFERROR(INDEX(FILTER('cost master'!$E:$E,('cost master'!$B:$B=C3196)*('cost master'!$D:$D=""Storage cost per pallet / week"")*('cost master'!$G:$G&lt;=B3196)*(('cost master'!$H:$H&gt;=B3196)+ISBLANK('cost master'!$H:$H))),1),0)"),0.0)</f>
        <v>0</v>
      </c>
      <c r="I3196" s="3">
        <f t="shared" si="4"/>
        <v>0</v>
      </c>
      <c r="J3196" s="27">
        <f t="shared" si="5"/>
        <v>693947</v>
      </c>
      <c r="K3196" s="27">
        <f t="shared" si="6"/>
        <v>693977</v>
      </c>
    </row>
    <row r="3197" hidden="1">
      <c r="A3197" s="3" t="str">
        <f t="shared" si="3"/>
        <v/>
      </c>
      <c r="B3197" s="2" t="str">
        <f t="array" ref="B3197">INDEX(helper!$A$3:$A3996,ROUNDUP((ROW()-1)/COUNTA(helper!$D$3:$D3996),0))</f>
        <v/>
      </c>
      <c r="C3197" s="5" t="str">
        <f t="array" ref="C3197">IF(B3197="","",INDEX(helper!$D$3:$D3996,MOD(ROW()-2,COUNTA(helper!$D$3:$D3996))+1))</f>
        <v/>
      </c>
      <c r="D3197" s="3" t="str">
        <f t="array" ref="D3197">IF(B3197="","",INDEX(helper!$E$3:$E3996,MOD(ROW()-2,COUNTA(helper!$D$3:$D3996))+1))</f>
        <v/>
      </c>
      <c r="E3197" s="3" t="str">
        <f t="array" ref="E3197">IF(B3197="","",INDEX(helper!$F$3:$F3996,MOD(ROW()-2,COUNTA(helper!$D$3:$D3996))+1))</f>
        <v/>
      </c>
      <c r="F3197" s="3" t="str">
        <f>IF(B3197="","",SUMIFS('inventory ledger'!$H:$H,'inventory ledger'!$C:$C,C3197,'inventory ledger'!$D:$D,D3197,'inventory ledger'!$E:$E,E3197,'inventory ledger'!$A:$A,"&lt;="&amp;B3197+TIME(23,59,59))-SUMIFS('inventory ledger'!$I:$I,'inventory ledger'!$C:$C,C3197,'inventory ledger'!$D:$D,D3197,'inventory ledger'!$E:$E,E3197,'inventory ledger'!$A:$A,"&lt;="&amp;B3197+TIME(23,59,59)))</f>
        <v/>
      </c>
      <c r="G3197" s="3">
        <f>IFERROR(__xludf.DUMMYFUNCTION("IF(F3197&lt;=0,0,IFERROR(ROUNDUP(F3197/INDEX(FILTER('warehouse config'!$D:$D,('warehouse config'!$B:$B=C3197)*('warehouse config'!$C:$C=D3197)*('warehouse config'!$G:$G&lt;=B3197)*(('warehouse config'!$H:$H&gt;=B3197)+ISBLANK('warehouse config'!$H:$H))),1)),0))"),0.0)</f>
        <v>0</v>
      </c>
      <c r="H3197" s="3">
        <f>IFERROR(__xludf.DUMMYFUNCTION("IFERROR(INDEX(FILTER('cost master'!$E:$E,('cost master'!$B:$B=C3197)*('cost master'!$D:$D=""Storage cost per pallet / week"")*('cost master'!$G:$G&lt;=B3197)*(('cost master'!$H:$H&gt;=B3197)+ISBLANK('cost master'!$H:$H))),1),0)"),0.0)</f>
        <v>0</v>
      </c>
      <c r="I3197" s="3">
        <f t="shared" si="4"/>
        <v>0</v>
      </c>
      <c r="J3197" s="27">
        <f t="shared" si="5"/>
        <v>693947</v>
      </c>
      <c r="K3197" s="27">
        <f t="shared" si="6"/>
        <v>693977</v>
      </c>
    </row>
    <row r="3198" hidden="1">
      <c r="A3198" s="3" t="str">
        <f t="shared" si="3"/>
        <v/>
      </c>
      <c r="B3198" s="2" t="str">
        <f t="array" ref="B3198">INDEX(helper!$A$3:$A3996,ROUNDUP((ROW()-1)/COUNTA(helper!$D$3:$D3996),0))</f>
        <v/>
      </c>
      <c r="C3198" s="5" t="str">
        <f t="array" ref="C3198">IF(B3198="","",INDEX(helper!$D$3:$D3996,MOD(ROW()-2,COUNTA(helper!$D$3:$D3996))+1))</f>
        <v/>
      </c>
      <c r="D3198" s="3" t="str">
        <f t="array" ref="D3198">IF(B3198="","",INDEX(helper!$E$3:$E3996,MOD(ROW()-2,COUNTA(helper!$D$3:$D3996))+1))</f>
        <v/>
      </c>
      <c r="E3198" s="3" t="str">
        <f t="array" ref="E3198">IF(B3198="","",INDEX(helper!$F$3:$F3996,MOD(ROW()-2,COUNTA(helper!$D$3:$D3996))+1))</f>
        <v/>
      </c>
      <c r="F3198" s="3" t="str">
        <f>IF(B3198="","",SUMIFS('inventory ledger'!$H:$H,'inventory ledger'!$C:$C,C3198,'inventory ledger'!$D:$D,D3198,'inventory ledger'!$E:$E,E3198,'inventory ledger'!$A:$A,"&lt;="&amp;B3198+TIME(23,59,59))-SUMIFS('inventory ledger'!$I:$I,'inventory ledger'!$C:$C,C3198,'inventory ledger'!$D:$D,D3198,'inventory ledger'!$E:$E,E3198,'inventory ledger'!$A:$A,"&lt;="&amp;B3198+TIME(23,59,59)))</f>
        <v/>
      </c>
      <c r="G3198" s="3">
        <f>IFERROR(__xludf.DUMMYFUNCTION("IF(F3198&lt;=0,0,IFERROR(ROUNDUP(F3198/INDEX(FILTER('warehouse config'!$D:$D,('warehouse config'!$B:$B=C3198)*('warehouse config'!$C:$C=D3198)*('warehouse config'!$G:$G&lt;=B3198)*(('warehouse config'!$H:$H&gt;=B3198)+ISBLANK('warehouse config'!$H:$H))),1)),0))"),0.0)</f>
        <v>0</v>
      </c>
      <c r="H3198" s="3">
        <f>IFERROR(__xludf.DUMMYFUNCTION("IFERROR(INDEX(FILTER('cost master'!$E:$E,('cost master'!$B:$B=C3198)*('cost master'!$D:$D=""Storage cost per pallet / week"")*('cost master'!$G:$G&lt;=B3198)*(('cost master'!$H:$H&gt;=B3198)+ISBLANK('cost master'!$H:$H))),1),0)"),0.0)</f>
        <v>0</v>
      </c>
      <c r="I3198" s="3">
        <f t="shared" si="4"/>
        <v>0</v>
      </c>
      <c r="J3198" s="27">
        <f t="shared" si="5"/>
        <v>693947</v>
      </c>
      <c r="K3198" s="27">
        <f t="shared" si="6"/>
        <v>693977</v>
      </c>
    </row>
    <row r="3199" hidden="1">
      <c r="A3199" s="3" t="str">
        <f t="shared" si="3"/>
        <v/>
      </c>
      <c r="B3199" s="2" t="str">
        <f t="array" ref="B3199">INDEX(helper!$A$3:$A3996,ROUNDUP((ROW()-1)/COUNTA(helper!$D$3:$D3996),0))</f>
        <v/>
      </c>
      <c r="C3199" s="5" t="str">
        <f t="array" ref="C3199">IF(B3199="","",INDEX(helper!$D$3:$D3996,MOD(ROW()-2,COUNTA(helper!$D$3:$D3996))+1))</f>
        <v/>
      </c>
      <c r="D3199" s="3" t="str">
        <f t="array" ref="D3199">IF(B3199="","",INDEX(helper!$E$3:$E3996,MOD(ROW()-2,COUNTA(helper!$D$3:$D3996))+1))</f>
        <v/>
      </c>
      <c r="E3199" s="3" t="str">
        <f t="array" ref="E3199">IF(B3199="","",INDEX(helper!$F$3:$F3996,MOD(ROW()-2,COUNTA(helper!$D$3:$D3996))+1))</f>
        <v/>
      </c>
      <c r="F3199" s="3" t="str">
        <f>IF(B3199="","",SUMIFS('inventory ledger'!$H:$H,'inventory ledger'!$C:$C,C3199,'inventory ledger'!$D:$D,D3199,'inventory ledger'!$E:$E,E3199,'inventory ledger'!$A:$A,"&lt;="&amp;B3199+TIME(23,59,59))-SUMIFS('inventory ledger'!$I:$I,'inventory ledger'!$C:$C,C3199,'inventory ledger'!$D:$D,D3199,'inventory ledger'!$E:$E,E3199,'inventory ledger'!$A:$A,"&lt;="&amp;B3199+TIME(23,59,59)))</f>
        <v/>
      </c>
      <c r="G3199" s="3">
        <f>IFERROR(__xludf.DUMMYFUNCTION("IF(F3199&lt;=0,0,IFERROR(ROUNDUP(F3199/INDEX(FILTER('warehouse config'!$D:$D,('warehouse config'!$B:$B=C3199)*('warehouse config'!$C:$C=D3199)*('warehouse config'!$G:$G&lt;=B3199)*(('warehouse config'!$H:$H&gt;=B3199)+ISBLANK('warehouse config'!$H:$H))),1)),0))"),0.0)</f>
        <v>0</v>
      </c>
      <c r="H3199" s="3">
        <f>IFERROR(__xludf.DUMMYFUNCTION("IFERROR(INDEX(FILTER('cost master'!$E:$E,('cost master'!$B:$B=C3199)*('cost master'!$D:$D=""Storage cost per pallet / week"")*('cost master'!$G:$G&lt;=B3199)*(('cost master'!$H:$H&gt;=B3199)+ISBLANK('cost master'!$H:$H))),1),0)"),0.0)</f>
        <v>0</v>
      </c>
      <c r="I3199" s="3">
        <f t="shared" si="4"/>
        <v>0</v>
      </c>
      <c r="J3199" s="27">
        <f t="shared" si="5"/>
        <v>693947</v>
      </c>
      <c r="K3199" s="27">
        <f t="shared" si="6"/>
        <v>693977</v>
      </c>
    </row>
    <row r="3200" hidden="1">
      <c r="A3200" s="3" t="str">
        <f t="shared" si="3"/>
        <v/>
      </c>
      <c r="B3200" s="2" t="str">
        <f t="array" ref="B3200">INDEX(helper!$A$3:$A3996,ROUNDUP((ROW()-1)/COUNTA(helper!$D$3:$D3996),0))</f>
        <v/>
      </c>
      <c r="C3200" s="5" t="str">
        <f t="array" ref="C3200">IF(B3200="","",INDEX(helper!$D$3:$D3996,MOD(ROW()-2,COUNTA(helper!$D$3:$D3996))+1))</f>
        <v/>
      </c>
      <c r="D3200" s="3" t="str">
        <f t="array" ref="D3200">IF(B3200="","",INDEX(helper!$E$3:$E3996,MOD(ROW()-2,COUNTA(helper!$D$3:$D3996))+1))</f>
        <v/>
      </c>
      <c r="E3200" s="3" t="str">
        <f t="array" ref="E3200">IF(B3200="","",INDEX(helper!$F$3:$F3996,MOD(ROW()-2,COUNTA(helper!$D$3:$D3996))+1))</f>
        <v/>
      </c>
      <c r="F3200" s="3" t="str">
        <f>IF(B3200="","",SUMIFS('inventory ledger'!$H:$H,'inventory ledger'!$C:$C,C3200,'inventory ledger'!$D:$D,D3200,'inventory ledger'!$E:$E,E3200,'inventory ledger'!$A:$A,"&lt;="&amp;B3200+TIME(23,59,59))-SUMIFS('inventory ledger'!$I:$I,'inventory ledger'!$C:$C,C3200,'inventory ledger'!$D:$D,D3200,'inventory ledger'!$E:$E,E3200,'inventory ledger'!$A:$A,"&lt;="&amp;B3200+TIME(23,59,59)))</f>
        <v/>
      </c>
      <c r="G3200" s="3">
        <f>IFERROR(__xludf.DUMMYFUNCTION("IF(F3200&lt;=0,0,IFERROR(ROUNDUP(F3200/INDEX(FILTER('warehouse config'!$D:$D,('warehouse config'!$B:$B=C3200)*('warehouse config'!$C:$C=D3200)*('warehouse config'!$G:$G&lt;=B3200)*(('warehouse config'!$H:$H&gt;=B3200)+ISBLANK('warehouse config'!$H:$H))),1)),0))"),0.0)</f>
        <v>0</v>
      </c>
      <c r="H3200" s="3">
        <f>IFERROR(__xludf.DUMMYFUNCTION("IFERROR(INDEX(FILTER('cost master'!$E:$E,('cost master'!$B:$B=C3200)*('cost master'!$D:$D=""Storage cost per pallet / week"")*('cost master'!$G:$G&lt;=B3200)*(('cost master'!$H:$H&gt;=B3200)+ISBLANK('cost master'!$H:$H))),1),0)"),0.0)</f>
        <v>0</v>
      </c>
      <c r="I3200" s="3">
        <f t="shared" si="4"/>
        <v>0</v>
      </c>
      <c r="J3200" s="27">
        <f t="shared" si="5"/>
        <v>693947</v>
      </c>
      <c r="K3200" s="27">
        <f t="shared" si="6"/>
        <v>693977</v>
      </c>
    </row>
    <row r="3201" hidden="1">
      <c r="A3201" s="3" t="str">
        <f t="shared" si="3"/>
        <v/>
      </c>
      <c r="B3201" s="2" t="str">
        <f t="array" ref="B3201">INDEX(helper!$A$3:$A3996,ROUNDUP((ROW()-1)/COUNTA(helper!$D$3:$D3996),0))</f>
        <v/>
      </c>
      <c r="C3201" s="5" t="str">
        <f t="array" ref="C3201">IF(B3201="","",INDEX(helper!$D$3:$D3996,MOD(ROW()-2,COUNTA(helper!$D$3:$D3996))+1))</f>
        <v/>
      </c>
      <c r="D3201" s="3" t="str">
        <f t="array" ref="D3201">IF(B3201="","",INDEX(helper!$E$3:$E3996,MOD(ROW()-2,COUNTA(helper!$D$3:$D3996))+1))</f>
        <v/>
      </c>
      <c r="E3201" s="3" t="str">
        <f t="array" ref="E3201">IF(B3201="","",INDEX(helper!$F$3:$F3996,MOD(ROW()-2,COUNTA(helper!$D$3:$D3996))+1))</f>
        <v/>
      </c>
      <c r="F3201" s="3" t="str">
        <f>IF(B3201="","",SUMIFS('inventory ledger'!$H:$H,'inventory ledger'!$C:$C,C3201,'inventory ledger'!$D:$D,D3201,'inventory ledger'!$E:$E,E3201,'inventory ledger'!$A:$A,"&lt;="&amp;B3201+TIME(23,59,59))-SUMIFS('inventory ledger'!$I:$I,'inventory ledger'!$C:$C,C3201,'inventory ledger'!$D:$D,D3201,'inventory ledger'!$E:$E,E3201,'inventory ledger'!$A:$A,"&lt;="&amp;B3201+TIME(23,59,59)))</f>
        <v/>
      </c>
      <c r="G3201" s="3">
        <f>IFERROR(__xludf.DUMMYFUNCTION("IF(F3201&lt;=0,0,IFERROR(ROUNDUP(F3201/INDEX(FILTER('warehouse config'!$D:$D,('warehouse config'!$B:$B=C3201)*('warehouse config'!$C:$C=D3201)*('warehouse config'!$G:$G&lt;=B3201)*(('warehouse config'!$H:$H&gt;=B3201)+ISBLANK('warehouse config'!$H:$H))),1)),0))"),0.0)</f>
        <v>0</v>
      </c>
      <c r="H3201" s="3">
        <f>IFERROR(__xludf.DUMMYFUNCTION("IFERROR(INDEX(FILTER('cost master'!$E:$E,('cost master'!$B:$B=C3201)*('cost master'!$D:$D=""Storage cost per pallet / week"")*('cost master'!$G:$G&lt;=B3201)*(('cost master'!$H:$H&gt;=B3201)+ISBLANK('cost master'!$H:$H))),1),0)"),0.0)</f>
        <v>0</v>
      </c>
      <c r="I3201" s="3">
        <f t="shared" si="4"/>
        <v>0</v>
      </c>
      <c r="J3201" s="27">
        <f t="shared" si="5"/>
        <v>693947</v>
      </c>
      <c r="K3201" s="27">
        <f t="shared" si="6"/>
        <v>693977</v>
      </c>
    </row>
    <row r="3202" hidden="1">
      <c r="A3202" s="3" t="str">
        <f t="shared" si="3"/>
        <v/>
      </c>
      <c r="B3202" s="2" t="str">
        <f t="array" ref="B3202">INDEX(helper!$A$3:$A3996,ROUNDUP((ROW()-1)/COUNTA(helper!$D$3:$D3996),0))</f>
        <v/>
      </c>
      <c r="C3202" s="5" t="str">
        <f t="array" ref="C3202">IF(B3202="","",INDEX(helper!$D$3:$D3996,MOD(ROW()-2,COUNTA(helper!$D$3:$D3996))+1))</f>
        <v/>
      </c>
      <c r="D3202" s="3" t="str">
        <f t="array" ref="D3202">IF(B3202="","",INDEX(helper!$E$3:$E3996,MOD(ROW()-2,COUNTA(helper!$D$3:$D3996))+1))</f>
        <v/>
      </c>
      <c r="E3202" s="3" t="str">
        <f t="array" ref="E3202">IF(B3202="","",INDEX(helper!$F$3:$F3996,MOD(ROW()-2,COUNTA(helper!$D$3:$D3996))+1))</f>
        <v/>
      </c>
      <c r="F3202" s="3" t="str">
        <f>IF(B3202="","",SUMIFS('inventory ledger'!$H:$H,'inventory ledger'!$C:$C,C3202,'inventory ledger'!$D:$D,D3202,'inventory ledger'!$E:$E,E3202,'inventory ledger'!$A:$A,"&lt;="&amp;B3202+TIME(23,59,59))-SUMIFS('inventory ledger'!$I:$I,'inventory ledger'!$C:$C,C3202,'inventory ledger'!$D:$D,D3202,'inventory ledger'!$E:$E,E3202,'inventory ledger'!$A:$A,"&lt;="&amp;B3202+TIME(23,59,59)))</f>
        <v/>
      </c>
      <c r="G3202" s="3">
        <f>IFERROR(__xludf.DUMMYFUNCTION("IF(F3202&lt;=0,0,IFERROR(ROUNDUP(F3202/INDEX(FILTER('warehouse config'!$D:$D,('warehouse config'!$B:$B=C3202)*('warehouse config'!$C:$C=D3202)*('warehouse config'!$G:$G&lt;=B3202)*(('warehouse config'!$H:$H&gt;=B3202)+ISBLANK('warehouse config'!$H:$H))),1)),0))"),0.0)</f>
        <v>0</v>
      </c>
      <c r="H3202" s="3">
        <f>IFERROR(__xludf.DUMMYFUNCTION("IFERROR(INDEX(FILTER('cost master'!$E:$E,('cost master'!$B:$B=C3202)*('cost master'!$D:$D=""Storage cost per pallet / week"")*('cost master'!$G:$G&lt;=B3202)*(('cost master'!$H:$H&gt;=B3202)+ISBLANK('cost master'!$H:$H))),1),0)"),0.0)</f>
        <v>0</v>
      </c>
      <c r="I3202" s="3">
        <f t="shared" si="4"/>
        <v>0</v>
      </c>
      <c r="J3202" s="27">
        <f t="shared" si="5"/>
        <v>693947</v>
      </c>
      <c r="K3202" s="27">
        <f t="shared" si="6"/>
        <v>693977</v>
      </c>
    </row>
    <row r="3203" hidden="1">
      <c r="A3203" s="3" t="str">
        <f t="shared" si="3"/>
        <v/>
      </c>
      <c r="B3203" s="2" t="str">
        <f t="array" ref="B3203">INDEX(helper!$A$3:$A3996,ROUNDUP((ROW()-1)/COUNTA(helper!$D$3:$D3996),0))</f>
        <v/>
      </c>
      <c r="C3203" s="5" t="str">
        <f t="array" ref="C3203">IF(B3203="","",INDEX(helper!$D$3:$D3996,MOD(ROW()-2,COUNTA(helper!$D$3:$D3996))+1))</f>
        <v/>
      </c>
      <c r="D3203" s="3" t="str">
        <f t="array" ref="D3203">IF(B3203="","",INDEX(helper!$E$3:$E3996,MOD(ROW()-2,COUNTA(helper!$D$3:$D3996))+1))</f>
        <v/>
      </c>
      <c r="E3203" s="3" t="str">
        <f t="array" ref="E3203">IF(B3203="","",INDEX(helper!$F$3:$F3996,MOD(ROW()-2,COUNTA(helper!$D$3:$D3996))+1))</f>
        <v/>
      </c>
      <c r="F3203" s="3" t="str">
        <f>IF(B3203="","",SUMIFS('inventory ledger'!$H:$H,'inventory ledger'!$C:$C,C3203,'inventory ledger'!$D:$D,D3203,'inventory ledger'!$E:$E,E3203,'inventory ledger'!$A:$A,"&lt;="&amp;B3203+TIME(23,59,59))-SUMIFS('inventory ledger'!$I:$I,'inventory ledger'!$C:$C,C3203,'inventory ledger'!$D:$D,D3203,'inventory ledger'!$E:$E,E3203,'inventory ledger'!$A:$A,"&lt;="&amp;B3203+TIME(23,59,59)))</f>
        <v/>
      </c>
      <c r="G3203" s="3">
        <f>IFERROR(__xludf.DUMMYFUNCTION("IF(F3203&lt;=0,0,IFERROR(ROUNDUP(F3203/INDEX(FILTER('warehouse config'!$D:$D,('warehouse config'!$B:$B=C3203)*('warehouse config'!$C:$C=D3203)*('warehouse config'!$G:$G&lt;=B3203)*(('warehouse config'!$H:$H&gt;=B3203)+ISBLANK('warehouse config'!$H:$H))),1)),0))"),0.0)</f>
        <v>0</v>
      </c>
      <c r="H3203" s="3">
        <f>IFERROR(__xludf.DUMMYFUNCTION("IFERROR(INDEX(FILTER('cost master'!$E:$E,('cost master'!$B:$B=C3203)*('cost master'!$D:$D=""Storage cost per pallet / week"")*('cost master'!$G:$G&lt;=B3203)*(('cost master'!$H:$H&gt;=B3203)+ISBLANK('cost master'!$H:$H))),1),0)"),0.0)</f>
        <v>0</v>
      </c>
      <c r="I3203" s="3">
        <f t="shared" si="4"/>
        <v>0</v>
      </c>
      <c r="J3203" s="27">
        <f t="shared" si="5"/>
        <v>693947</v>
      </c>
      <c r="K3203" s="27">
        <f t="shared" si="6"/>
        <v>693977</v>
      </c>
    </row>
    <row r="3204" hidden="1">
      <c r="A3204" s="3" t="str">
        <f t="shared" si="3"/>
        <v/>
      </c>
      <c r="B3204" s="2" t="str">
        <f t="array" ref="B3204">INDEX(helper!$A$3:$A3996,ROUNDUP((ROW()-1)/COUNTA(helper!$D$3:$D3996),0))</f>
        <v/>
      </c>
      <c r="C3204" s="5" t="str">
        <f t="array" ref="C3204">IF(B3204="","",INDEX(helper!$D$3:$D3996,MOD(ROW()-2,COUNTA(helper!$D$3:$D3996))+1))</f>
        <v/>
      </c>
      <c r="D3204" s="3" t="str">
        <f t="array" ref="D3204">IF(B3204="","",INDEX(helper!$E$3:$E3996,MOD(ROW()-2,COUNTA(helper!$D$3:$D3996))+1))</f>
        <v/>
      </c>
      <c r="E3204" s="3" t="str">
        <f t="array" ref="E3204">IF(B3204="","",INDEX(helper!$F$3:$F3996,MOD(ROW()-2,COUNTA(helper!$D$3:$D3996))+1))</f>
        <v/>
      </c>
      <c r="F3204" s="3" t="str">
        <f>IF(B3204="","",SUMIFS('inventory ledger'!$H:$H,'inventory ledger'!$C:$C,C3204,'inventory ledger'!$D:$D,D3204,'inventory ledger'!$E:$E,E3204,'inventory ledger'!$A:$A,"&lt;="&amp;B3204+TIME(23,59,59))-SUMIFS('inventory ledger'!$I:$I,'inventory ledger'!$C:$C,C3204,'inventory ledger'!$D:$D,D3204,'inventory ledger'!$E:$E,E3204,'inventory ledger'!$A:$A,"&lt;="&amp;B3204+TIME(23,59,59)))</f>
        <v/>
      </c>
      <c r="G3204" s="3">
        <f>IFERROR(__xludf.DUMMYFUNCTION("IF(F3204&lt;=0,0,IFERROR(ROUNDUP(F3204/INDEX(FILTER('warehouse config'!$D:$D,('warehouse config'!$B:$B=C3204)*('warehouse config'!$C:$C=D3204)*('warehouse config'!$G:$G&lt;=B3204)*(('warehouse config'!$H:$H&gt;=B3204)+ISBLANK('warehouse config'!$H:$H))),1)),0))"),0.0)</f>
        <v>0</v>
      </c>
      <c r="H3204" s="3">
        <f>IFERROR(__xludf.DUMMYFUNCTION("IFERROR(INDEX(FILTER('cost master'!$E:$E,('cost master'!$B:$B=C3204)*('cost master'!$D:$D=""Storage cost per pallet / week"")*('cost master'!$G:$G&lt;=B3204)*(('cost master'!$H:$H&gt;=B3204)+ISBLANK('cost master'!$H:$H))),1),0)"),0.0)</f>
        <v>0</v>
      </c>
      <c r="I3204" s="3">
        <f t="shared" si="4"/>
        <v>0</v>
      </c>
      <c r="J3204" s="27">
        <f t="shared" si="5"/>
        <v>693947</v>
      </c>
      <c r="K3204" s="27">
        <f t="shared" si="6"/>
        <v>693977</v>
      </c>
    </row>
    <row r="3205" hidden="1">
      <c r="A3205" s="3" t="str">
        <f t="shared" si="3"/>
        <v/>
      </c>
      <c r="B3205" s="2" t="str">
        <f t="array" ref="B3205">INDEX(helper!$A$3:$A3996,ROUNDUP((ROW()-1)/COUNTA(helper!$D$3:$D3996),0))</f>
        <v/>
      </c>
      <c r="C3205" s="5" t="str">
        <f t="array" ref="C3205">IF(B3205="","",INDEX(helper!$D$3:$D3996,MOD(ROW()-2,COUNTA(helper!$D$3:$D3996))+1))</f>
        <v/>
      </c>
      <c r="D3205" s="3" t="str">
        <f t="array" ref="D3205">IF(B3205="","",INDEX(helper!$E$3:$E3996,MOD(ROW()-2,COUNTA(helper!$D$3:$D3996))+1))</f>
        <v/>
      </c>
      <c r="E3205" s="3" t="str">
        <f t="array" ref="E3205">IF(B3205="","",INDEX(helper!$F$3:$F3996,MOD(ROW()-2,COUNTA(helper!$D$3:$D3996))+1))</f>
        <v/>
      </c>
      <c r="F3205" s="3" t="str">
        <f>IF(B3205="","",SUMIFS('inventory ledger'!$H:$H,'inventory ledger'!$C:$C,C3205,'inventory ledger'!$D:$D,D3205,'inventory ledger'!$E:$E,E3205,'inventory ledger'!$A:$A,"&lt;="&amp;B3205+TIME(23,59,59))-SUMIFS('inventory ledger'!$I:$I,'inventory ledger'!$C:$C,C3205,'inventory ledger'!$D:$D,D3205,'inventory ledger'!$E:$E,E3205,'inventory ledger'!$A:$A,"&lt;="&amp;B3205+TIME(23,59,59)))</f>
        <v/>
      </c>
      <c r="G3205" s="3">
        <f>IFERROR(__xludf.DUMMYFUNCTION("IF(F3205&lt;=0,0,IFERROR(ROUNDUP(F3205/INDEX(FILTER('warehouse config'!$D:$D,('warehouse config'!$B:$B=C3205)*('warehouse config'!$C:$C=D3205)*('warehouse config'!$G:$G&lt;=B3205)*(('warehouse config'!$H:$H&gt;=B3205)+ISBLANK('warehouse config'!$H:$H))),1)),0))"),0.0)</f>
        <v>0</v>
      </c>
      <c r="H3205" s="3">
        <f>IFERROR(__xludf.DUMMYFUNCTION("IFERROR(INDEX(FILTER('cost master'!$E:$E,('cost master'!$B:$B=C3205)*('cost master'!$D:$D=""Storage cost per pallet / week"")*('cost master'!$G:$G&lt;=B3205)*(('cost master'!$H:$H&gt;=B3205)+ISBLANK('cost master'!$H:$H))),1),0)"),0.0)</f>
        <v>0</v>
      </c>
      <c r="I3205" s="3">
        <f t="shared" si="4"/>
        <v>0</v>
      </c>
      <c r="J3205" s="27">
        <f t="shared" si="5"/>
        <v>693947</v>
      </c>
      <c r="K3205" s="27">
        <f t="shared" si="6"/>
        <v>693977</v>
      </c>
    </row>
    <row r="3206" hidden="1">
      <c r="A3206" s="3" t="str">
        <f t="shared" si="3"/>
        <v/>
      </c>
      <c r="B3206" s="2" t="str">
        <f t="array" ref="B3206">INDEX(helper!$A$3:$A3996,ROUNDUP((ROW()-1)/COUNTA(helper!$D$3:$D3996),0))</f>
        <v/>
      </c>
      <c r="C3206" s="5" t="str">
        <f t="array" ref="C3206">IF(B3206="","",INDEX(helper!$D$3:$D3996,MOD(ROW()-2,COUNTA(helper!$D$3:$D3996))+1))</f>
        <v/>
      </c>
      <c r="D3206" s="3" t="str">
        <f t="array" ref="D3206">IF(B3206="","",INDEX(helper!$E$3:$E3996,MOD(ROW()-2,COUNTA(helper!$D$3:$D3996))+1))</f>
        <v/>
      </c>
      <c r="E3206" s="3" t="str">
        <f t="array" ref="E3206">IF(B3206="","",INDEX(helper!$F$3:$F3996,MOD(ROW()-2,COUNTA(helper!$D$3:$D3996))+1))</f>
        <v/>
      </c>
      <c r="F3206" s="3" t="str">
        <f>IF(B3206="","",SUMIFS('inventory ledger'!$H:$H,'inventory ledger'!$C:$C,C3206,'inventory ledger'!$D:$D,D3206,'inventory ledger'!$E:$E,E3206,'inventory ledger'!$A:$A,"&lt;="&amp;B3206+TIME(23,59,59))-SUMIFS('inventory ledger'!$I:$I,'inventory ledger'!$C:$C,C3206,'inventory ledger'!$D:$D,D3206,'inventory ledger'!$E:$E,E3206,'inventory ledger'!$A:$A,"&lt;="&amp;B3206+TIME(23,59,59)))</f>
        <v/>
      </c>
      <c r="G3206" s="3">
        <f>IFERROR(__xludf.DUMMYFUNCTION("IF(F3206&lt;=0,0,IFERROR(ROUNDUP(F3206/INDEX(FILTER('warehouse config'!$D:$D,('warehouse config'!$B:$B=C3206)*('warehouse config'!$C:$C=D3206)*('warehouse config'!$G:$G&lt;=B3206)*(('warehouse config'!$H:$H&gt;=B3206)+ISBLANK('warehouse config'!$H:$H))),1)),0))"),0.0)</f>
        <v>0</v>
      </c>
      <c r="H3206" s="3">
        <f>IFERROR(__xludf.DUMMYFUNCTION("IFERROR(INDEX(FILTER('cost master'!$E:$E,('cost master'!$B:$B=C3206)*('cost master'!$D:$D=""Storage cost per pallet / week"")*('cost master'!$G:$G&lt;=B3206)*(('cost master'!$H:$H&gt;=B3206)+ISBLANK('cost master'!$H:$H))),1),0)"),0.0)</f>
        <v>0</v>
      </c>
      <c r="I3206" s="3">
        <f t="shared" si="4"/>
        <v>0</v>
      </c>
      <c r="J3206" s="27">
        <f t="shared" si="5"/>
        <v>693947</v>
      </c>
      <c r="K3206" s="27">
        <f t="shared" si="6"/>
        <v>693977</v>
      </c>
    </row>
    <row r="3207" hidden="1">
      <c r="A3207" s="3" t="str">
        <f t="shared" si="3"/>
        <v/>
      </c>
      <c r="B3207" s="2" t="str">
        <f t="array" ref="B3207">INDEX(helper!$A$3:$A3996,ROUNDUP((ROW()-1)/COUNTA(helper!$D$3:$D3996),0))</f>
        <v/>
      </c>
      <c r="C3207" s="5" t="str">
        <f t="array" ref="C3207">IF(B3207="","",INDEX(helper!$D$3:$D3996,MOD(ROW()-2,COUNTA(helper!$D$3:$D3996))+1))</f>
        <v/>
      </c>
      <c r="D3207" s="3" t="str">
        <f t="array" ref="D3207">IF(B3207="","",INDEX(helper!$E$3:$E3996,MOD(ROW()-2,COUNTA(helper!$D$3:$D3996))+1))</f>
        <v/>
      </c>
      <c r="E3207" s="3" t="str">
        <f t="array" ref="E3207">IF(B3207="","",INDEX(helper!$F$3:$F3996,MOD(ROW()-2,COUNTA(helper!$D$3:$D3996))+1))</f>
        <v/>
      </c>
      <c r="F3207" s="3" t="str">
        <f>IF(B3207="","",SUMIFS('inventory ledger'!$H:$H,'inventory ledger'!$C:$C,C3207,'inventory ledger'!$D:$D,D3207,'inventory ledger'!$E:$E,E3207,'inventory ledger'!$A:$A,"&lt;="&amp;B3207+TIME(23,59,59))-SUMIFS('inventory ledger'!$I:$I,'inventory ledger'!$C:$C,C3207,'inventory ledger'!$D:$D,D3207,'inventory ledger'!$E:$E,E3207,'inventory ledger'!$A:$A,"&lt;="&amp;B3207+TIME(23,59,59)))</f>
        <v/>
      </c>
      <c r="G3207" s="3">
        <f>IFERROR(__xludf.DUMMYFUNCTION("IF(F3207&lt;=0,0,IFERROR(ROUNDUP(F3207/INDEX(FILTER('warehouse config'!$D:$D,('warehouse config'!$B:$B=C3207)*('warehouse config'!$C:$C=D3207)*('warehouse config'!$G:$G&lt;=B3207)*(('warehouse config'!$H:$H&gt;=B3207)+ISBLANK('warehouse config'!$H:$H))),1)),0))"),0.0)</f>
        <v>0</v>
      </c>
      <c r="H3207" s="3">
        <f>IFERROR(__xludf.DUMMYFUNCTION("IFERROR(INDEX(FILTER('cost master'!$E:$E,('cost master'!$B:$B=C3207)*('cost master'!$D:$D=""Storage cost per pallet / week"")*('cost master'!$G:$G&lt;=B3207)*(('cost master'!$H:$H&gt;=B3207)+ISBLANK('cost master'!$H:$H))),1),0)"),0.0)</f>
        <v>0</v>
      </c>
      <c r="I3207" s="3">
        <f t="shared" si="4"/>
        <v>0</v>
      </c>
      <c r="J3207" s="27">
        <f t="shared" si="5"/>
        <v>693947</v>
      </c>
      <c r="K3207" s="27">
        <f t="shared" si="6"/>
        <v>693977</v>
      </c>
    </row>
    <row r="3208" hidden="1">
      <c r="A3208" s="3" t="str">
        <f t="shared" si="3"/>
        <v/>
      </c>
      <c r="B3208" s="2" t="str">
        <f t="array" ref="B3208">INDEX(helper!$A$3:$A3996,ROUNDUP((ROW()-1)/COUNTA(helper!$D$3:$D3996),0))</f>
        <v/>
      </c>
      <c r="C3208" s="5" t="str">
        <f t="array" ref="C3208">IF(B3208="","",INDEX(helper!$D$3:$D3996,MOD(ROW()-2,COUNTA(helper!$D$3:$D3996))+1))</f>
        <v/>
      </c>
      <c r="D3208" s="3" t="str">
        <f t="array" ref="D3208">IF(B3208="","",INDEX(helper!$E$3:$E3996,MOD(ROW()-2,COUNTA(helper!$D$3:$D3996))+1))</f>
        <v/>
      </c>
      <c r="E3208" s="3" t="str">
        <f t="array" ref="E3208">IF(B3208="","",INDEX(helper!$F$3:$F3996,MOD(ROW()-2,COUNTA(helper!$D$3:$D3996))+1))</f>
        <v/>
      </c>
      <c r="F3208" s="3" t="str">
        <f>IF(B3208="","",SUMIFS('inventory ledger'!$H:$H,'inventory ledger'!$C:$C,C3208,'inventory ledger'!$D:$D,D3208,'inventory ledger'!$E:$E,E3208,'inventory ledger'!$A:$A,"&lt;="&amp;B3208+TIME(23,59,59))-SUMIFS('inventory ledger'!$I:$I,'inventory ledger'!$C:$C,C3208,'inventory ledger'!$D:$D,D3208,'inventory ledger'!$E:$E,E3208,'inventory ledger'!$A:$A,"&lt;="&amp;B3208+TIME(23,59,59)))</f>
        <v/>
      </c>
      <c r="G3208" s="3">
        <f>IFERROR(__xludf.DUMMYFUNCTION("IF(F3208&lt;=0,0,IFERROR(ROUNDUP(F3208/INDEX(FILTER('warehouse config'!$D:$D,('warehouse config'!$B:$B=C3208)*('warehouse config'!$C:$C=D3208)*('warehouse config'!$G:$G&lt;=B3208)*(('warehouse config'!$H:$H&gt;=B3208)+ISBLANK('warehouse config'!$H:$H))),1)),0))"),0.0)</f>
        <v>0</v>
      </c>
      <c r="H3208" s="3">
        <f>IFERROR(__xludf.DUMMYFUNCTION("IFERROR(INDEX(FILTER('cost master'!$E:$E,('cost master'!$B:$B=C3208)*('cost master'!$D:$D=""Storage cost per pallet / week"")*('cost master'!$G:$G&lt;=B3208)*(('cost master'!$H:$H&gt;=B3208)+ISBLANK('cost master'!$H:$H))),1),0)"),0.0)</f>
        <v>0</v>
      </c>
      <c r="I3208" s="3">
        <f t="shared" si="4"/>
        <v>0</v>
      </c>
      <c r="J3208" s="27">
        <f t="shared" si="5"/>
        <v>693947</v>
      </c>
      <c r="K3208" s="27">
        <f t="shared" si="6"/>
        <v>693977</v>
      </c>
    </row>
    <row r="3209" hidden="1">
      <c r="A3209" s="3" t="str">
        <f t="shared" si="3"/>
        <v/>
      </c>
      <c r="B3209" s="2" t="str">
        <f t="array" ref="B3209">INDEX(helper!$A$3:$A3996,ROUNDUP((ROW()-1)/COUNTA(helper!$D$3:$D3996),0))</f>
        <v/>
      </c>
      <c r="C3209" s="5" t="str">
        <f t="array" ref="C3209">IF(B3209="","",INDEX(helper!$D$3:$D3996,MOD(ROW()-2,COUNTA(helper!$D$3:$D3996))+1))</f>
        <v/>
      </c>
      <c r="D3209" s="3" t="str">
        <f t="array" ref="D3209">IF(B3209="","",INDEX(helper!$E$3:$E3996,MOD(ROW()-2,COUNTA(helper!$D$3:$D3996))+1))</f>
        <v/>
      </c>
      <c r="E3209" s="3" t="str">
        <f t="array" ref="E3209">IF(B3209="","",INDEX(helper!$F$3:$F3996,MOD(ROW()-2,COUNTA(helper!$D$3:$D3996))+1))</f>
        <v/>
      </c>
      <c r="F3209" s="3" t="str">
        <f>IF(B3209="","",SUMIFS('inventory ledger'!$H:$H,'inventory ledger'!$C:$C,C3209,'inventory ledger'!$D:$D,D3209,'inventory ledger'!$E:$E,E3209,'inventory ledger'!$A:$A,"&lt;="&amp;B3209+TIME(23,59,59))-SUMIFS('inventory ledger'!$I:$I,'inventory ledger'!$C:$C,C3209,'inventory ledger'!$D:$D,D3209,'inventory ledger'!$E:$E,E3209,'inventory ledger'!$A:$A,"&lt;="&amp;B3209+TIME(23,59,59)))</f>
        <v/>
      </c>
      <c r="G3209" s="3">
        <f>IFERROR(__xludf.DUMMYFUNCTION("IF(F3209&lt;=0,0,IFERROR(ROUNDUP(F3209/INDEX(FILTER('warehouse config'!$D:$D,('warehouse config'!$B:$B=C3209)*('warehouse config'!$C:$C=D3209)*('warehouse config'!$G:$G&lt;=B3209)*(('warehouse config'!$H:$H&gt;=B3209)+ISBLANK('warehouse config'!$H:$H))),1)),0))"),0.0)</f>
        <v>0</v>
      </c>
      <c r="H3209" s="3">
        <f>IFERROR(__xludf.DUMMYFUNCTION("IFERROR(INDEX(FILTER('cost master'!$E:$E,('cost master'!$B:$B=C3209)*('cost master'!$D:$D=""Storage cost per pallet / week"")*('cost master'!$G:$G&lt;=B3209)*(('cost master'!$H:$H&gt;=B3209)+ISBLANK('cost master'!$H:$H))),1),0)"),0.0)</f>
        <v>0</v>
      </c>
      <c r="I3209" s="3">
        <f t="shared" si="4"/>
        <v>0</v>
      </c>
      <c r="J3209" s="27">
        <f t="shared" si="5"/>
        <v>693947</v>
      </c>
      <c r="K3209" s="27">
        <f t="shared" si="6"/>
        <v>693977</v>
      </c>
    </row>
    <row r="3210" hidden="1">
      <c r="A3210" s="3" t="str">
        <f t="shared" si="3"/>
        <v/>
      </c>
      <c r="B3210" s="2" t="str">
        <f t="array" ref="B3210">INDEX(helper!$A$3:$A3996,ROUNDUP((ROW()-1)/COUNTA(helper!$D$3:$D3996),0))</f>
        <v/>
      </c>
      <c r="C3210" s="5" t="str">
        <f t="array" ref="C3210">IF(B3210="","",INDEX(helper!$D$3:$D3996,MOD(ROW()-2,COUNTA(helper!$D$3:$D3996))+1))</f>
        <v/>
      </c>
      <c r="D3210" s="3" t="str">
        <f t="array" ref="D3210">IF(B3210="","",INDEX(helper!$E$3:$E3996,MOD(ROW()-2,COUNTA(helper!$D$3:$D3996))+1))</f>
        <v/>
      </c>
      <c r="E3210" s="3" t="str">
        <f t="array" ref="E3210">IF(B3210="","",INDEX(helper!$F$3:$F3996,MOD(ROW()-2,COUNTA(helper!$D$3:$D3996))+1))</f>
        <v/>
      </c>
      <c r="F3210" s="3" t="str">
        <f>IF(B3210="","",SUMIFS('inventory ledger'!$H:$H,'inventory ledger'!$C:$C,C3210,'inventory ledger'!$D:$D,D3210,'inventory ledger'!$E:$E,E3210,'inventory ledger'!$A:$A,"&lt;="&amp;B3210+TIME(23,59,59))-SUMIFS('inventory ledger'!$I:$I,'inventory ledger'!$C:$C,C3210,'inventory ledger'!$D:$D,D3210,'inventory ledger'!$E:$E,E3210,'inventory ledger'!$A:$A,"&lt;="&amp;B3210+TIME(23,59,59)))</f>
        <v/>
      </c>
      <c r="G3210" s="3">
        <f>IFERROR(__xludf.DUMMYFUNCTION("IF(F3210&lt;=0,0,IFERROR(ROUNDUP(F3210/INDEX(FILTER('warehouse config'!$D:$D,('warehouse config'!$B:$B=C3210)*('warehouse config'!$C:$C=D3210)*('warehouse config'!$G:$G&lt;=B3210)*(('warehouse config'!$H:$H&gt;=B3210)+ISBLANK('warehouse config'!$H:$H))),1)),0))"),0.0)</f>
        <v>0</v>
      </c>
      <c r="H3210" s="3">
        <f>IFERROR(__xludf.DUMMYFUNCTION("IFERROR(INDEX(FILTER('cost master'!$E:$E,('cost master'!$B:$B=C3210)*('cost master'!$D:$D=""Storage cost per pallet / week"")*('cost master'!$G:$G&lt;=B3210)*(('cost master'!$H:$H&gt;=B3210)+ISBLANK('cost master'!$H:$H))),1),0)"),0.0)</f>
        <v>0</v>
      </c>
      <c r="I3210" s="3">
        <f t="shared" si="4"/>
        <v>0</v>
      </c>
      <c r="J3210" s="27">
        <f t="shared" si="5"/>
        <v>693947</v>
      </c>
      <c r="K3210" s="27">
        <f t="shared" si="6"/>
        <v>693977</v>
      </c>
    </row>
    <row r="3211" hidden="1">
      <c r="A3211" s="3" t="str">
        <f t="shared" si="3"/>
        <v/>
      </c>
      <c r="B3211" s="2" t="str">
        <f t="array" ref="B3211">INDEX(helper!$A$3:$A3996,ROUNDUP((ROW()-1)/COUNTA(helper!$D$3:$D3996),0))</f>
        <v/>
      </c>
      <c r="C3211" s="5" t="str">
        <f t="array" ref="C3211">IF(B3211="","",INDEX(helper!$D$3:$D3996,MOD(ROW()-2,COUNTA(helper!$D$3:$D3996))+1))</f>
        <v/>
      </c>
      <c r="D3211" s="3" t="str">
        <f t="array" ref="D3211">IF(B3211="","",INDEX(helper!$E$3:$E3996,MOD(ROW()-2,COUNTA(helper!$D$3:$D3996))+1))</f>
        <v/>
      </c>
      <c r="E3211" s="3" t="str">
        <f t="array" ref="E3211">IF(B3211="","",INDEX(helper!$F$3:$F3996,MOD(ROW()-2,COUNTA(helper!$D$3:$D3996))+1))</f>
        <v/>
      </c>
      <c r="F3211" s="3" t="str">
        <f>IF(B3211="","",SUMIFS('inventory ledger'!$H:$H,'inventory ledger'!$C:$C,C3211,'inventory ledger'!$D:$D,D3211,'inventory ledger'!$E:$E,E3211,'inventory ledger'!$A:$A,"&lt;="&amp;B3211+TIME(23,59,59))-SUMIFS('inventory ledger'!$I:$I,'inventory ledger'!$C:$C,C3211,'inventory ledger'!$D:$D,D3211,'inventory ledger'!$E:$E,E3211,'inventory ledger'!$A:$A,"&lt;="&amp;B3211+TIME(23,59,59)))</f>
        <v/>
      </c>
      <c r="G3211" s="3">
        <f>IFERROR(__xludf.DUMMYFUNCTION("IF(F3211&lt;=0,0,IFERROR(ROUNDUP(F3211/INDEX(FILTER('warehouse config'!$D:$D,('warehouse config'!$B:$B=C3211)*('warehouse config'!$C:$C=D3211)*('warehouse config'!$G:$G&lt;=B3211)*(('warehouse config'!$H:$H&gt;=B3211)+ISBLANK('warehouse config'!$H:$H))),1)),0))"),0.0)</f>
        <v>0</v>
      </c>
      <c r="H3211" s="3">
        <f>IFERROR(__xludf.DUMMYFUNCTION("IFERROR(INDEX(FILTER('cost master'!$E:$E,('cost master'!$B:$B=C3211)*('cost master'!$D:$D=""Storage cost per pallet / week"")*('cost master'!$G:$G&lt;=B3211)*(('cost master'!$H:$H&gt;=B3211)+ISBLANK('cost master'!$H:$H))),1),0)"),0.0)</f>
        <v>0</v>
      </c>
      <c r="I3211" s="3">
        <f t="shared" si="4"/>
        <v>0</v>
      </c>
      <c r="J3211" s="27">
        <f t="shared" si="5"/>
        <v>693947</v>
      </c>
      <c r="K3211" s="27">
        <f t="shared" si="6"/>
        <v>693977</v>
      </c>
    </row>
    <row r="3212" hidden="1">
      <c r="A3212" s="3" t="str">
        <f t="shared" si="3"/>
        <v/>
      </c>
      <c r="B3212" s="2" t="str">
        <f t="array" ref="B3212">INDEX(helper!$A$3:$A3996,ROUNDUP((ROW()-1)/COUNTA(helper!$D$3:$D3996),0))</f>
        <v/>
      </c>
      <c r="C3212" s="5" t="str">
        <f t="array" ref="C3212">IF(B3212="","",INDEX(helper!$D$3:$D3996,MOD(ROW()-2,COUNTA(helper!$D$3:$D3996))+1))</f>
        <v/>
      </c>
      <c r="D3212" s="3" t="str">
        <f t="array" ref="D3212">IF(B3212="","",INDEX(helper!$E$3:$E3996,MOD(ROW()-2,COUNTA(helper!$D$3:$D3996))+1))</f>
        <v/>
      </c>
      <c r="E3212" s="3" t="str">
        <f t="array" ref="E3212">IF(B3212="","",INDEX(helper!$F$3:$F3996,MOD(ROW()-2,COUNTA(helper!$D$3:$D3996))+1))</f>
        <v/>
      </c>
      <c r="F3212" s="3" t="str">
        <f>IF(B3212="","",SUMIFS('inventory ledger'!$H:$H,'inventory ledger'!$C:$C,C3212,'inventory ledger'!$D:$D,D3212,'inventory ledger'!$E:$E,E3212,'inventory ledger'!$A:$A,"&lt;="&amp;B3212+TIME(23,59,59))-SUMIFS('inventory ledger'!$I:$I,'inventory ledger'!$C:$C,C3212,'inventory ledger'!$D:$D,D3212,'inventory ledger'!$E:$E,E3212,'inventory ledger'!$A:$A,"&lt;="&amp;B3212+TIME(23,59,59)))</f>
        <v/>
      </c>
      <c r="G3212" s="3">
        <f>IFERROR(__xludf.DUMMYFUNCTION("IF(F3212&lt;=0,0,IFERROR(ROUNDUP(F3212/INDEX(FILTER('warehouse config'!$D:$D,('warehouse config'!$B:$B=C3212)*('warehouse config'!$C:$C=D3212)*('warehouse config'!$G:$G&lt;=B3212)*(('warehouse config'!$H:$H&gt;=B3212)+ISBLANK('warehouse config'!$H:$H))),1)),0))"),0.0)</f>
        <v>0</v>
      </c>
      <c r="H3212" s="3">
        <f>IFERROR(__xludf.DUMMYFUNCTION("IFERROR(INDEX(FILTER('cost master'!$E:$E,('cost master'!$B:$B=C3212)*('cost master'!$D:$D=""Storage cost per pallet / week"")*('cost master'!$G:$G&lt;=B3212)*(('cost master'!$H:$H&gt;=B3212)+ISBLANK('cost master'!$H:$H))),1),0)"),0.0)</f>
        <v>0</v>
      </c>
      <c r="I3212" s="3">
        <f t="shared" si="4"/>
        <v>0</v>
      </c>
      <c r="J3212" s="27">
        <f t="shared" si="5"/>
        <v>693947</v>
      </c>
      <c r="K3212" s="27">
        <f t="shared" si="6"/>
        <v>693977</v>
      </c>
    </row>
    <row r="3213" hidden="1">
      <c r="A3213" s="3" t="str">
        <f t="shared" si="3"/>
        <v/>
      </c>
      <c r="B3213" s="2" t="str">
        <f t="array" ref="B3213">INDEX(helper!$A$3:$A3996,ROUNDUP((ROW()-1)/COUNTA(helper!$D$3:$D3996),0))</f>
        <v/>
      </c>
      <c r="C3213" s="5" t="str">
        <f t="array" ref="C3213">IF(B3213="","",INDEX(helper!$D$3:$D3996,MOD(ROW()-2,COUNTA(helper!$D$3:$D3996))+1))</f>
        <v/>
      </c>
      <c r="D3213" s="3" t="str">
        <f t="array" ref="D3213">IF(B3213="","",INDEX(helper!$E$3:$E3996,MOD(ROW()-2,COUNTA(helper!$D$3:$D3996))+1))</f>
        <v/>
      </c>
      <c r="E3213" s="3" t="str">
        <f t="array" ref="E3213">IF(B3213="","",INDEX(helper!$F$3:$F3996,MOD(ROW()-2,COUNTA(helper!$D$3:$D3996))+1))</f>
        <v/>
      </c>
      <c r="F3213" s="3" t="str">
        <f>IF(B3213="","",SUMIFS('inventory ledger'!$H:$H,'inventory ledger'!$C:$C,C3213,'inventory ledger'!$D:$D,D3213,'inventory ledger'!$E:$E,E3213,'inventory ledger'!$A:$A,"&lt;="&amp;B3213+TIME(23,59,59))-SUMIFS('inventory ledger'!$I:$I,'inventory ledger'!$C:$C,C3213,'inventory ledger'!$D:$D,D3213,'inventory ledger'!$E:$E,E3213,'inventory ledger'!$A:$A,"&lt;="&amp;B3213+TIME(23,59,59)))</f>
        <v/>
      </c>
      <c r="G3213" s="3">
        <f>IFERROR(__xludf.DUMMYFUNCTION("IF(F3213&lt;=0,0,IFERROR(ROUNDUP(F3213/INDEX(FILTER('warehouse config'!$D:$D,('warehouse config'!$B:$B=C3213)*('warehouse config'!$C:$C=D3213)*('warehouse config'!$G:$G&lt;=B3213)*(('warehouse config'!$H:$H&gt;=B3213)+ISBLANK('warehouse config'!$H:$H))),1)),0))"),0.0)</f>
        <v>0</v>
      </c>
      <c r="H3213" s="3">
        <f>IFERROR(__xludf.DUMMYFUNCTION("IFERROR(INDEX(FILTER('cost master'!$E:$E,('cost master'!$B:$B=C3213)*('cost master'!$D:$D=""Storage cost per pallet / week"")*('cost master'!$G:$G&lt;=B3213)*(('cost master'!$H:$H&gt;=B3213)+ISBLANK('cost master'!$H:$H))),1),0)"),0.0)</f>
        <v>0</v>
      </c>
      <c r="I3213" s="3">
        <f t="shared" si="4"/>
        <v>0</v>
      </c>
      <c r="J3213" s="27">
        <f t="shared" si="5"/>
        <v>693947</v>
      </c>
      <c r="K3213" s="27">
        <f t="shared" si="6"/>
        <v>693977</v>
      </c>
    </row>
    <row r="3214" hidden="1">
      <c r="A3214" s="3" t="str">
        <f t="shared" si="3"/>
        <v/>
      </c>
      <c r="B3214" s="2" t="str">
        <f t="array" ref="B3214">INDEX(helper!$A$3:$A3996,ROUNDUP((ROW()-1)/COUNTA(helper!$D$3:$D3996),0))</f>
        <v/>
      </c>
      <c r="C3214" s="5" t="str">
        <f t="array" ref="C3214">IF(B3214="","",INDEX(helper!$D$3:$D3996,MOD(ROW()-2,COUNTA(helper!$D$3:$D3996))+1))</f>
        <v/>
      </c>
      <c r="D3214" s="3" t="str">
        <f t="array" ref="D3214">IF(B3214="","",INDEX(helper!$E$3:$E3996,MOD(ROW()-2,COUNTA(helper!$D$3:$D3996))+1))</f>
        <v/>
      </c>
      <c r="E3214" s="3" t="str">
        <f t="array" ref="E3214">IF(B3214="","",INDEX(helper!$F$3:$F3996,MOD(ROW()-2,COUNTA(helper!$D$3:$D3996))+1))</f>
        <v/>
      </c>
      <c r="F3214" s="3" t="str">
        <f>IF(B3214="","",SUMIFS('inventory ledger'!$H:$H,'inventory ledger'!$C:$C,C3214,'inventory ledger'!$D:$D,D3214,'inventory ledger'!$E:$E,E3214,'inventory ledger'!$A:$A,"&lt;="&amp;B3214+TIME(23,59,59))-SUMIFS('inventory ledger'!$I:$I,'inventory ledger'!$C:$C,C3214,'inventory ledger'!$D:$D,D3214,'inventory ledger'!$E:$E,E3214,'inventory ledger'!$A:$A,"&lt;="&amp;B3214+TIME(23,59,59)))</f>
        <v/>
      </c>
      <c r="G3214" s="3">
        <f>IFERROR(__xludf.DUMMYFUNCTION("IF(F3214&lt;=0,0,IFERROR(ROUNDUP(F3214/INDEX(FILTER('warehouse config'!$D:$D,('warehouse config'!$B:$B=C3214)*('warehouse config'!$C:$C=D3214)*('warehouse config'!$G:$G&lt;=B3214)*(('warehouse config'!$H:$H&gt;=B3214)+ISBLANK('warehouse config'!$H:$H))),1)),0))"),0.0)</f>
        <v>0</v>
      </c>
      <c r="H3214" s="3">
        <f>IFERROR(__xludf.DUMMYFUNCTION("IFERROR(INDEX(FILTER('cost master'!$E:$E,('cost master'!$B:$B=C3214)*('cost master'!$D:$D=""Storage cost per pallet / week"")*('cost master'!$G:$G&lt;=B3214)*(('cost master'!$H:$H&gt;=B3214)+ISBLANK('cost master'!$H:$H))),1),0)"),0.0)</f>
        <v>0</v>
      </c>
      <c r="I3214" s="3">
        <f t="shared" si="4"/>
        <v>0</v>
      </c>
      <c r="J3214" s="27">
        <f t="shared" si="5"/>
        <v>693947</v>
      </c>
      <c r="K3214" s="27">
        <f t="shared" si="6"/>
        <v>693977</v>
      </c>
    </row>
    <row r="3215" hidden="1">
      <c r="A3215" s="3" t="str">
        <f t="shared" si="3"/>
        <v/>
      </c>
      <c r="B3215" s="2" t="str">
        <f t="array" ref="B3215">INDEX(helper!$A$3:$A3996,ROUNDUP((ROW()-1)/COUNTA(helper!$D$3:$D3996),0))</f>
        <v/>
      </c>
      <c r="C3215" s="5" t="str">
        <f t="array" ref="C3215">IF(B3215="","",INDEX(helper!$D$3:$D3996,MOD(ROW()-2,COUNTA(helper!$D$3:$D3996))+1))</f>
        <v/>
      </c>
      <c r="D3215" s="3" t="str">
        <f t="array" ref="D3215">IF(B3215="","",INDEX(helper!$E$3:$E3996,MOD(ROW()-2,COUNTA(helper!$D$3:$D3996))+1))</f>
        <v/>
      </c>
      <c r="E3215" s="3" t="str">
        <f t="array" ref="E3215">IF(B3215="","",INDEX(helper!$F$3:$F3996,MOD(ROW()-2,COUNTA(helper!$D$3:$D3996))+1))</f>
        <v/>
      </c>
      <c r="F3215" s="3" t="str">
        <f>IF(B3215="","",SUMIFS('inventory ledger'!$H:$H,'inventory ledger'!$C:$C,C3215,'inventory ledger'!$D:$D,D3215,'inventory ledger'!$E:$E,E3215,'inventory ledger'!$A:$A,"&lt;="&amp;B3215+TIME(23,59,59))-SUMIFS('inventory ledger'!$I:$I,'inventory ledger'!$C:$C,C3215,'inventory ledger'!$D:$D,D3215,'inventory ledger'!$E:$E,E3215,'inventory ledger'!$A:$A,"&lt;="&amp;B3215+TIME(23,59,59)))</f>
        <v/>
      </c>
      <c r="G3215" s="3">
        <f>IFERROR(__xludf.DUMMYFUNCTION("IF(F3215&lt;=0,0,IFERROR(ROUNDUP(F3215/INDEX(FILTER('warehouse config'!$D:$D,('warehouse config'!$B:$B=C3215)*('warehouse config'!$C:$C=D3215)*('warehouse config'!$G:$G&lt;=B3215)*(('warehouse config'!$H:$H&gt;=B3215)+ISBLANK('warehouse config'!$H:$H))),1)),0))"),0.0)</f>
        <v>0</v>
      </c>
      <c r="H3215" s="3">
        <f>IFERROR(__xludf.DUMMYFUNCTION("IFERROR(INDEX(FILTER('cost master'!$E:$E,('cost master'!$B:$B=C3215)*('cost master'!$D:$D=""Storage cost per pallet / week"")*('cost master'!$G:$G&lt;=B3215)*(('cost master'!$H:$H&gt;=B3215)+ISBLANK('cost master'!$H:$H))),1),0)"),0.0)</f>
        <v>0</v>
      </c>
      <c r="I3215" s="3">
        <f t="shared" si="4"/>
        <v>0</v>
      </c>
      <c r="J3215" s="27">
        <f t="shared" si="5"/>
        <v>693947</v>
      </c>
      <c r="K3215" s="27">
        <f t="shared" si="6"/>
        <v>693977</v>
      </c>
    </row>
    <row r="3216" hidden="1">
      <c r="A3216" s="3" t="str">
        <f t="shared" si="3"/>
        <v/>
      </c>
      <c r="B3216" s="2" t="str">
        <f t="array" ref="B3216">INDEX(helper!$A$3:$A3996,ROUNDUP((ROW()-1)/COUNTA(helper!$D$3:$D3996),0))</f>
        <v/>
      </c>
      <c r="C3216" s="5" t="str">
        <f t="array" ref="C3216">IF(B3216="","",INDEX(helper!$D$3:$D3996,MOD(ROW()-2,COUNTA(helper!$D$3:$D3996))+1))</f>
        <v/>
      </c>
      <c r="D3216" s="3" t="str">
        <f t="array" ref="D3216">IF(B3216="","",INDEX(helper!$E$3:$E3996,MOD(ROW()-2,COUNTA(helper!$D$3:$D3996))+1))</f>
        <v/>
      </c>
      <c r="E3216" s="3" t="str">
        <f t="array" ref="E3216">IF(B3216="","",INDEX(helper!$F$3:$F3996,MOD(ROW()-2,COUNTA(helper!$D$3:$D3996))+1))</f>
        <v/>
      </c>
      <c r="F3216" s="3" t="str">
        <f>IF(B3216="","",SUMIFS('inventory ledger'!$H:$H,'inventory ledger'!$C:$C,C3216,'inventory ledger'!$D:$D,D3216,'inventory ledger'!$E:$E,E3216,'inventory ledger'!$A:$A,"&lt;="&amp;B3216+TIME(23,59,59))-SUMIFS('inventory ledger'!$I:$I,'inventory ledger'!$C:$C,C3216,'inventory ledger'!$D:$D,D3216,'inventory ledger'!$E:$E,E3216,'inventory ledger'!$A:$A,"&lt;="&amp;B3216+TIME(23,59,59)))</f>
        <v/>
      </c>
      <c r="G3216" s="3">
        <f>IFERROR(__xludf.DUMMYFUNCTION("IF(F3216&lt;=0,0,IFERROR(ROUNDUP(F3216/INDEX(FILTER('warehouse config'!$D:$D,('warehouse config'!$B:$B=C3216)*('warehouse config'!$C:$C=D3216)*('warehouse config'!$G:$G&lt;=B3216)*(('warehouse config'!$H:$H&gt;=B3216)+ISBLANK('warehouse config'!$H:$H))),1)),0))"),0.0)</f>
        <v>0</v>
      </c>
      <c r="H3216" s="3">
        <f>IFERROR(__xludf.DUMMYFUNCTION("IFERROR(INDEX(FILTER('cost master'!$E:$E,('cost master'!$B:$B=C3216)*('cost master'!$D:$D=""Storage cost per pallet / week"")*('cost master'!$G:$G&lt;=B3216)*(('cost master'!$H:$H&gt;=B3216)+ISBLANK('cost master'!$H:$H))),1),0)"),0.0)</f>
        <v>0</v>
      </c>
      <c r="I3216" s="3">
        <f t="shared" si="4"/>
        <v>0</v>
      </c>
      <c r="J3216" s="27">
        <f t="shared" si="5"/>
        <v>693947</v>
      </c>
      <c r="K3216" s="27">
        <f t="shared" si="6"/>
        <v>693977</v>
      </c>
    </row>
    <row r="3217" hidden="1">
      <c r="A3217" s="3" t="str">
        <f t="shared" si="3"/>
        <v/>
      </c>
      <c r="B3217" s="2" t="str">
        <f t="array" ref="B3217">INDEX(helper!$A$3:$A3996,ROUNDUP((ROW()-1)/COUNTA(helper!$D$3:$D3996),0))</f>
        <v/>
      </c>
      <c r="C3217" s="5" t="str">
        <f t="array" ref="C3217">IF(B3217="","",INDEX(helper!$D$3:$D3996,MOD(ROW()-2,COUNTA(helper!$D$3:$D3996))+1))</f>
        <v/>
      </c>
      <c r="D3217" s="3" t="str">
        <f t="array" ref="D3217">IF(B3217="","",INDEX(helper!$E$3:$E3996,MOD(ROW()-2,COUNTA(helper!$D$3:$D3996))+1))</f>
        <v/>
      </c>
      <c r="E3217" s="3" t="str">
        <f t="array" ref="E3217">IF(B3217="","",INDEX(helper!$F$3:$F3996,MOD(ROW()-2,COUNTA(helper!$D$3:$D3996))+1))</f>
        <v/>
      </c>
      <c r="F3217" s="3" t="str">
        <f>IF(B3217="","",SUMIFS('inventory ledger'!$H:$H,'inventory ledger'!$C:$C,C3217,'inventory ledger'!$D:$D,D3217,'inventory ledger'!$E:$E,E3217,'inventory ledger'!$A:$A,"&lt;="&amp;B3217+TIME(23,59,59))-SUMIFS('inventory ledger'!$I:$I,'inventory ledger'!$C:$C,C3217,'inventory ledger'!$D:$D,D3217,'inventory ledger'!$E:$E,E3217,'inventory ledger'!$A:$A,"&lt;="&amp;B3217+TIME(23,59,59)))</f>
        <v/>
      </c>
      <c r="G3217" s="3">
        <f>IFERROR(__xludf.DUMMYFUNCTION("IF(F3217&lt;=0,0,IFERROR(ROUNDUP(F3217/INDEX(FILTER('warehouse config'!$D:$D,('warehouse config'!$B:$B=C3217)*('warehouse config'!$C:$C=D3217)*('warehouse config'!$G:$G&lt;=B3217)*(('warehouse config'!$H:$H&gt;=B3217)+ISBLANK('warehouse config'!$H:$H))),1)),0))"),0.0)</f>
        <v>0</v>
      </c>
      <c r="H3217" s="3">
        <f>IFERROR(__xludf.DUMMYFUNCTION("IFERROR(INDEX(FILTER('cost master'!$E:$E,('cost master'!$B:$B=C3217)*('cost master'!$D:$D=""Storage cost per pallet / week"")*('cost master'!$G:$G&lt;=B3217)*(('cost master'!$H:$H&gt;=B3217)+ISBLANK('cost master'!$H:$H))),1),0)"),0.0)</f>
        <v>0</v>
      </c>
      <c r="I3217" s="3">
        <f t="shared" si="4"/>
        <v>0</v>
      </c>
      <c r="J3217" s="27">
        <f t="shared" si="5"/>
        <v>693947</v>
      </c>
      <c r="K3217" s="27">
        <f t="shared" si="6"/>
        <v>693977</v>
      </c>
    </row>
    <row r="3218" hidden="1">
      <c r="A3218" s="3" t="str">
        <f t="shared" si="3"/>
        <v/>
      </c>
      <c r="B3218" s="2" t="str">
        <f t="array" ref="B3218">INDEX(helper!$A$3:$A3996,ROUNDUP((ROW()-1)/COUNTA(helper!$D$3:$D3996),0))</f>
        <v/>
      </c>
      <c r="C3218" s="5" t="str">
        <f t="array" ref="C3218">IF(B3218="","",INDEX(helper!$D$3:$D3996,MOD(ROW()-2,COUNTA(helper!$D$3:$D3996))+1))</f>
        <v/>
      </c>
      <c r="D3218" s="3" t="str">
        <f t="array" ref="D3218">IF(B3218="","",INDEX(helper!$E$3:$E3996,MOD(ROW()-2,COUNTA(helper!$D$3:$D3996))+1))</f>
        <v/>
      </c>
      <c r="E3218" s="3" t="str">
        <f t="array" ref="E3218">IF(B3218="","",INDEX(helper!$F$3:$F3996,MOD(ROW()-2,COUNTA(helper!$D$3:$D3996))+1))</f>
        <v/>
      </c>
      <c r="F3218" s="3" t="str">
        <f>IF(B3218="","",SUMIFS('inventory ledger'!$H:$H,'inventory ledger'!$C:$C,C3218,'inventory ledger'!$D:$D,D3218,'inventory ledger'!$E:$E,E3218,'inventory ledger'!$A:$A,"&lt;="&amp;B3218+TIME(23,59,59))-SUMIFS('inventory ledger'!$I:$I,'inventory ledger'!$C:$C,C3218,'inventory ledger'!$D:$D,D3218,'inventory ledger'!$E:$E,E3218,'inventory ledger'!$A:$A,"&lt;="&amp;B3218+TIME(23,59,59)))</f>
        <v/>
      </c>
      <c r="G3218" s="3">
        <f>IFERROR(__xludf.DUMMYFUNCTION("IF(F3218&lt;=0,0,IFERROR(ROUNDUP(F3218/INDEX(FILTER('warehouse config'!$D:$D,('warehouse config'!$B:$B=C3218)*('warehouse config'!$C:$C=D3218)*('warehouse config'!$G:$G&lt;=B3218)*(('warehouse config'!$H:$H&gt;=B3218)+ISBLANK('warehouse config'!$H:$H))),1)),0))"),0.0)</f>
        <v>0</v>
      </c>
      <c r="H3218" s="3">
        <f>IFERROR(__xludf.DUMMYFUNCTION("IFERROR(INDEX(FILTER('cost master'!$E:$E,('cost master'!$B:$B=C3218)*('cost master'!$D:$D=""Storage cost per pallet / week"")*('cost master'!$G:$G&lt;=B3218)*(('cost master'!$H:$H&gt;=B3218)+ISBLANK('cost master'!$H:$H))),1),0)"),0.0)</f>
        <v>0</v>
      </c>
      <c r="I3218" s="3">
        <f t="shared" si="4"/>
        <v>0</v>
      </c>
      <c r="J3218" s="27">
        <f t="shared" si="5"/>
        <v>693947</v>
      </c>
      <c r="K3218" s="27">
        <f t="shared" si="6"/>
        <v>693977</v>
      </c>
    </row>
    <row r="3219" hidden="1">
      <c r="A3219" s="3" t="str">
        <f t="shared" si="3"/>
        <v/>
      </c>
      <c r="B3219" s="2" t="str">
        <f t="array" ref="B3219">INDEX(helper!$A$3:$A3996,ROUNDUP((ROW()-1)/COUNTA(helper!$D$3:$D3996),0))</f>
        <v/>
      </c>
      <c r="C3219" s="5" t="str">
        <f t="array" ref="C3219">IF(B3219="","",INDEX(helper!$D$3:$D3996,MOD(ROW()-2,COUNTA(helper!$D$3:$D3996))+1))</f>
        <v/>
      </c>
      <c r="D3219" s="3" t="str">
        <f t="array" ref="D3219">IF(B3219="","",INDEX(helper!$E$3:$E3996,MOD(ROW()-2,COUNTA(helper!$D$3:$D3996))+1))</f>
        <v/>
      </c>
      <c r="E3219" s="3" t="str">
        <f t="array" ref="E3219">IF(B3219="","",INDEX(helper!$F$3:$F3996,MOD(ROW()-2,COUNTA(helper!$D$3:$D3996))+1))</f>
        <v/>
      </c>
      <c r="F3219" s="3" t="str">
        <f>IF(B3219="","",SUMIFS('inventory ledger'!$H:$H,'inventory ledger'!$C:$C,C3219,'inventory ledger'!$D:$D,D3219,'inventory ledger'!$E:$E,E3219,'inventory ledger'!$A:$A,"&lt;="&amp;B3219+TIME(23,59,59))-SUMIFS('inventory ledger'!$I:$I,'inventory ledger'!$C:$C,C3219,'inventory ledger'!$D:$D,D3219,'inventory ledger'!$E:$E,E3219,'inventory ledger'!$A:$A,"&lt;="&amp;B3219+TIME(23,59,59)))</f>
        <v/>
      </c>
      <c r="G3219" s="3">
        <f>IFERROR(__xludf.DUMMYFUNCTION("IF(F3219&lt;=0,0,IFERROR(ROUNDUP(F3219/INDEX(FILTER('warehouse config'!$D:$D,('warehouse config'!$B:$B=C3219)*('warehouse config'!$C:$C=D3219)*('warehouse config'!$G:$G&lt;=B3219)*(('warehouse config'!$H:$H&gt;=B3219)+ISBLANK('warehouse config'!$H:$H))),1)),0))"),0.0)</f>
        <v>0</v>
      </c>
      <c r="H3219" s="3">
        <f>IFERROR(__xludf.DUMMYFUNCTION("IFERROR(INDEX(FILTER('cost master'!$E:$E,('cost master'!$B:$B=C3219)*('cost master'!$D:$D=""Storage cost per pallet / week"")*('cost master'!$G:$G&lt;=B3219)*(('cost master'!$H:$H&gt;=B3219)+ISBLANK('cost master'!$H:$H))),1),0)"),0.0)</f>
        <v>0</v>
      </c>
      <c r="I3219" s="3">
        <f t="shared" si="4"/>
        <v>0</v>
      </c>
      <c r="J3219" s="27">
        <f t="shared" si="5"/>
        <v>693947</v>
      </c>
      <c r="K3219" s="27">
        <f t="shared" si="6"/>
        <v>693977</v>
      </c>
    </row>
    <row r="3220" hidden="1">
      <c r="A3220" s="3" t="str">
        <f t="shared" si="3"/>
        <v/>
      </c>
      <c r="B3220" s="2" t="str">
        <f t="array" ref="B3220">INDEX(helper!$A$3:$A3996,ROUNDUP((ROW()-1)/COUNTA(helper!$D$3:$D3996),0))</f>
        <v/>
      </c>
      <c r="C3220" s="5" t="str">
        <f t="array" ref="C3220">IF(B3220="","",INDEX(helper!$D$3:$D3996,MOD(ROW()-2,COUNTA(helper!$D$3:$D3996))+1))</f>
        <v/>
      </c>
      <c r="D3220" s="3" t="str">
        <f t="array" ref="D3220">IF(B3220="","",INDEX(helper!$E$3:$E3996,MOD(ROW()-2,COUNTA(helper!$D$3:$D3996))+1))</f>
        <v/>
      </c>
      <c r="E3220" s="3" t="str">
        <f t="array" ref="E3220">IF(B3220="","",INDEX(helper!$F$3:$F3996,MOD(ROW()-2,COUNTA(helper!$D$3:$D3996))+1))</f>
        <v/>
      </c>
      <c r="F3220" s="3" t="str">
        <f>IF(B3220="","",SUMIFS('inventory ledger'!$H:$H,'inventory ledger'!$C:$C,C3220,'inventory ledger'!$D:$D,D3220,'inventory ledger'!$E:$E,E3220,'inventory ledger'!$A:$A,"&lt;="&amp;B3220+TIME(23,59,59))-SUMIFS('inventory ledger'!$I:$I,'inventory ledger'!$C:$C,C3220,'inventory ledger'!$D:$D,D3220,'inventory ledger'!$E:$E,E3220,'inventory ledger'!$A:$A,"&lt;="&amp;B3220+TIME(23,59,59)))</f>
        <v/>
      </c>
      <c r="G3220" s="3">
        <f>IFERROR(__xludf.DUMMYFUNCTION("IF(F3220&lt;=0,0,IFERROR(ROUNDUP(F3220/INDEX(FILTER('warehouse config'!$D:$D,('warehouse config'!$B:$B=C3220)*('warehouse config'!$C:$C=D3220)*('warehouse config'!$G:$G&lt;=B3220)*(('warehouse config'!$H:$H&gt;=B3220)+ISBLANK('warehouse config'!$H:$H))),1)),0))"),0.0)</f>
        <v>0</v>
      </c>
      <c r="H3220" s="3">
        <f>IFERROR(__xludf.DUMMYFUNCTION("IFERROR(INDEX(FILTER('cost master'!$E:$E,('cost master'!$B:$B=C3220)*('cost master'!$D:$D=""Storage cost per pallet / week"")*('cost master'!$G:$G&lt;=B3220)*(('cost master'!$H:$H&gt;=B3220)+ISBLANK('cost master'!$H:$H))),1),0)"),0.0)</f>
        <v>0</v>
      </c>
      <c r="I3220" s="3">
        <f t="shared" si="4"/>
        <v>0</v>
      </c>
      <c r="J3220" s="27">
        <f t="shared" si="5"/>
        <v>693947</v>
      </c>
      <c r="K3220" s="27">
        <f t="shared" si="6"/>
        <v>693977</v>
      </c>
    </row>
    <row r="3221" hidden="1">
      <c r="A3221" s="3" t="str">
        <f t="shared" si="3"/>
        <v/>
      </c>
      <c r="B3221" s="2" t="str">
        <f t="array" ref="B3221">INDEX(helper!$A$3:$A3996,ROUNDUP((ROW()-1)/COUNTA(helper!$D$3:$D3996),0))</f>
        <v/>
      </c>
      <c r="C3221" s="5" t="str">
        <f t="array" ref="C3221">IF(B3221="","",INDEX(helper!$D$3:$D3996,MOD(ROW()-2,COUNTA(helper!$D$3:$D3996))+1))</f>
        <v/>
      </c>
      <c r="D3221" s="3" t="str">
        <f t="array" ref="D3221">IF(B3221="","",INDEX(helper!$E$3:$E3996,MOD(ROW()-2,COUNTA(helper!$D$3:$D3996))+1))</f>
        <v/>
      </c>
      <c r="E3221" s="3" t="str">
        <f t="array" ref="E3221">IF(B3221="","",INDEX(helper!$F$3:$F3996,MOD(ROW()-2,COUNTA(helper!$D$3:$D3996))+1))</f>
        <v/>
      </c>
      <c r="F3221" s="3" t="str">
        <f>IF(B3221="","",SUMIFS('inventory ledger'!$H:$H,'inventory ledger'!$C:$C,C3221,'inventory ledger'!$D:$D,D3221,'inventory ledger'!$E:$E,E3221,'inventory ledger'!$A:$A,"&lt;="&amp;B3221+TIME(23,59,59))-SUMIFS('inventory ledger'!$I:$I,'inventory ledger'!$C:$C,C3221,'inventory ledger'!$D:$D,D3221,'inventory ledger'!$E:$E,E3221,'inventory ledger'!$A:$A,"&lt;="&amp;B3221+TIME(23,59,59)))</f>
        <v/>
      </c>
      <c r="G3221" s="3">
        <f>IFERROR(__xludf.DUMMYFUNCTION("IF(F3221&lt;=0,0,IFERROR(ROUNDUP(F3221/INDEX(FILTER('warehouse config'!$D:$D,('warehouse config'!$B:$B=C3221)*('warehouse config'!$C:$C=D3221)*('warehouse config'!$G:$G&lt;=B3221)*(('warehouse config'!$H:$H&gt;=B3221)+ISBLANK('warehouse config'!$H:$H))),1)),0))"),0.0)</f>
        <v>0</v>
      </c>
      <c r="H3221" s="3">
        <f>IFERROR(__xludf.DUMMYFUNCTION("IFERROR(INDEX(FILTER('cost master'!$E:$E,('cost master'!$B:$B=C3221)*('cost master'!$D:$D=""Storage cost per pallet / week"")*('cost master'!$G:$G&lt;=B3221)*(('cost master'!$H:$H&gt;=B3221)+ISBLANK('cost master'!$H:$H))),1),0)"),0.0)</f>
        <v>0</v>
      </c>
      <c r="I3221" s="3">
        <f t="shared" si="4"/>
        <v>0</v>
      </c>
      <c r="J3221" s="27">
        <f t="shared" si="5"/>
        <v>693947</v>
      </c>
      <c r="K3221" s="27">
        <f t="shared" si="6"/>
        <v>693977</v>
      </c>
    </row>
    <row r="3222" hidden="1">
      <c r="A3222" s="3" t="str">
        <f t="shared" si="3"/>
        <v/>
      </c>
      <c r="B3222" s="2" t="str">
        <f t="array" ref="B3222">INDEX(helper!$A$3:$A3996,ROUNDUP((ROW()-1)/COUNTA(helper!$D$3:$D3996),0))</f>
        <v/>
      </c>
      <c r="C3222" s="5" t="str">
        <f t="array" ref="C3222">IF(B3222="","",INDEX(helper!$D$3:$D3996,MOD(ROW()-2,COUNTA(helper!$D$3:$D3996))+1))</f>
        <v/>
      </c>
      <c r="D3222" s="3" t="str">
        <f t="array" ref="D3222">IF(B3222="","",INDEX(helper!$E$3:$E3996,MOD(ROW()-2,COUNTA(helper!$D$3:$D3996))+1))</f>
        <v/>
      </c>
      <c r="E3222" s="3" t="str">
        <f t="array" ref="E3222">IF(B3222="","",INDEX(helper!$F$3:$F3996,MOD(ROW()-2,COUNTA(helper!$D$3:$D3996))+1))</f>
        <v/>
      </c>
      <c r="F3222" s="3" t="str">
        <f>IF(B3222="","",SUMIFS('inventory ledger'!$H:$H,'inventory ledger'!$C:$C,C3222,'inventory ledger'!$D:$D,D3222,'inventory ledger'!$E:$E,E3222,'inventory ledger'!$A:$A,"&lt;="&amp;B3222+TIME(23,59,59))-SUMIFS('inventory ledger'!$I:$I,'inventory ledger'!$C:$C,C3222,'inventory ledger'!$D:$D,D3222,'inventory ledger'!$E:$E,E3222,'inventory ledger'!$A:$A,"&lt;="&amp;B3222+TIME(23,59,59)))</f>
        <v/>
      </c>
      <c r="G3222" s="3">
        <f>IFERROR(__xludf.DUMMYFUNCTION("IF(F3222&lt;=0,0,IFERROR(ROUNDUP(F3222/INDEX(FILTER('warehouse config'!$D:$D,('warehouse config'!$B:$B=C3222)*('warehouse config'!$C:$C=D3222)*('warehouse config'!$G:$G&lt;=B3222)*(('warehouse config'!$H:$H&gt;=B3222)+ISBLANK('warehouse config'!$H:$H))),1)),0))"),0.0)</f>
        <v>0</v>
      </c>
      <c r="H3222" s="3">
        <f>IFERROR(__xludf.DUMMYFUNCTION("IFERROR(INDEX(FILTER('cost master'!$E:$E,('cost master'!$B:$B=C3222)*('cost master'!$D:$D=""Storage cost per pallet / week"")*('cost master'!$G:$G&lt;=B3222)*(('cost master'!$H:$H&gt;=B3222)+ISBLANK('cost master'!$H:$H))),1),0)"),0.0)</f>
        <v>0</v>
      </c>
      <c r="I3222" s="3">
        <f t="shared" si="4"/>
        <v>0</v>
      </c>
      <c r="J3222" s="27">
        <f t="shared" si="5"/>
        <v>693947</v>
      </c>
      <c r="K3222" s="27">
        <f t="shared" si="6"/>
        <v>693977</v>
      </c>
    </row>
    <row r="3223" hidden="1">
      <c r="A3223" s="3" t="str">
        <f t="shared" si="3"/>
        <v/>
      </c>
      <c r="B3223" s="2" t="str">
        <f t="array" ref="B3223">INDEX(helper!$A$3:$A3996,ROUNDUP((ROW()-1)/COUNTA(helper!$D$3:$D3996),0))</f>
        <v/>
      </c>
      <c r="C3223" s="5" t="str">
        <f t="array" ref="C3223">IF(B3223="","",INDEX(helper!$D$3:$D3996,MOD(ROW()-2,COUNTA(helper!$D$3:$D3996))+1))</f>
        <v/>
      </c>
      <c r="D3223" s="3" t="str">
        <f t="array" ref="D3223">IF(B3223="","",INDEX(helper!$E$3:$E3996,MOD(ROW()-2,COUNTA(helper!$D$3:$D3996))+1))</f>
        <v/>
      </c>
      <c r="E3223" s="3" t="str">
        <f t="array" ref="E3223">IF(B3223="","",INDEX(helper!$F$3:$F3996,MOD(ROW()-2,COUNTA(helper!$D$3:$D3996))+1))</f>
        <v/>
      </c>
      <c r="F3223" s="3" t="str">
        <f>IF(B3223="","",SUMIFS('inventory ledger'!$H:$H,'inventory ledger'!$C:$C,C3223,'inventory ledger'!$D:$D,D3223,'inventory ledger'!$E:$E,E3223,'inventory ledger'!$A:$A,"&lt;="&amp;B3223+TIME(23,59,59))-SUMIFS('inventory ledger'!$I:$I,'inventory ledger'!$C:$C,C3223,'inventory ledger'!$D:$D,D3223,'inventory ledger'!$E:$E,E3223,'inventory ledger'!$A:$A,"&lt;="&amp;B3223+TIME(23,59,59)))</f>
        <v/>
      </c>
      <c r="G3223" s="3">
        <f>IFERROR(__xludf.DUMMYFUNCTION("IF(F3223&lt;=0,0,IFERROR(ROUNDUP(F3223/INDEX(FILTER('warehouse config'!$D:$D,('warehouse config'!$B:$B=C3223)*('warehouse config'!$C:$C=D3223)*('warehouse config'!$G:$G&lt;=B3223)*(('warehouse config'!$H:$H&gt;=B3223)+ISBLANK('warehouse config'!$H:$H))),1)),0))"),0.0)</f>
        <v>0</v>
      </c>
      <c r="H3223" s="3">
        <f>IFERROR(__xludf.DUMMYFUNCTION("IFERROR(INDEX(FILTER('cost master'!$E:$E,('cost master'!$B:$B=C3223)*('cost master'!$D:$D=""Storage cost per pallet / week"")*('cost master'!$G:$G&lt;=B3223)*(('cost master'!$H:$H&gt;=B3223)+ISBLANK('cost master'!$H:$H))),1),0)"),0.0)</f>
        <v>0</v>
      </c>
      <c r="I3223" s="3">
        <f t="shared" si="4"/>
        <v>0</v>
      </c>
      <c r="J3223" s="27">
        <f t="shared" si="5"/>
        <v>693947</v>
      </c>
      <c r="K3223" s="27">
        <f t="shared" si="6"/>
        <v>693977</v>
      </c>
    </row>
    <row r="3224" hidden="1">
      <c r="A3224" s="3" t="str">
        <f t="shared" si="3"/>
        <v/>
      </c>
      <c r="B3224" s="2" t="str">
        <f t="array" ref="B3224">INDEX(helper!$A$3:$A3996,ROUNDUP((ROW()-1)/COUNTA(helper!$D$3:$D3996),0))</f>
        <v/>
      </c>
      <c r="C3224" s="5" t="str">
        <f t="array" ref="C3224">IF(B3224="","",INDEX(helper!$D$3:$D3996,MOD(ROW()-2,COUNTA(helper!$D$3:$D3996))+1))</f>
        <v/>
      </c>
      <c r="D3224" s="3" t="str">
        <f t="array" ref="D3224">IF(B3224="","",INDEX(helper!$E$3:$E3996,MOD(ROW()-2,COUNTA(helper!$D$3:$D3996))+1))</f>
        <v/>
      </c>
      <c r="E3224" s="3" t="str">
        <f t="array" ref="E3224">IF(B3224="","",INDEX(helper!$F$3:$F3996,MOD(ROW()-2,COUNTA(helper!$D$3:$D3996))+1))</f>
        <v/>
      </c>
      <c r="F3224" s="3" t="str">
        <f>IF(B3224="","",SUMIFS('inventory ledger'!$H:$H,'inventory ledger'!$C:$C,C3224,'inventory ledger'!$D:$D,D3224,'inventory ledger'!$E:$E,E3224,'inventory ledger'!$A:$A,"&lt;="&amp;B3224+TIME(23,59,59))-SUMIFS('inventory ledger'!$I:$I,'inventory ledger'!$C:$C,C3224,'inventory ledger'!$D:$D,D3224,'inventory ledger'!$E:$E,E3224,'inventory ledger'!$A:$A,"&lt;="&amp;B3224+TIME(23,59,59)))</f>
        <v/>
      </c>
      <c r="G3224" s="3">
        <f>IFERROR(__xludf.DUMMYFUNCTION("IF(F3224&lt;=0,0,IFERROR(ROUNDUP(F3224/INDEX(FILTER('warehouse config'!$D:$D,('warehouse config'!$B:$B=C3224)*('warehouse config'!$C:$C=D3224)*('warehouse config'!$G:$G&lt;=B3224)*(('warehouse config'!$H:$H&gt;=B3224)+ISBLANK('warehouse config'!$H:$H))),1)),0))"),0.0)</f>
        <v>0</v>
      </c>
      <c r="H3224" s="3">
        <f>IFERROR(__xludf.DUMMYFUNCTION("IFERROR(INDEX(FILTER('cost master'!$E:$E,('cost master'!$B:$B=C3224)*('cost master'!$D:$D=""Storage cost per pallet / week"")*('cost master'!$G:$G&lt;=B3224)*(('cost master'!$H:$H&gt;=B3224)+ISBLANK('cost master'!$H:$H))),1),0)"),0.0)</f>
        <v>0</v>
      </c>
      <c r="I3224" s="3">
        <f t="shared" si="4"/>
        <v>0</v>
      </c>
      <c r="J3224" s="27">
        <f t="shared" si="5"/>
        <v>693947</v>
      </c>
      <c r="K3224" s="27">
        <f t="shared" si="6"/>
        <v>693977</v>
      </c>
    </row>
    <row r="3225" hidden="1">
      <c r="A3225" s="3" t="str">
        <f t="shared" si="3"/>
        <v/>
      </c>
      <c r="B3225" s="2" t="str">
        <f t="array" ref="B3225">INDEX(helper!$A$3:$A3996,ROUNDUP((ROW()-1)/COUNTA(helper!$D$3:$D3996),0))</f>
        <v/>
      </c>
      <c r="C3225" s="5" t="str">
        <f t="array" ref="C3225">IF(B3225="","",INDEX(helper!$D$3:$D3996,MOD(ROW()-2,COUNTA(helper!$D$3:$D3996))+1))</f>
        <v/>
      </c>
      <c r="D3225" s="3" t="str">
        <f t="array" ref="D3225">IF(B3225="","",INDEX(helper!$E$3:$E3996,MOD(ROW()-2,COUNTA(helper!$D$3:$D3996))+1))</f>
        <v/>
      </c>
      <c r="E3225" s="3" t="str">
        <f t="array" ref="E3225">IF(B3225="","",INDEX(helper!$F$3:$F3996,MOD(ROW()-2,COUNTA(helper!$D$3:$D3996))+1))</f>
        <v/>
      </c>
      <c r="F3225" s="3" t="str">
        <f>IF(B3225="","",SUMIFS('inventory ledger'!$H:$H,'inventory ledger'!$C:$C,C3225,'inventory ledger'!$D:$D,D3225,'inventory ledger'!$E:$E,E3225,'inventory ledger'!$A:$A,"&lt;="&amp;B3225+TIME(23,59,59))-SUMIFS('inventory ledger'!$I:$I,'inventory ledger'!$C:$C,C3225,'inventory ledger'!$D:$D,D3225,'inventory ledger'!$E:$E,E3225,'inventory ledger'!$A:$A,"&lt;="&amp;B3225+TIME(23,59,59)))</f>
        <v/>
      </c>
      <c r="G3225" s="3">
        <f>IFERROR(__xludf.DUMMYFUNCTION("IF(F3225&lt;=0,0,IFERROR(ROUNDUP(F3225/INDEX(FILTER('warehouse config'!$D:$D,('warehouse config'!$B:$B=C3225)*('warehouse config'!$C:$C=D3225)*('warehouse config'!$G:$G&lt;=B3225)*(('warehouse config'!$H:$H&gt;=B3225)+ISBLANK('warehouse config'!$H:$H))),1)),0))"),0.0)</f>
        <v>0</v>
      </c>
      <c r="H3225" s="3">
        <f>IFERROR(__xludf.DUMMYFUNCTION("IFERROR(INDEX(FILTER('cost master'!$E:$E,('cost master'!$B:$B=C3225)*('cost master'!$D:$D=""Storage cost per pallet / week"")*('cost master'!$G:$G&lt;=B3225)*(('cost master'!$H:$H&gt;=B3225)+ISBLANK('cost master'!$H:$H))),1),0)"),0.0)</f>
        <v>0</v>
      </c>
      <c r="I3225" s="3">
        <f t="shared" si="4"/>
        <v>0</v>
      </c>
      <c r="J3225" s="27">
        <f t="shared" si="5"/>
        <v>693947</v>
      </c>
      <c r="K3225" s="27">
        <f t="shared" si="6"/>
        <v>693977</v>
      </c>
    </row>
    <row r="3226" hidden="1">
      <c r="A3226" s="3" t="str">
        <f t="shared" si="3"/>
        <v/>
      </c>
      <c r="B3226" s="2" t="str">
        <f t="array" ref="B3226">INDEX(helper!$A$3:$A3996,ROUNDUP((ROW()-1)/COUNTA(helper!$D$3:$D3996),0))</f>
        <v/>
      </c>
      <c r="C3226" s="5" t="str">
        <f t="array" ref="C3226">IF(B3226="","",INDEX(helper!$D$3:$D3996,MOD(ROW()-2,COUNTA(helper!$D$3:$D3996))+1))</f>
        <v/>
      </c>
      <c r="D3226" s="3" t="str">
        <f t="array" ref="D3226">IF(B3226="","",INDEX(helper!$E$3:$E3996,MOD(ROW()-2,COUNTA(helper!$D$3:$D3996))+1))</f>
        <v/>
      </c>
      <c r="E3226" s="3" t="str">
        <f t="array" ref="E3226">IF(B3226="","",INDEX(helper!$F$3:$F3996,MOD(ROW()-2,COUNTA(helper!$D$3:$D3996))+1))</f>
        <v/>
      </c>
      <c r="F3226" s="3" t="str">
        <f>IF(B3226="","",SUMIFS('inventory ledger'!$H:$H,'inventory ledger'!$C:$C,C3226,'inventory ledger'!$D:$D,D3226,'inventory ledger'!$E:$E,E3226,'inventory ledger'!$A:$A,"&lt;="&amp;B3226+TIME(23,59,59))-SUMIFS('inventory ledger'!$I:$I,'inventory ledger'!$C:$C,C3226,'inventory ledger'!$D:$D,D3226,'inventory ledger'!$E:$E,E3226,'inventory ledger'!$A:$A,"&lt;="&amp;B3226+TIME(23,59,59)))</f>
        <v/>
      </c>
      <c r="G3226" s="3">
        <f>IFERROR(__xludf.DUMMYFUNCTION("IF(F3226&lt;=0,0,IFERROR(ROUNDUP(F3226/INDEX(FILTER('warehouse config'!$D:$D,('warehouse config'!$B:$B=C3226)*('warehouse config'!$C:$C=D3226)*('warehouse config'!$G:$G&lt;=B3226)*(('warehouse config'!$H:$H&gt;=B3226)+ISBLANK('warehouse config'!$H:$H))),1)),0))"),0.0)</f>
        <v>0</v>
      </c>
      <c r="H3226" s="3">
        <f>IFERROR(__xludf.DUMMYFUNCTION("IFERROR(INDEX(FILTER('cost master'!$E:$E,('cost master'!$B:$B=C3226)*('cost master'!$D:$D=""Storage cost per pallet / week"")*('cost master'!$G:$G&lt;=B3226)*(('cost master'!$H:$H&gt;=B3226)+ISBLANK('cost master'!$H:$H))),1),0)"),0.0)</f>
        <v>0</v>
      </c>
      <c r="I3226" s="3">
        <f t="shared" si="4"/>
        <v>0</v>
      </c>
      <c r="J3226" s="27">
        <f t="shared" si="5"/>
        <v>693947</v>
      </c>
      <c r="K3226" s="27">
        <f t="shared" si="6"/>
        <v>693977</v>
      </c>
    </row>
    <row r="3227" hidden="1">
      <c r="A3227" s="3" t="str">
        <f t="shared" si="3"/>
        <v/>
      </c>
      <c r="B3227" s="2" t="str">
        <f t="array" ref="B3227">INDEX(helper!$A$3:$A3996,ROUNDUP((ROW()-1)/COUNTA(helper!$D$3:$D3996),0))</f>
        <v/>
      </c>
      <c r="C3227" s="5" t="str">
        <f t="array" ref="C3227">IF(B3227="","",INDEX(helper!$D$3:$D3996,MOD(ROW()-2,COUNTA(helper!$D$3:$D3996))+1))</f>
        <v/>
      </c>
      <c r="D3227" s="3" t="str">
        <f t="array" ref="D3227">IF(B3227="","",INDEX(helper!$E$3:$E3996,MOD(ROW()-2,COUNTA(helper!$D$3:$D3996))+1))</f>
        <v/>
      </c>
      <c r="E3227" s="3" t="str">
        <f t="array" ref="E3227">IF(B3227="","",INDEX(helper!$F$3:$F3996,MOD(ROW()-2,COUNTA(helper!$D$3:$D3996))+1))</f>
        <v/>
      </c>
      <c r="F3227" s="3" t="str">
        <f>IF(B3227="","",SUMIFS('inventory ledger'!$H:$H,'inventory ledger'!$C:$C,C3227,'inventory ledger'!$D:$D,D3227,'inventory ledger'!$E:$E,E3227,'inventory ledger'!$A:$A,"&lt;="&amp;B3227+TIME(23,59,59))-SUMIFS('inventory ledger'!$I:$I,'inventory ledger'!$C:$C,C3227,'inventory ledger'!$D:$D,D3227,'inventory ledger'!$E:$E,E3227,'inventory ledger'!$A:$A,"&lt;="&amp;B3227+TIME(23,59,59)))</f>
        <v/>
      </c>
      <c r="G3227" s="3">
        <f>IFERROR(__xludf.DUMMYFUNCTION("IF(F3227&lt;=0,0,IFERROR(ROUNDUP(F3227/INDEX(FILTER('warehouse config'!$D:$D,('warehouse config'!$B:$B=C3227)*('warehouse config'!$C:$C=D3227)*('warehouse config'!$G:$G&lt;=B3227)*(('warehouse config'!$H:$H&gt;=B3227)+ISBLANK('warehouse config'!$H:$H))),1)),0))"),0.0)</f>
        <v>0</v>
      </c>
      <c r="H3227" s="3">
        <f>IFERROR(__xludf.DUMMYFUNCTION("IFERROR(INDEX(FILTER('cost master'!$E:$E,('cost master'!$B:$B=C3227)*('cost master'!$D:$D=""Storage cost per pallet / week"")*('cost master'!$G:$G&lt;=B3227)*(('cost master'!$H:$H&gt;=B3227)+ISBLANK('cost master'!$H:$H))),1),0)"),0.0)</f>
        <v>0</v>
      </c>
      <c r="I3227" s="3">
        <f t="shared" si="4"/>
        <v>0</v>
      </c>
      <c r="J3227" s="27">
        <f t="shared" si="5"/>
        <v>693947</v>
      </c>
      <c r="K3227" s="27">
        <f t="shared" si="6"/>
        <v>693977</v>
      </c>
    </row>
    <row r="3228" hidden="1">
      <c r="A3228" s="3" t="str">
        <f t="shared" si="3"/>
        <v/>
      </c>
      <c r="B3228" s="2" t="str">
        <f t="array" ref="B3228">INDEX(helper!$A$3:$A3996,ROUNDUP((ROW()-1)/COUNTA(helper!$D$3:$D3996),0))</f>
        <v/>
      </c>
      <c r="C3228" s="5" t="str">
        <f t="array" ref="C3228">IF(B3228="","",INDEX(helper!$D$3:$D3996,MOD(ROW()-2,COUNTA(helper!$D$3:$D3996))+1))</f>
        <v/>
      </c>
      <c r="D3228" s="3" t="str">
        <f t="array" ref="D3228">IF(B3228="","",INDEX(helper!$E$3:$E3996,MOD(ROW()-2,COUNTA(helper!$D$3:$D3996))+1))</f>
        <v/>
      </c>
      <c r="E3228" s="3" t="str">
        <f t="array" ref="E3228">IF(B3228="","",INDEX(helper!$F$3:$F3996,MOD(ROW()-2,COUNTA(helper!$D$3:$D3996))+1))</f>
        <v/>
      </c>
      <c r="F3228" s="3" t="str">
        <f>IF(B3228="","",SUMIFS('inventory ledger'!$H:$H,'inventory ledger'!$C:$C,C3228,'inventory ledger'!$D:$D,D3228,'inventory ledger'!$E:$E,E3228,'inventory ledger'!$A:$A,"&lt;="&amp;B3228+TIME(23,59,59))-SUMIFS('inventory ledger'!$I:$I,'inventory ledger'!$C:$C,C3228,'inventory ledger'!$D:$D,D3228,'inventory ledger'!$E:$E,E3228,'inventory ledger'!$A:$A,"&lt;="&amp;B3228+TIME(23,59,59)))</f>
        <v/>
      </c>
      <c r="G3228" s="3">
        <f>IFERROR(__xludf.DUMMYFUNCTION("IF(F3228&lt;=0,0,IFERROR(ROUNDUP(F3228/INDEX(FILTER('warehouse config'!$D:$D,('warehouse config'!$B:$B=C3228)*('warehouse config'!$C:$C=D3228)*('warehouse config'!$G:$G&lt;=B3228)*(('warehouse config'!$H:$H&gt;=B3228)+ISBLANK('warehouse config'!$H:$H))),1)),0))"),0.0)</f>
        <v>0</v>
      </c>
      <c r="H3228" s="3">
        <f>IFERROR(__xludf.DUMMYFUNCTION("IFERROR(INDEX(FILTER('cost master'!$E:$E,('cost master'!$B:$B=C3228)*('cost master'!$D:$D=""Storage cost per pallet / week"")*('cost master'!$G:$G&lt;=B3228)*(('cost master'!$H:$H&gt;=B3228)+ISBLANK('cost master'!$H:$H))),1),0)"),0.0)</f>
        <v>0</v>
      </c>
      <c r="I3228" s="3">
        <f t="shared" si="4"/>
        <v>0</v>
      </c>
      <c r="J3228" s="27">
        <f t="shared" si="5"/>
        <v>693947</v>
      </c>
      <c r="K3228" s="27">
        <f t="shared" si="6"/>
        <v>693977</v>
      </c>
    </row>
    <row r="3229" hidden="1">
      <c r="A3229" s="3" t="str">
        <f t="shared" si="3"/>
        <v/>
      </c>
      <c r="B3229" s="2" t="str">
        <f t="array" ref="B3229">INDEX(helper!$A$3:$A3996,ROUNDUP((ROW()-1)/COUNTA(helper!$D$3:$D3996),0))</f>
        <v/>
      </c>
      <c r="C3229" s="5" t="str">
        <f t="array" ref="C3229">IF(B3229="","",INDEX(helper!$D$3:$D3996,MOD(ROW()-2,COUNTA(helper!$D$3:$D3996))+1))</f>
        <v/>
      </c>
      <c r="D3229" s="3" t="str">
        <f t="array" ref="D3229">IF(B3229="","",INDEX(helper!$E$3:$E3996,MOD(ROW()-2,COUNTA(helper!$D$3:$D3996))+1))</f>
        <v/>
      </c>
      <c r="E3229" s="3" t="str">
        <f t="array" ref="E3229">IF(B3229="","",INDEX(helper!$F$3:$F3996,MOD(ROW()-2,COUNTA(helper!$D$3:$D3996))+1))</f>
        <v/>
      </c>
      <c r="F3229" s="3" t="str">
        <f>IF(B3229="","",SUMIFS('inventory ledger'!$H:$H,'inventory ledger'!$C:$C,C3229,'inventory ledger'!$D:$D,D3229,'inventory ledger'!$E:$E,E3229,'inventory ledger'!$A:$A,"&lt;="&amp;B3229+TIME(23,59,59))-SUMIFS('inventory ledger'!$I:$I,'inventory ledger'!$C:$C,C3229,'inventory ledger'!$D:$D,D3229,'inventory ledger'!$E:$E,E3229,'inventory ledger'!$A:$A,"&lt;="&amp;B3229+TIME(23,59,59)))</f>
        <v/>
      </c>
      <c r="G3229" s="3">
        <f>IFERROR(__xludf.DUMMYFUNCTION("IF(F3229&lt;=0,0,IFERROR(ROUNDUP(F3229/INDEX(FILTER('warehouse config'!$D:$D,('warehouse config'!$B:$B=C3229)*('warehouse config'!$C:$C=D3229)*('warehouse config'!$G:$G&lt;=B3229)*(('warehouse config'!$H:$H&gt;=B3229)+ISBLANK('warehouse config'!$H:$H))),1)),0))"),0.0)</f>
        <v>0</v>
      </c>
      <c r="H3229" s="3">
        <f>IFERROR(__xludf.DUMMYFUNCTION("IFERROR(INDEX(FILTER('cost master'!$E:$E,('cost master'!$B:$B=C3229)*('cost master'!$D:$D=""Storage cost per pallet / week"")*('cost master'!$G:$G&lt;=B3229)*(('cost master'!$H:$H&gt;=B3229)+ISBLANK('cost master'!$H:$H))),1),0)"),0.0)</f>
        <v>0</v>
      </c>
      <c r="I3229" s="3">
        <f t="shared" si="4"/>
        <v>0</v>
      </c>
      <c r="J3229" s="27">
        <f t="shared" si="5"/>
        <v>693947</v>
      </c>
      <c r="K3229" s="27">
        <f t="shared" si="6"/>
        <v>693977</v>
      </c>
    </row>
    <row r="3230" hidden="1">
      <c r="A3230" s="3" t="str">
        <f t="shared" si="3"/>
        <v/>
      </c>
      <c r="B3230" s="2" t="str">
        <f t="array" ref="B3230">INDEX(helper!$A$3:$A3996,ROUNDUP((ROW()-1)/COUNTA(helper!$D$3:$D3996),0))</f>
        <v/>
      </c>
      <c r="C3230" s="5" t="str">
        <f t="array" ref="C3230">IF(B3230="","",INDEX(helper!$D$3:$D3996,MOD(ROW()-2,COUNTA(helper!$D$3:$D3996))+1))</f>
        <v/>
      </c>
      <c r="D3230" s="3" t="str">
        <f t="array" ref="D3230">IF(B3230="","",INDEX(helper!$E$3:$E3996,MOD(ROW()-2,COUNTA(helper!$D$3:$D3996))+1))</f>
        <v/>
      </c>
      <c r="E3230" s="3" t="str">
        <f t="array" ref="E3230">IF(B3230="","",INDEX(helper!$F$3:$F3996,MOD(ROW()-2,COUNTA(helper!$D$3:$D3996))+1))</f>
        <v/>
      </c>
      <c r="F3230" s="3" t="str">
        <f>IF(B3230="","",SUMIFS('inventory ledger'!$H:$H,'inventory ledger'!$C:$C,C3230,'inventory ledger'!$D:$D,D3230,'inventory ledger'!$E:$E,E3230,'inventory ledger'!$A:$A,"&lt;="&amp;B3230+TIME(23,59,59))-SUMIFS('inventory ledger'!$I:$I,'inventory ledger'!$C:$C,C3230,'inventory ledger'!$D:$D,D3230,'inventory ledger'!$E:$E,E3230,'inventory ledger'!$A:$A,"&lt;="&amp;B3230+TIME(23,59,59)))</f>
        <v/>
      </c>
      <c r="G3230" s="3">
        <f>IFERROR(__xludf.DUMMYFUNCTION("IF(F3230&lt;=0,0,IFERROR(ROUNDUP(F3230/INDEX(FILTER('warehouse config'!$D:$D,('warehouse config'!$B:$B=C3230)*('warehouse config'!$C:$C=D3230)*('warehouse config'!$G:$G&lt;=B3230)*(('warehouse config'!$H:$H&gt;=B3230)+ISBLANK('warehouse config'!$H:$H))),1)),0))"),0.0)</f>
        <v>0</v>
      </c>
      <c r="H3230" s="3">
        <f>IFERROR(__xludf.DUMMYFUNCTION("IFERROR(INDEX(FILTER('cost master'!$E:$E,('cost master'!$B:$B=C3230)*('cost master'!$D:$D=""Storage cost per pallet / week"")*('cost master'!$G:$G&lt;=B3230)*(('cost master'!$H:$H&gt;=B3230)+ISBLANK('cost master'!$H:$H))),1),0)"),0.0)</f>
        <v>0</v>
      </c>
      <c r="I3230" s="3">
        <f t="shared" si="4"/>
        <v>0</v>
      </c>
      <c r="J3230" s="27">
        <f t="shared" si="5"/>
        <v>693947</v>
      </c>
      <c r="K3230" s="27">
        <f t="shared" si="6"/>
        <v>693977</v>
      </c>
    </row>
    <row r="3231" hidden="1">
      <c r="A3231" s="3" t="str">
        <f t="shared" si="3"/>
        <v/>
      </c>
      <c r="B3231" s="2" t="str">
        <f t="array" ref="B3231">INDEX(helper!$A$3:$A3996,ROUNDUP((ROW()-1)/COUNTA(helper!$D$3:$D3996),0))</f>
        <v/>
      </c>
      <c r="C3231" s="5" t="str">
        <f t="array" ref="C3231">IF(B3231="","",INDEX(helper!$D$3:$D3996,MOD(ROW()-2,COUNTA(helper!$D$3:$D3996))+1))</f>
        <v/>
      </c>
      <c r="D3231" s="3" t="str">
        <f t="array" ref="D3231">IF(B3231="","",INDEX(helper!$E$3:$E3996,MOD(ROW()-2,COUNTA(helper!$D$3:$D3996))+1))</f>
        <v/>
      </c>
      <c r="E3231" s="3" t="str">
        <f t="array" ref="E3231">IF(B3231="","",INDEX(helper!$F$3:$F3996,MOD(ROW()-2,COUNTA(helper!$D$3:$D3996))+1))</f>
        <v/>
      </c>
      <c r="F3231" s="3" t="str">
        <f>IF(B3231="","",SUMIFS('inventory ledger'!$H:$H,'inventory ledger'!$C:$C,C3231,'inventory ledger'!$D:$D,D3231,'inventory ledger'!$E:$E,E3231,'inventory ledger'!$A:$A,"&lt;="&amp;B3231+TIME(23,59,59))-SUMIFS('inventory ledger'!$I:$I,'inventory ledger'!$C:$C,C3231,'inventory ledger'!$D:$D,D3231,'inventory ledger'!$E:$E,E3231,'inventory ledger'!$A:$A,"&lt;="&amp;B3231+TIME(23,59,59)))</f>
        <v/>
      </c>
      <c r="G3231" s="3">
        <f>IFERROR(__xludf.DUMMYFUNCTION("IF(F3231&lt;=0,0,IFERROR(ROUNDUP(F3231/INDEX(FILTER('warehouse config'!$D:$D,('warehouse config'!$B:$B=C3231)*('warehouse config'!$C:$C=D3231)*('warehouse config'!$G:$G&lt;=B3231)*(('warehouse config'!$H:$H&gt;=B3231)+ISBLANK('warehouse config'!$H:$H))),1)),0))"),0.0)</f>
        <v>0</v>
      </c>
      <c r="H3231" s="3">
        <f>IFERROR(__xludf.DUMMYFUNCTION("IFERROR(INDEX(FILTER('cost master'!$E:$E,('cost master'!$B:$B=C3231)*('cost master'!$D:$D=""Storage cost per pallet / week"")*('cost master'!$G:$G&lt;=B3231)*(('cost master'!$H:$H&gt;=B3231)+ISBLANK('cost master'!$H:$H))),1),0)"),0.0)</f>
        <v>0</v>
      </c>
      <c r="I3231" s="3">
        <f t="shared" si="4"/>
        <v>0</v>
      </c>
      <c r="J3231" s="27">
        <f t="shared" si="5"/>
        <v>693947</v>
      </c>
      <c r="K3231" s="27">
        <f t="shared" si="6"/>
        <v>693977</v>
      </c>
    </row>
    <row r="3232" hidden="1">
      <c r="A3232" s="3" t="str">
        <f t="shared" si="3"/>
        <v/>
      </c>
      <c r="B3232" s="2" t="str">
        <f t="array" ref="B3232">INDEX(helper!$A$3:$A3996,ROUNDUP((ROW()-1)/COUNTA(helper!$D$3:$D3996),0))</f>
        <v/>
      </c>
      <c r="C3232" s="5" t="str">
        <f t="array" ref="C3232">IF(B3232="","",INDEX(helper!$D$3:$D3996,MOD(ROW()-2,COUNTA(helper!$D$3:$D3996))+1))</f>
        <v/>
      </c>
      <c r="D3232" s="3" t="str">
        <f t="array" ref="D3232">IF(B3232="","",INDEX(helper!$E$3:$E3996,MOD(ROW()-2,COUNTA(helper!$D$3:$D3996))+1))</f>
        <v/>
      </c>
      <c r="E3232" s="3" t="str">
        <f t="array" ref="E3232">IF(B3232="","",INDEX(helper!$F$3:$F3996,MOD(ROW()-2,COUNTA(helper!$D$3:$D3996))+1))</f>
        <v/>
      </c>
      <c r="F3232" s="3" t="str">
        <f>IF(B3232="","",SUMIFS('inventory ledger'!$H:$H,'inventory ledger'!$C:$C,C3232,'inventory ledger'!$D:$D,D3232,'inventory ledger'!$E:$E,E3232,'inventory ledger'!$A:$A,"&lt;="&amp;B3232+TIME(23,59,59))-SUMIFS('inventory ledger'!$I:$I,'inventory ledger'!$C:$C,C3232,'inventory ledger'!$D:$D,D3232,'inventory ledger'!$E:$E,E3232,'inventory ledger'!$A:$A,"&lt;="&amp;B3232+TIME(23,59,59)))</f>
        <v/>
      </c>
      <c r="G3232" s="3">
        <f>IFERROR(__xludf.DUMMYFUNCTION("IF(F3232&lt;=0,0,IFERROR(ROUNDUP(F3232/INDEX(FILTER('warehouse config'!$D:$D,('warehouse config'!$B:$B=C3232)*('warehouse config'!$C:$C=D3232)*('warehouse config'!$G:$G&lt;=B3232)*(('warehouse config'!$H:$H&gt;=B3232)+ISBLANK('warehouse config'!$H:$H))),1)),0))"),0.0)</f>
        <v>0</v>
      </c>
      <c r="H3232" s="3">
        <f>IFERROR(__xludf.DUMMYFUNCTION("IFERROR(INDEX(FILTER('cost master'!$E:$E,('cost master'!$B:$B=C3232)*('cost master'!$D:$D=""Storage cost per pallet / week"")*('cost master'!$G:$G&lt;=B3232)*(('cost master'!$H:$H&gt;=B3232)+ISBLANK('cost master'!$H:$H))),1),0)"),0.0)</f>
        <v>0</v>
      </c>
      <c r="I3232" s="3">
        <f t="shared" si="4"/>
        <v>0</v>
      </c>
      <c r="J3232" s="27">
        <f t="shared" si="5"/>
        <v>693947</v>
      </c>
      <c r="K3232" s="27">
        <f t="shared" si="6"/>
        <v>693977</v>
      </c>
    </row>
    <row r="3233" hidden="1">
      <c r="A3233" s="3" t="str">
        <f t="shared" si="3"/>
        <v/>
      </c>
      <c r="B3233" s="2" t="str">
        <f t="array" ref="B3233">INDEX(helper!$A$3:$A3996,ROUNDUP((ROW()-1)/COUNTA(helper!$D$3:$D3996),0))</f>
        <v/>
      </c>
      <c r="C3233" s="5" t="str">
        <f t="array" ref="C3233">IF(B3233="","",INDEX(helper!$D$3:$D3996,MOD(ROW()-2,COUNTA(helper!$D$3:$D3996))+1))</f>
        <v/>
      </c>
      <c r="D3233" s="3" t="str">
        <f t="array" ref="D3233">IF(B3233="","",INDEX(helper!$E$3:$E3996,MOD(ROW()-2,COUNTA(helper!$D$3:$D3996))+1))</f>
        <v/>
      </c>
      <c r="E3233" s="3" t="str">
        <f t="array" ref="E3233">IF(B3233="","",INDEX(helper!$F$3:$F3996,MOD(ROW()-2,COUNTA(helper!$D$3:$D3996))+1))</f>
        <v/>
      </c>
      <c r="F3233" s="3" t="str">
        <f>IF(B3233="","",SUMIFS('inventory ledger'!$H:$H,'inventory ledger'!$C:$C,C3233,'inventory ledger'!$D:$D,D3233,'inventory ledger'!$E:$E,E3233,'inventory ledger'!$A:$A,"&lt;="&amp;B3233+TIME(23,59,59))-SUMIFS('inventory ledger'!$I:$I,'inventory ledger'!$C:$C,C3233,'inventory ledger'!$D:$D,D3233,'inventory ledger'!$E:$E,E3233,'inventory ledger'!$A:$A,"&lt;="&amp;B3233+TIME(23,59,59)))</f>
        <v/>
      </c>
      <c r="G3233" s="3">
        <f>IFERROR(__xludf.DUMMYFUNCTION("IF(F3233&lt;=0,0,IFERROR(ROUNDUP(F3233/INDEX(FILTER('warehouse config'!$D:$D,('warehouse config'!$B:$B=C3233)*('warehouse config'!$C:$C=D3233)*('warehouse config'!$G:$G&lt;=B3233)*(('warehouse config'!$H:$H&gt;=B3233)+ISBLANK('warehouse config'!$H:$H))),1)),0))"),0.0)</f>
        <v>0</v>
      </c>
      <c r="H3233" s="3">
        <f>IFERROR(__xludf.DUMMYFUNCTION("IFERROR(INDEX(FILTER('cost master'!$E:$E,('cost master'!$B:$B=C3233)*('cost master'!$D:$D=""Storage cost per pallet / week"")*('cost master'!$G:$G&lt;=B3233)*(('cost master'!$H:$H&gt;=B3233)+ISBLANK('cost master'!$H:$H))),1),0)"),0.0)</f>
        <v>0</v>
      </c>
      <c r="I3233" s="3">
        <f t="shared" si="4"/>
        <v>0</v>
      </c>
      <c r="J3233" s="27">
        <f t="shared" si="5"/>
        <v>693947</v>
      </c>
      <c r="K3233" s="27">
        <f t="shared" si="6"/>
        <v>693977</v>
      </c>
    </row>
    <row r="3234" hidden="1">
      <c r="A3234" s="3" t="str">
        <f t="shared" si="3"/>
        <v/>
      </c>
      <c r="B3234" s="2" t="str">
        <f t="array" ref="B3234">INDEX(helper!$A$3:$A3996,ROUNDUP((ROW()-1)/COUNTA(helper!$D$3:$D3996),0))</f>
        <v/>
      </c>
      <c r="C3234" s="5" t="str">
        <f t="array" ref="C3234">IF(B3234="","",INDEX(helper!$D$3:$D3996,MOD(ROW()-2,COUNTA(helper!$D$3:$D3996))+1))</f>
        <v/>
      </c>
      <c r="D3234" s="3" t="str">
        <f t="array" ref="D3234">IF(B3234="","",INDEX(helper!$E$3:$E3996,MOD(ROW()-2,COUNTA(helper!$D$3:$D3996))+1))</f>
        <v/>
      </c>
      <c r="E3234" s="3" t="str">
        <f t="array" ref="E3234">IF(B3234="","",INDEX(helper!$F$3:$F3996,MOD(ROW()-2,COUNTA(helper!$D$3:$D3996))+1))</f>
        <v/>
      </c>
      <c r="F3234" s="3" t="str">
        <f>IF(B3234="","",SUMIFS('inventory ledger'!$H:$H,'inventory ledger'!$C:$C,C3234,'inventory ledger'!$D:$D,D3234,'inventory ledger'!$E:$E,E3234,'inventory ledger'!$A:$A,"&lt;="&amp;B3234+TIME(23,59,59))-SUMIFS('inventory ledger'!$I:$I,'inventory ledger'!$C:$C,C3234,'inventory ledger'!$D:$D,D3234,'inventory ledger'!$E:$E,E3234,'inventory ledger'!$A:$A,"&lt;="&amp;B3234+TIME(23,59,59)))</f>
        <v/>
      </c>
      <c r="G3234" s="3">
        <f>IFERROR(__xludf.DUMMYFUNCTION("IF(F3234&lt;=0,0,IFERROR(ROUNDUP(F3234/INDEX(FILTER('warehouse config'!$D:$D,('warehouse config'!$B:$B=C3234)*('warehouse config'!$C:$C=D3234)*('warehouse config'!$G:$G&lt;=B3234)*(('warehouse config'!$H:$H&gt;=B3234)+ISBLANK('warehouse config'!$H:$H))),1)),0))"),0.0)</f>
        <v>0</v>
      </c>
      <c r="H3234" s="3">
        <f>IFERROR(__xludf.DUMMYFUNCTION("IFERROR(INDEX(FILTER('cost master'!$E:$E,('cost master'!$B:$B=C3234)*('cost master'!$D:$D=""Storage cost per pallet / week"")*('cost master'!$G:$G&lt;=B3234)*(('cost master'!$H:$H&gt;=B3234)+ISBLANK('cost master'!$H:$H))),1),0)"),0.0)</f>
        <v>0</v>
      </c>
      <c r="I3234" s="3">
        <f t="shared" si="4"/>
        <v>0</v>
      </c>
      <c r="J3234" s="27">
        <f t="shared" si="5"/>
        <v>693947</v>
      </c>
      <c r="K3234" s="27">
        <f t="shared" si="6"/>
        <v>693977</v>
      </c>
    </row>
    <row r="3235" hidden="1">
      <c r="A3235" s="3" t="str">
        <f t="shared" si="3"/>
        <v/>
      </c>
      <c r="B3235" s="2" t="str">
        <f t="array" ref="B3235">INDEX(helper!$A$3:$A3996,ROUNDUP((ROW()-1)/COUNTA(helper!$D$3:$D3996),0))</f>
        <v/>
      </c>
      <c r="C3235" s="5" t="str">
        <f t="array" ref="C3235">IF(B3235="","",INDEX(helper!$D$3:$D3996,MOD(ROW()-2,COUNTA(helper!$D$3:$D3996))+1))</f>
        <v/>
      </c>
      <c r="D3235" s="3" t="str">
        <f t="array" ref="D3235">IF(B3235="","",INDEX(helper!$E$3:$E3996,MOD(ROW()-2,COUNTA(helper!$D$3:$D3996))+1))</f>
        <v/>
      </c>
      <c r="E3235" s="3" t="str">
        <f t="array" ref="E3235">IF(B3235="","",INDEX(helper!$F$3:$F3996,MOD(ROW()-2,COUNTA(helper!$D$3:$D3996))+1))</f>
        <v/>
      </c>
      <c r="F3235" s="3" t="str">
        <f>IF(B3235="","",SUMIFS('inventory ledger'!$H:$H,'inventory ledger'!$C:$C,C3235,'inventory ledger'!$D:$D,D3235,'inventory ledger'!$E:$E,E3235,'inventory ledger'!$A:$A,"&lt;="&amp;B3235+TIME(23,59,59))-SUMIFS('inventory ledger'!$I:$I,'inventory ledger'!$C:$C,C3235,'inventory ledger'!$D:$D,D3235,'inventory ledger'!$E:$E,E3235,'inventory ledger'!$A:$A,"&lt;="&amp;B3235+TIME(23,59,59)))</f>
        <v/>
      </c>
      <c r="G3235" s="3">
        <f>IFERROR(__xludf.DUMMYFUNCTION("IF(F3235&lt;=0,0,IFERROR(ROUNDUP(F3235/INDEX(FILTER('warehouse config'!$D:$D,('warehouse config'!$B:$B=C3235)*('warehouse config'!$C:$C=D3235)*('warehouse config'!$G:$G&lt;=B3235)*(('warehouse config'!$H:$H&gt;=B3235)+ISBLANK('warehouse config'!$H:$H))),1)),0))"),0.0)</f>
        <v>0</v>
      </c>
      <c r="H3235" s="3">
        <f>IFERROR(__xludf.DUMMYFUNCTION("IFERROR(INDEX(FILTER('cost master'!$E:$E,('cost master'!$B:$B=C3235)*('cost master'!$D:$D=""Storage cost per pallet / week"")*('cost master'!$G:$G&lt;=B3235)*(('cost master'!$H:$H&gt;=B3235)+ISBLANK('cost master'!$H:$H))),1),0)"),0.0)</f>
        <v>0</v>
      </c>
      <c r="I3235" s="3">
        <f t="shared" si="4"/>
        <v>0</v>
      </c>
      <c r="J3235" s="27">
        <f t="shared" si="5"/>
        <v>693947</v>
      </c>
      <c r="K3235" s="27">
        <f t="shared" si="6"/>
        <v>693977</v>
      </c>
    </row>
    <row r="3236" hidden="1">
      <c r="A3236" s="3" t="str">
        <f t="shared" si="3"/>
        <v/>
      </c>
      <c r="B3236" s="2" t="str">
        <f t="array" ref="B3236">INDEX(helper!$A$3:$A3996,ROUNDUP((ROW()-1)/COUNTA(helper!$D$3:$D3996),0))</f>
        <v/>
      </c>
      <c r="C3236" s="5" t="str">
        <f t="array" ref="C3236">IF(B3236="","",INDEX(helper!$D$3:$D3996,MOD(ROW()-2,COUNTA(helper!$D$3:$D3996))+1))</f>
        <v/>
      </c>
      <c r="D3236" s="3" t="str">
        <f t="array" ref="D3236">IF(B3236="","",INDEX(helper!$E$3:$E3996,MOD(ROW()-2,COUNTA(helper!$D$3:$D3996))+1))</f>
        <v/>
      </c>
      <c r="E3236" s="3" t="str">
        <f t="array" ref="E3236">IF(B3236="","",INDEX(helper!$F$3:$F3996,MOD(ROW()-2,COUNTA(helper!$D$3:$D3996))+1))</f>
        <v/>
      </c>
      <c r="F3236" s="3" t="str">
        <f>IF(B3236="","",SUMIFS('inventory ledger'!$H:$H,'inventory ledger'!$C:$C,C3236,'inventory ledger'!$D:$D,D3236,'inventory ledger'!$E:$E,E3236,'inventory ledger'!$A:$A,"&lt;="&amp;B3236+TIME(23,59,59))-SUMIFS('inventory ledger'!$I:$I,'inventory ledger'!$C:$C,C3236,'inventory ledger'!$D:$D,D3236,'inventory ledger'!$E:$E,E3236,'inventory ledger'!$A:$A,"&lt;="&amp;B3236+TIME(23,59,59)))</f>
        <v/>
      </c>
      <c r="G3236" s="3">
        <f>IFERROR(__xludf.DUMMYFUNCTION("IF(F3236&lt;=0,0,IFERROR(ROUNDUP(F3236/INDEX(FILTER('warehouse config'!$D:$D,('warehouse config'!$B:$B=C3236)*('warehouse config'!$C:$C=D3236)*('warehouse config'!$G:$G&lt;=B3236)*(('warehouse config'!$H:$H&gt;=B3236)+ISBLANK('warehouse config'!$H:$H))),1)),0))"),0.0)</f>
        <v>0</v>
      </c>
      <c r="H3236" s="3">
        <f>IFERROR(__xludf.DUMMYFUNCTION("IFERROR(INDEX(FILTER('cost master'!$E:$E,('cost master'!$B:$B=C3236)*('cost master'!$D:$D=""Storage cost per pallet / week"")*('cost master'!$G:$G&lt;=B3236)*(('cost master'!$H:$H&gt;=B3236)+ISBLANK('cost master'!$H:$H))),1),0)"),0.0)</f>
        <v>0</v>
      </c>
      <c r="I3236" s="3">
        <f t="shared" si="4"/>
        <v>0</v>
      </c>
      <c r="J3236" s="27">
        <f t="shared" si="5"/>
        <v>693947</v>
      </c>
      <c r="K3236" s="27">
        <f t="shared" si="6"/>
        <v>693977</v>
      </c>
    </row>
    <row r="3237" hidden="1">
      <c r="A3237" s="3" t="str">
        <f t="shared" si="3"/>
        <v/>
      </c>
      <c r="B3237" s="2" t="str">
        <f t="array" ref="B3237">INDEX(helper!$A$3:$A3996,ROUNDUP((ROW()-1)/COUNTA(helper!$D$3:$D3996),0))</f>
        <v/>
      </c>
      <c r="C3237" s="5" t="str">
        <f t="array" ref="C3237">IF(B3237="","",INDEX(helper!$D$3:$D3996,MOD(ROW()-2,COUNTA(helper!$D$3:$D3996))+1))</f>
        <v/>
      </c>
      <c r="D3237" s="3" t="str">
        <f t="array" ref="D3237">IF(B3237="","",INDEX(helper!$E$3:$E3996,MOD(ROW()-2,COUNTA(helper!$D$3:$D3996))+1))</f>
        <v/>
      </c>
      <c r="E3237" s="3" t="str">
        <f t="array" ref="E3237">IF(B3237="","",INDEX(helper!$F$3:$F3996,MOD(ROW()-2,COUNTA(helper!$D$3:$D3996))+1))</f>
        <v/>
      </c>
      <c r="F3237" s="3" t="str">
        <f>IF(B3237="","",SUMIFS('inventory ledger'!$H:$H,'inventory ledger'!$C:$C,C3237,'inventory ledger'!$D:$D,D3237,'inventory ledger'!$E:$E,E3237,'inventory ledger'!$A:$A,"&lt;="&amp;B3237+TIME(23,59,59))-SUMIFS('inventory ledger'!$I:$I,'inventory ledger'!$C:$C,C3237,'inventory ledger'!$D:$D,D3237,'inventory ledger'!$E:$E,E3237,'inventory ledger'!$A:$A,"&lt;="&amp;B3237+TIME(23,59,59)))</f>
        <v/>
      </c>
      <c r="G3237" s="3">
        <f>IFERROR(__xludf.DUMMYFUNCTION("IF(F3237&lt;=0,0,IFERROR(ROUNDUP(F3237/INDEX(FILTER('warehouse config'!$D:$D,('warehouse config'!$B:$B=C3237)*('warehouse config'!$C:$C=D3237)*('warehouse config'!$G:$G&lt;=B3237)*(('warehouse config'!$H:$H&gt;=B3237)+ISBLANK('warehouse config'!$H:$H))),1)),0))"),0.0)</f>
        <v>0</v>
      </c>
      <c r="H3237" s="3">
        <f>IFERROR(__xludf.DUMMYFUNCTION("IFERROR(INDEX(FILTER('cost master'!$E:$E,('cost master'!$B:$B=C3237)*('cost master'!$D:$D=""Storage cost per pallet / week"")*('cost master'!$G:$G&lt;=B3237)*(('cost master'!$H:$H&gt;=B3237)+ISBLANK('cost master'!$H:$H))),1),0)"),0.0)</f>
        <v>0</v>
      </c>
      <c r="I3237" s="3">
        <f t="shared" si="4"/>
        <v>0</v>
      </c>
      <c r="J3237" s="27">
        <f t="shared" si="5"/>
        <v>693947</v>
      </c>
      <c r="K3237" s="27">
        <f t="shared" si="6"/>
        <v>693977</v>
      </c>
    </row>
    <row r="3238" hidden="1">
      <c r="A3238" s="3" t="str">
        <f t="shared" si="3"/>
        <v/>
      </c>
      <c r="B3238" s="2" t="str">
        <f t="array" ref="B3238">INDEX(helper!$A$3:$A3996,ROUNDUP((ROW()-1)/COUNTA(helper!$D$3:$D3996),0))</f>
        <v/>
      </c>
      <c r="C3238" s="5" t="str">
        <f t="array" ref="C3238">IF(B3238="","",INDEX(helper!$D$3:$D3996,MOD(ROW()-2,COUNTA(helper!$D$3:$D3996))+1))</f>
        <v/>
      </c>
      <c r="D3238" s="3" t="str">
        <f t="array" ref="D3238">IF(B3238="","",INDEX(helper!$E$3:$E3996,MOD(ROW()-2,COUNTA(helper!$D$3:$D3996))+1))</f>
        <v/>
      </c>
      <c r="E3238" s="3" t="str">
        <f t="array" ref="E3238">IF(B3238="","",INDEX(helper!$F$3:$F3996,MOD(ROW()-2,COUNTA(helper!$D$3:$D3996))+1))</f>
        <v/>
      </c>
      <c r="F3238" s="3" t="str">
        <f>IF(B3238="","",SUMIFS('inventory ledger'!$H:$H,'inventory ledger'!$C:$C,C3238,'inventory ledger'!$D:$D,D3238,'inventory ledger'!$E:$E,E3238,'inventory ledger'!$A:$A,"&lt;="&amp;B3238+TIME(23,59,59))-SUMIFS('inventory ledger'!$I:$I,'inventory ledger'!$C:$C,C3238,'inventory ledger'!$D:$D,D3238,'inventory ledger'!$E:$E,E3238,'inventory ledger'!$A:$A,"&lt;="&amp;B3238+TIME(23,59,59)))</f>
        <v/>
      </c>
      <c r="G3238" s="3">
        <f>IFERROR(__xludf.DUMMYFUNCTION("IF(F3238&lt;=0,0,IFERROR(ROUNDUP(F3238/INDEX(FILTER('warehouse config'!$D:$D,('warehouse config'!$B:$B=C3238)*('warehouse config'!$C:$C=D3238)*('warehouse config'!$G:$G&lt;=B3238)*(('warehouse config'!$H:$H&gt;=B3238)+ISBLANK('warehouse config'!$H:$H))),1)),0))"),0.0)</f>
        <v>0</v>
      </c>
      <c r="H3238" s="3">
        <f>IFERROR(__xludf.DUMMYFUNCTION("IFERROR(INDEX(FILTER('cost master'!$E:$E,('cost master'!$B:$B=C3238)*('cost master'!$D:$D=""Storage cost per pallet / week"")*('cost master'!$G:$G&lt;=B3238)*(('cost master'!$H:$H&gt;=B3238)+ISBLANK('cost master'!$H:$H))),1),0)"),0.0)</f>
        <v>0</v>
      </c>
      <c r="I3238" s="3">
        <f t="shared" si="4"/>
        <v>0</v>
      </c>
      <c r="J3238" s="27">
        <f t="shared" si="5"/>
        <v>693947</v>
      </c>
      <c r="K3238" s="27">
        <f t="shared" si="6"/>
        <v>693977</v>
      </c>
    </row>
    <row r="3239" hidden="1">
      <c r="A3239" s="3" t="str">
        <f t="shared" si="3"/>
        <v/>
      </c>
      <c r="B3239" s="2" t="str">
        <f t="array" ref="B3239">INDEX(helper!$A$3:$A3996,ROUNDUP((ROW()-1)/COUNTA(helper!$D$3:$D3996),0))</f>
        <v/>
      </c>
      <c r="C3239" s="5" t="str">
        <f t="array" ref="C3239">IF(B3239="","",INDEX(helper!$D$3:$D3996,MOD(ROW()-2,COUNTA(helper!$D$3:$D3996))+1))</f>
        <v/>
      </c>
      <c r="D3239" s="3" t="str">
        <f t="array" ref="D3239">IF(B3239="","",INDEX(helper!$E$3:$E3996,MOD(ROW()-2,COUNTA(helper!$D$3:$D3996))+1))</f>
        <v/>
      </c>
      <c r="E3239" s="3" t="str">
        <f t="array" ref="E3239">IF(B3239="","",INDEX(helper!$F$3:$F3996,MOD(ROW()-2,COUNTA(helper!$D$3:$D3996))+1))</f>
        <v/>
      </c>
      <c r="F3239" s="3" t="str">
        <f>IF(B3239="","",SUMIFS('inventory ledger'!$H:$H,'inventory ledger'!$C:$C,C3239,'inventory ledger'!$D:$D,D3239,'inventory ledger'!$E:$E,E3239,'inventory ledger'!$A:$A,"&lt;="&amp;B3239+TIME(23,59,59))-SUMIFS('inventory ledger'!$I:$I,'inventory ledger'!$C:$C,C3239,'inventory ledger'!$D:$D,D3239,'inventory ledger'!$E:$E,E3239,'inventory ledger'!$A:$A,"&lt;="&amp;B3239+TIME(23,59,59)))</f>
        <v/>
      </c>
      <c r="G3239" s="3">
        <f>IFERROR(__xludf.DUMMYFUNCTION("IF(F3239&lt;=0,0,IFERROR(ROUNDUP(F3239/INDEX(FILTER('warehouse config'!$D:$D,('warehouse config'!$B:$B=C3239)*('warehouse config'!$C:$C=D3239)*('warehouse config'!$G:$G&lt;=B3239)*(('warehouse config'!$H:$H&gt;=B3239)+ISBLANK('warehouse config'!$H:$H))),1)),0))"),0.0)</f>
        <v>0</v>
      </c>
      <c r="H3239" s="3">
        <f>IFERROR(__xludf.DUMMYFUNCTION("IFERROR(INDEX(FILTER('cost master'!$E:$E,('cost master'!$B:$B=C3239)*('cost master'!$D:$D=""Storage cost per pallet / week"")*('cost master'!$G:$G&lt;=B3239)*(('cost master'!$H:$H&gt;=B3239)+ISBLANK('cost master'!$H:$H))),1),0)"),0.0)</f>
        <v>0</v>
      </c>
      <c r="I3239" s="3">
        <f t="shared" si="4"/>
        <v>0</v>
      </c>
      <c r="J3239" s="27">
        <f t="shared" si="5"/>
        <v>693947</v>
      </c>
      <c r="K3239" s="27">
        <f t="shared" si="6"/>
        <v>693977</v>
      </c>
    </row>
    <row r="3240" hidden="1">
      <c r="A3240" s="3" t="str">
        <f t="shared" si="3"/>
        <v/>
      </c>
      <c r="B3240" s="2" t="str">
        <f t="array" ref="B3240">INDEX(helper!$A$3:$A3996,ROUNDUP((ROW()-1)/COUNTA(helper!$D$3:$D3996),0))</f>
        <v/>
      </c>
      <c r="C3240" s="5" t="str">
        <f t="array" ref="C3240">IF(B3240="","",INDEX(helper!$D$3:$D3996,MOD(ROW()-2,COUNTA(helper!$D$3:$D3996))+1))</f>
        <v/>
      </c>
      <c r="D3240" s="3" t="str">
        <f t="array" ref="D3240">IF(B3240="","",INDEX(helper!$E$3:$E3996,MOD(ROW()-2,COUNTA(helper!$D$3:$D3996))+1))</f>
        <v/>
      </c>
      <c r="E3240" s="3" t="str">
        <f t="array" ref="E3240">IF(B3240="","",INDEX(helper!$F$3:$F3996,MOD(ROW()-2,COUNTA(helper!$D$3:$D3996))+1))</f>
        <v/>
      </c>
      <c r="F3240" s="3" t="str">
        <f>IF(B3240="","",SUMIFS('inventory ledger'!$H:$H,'inventory ledger'!$C:$C,C3240,'inventory ledger'!$D:$D,D3240,'inventory ledger'!$E:$E,E3240,'inventory ledger'!$A:$A,"&lt;="&amp;B3240+TIME(23,59,59))-SUMIFS('inventory ledger'!$I:$I,'inventory ledger'!$C:$C,C3240,'inventory ledger'!$D:$D,D3240,'inventory ledger'!$E:$E,E3240,'inventory ledger'!$A:$A,"&lt;="&amp;B3240+TIME(23,59,59)))</f>
        <v/>
      </c>
      <c r="G3240" s="3">
        <f>IFERROR(__xludf.DUMMYFUNCTION("IF(F3240&lt;=0,0,IFERROR(ROUNDUP(F3240/INDEX(FILTER('warehouse config'!$D:$D,('warehouse config'!$B:$B=C3240)*('warehouse config'!$C:$C=D3240)*('warehouse config'!$G:$G&lt;=B3240)*(('warehouse config'!$H:$H&gt;=B3240)+ISBLANK('warehouse config'!$H:$H))),1)),0))"),0.0)</f>
        <v>0</v>
      </c>
      <c r="H3240" s="3">
        <f>IFERROR(__xludf.DUMMYFUNCTION("IFERROR(INDEX(FILTER('cost master'!$E:$E,('cost master'!$B:$B=C3240)*('cost master'!$D:$D=""Storage cost per pallet / week"")*('cost master'!$G:$G&lt;=B3240)*(('cost master'!$H:$H&gt;=B3240)+ISBLANK('cost master'!$H:$H))),1),0)"),0.0)</f>
        <v>0</v>
      </c>
      <c r="I3240" s="3">
        <f t="shared" si="4"/>
        <v>0</v>
      </c>
      <c r="J3240" s="27">
        <f t="shared" si="5"/>
        <v>693947</v>
      </c>
      <c r="K3240" s="27">
        <f t="shared" si="6"/>
        <v>693977</v>
      </c>
    </row>
    <row r="3241" hidden="1">
      <c r="A3241" s="3" t="str">
        <f t="shared" si="3"/>
        <v/>
      </c>
      <c r="B3241" s="2" t="str">
        <f t="array" ref="B3241">INDEX(helper!$A$3:$A3996,ROUNDUP((ROW()-1)/COUNTA(helper!$D$3:$D3996),0))</f>
        <v/>
      </c>
      <c r="C3241" s="5" t="str">
        <f t="array" ref="C3241">IF(B3241="","",INDEX(helper!$D$3:$D3996,MOD(ROW()-2,COUNTA(helper!$D$3:$D3996))+1))</f>
        <v/>
      </c>
      <c r="D3241" s="3" t="str">
        <f t="array" ref="D3241">IF(B3241="","",INDEX(helper!$E$3:$E3996,MOD(ROW()-2,COUNTA(helper!$D$3:$D3996))+1))</f>
        <v/>
      </c>
      <c r="E3241" s="3" t="str">
        <f t="array" ref="E3241">IF(B3241="","",INDEX(helper!$F$3:$F3996,MOD(ROW()-2,COUNTA(helper!$D$3:$D3996))+1))</f>
        <v/>
      </c>
      <c r="F3241" s="3" t="str">
        <f>IF(B3241="","",SUMIFS('inventory ledger'!$H:$H,'inventory ledger'!$C:$C,C3241,'inventory ledger'!$D:$D,D3241,'inventory ledger'!$E:$E,E3241,'inventory ledger'!$A:$A,"&lt;="&amp;B3241+TIME(23,59,59))-SUMIFS('inventory ledger'!$I:$I,'inventory ledger'!$C:$C,C3241,'inventory ledger'!$D:$D,D3241,'inventory ledger'!$E:$E,E3241,'inventory ledger'!$A:$A,"&lt;="&amp;B3241+TIME(23,59,59)))</f>
        <v/>
      </c>
      <c r="G3241" s="3">
        <f>IFERROR(__xludf.DUMMYFUNCTION("IF(F3241&lt;=0,0,IFERROR(ROUNDUP(F3241/INDEX(FILTER('warehouse config'!$D:$D,('warehouse config'!$B:$B=C3241)*('warehouse config'!$C:$C=D3241)*('warehouse config'!$G:$G&lt;=B3241)*(('warehouse config'!$H:$H&gt;=B3241)+ISBLANK('warehouse config'!$H:$H))),1)),0))"),0.0)</f>
        <v>0</v>
      </c>
      <c r="H3241" s="3">
        <f>IFERROR(__xludf.DUMMYFUNCTION("IFERROR(INDEX(FILTER('cost master'!$E:$E,('cost master'!$B:$B=C3241)*('cost master'!$D:$D=""Storage cost per pallet / week"")*('cost master'!$G:$G&lt;=B3241)*(('cost master'!$H:$H&gt;=B3241)+ISBLANK('cost master'!$H:$H))),1),0)"),0.0)</f>
        <v>0</v>
      </c>
      <c r="I3241" s="3">
        <f t="shared" si="4"/>
        <v>0</v>
      </c>
      <c r="J3241" s="27">
        <f t="shared" si="5"/>
        <v>693947</v>
      </c>
      <c r="K3241" s="27">
        <f t="shared" si="6"/>
        <v>693977</v>
      </c>
    </row>
    <row r="3242" hidden="1">
      <c r="A3242" s="3" t="str">
        <f t="shared" si="3"/>
        <v/>
      </c>
      <c r="B3242" s="2" t="str">
        <f t="array" ref="B3242">INDEX(helper!$A$3:$A3996,ROUNDUP((ROW()-1)/COUNTA(helper!$D$3:$D3996),0))</f>
        <v/>
      </c>
      <c r="C3242" s="5" t="str">
        <f t="array" ref="C3242">IF(B3242="","",INDEX(helper!$D$3:$D3996,MOD(ROW()-2,COUNTA(helper!$D$3:$D3996))+1))</f>
        <v/>
      </c>
      <c r="D3242" s="3" t="str">
        <f t="array" ref="D3242">IF(B3242="","",INDEX(helper!$E$3:$E3996,MOD(ROW()-2,COUNTA(helper!$D$3:$D3996))+1))</f>
        <v/>
      </c>
      <c r="E3242" s="3" t="str">
        <f t="array" ref="E3242">IF(B3242="","",INDEX(helper!$F$3:$F3996,MOD(ROW()-2,COUNTA(helper!$D$3:$D3996))+1))</f>
        <v/>
      </c>
      <c r="F3242" s="3" t="str">
        <f>IF(B3242="","",SUMIFS('inventory ledger'!$H:$H,'inventory ledger'!$C:$C,C3242,'inventory ledger'!$D:$D,D3242,'inventory ledger'!$E:$E,E3242,'inventory ledger'!$A:$A,"&lt;="&amp;B3242+TIME(23,59,59))-SUMIFS('inventory ledger'!$I:$I,'inventory ledger'!$C:$C,C3242,'inventory ledger'!$D:$D,D3242,'inventory ledger'!$E:$E,E3242,'inventory ledger'!$A:$A,"&lt;="&amp;B3242+TIME(23,59,59)))</f>
        <v/>
      </c>
      <c r="G3242" s="3">
        <f>IFERROR(__xludf.DUMMYFUNCTION("IF(F3242&lt;=0,0,IFERROR(ROUNDUP(F3242/INDEX(FILTER('warehouse config'!$D:$D,('warehouse config'!$B:$B=C3242)*('warehouse config'!$C:$C=D3242)*('warehouse config'!$G:$G&lt;=B3242)*(('warehouse config'!$H:$H&gt;=B3242)+ISBLANK('warehouse config'!$H:$H))),1)),0))"),0.0)</f>
        <v>0</v>
      </c>
      <c r="H3242" s="3">
        <f>IFERROR(__xludf.DUMMYFUNCTION("IFERROR(INDEX(FILTER('cost master'!$E:$E,('cost master'!$B:$B=C3242)*('cost master'!$D:$D=""Storage cost per pallet / week"")*('cost master'!$G:$G&lt;=B3242)*(('cost master'!$H:$H&gt;=B3242)+ISBLANK('cost master'!$H:$H))),1),0)"),0.0)</f>
        <v>0</v>
      </c>
      <c r="I3242" s="3">
        <f t="shared" si="4"/>
        <v>0</v>
      </c>
      <c r="J3242" s="27">
        <f t="shared" si="5"/>
        <v>693947</v>
      </c>
      <c r="K3242" s="27">
        <f t="shared" si="6"/>
        <v>693977</v>
      </c>
    </row>
    <row r="3243" hidden="1">
      <c r="A3243" s="3" t="str">
        <f t="shared" si="3"/>
        <v/>
      </c>
      <c r="B3243" s="2" t="str">
        <f t="array" ref="B3243">INDEX(helper!$A$3:$A3996,ROUNDUP((ROW()-1)/COUNTA(helper!$D$3:$D3996),0))</f>
        <v/>
      </c>
      <c r="C3243" s="5" t="str">
        <f t="array" ref="C3243">IF(B3243="","",INDEX(helper!$D$3:$D3996,MOD(ROW()-2,COUNTA(helper!$D$3:$D3996))+1))</f>
        <v/>
      </c>
      <c r="D3243" s="3" t="str">
        <f t="array" ref="D3243">IF(B3243="","",INDEX(helper!$E$3:$E3996,MOD(ROW()-2,COUNTA(helper!$D$3:$D3996))+1))</f>
        <v/>
      </c>
      <c r="E3243" s="3" t="str">
        <f t="array" ref="E3243">IF(B3243="","",INDEX(helper!$F$3:$F3996,MOD(ROW()-2,COUNTA(helper!$D$3:$D3996))+1))</f>
        <v/>
      </c>
      <c r="F3243" s="3" t="str">
        <f>IF(B3243="","",SUMIFS('inventory ledger'!$H:$H,'inventory ledger'!$C:$C,C3243,'inventory ledger'!$D:$D,D3243,'inventory ledger'!$E:$E,E3243,'inventory ledger'!$A:$A,"&lt;="&amp;B3243+TIME(23,59,59))-SUMIFS('inventory ledger'!$I:$I,'inventory ledger'!$C:$C,C3243,'inventory ledger'!$D:$D,D3243,'inventory ledger'!$E:$E,E3243,'inventory ledger'!$A:$A,"&lt;="&amp;B3243+TIME(23,59,59)))</f>
        <v/>
      </c>
      <c r="G3243" s="3">
        <f>IFERROR(__xludf.DUMMYFUNCTION("IF(F3243&lt;=0,0,IFERROR(ROUNDUP(F3243/INDEX(FILTER('warehouse config'!$D:$D,('warehouse config'!$B:$B=C3243)*('warehouse config'!$C:$C=D3243)*('warehouse config'!$G:$G&lt;=B3243)*(('warehouse config'!$H:$H&gt;=B3243)+ISBLANK('warehouse config'!$H:$H))),1)),0))"),0.0)</f>
        <v>0</v>
      </c>
      <c r="H3243" s="3">
        <f>IFERROR(__xludf.DUMMYFUNCTION("IFERROR(INDEX(FILTER('cost master'!$E:$E,('cost master'!$B:$B=C3243)*('cost master'!$D:$D=""Storage cost per pallet / week"")*('cost master'!$G:$G&lt;=B3243)*(('cost master'!$H:$H&gt;=B3243)+ISBLANK('cost master'!$H:$H))),1),0)"),0.0)</f>
        <v>0</v>
      </c>
      <c r="I3243" s="3">
        <f t="shared" si="4"/>
        <v>0</v>
      </c>
      <c r="J3243" s="27">
        <f t="shared" si="5"/>
        <v>693947</v>
      </c>
      <c r="K3243" s="27">
        <f t="shared" si="6"/>
        <v>693977</v>
      </c>
    </row>
    <row r="3244" hidden="1">
      <c r="A3244" s="3" t="str">
        <f t="shared" si="3"/>
        <v/>
      </c>
      <c r="B3244" s="2" t="str">
        <f t="array" ref="B3244">INDEX(helper!$A$3:$A3996,ROUNDUP((ROW()-1)/COUNTA(helper!$D$3:$D3996),0))</f>
        <v/>
      </c>
      <c r="C3244" s="5" t="str">
        <f t="array" ref="C3244">IF(B3244="","",INDEX(helper!$D$3:$D3996,MOD(ROW()-2,COUNTA(helper!$D$3:$D3996))+1))</f>
        <v/>
      </c>
      <c r="D3244" s="3" t="str">
        <f t="array" ref="D3244">IF(B3244="","",INDEX(helper!$E$3:$E3996,MOD(ROW()-2,COUNTA(helper!$D$3:$D3996))+1))</f>
        <v/>
      </c>
      <c r="E3244" s="3" t="str">
        <f t="array" ref="E3244">IF(B3244="","",INDEX(helper!$F$3:$F3996,MOD(ROW()-2,COUNTA(helper!$D$3:$D3996))+1))</f>
        <v/>
      </c>
      <c r="F3244" s="3" t="str">
        <f>IF(B3244="","",SUMIFS('inventory ledger'!$H:$H,'inventory ledger'!$C:$C,C3244,'inventory ledger'!$D:$D,D3244,'inventory ledger'!$E:$E,E3244,'inventory ledger'!$A:$A,"&lt;="&amp;B3244+TIME(23,59,59))-SUMIFS('inventory ledger'!$I:$I,'inventory ledger'!$C:$C,C3244,'inventory ledger'!$D:$D,D3244,'inventory ledger'!$E:$E,E3244,'inventory ledger'!$A:$A,"&lt;="&amp;B3244+TIME(23,59,59)))</f>
        <v/>
      </c>
      <c r="G3244" s="3">
        <f>IFERROR(__xludf.DUMMYFUNCTION("IF(F3244&lt;=0,0,IFERROR(ROUNDUP(F3244/INDEX(FILTER('warehouse config'!$D:$D,('warehouse config'!$B:$B=C3244)*('warehouse config'!$C:$C=D3244)*('warehouse config'!$G:$G&lt;=B3244)*(('warehouse config'!$H:$H&gt;=B3244)+ISBLANK('warehouse config'!$H:$H))),1)),0))"),0.0)</f>
        <v>0</v>
      </c>
      <c r="H3244" s="3">
        <f>IFERROR(__xludf.DUMMYFUNCTION("IFERROR(INDEX(FILTER('cost master'!$E:$E,('cost master'!$B:$B=C3244)*('cost master'!$D:$D=""Storage cost per pallet / week"")*('cost master'!$G:$G&lt;=B3244)*(('cost master'!$H:$H&gt;=B3244)+ISBLANK('cost master'!$H:$H))),1),0)"),0.0)</f>
        <v>0</v>
      </c>
      <c r="I3244" s="3">
        <f t="shared" si="4"/>
        <v>0</v>
      </c>
      <c r="J3244" s="27">
        <f t="shared" si="5"/>
        <v>693947</v>
      </c>
      <c r="K3244" s="27">
        <f t="shared" si="6"/>
        <v>693977</v>
      </c>
    </row>
    <row r="3245" hidden="1">
      <c r="A3245" s="3" t="str">
        <f t="shared" si="3"/>
        <v/>
      </c>
      <c r="B3245" s="2" t="str">
        <f t="array" ref="B3245">INDEX(helper!$A$3:$A3996,ROUNDUP((ROW()-1)/COUNTA(helper!$D$3:$D3996),0))</f>
        <v/>
      </c>
      <c r="C3245" s="5" t="str">
        <f t="array" ref="C3245">IF(B3245="","",INDEX(helper!$D$3:$D3996,MOD(ROW()-2,COUNTA(helper!$D$3:$D3996))+1))</f>
        <v/>
      </c>
      <c r="D3245" s="3" t="str">
        <f t="array" ref="D3245">IF(B3245="","",INDEX(helper!$E$3:$E3996,MOD(ROW()-2,COUNTA(helper!$D$3:$D3996))+1))</f>
        <v/>
      </c>
      <c r="E3245" s="3" t="str">
        <f t="array" ref="E3245">IF(B3245="","",INDEX(helper!$F$3:$F3996,MOD(ROW()-2,COUNTA(helper!$D$3:$D3996))+1))</f>
        <v/>
      </c>
      <c r="F3245" s="3" t="str">
        <f>IF(B3245="","",SUMIFS('inventory ledger'!$H:$H,'inventory ledger'!$C:$C,C3245,'inventory ledger'!$D:$D,D3245,'inventory ledger'!$E:$E,E3245,'inventory ledger'!$A:$A,"&lt;="&amp;B3245+TIME(23,59,59))-SUMIFS('inventory ledger'!$I:$I,'inventory ledger'!$C:$C,C3245,'inventory ledger'!$D:$D,D3245,'inventory ledger'!$E:$E,E3245,'inventory ledger'!$A:$A,"&lt;="&amp;B3245+TIME(23,59,59)))</f>
        <v/>
      </c>
      <c r="G3245" s="3">
        <f>IFERROR(__xludf.DUMMYFUNCTION("IF(F3245&lt;=0,0,IFERROR(ROUNDUP(F3245/INDEX(FILTER('warehouse config'!$D:$D,('warehouse config'!$B:$B=C3245)*('warehouse config'!$C:$C=D3245)*('warehouse config'!$G:$G&lt;=B3245)*(('warehouse config'!$H:$H&gt;=B3245)+ISBLANK('warehouse config'!$H:$H))),1)),0))"),0.0)</f>
        <v>0</v>
      </c>
      <c r="H3245" s="3">
        <f>IFERROR(__xludf.DUMMYFUNCTION("IFERROR(INDEX(FILTER('cost master'!$E:$E,('cost master'!$B:$B=C3245)*('cost master'!$D:$D=""Storage cost per pallet / week"")*('cost master'!$G:$G&lt;=B3245)*(('cost master'!$H:$H&gt;=B3245)+ISBLANK('cost master'!$H:$H))),1),0)"),0.0)</f>
        <v>0</v>
      </c>
      <c r="I3245" s="3">
        <f t="shared" si="4"/>
        <v>0</v>
      </c>
      <c r="J3245" s="27">
        <f t="shared" si="5"/>
        <v>693947</v>
      </c>
      <c r="K3245" s="27">
        <f t="shared" si="6"/>
        <v>693977</v>
      </c>
    </row>
    <row r="3246" hidden="1">
      <c r="A3246" s="3" t="str">
        <f t="shared" si="3"/>
        <v/>
      </c>
      <c r="B3246" s="2" t="str">
        <f t="array" ref="B3246">INDEX(helper!$A$3:$A3996,ROUNDUP((ROW()-1)/COUNTA(helper!$D$3:$D3996),0))</f>
        <v/>
      </c>
      <c r="C3246" s="5" t="str">
        <f t="array" ref="C3246">IF(B3246="","",INDEX(helper!$D$3:$D3996,MOD(ROW()-2,COUNTA(helper!$D$3:$D3996))+1))</f>
        <v/>
      </c>
      <c r="D3246" s="3" t="str">
        <f t="array" ref="D3246">IF(B3246="","",INDEX(helper!$E$3:$E3996,MOD(ROW()-2,COUNTA(helper!$D$3:$D3996))+1))</f>
        <v/>
      </c>
      <c r="E3246" s="3" t="str">
        <f t="array" ref="E3246">IF(B3246="","",INDEX(helper!$F$3:$F3996,MOD(ROW()-2,COUNTA(helper!$D$3:$D3996))+1))</f>
        <v/>
      </c>
      <c r="F3246" s="3" t="str">
        <f>IF(B3246="","",SUMIFS('inventory ledger'!$H:$H,'inventory ledger'!$C:$C,C3246,'inventory ledger'!$D:$D,D3246,'inventory ledger'!$E:$E,E3246,'inventory ledger'!$A:$A,"&lt;="&amp;B3246+TIME(23,59,59))-SUMIFS('inventory ledger'!$I:$I,'inventory ledger'!$C:$C,C3246,'inventory ledger'!$D:$D,D3246,'inventory ledger'!$E:$E,E3246,'inventory ledger'!$A:$A,"&lt;="&amp;B3246+TIME(23,59,59)))</f>
        <v/>
      </c>
      <c r="G3246" s="3">
        <f>IFERROR(__xludf.DUMMYFUNCTION("IF(F3246&lt;=0,0,IFERROR(ROUNDUP(F3246/INDEX(FILTER('warehouse config'!$D:$D,('warehouse config'!$B:$B=C3246)*('warehouse config'!$C:$C=D3246)*('warehouse config'!$G:$G&lt;=B3246)*(('warehouse config'!$H:$H&gt;=B3246)+ISBLANK('warehouse config'!$H:$H))),1)),0))"),0.0)</f>
        <v>0</v>
      </c>
      <c r="H3246" s="3">
        <f>IFERROR(__xludf.DUMMYFUNCTION("IFERROR(INDEX(FILTER('cost master'!$E:$E,('cost master'!$B:$B=C3246)*('cost master'!$D:$D=""Storage cost per pallet / week"")*('cost master'!$G:$G&lt;=B3246)*(('cost master'!$H:$H&gt;=B3246)+ISBLANK('cost master'!$H:$H))),1),0)"),0.0)</f>
        <v>0</v>
      </c>
      <c r="I3246" s="3">
        <f t="shared" si="4"/>
        <v>0</v>
      </c>
      <c r="J3246" s="27">
        <f t="shared" si="5"/>
        <v>693947</v>
      </c>
      <c r="K3246" s="27">
        <f t="shared" si="6"/>
        <v>693977</v>
      </c>
    </row>
    <row r="3247" hidden="1">
      <c r="A3247" s="3" t="str">
        <f t="shared" si="3"/>
        <v/>
      </c>
      <c r="B3247" s="2" t="str">
        <f t="array" ref="B3247">INDEX(helper!$A$3:$A3996,ROUNDUP((ROW()-1)/COUNTA(helper!$D$3:$D3996),0))</f>
        <v/>
      </c>
      <c r="C3247" s="5" t="str">
        <f t="array" ref="C3247">IF(B3247="","",INDEX(helper!$D$3:$D3996,MOD(ROW()-2,COUNTA(helper!$D$3:$D3996))+1))</f>
        <v/>
      </c>
      <c r="D3247" s="3" t="str">
        <f t="array" ref="D3247">IF(B3247="","",INDEX(helper!$E$3:$E3996,MOD(ROW()-2,COUNTA(helper!$D$3:$D3996))+1))</f>
        <v/>
      </c>
      <c r="E3247" s="3" t="str">
        <f t="array" ref="E3247">IF(B3247="","",INDEX(helper!$F$3:$F3996,MOD(ROW()-2,COUNTA(helper!$D$3:$D3996))+1))</f>
        <v/>
      </c>
      <c r="F3247" s="3" t="str">
        <f>IF(B3247="","",SUMIFS('inventory ledger'!$H:$H,'inventory ledger'!$C:$C,C3247,'inventory ledger'!$D:$D,D3247,'inventory ledger'!$E:$E,E3247,'inventory ledger'!$A:$A,"&lt;="&amp;B3247+TIME(23,59,59))-SUMIFS('inventory ledger'!$I:$I,'inventory ledger'!$C:$C,C3247,'inventory ledger'!$D:$D,D3247,'inventory ledger'!$E:$E,E3247,'inventory ledger'!$A:$A,"&lt;="&amp;B3247+TIME(23,59,59)))</f>
        <v/>
      </c>
      <c r="G3247" s="3">
        <f>IFERROR(__xludf.DUMMYFUNCTION("IF(F3247&lt;=0,0,IFERROR(ROUNDUP(F3247/INDEX(FILTER('warehouse config'!$D:$D,('warehouse config'!$B:$B=C3247)*('warehouse config'!$C:$C=D3247)*('warehouse config'!$G:$G&lt;=B3247)*(('warehouse config'!$H:$H&gt;=B3247)+ISBLANK('warehouse config'!$H:$H))),1)),0))"),0.0)</f>
        <v>0</v>
      </c>
      <c r="H3247" s="3">
        <f>IFERROR(__xludf.DUMMYFUNCTION("IFERROR(INDEX(FILTER('cost master'!$E:$E,('cost master'!$B:$B=C3247)*('cost master'!$D:$D=""Storage cost per pallet / week"")*('cost master'!$G:$G&lt;=B3247)*(('cost master'!$H:$H&gt;=B3247)+ISBLANK('cost master'!$H:$H))),1),0)"),0.0)</f>
        <v>0</v>
      </c>
      <c r="I3247" s="3">
        <f t="shared" si="4"/>
        <v>0</v>
      </c>
      <c r="J3247" s="27">
        <f t="shared" si="5"/>
        <v>693947</v>
      </c>
      <c r="K3247" s="27">
        <f t="shared" si="6"/>
        <v>693977</v>
      </c>
    </row>
    <row r="3248" hidden="1">
      <c r="A3248" s="3" t="str">
        <f t="shared" si="3"/>
        <v/>
      </c>
      <c r="B3248" s="2" t="str">
        <f t="array" ref="B3248">INDEX(helper!$A$3:$A3996,ROUNDUP((ROW()-1)/COUNTA(helper!$D$3:$D3996),0))</f>
        <v/>
      </c>
      <c r="C3248" s="5" t="str">
        <f t="array" ref="C3248">IF(B3248="","",INDEX(helper!$D$3:$D3996,MOD(ROW()-2,COUNTA(helper!$D$3:$D3996))+1))</f>
        <v/>
      </c>
      <c r="D3248" s="3" t="str">
        <f t="array" ref="D3248">IF(B3248="","",INDEX(helper!$E$3:$E3996,MOD(ROW()-2,COUNTA(helper!$D$3:$D3996))+1))</f>
        <v/>
      </c>
      <c r="E3248" s="3" t="str">
        <f t="array" ref="E3248">IF(B3248="","",INDEX(helper!$F$3:$F3996,MOD(ROW()-2,COUNTA(helper!$D$3:$D3996))+1))</f>
        <v/>
      </c>
      <c r="F3248" s="3" t="str">
        <f>IF(B3248="","",SUMIFS('inventory ledger'!$H:$H,'inventory ledger'!$C:$C,C3248,'inventory ledger'!$D:$D,D3248,'inventory ledger'!$E:$E,E3248,'inventory ledger'!$A:$A,"&lt;="&amp;B3248+TIME(23,59,59))-SUMIFS('inventory ledger'!$I:$I,'inventory ledger'!$C:$C,C3248,'inventory ledger'!$D:$D,D3248,'inventory ledger'!$E:$E,E3248,'inventory ledger'!$A:$A,"&lt;="&amp;B3248+TIME(23,59,59)))</f>
        <v/>
      </c>
      <c r="G3248" s="3">
        <f>IFERROR(__xludf.DUMMYFUNCTION("IF(F3248&lt;=0,0,IFERROR(ROUNDUP(F3248/INDEX(FILTER('warehouse config'!$D:$D,('warehouse config'!$B:$B=C3248)*('warehouse config'!$C:$C=D3248)*('warehouse config'!$G:$G&lt;=B3248)*(('warehouse config'!$H:$H&gt;=B3248)+ISBLANK('warehouse config'!$H:$H))),1)),0))"),0.0)</f>
        <v>0</v>
      </c>
      <c r="H3248" s="3">
        <f>IFERROR(__xludf.DUMMYFUNCTION("IFERROR(INDEX(FILTER('cost master'!$E:$E,('cost master'!$B:$B=C3248)*('cost master'!$D:$D=""Storage cost per pallet / week"")*('cost master'!$G:$G&lt;=B3248)*(('cost master'!$H:$H&gt;=B3248)+ISBLANK('cost master'!$H:$H))),1),0)"),0.0)</f>
        <v>0</v>
      </c>
      <c r="I3248" s="3">
        <f t="shared" si="4"/>
        <v>0</v>
      </c>
      <c r="J3248" s="27">
        <f t="shared" si="5"/>
        <v>693947</v>
      </c>
      <c r="K3248" s="27">
        <f t="shared" si="6"/>
        <v>693977</v>
      </c>
    </row>
    <row r="3249" hidden="1">
      <c r="A3249" s="3" t="str">
        <f t="shared" si="3"/>
        <v/>
      </c>
      <c r="B3249" s="2" t="str">
        <f t="array" ref="B3249">INDEX(helper!$A$3:$A3996,ROUNDUP((ROW()-1)/COUNTA(helper!$D$3:$D3996),0))</f>
        <v/>
      </c>
      <c r="C3249" s="5" t="str">
        <f t="array" ref="C3249">IF(B3249="","",INDEX(helper!$D$3:$D3996,MOD(ROW()-2,COUNTA(helper!$D$3:$D3996))+1))</f>
        <v/>
      </c>
      <c r="D3249" s="3" t="str">
        <f t="array" ref="D3249">IF(B3249="","",INDEX(helper!$E$3:$E3996,MOD(ROW()-2,COUNTA(helper!$D$3:$D3996))+1))</f>
        <v/>
      </c>
      <c r="E3249" s="3" t="str">
        <f t="array" ref="E3249">IF(B3249="","",INDEX(helper!$F$3:$F3996,MOD(ROW()-2,COUNTA(helper!$D$3:$D3996))+1))</f>
        <v/>
      </c>
      <c r="F3249" s="3" t="str">
        <f>IF(B3249="","",SUMIFS('inventory ledger'!$H:$H,'inventory ledger'!$C:$C,C3249,'inventory ledger'!$D:$D,D3249,'inventory ledger'!$E:$E,E3249,'inventory ledger'!$A:$A,"&lt;="&amp;B3249+TIME(23,59,59))-SUMIFS('inventory ledger'!$I:$I,'inventory ledger'!$C:$C,C3249,'inventory ledger'!$D:$D,D3249,'inventory ledger'!$E:$E,E3249,'inventory ledger'!$A:$A,"&lt;="&amp;B3249+TIME(23,59,59)))</f>
        <v/>
      </c>
      <c r="G3249" s="3">
        <f>IFERROR(__xludf.DUMMYFUNCTION("IF(F3249&lt;=0,0,IFERROR(ROUNDUP(F3249/INDEX(FILTER('warehouse config'!$D:$D,('warehouse config'!$B:$B=C3249)*('warehouse config'!$C:$C=D3249)*('warehouse config'!$G:$G&lt;=B3249)*(('warehouse config'!$H:$H&gt;=B3249)+ISBLANK('warehouse config'!$H:$H))),1)),0))"),0.0)</f>
        <v>0</v>
      </c>
      <c r="H3249" s="3">
        <f>IFERROR(__xludf.DUMMYFUNCTION("IFERROR(INDEX(FILTER('cost master'!$E:$E,('cost master'!$B:$B=C3249)*('cost master'!$D:$D=""Storage cost per pallet / week"")*('cost master'!$G:$G&lt;=B3249)*(('cost master'!$H:$H&gt;=B3249)+ISBLANK('cost master'!$H:$H))),1),0)"),0.0)</f>
        <v>0</v>
      </c>
      <c r="I3249" s="3">
        <f t="shared" si="4"/>
        <v>0</v>
      </c>
      <c r="J3249" s="27">
        <f t="shared" si="5"/>
        <v>693947</v>
      </c>
      <c r="K3249" s="27">
        <f t="shared" si="6"/>
        <v>693977</v>
      </c>
    </row>
    <row r="3250" hidden="1">
      <c r="A3250" s="3" t="str">
        <f t="shared" si="3"/>
        <v/>
      </c>
      <c r="B3250" s="2" t="str">
        <f t="array" ref="B3250">INDEX(helper!$A$3:$A3996,ROUNDUP((ROW()-1)/COUNTA(helper!$D$3:$D3996),0))</f>
        <v/>
      </c>
      <c r="C3250" s="5" t="str">
        <f t="array" ref="C3250">IF(B3250="","",INDEX(helper!$D$3:$D3996,MOD(ROW()-2,COUNTA(helper!$D$3:$D3996))+1))</f>
        <v/>
      </c>
      <c r="D3250" s="3" t="str">
        <f t="array" ref="D3250">IF(B3250="","",INDEX(helper!$E$3:$E3996,MOD(ROW()-2,COUNTA(helper!$D$3:$D3996))+1))</f>
        <v/>
      </c>
      <c r="E3250" s="3" t="str">
        <f t="array" ref="E3250">IF(B3250="","",INDEX(helper!$F$3:$F3996,MOD(ROW()-2,COUNTA(helper!$D$3:$D3996))+1))</f>
        <v/>
      </c>
      <c r="F3250" s="3" t="str">
        <f>IF(B3250="","",SUMIFS('inventory ledger'!$H:$H,'inventory ledger'!$C:$C,C3250,'inventory ledger'!$D:$D,D3250,'inventory ledger'!$E:$E,E3250,'inventory ledger'!$A:$A,"&lt;="&amp;B3250+TIME(23,59,59))-SUMIFS('inventory ledger'!$I:$I,'inventory ledger'!$C:$C,C3250,'inventory ledger'!$D:$D,D3250,'inventory ledger'!$E:$E,E3250,'inventory ledger'!$A:$A,"&lt;="&amp;B3250+TIME(23,59,59)))</f>
        <v/>
      </c>
      <c r="G3250" s="3">
        <f>IFERROR(__xludf.DUMMYFUNCTION("IF(F3250&lt;=0,0,IFERROR(ROUNDUP(F3250/INDEX(FILTER('warehouse config'!$D:$D,('warehouse config'!$B:$B=C3250)*('warehouse config'!$C:$C=D3250)*('warehouse config'!$G:$G&lt;=B3250)*(('warehouse config'!$H:$H&gt;=B3250)+ISBLANK('warehouse config'!$H:$H))),1)),0))"),0.0)</f>
        <v>0</v>
      </c>
      <c r="H3250" s="3">
        <f>IFERROR(__xludf.DUMMYFUNCTION("IFERROR(INDEX(FILTER('cost master'!$E:$E,('cost master'!$B:$B=C3250)*('cost master'!$D:$D=""Storage cost per pallet / week"")*('cost master'!$G:$G&lt;=B3250)*(('cost master'!$H:$H&gt;=B3250)+ISBLANK('cost master'!$H:$H))),1),0)"),0.0)</f>
        <v>0</v>
      </c>
      <c r="I3250" s="3">
        <f t="shared" si="4"/>
        <v>0</v>
      </c>
      <c r="J3250" s="27">
        <f t="shared" si="5"/>
        <v>693947</v>
      </c>
      <c r="K3250" s="27">
        <f t="shared" si="6"/>
        <v>693977</v>
      </c>
    </row>
    <row r="3251" hidden="1">
      <c r="A3251" s="3" t="str">
        <f t="shared" si="3"/>
        <v/>
      </c>
      <c r="B3251" s="2" t="str">
        <f t="array" ref="B3251">INDEX(helper!$A$3:$A3996,ROUNDUP((ROW()-1)/COUNTA(helper!$D$3:$D3996),0))</f>
        <v/>
      </c>
      <c r="C3251" s="5" t="str">
        <f t="array" ref="C3251">IF(B3251="","",INDEX(helper!$D$3:$D3996,MOD(ROW()-2,COUNTA(helper!$D$3:$D3996))+1))</f>
        <v/>
      </c>
      <c r="D3251" s="3" t="str">
        <f t="array" ref="D3251">IF(B3251="","",INDEX(helper!$E$3:$E3996,MOD(ROW()-2,COUNTA(helper!$D$3:$D3996))+1))</f>
        <v/>
      </c>
      <c r="E3251" s="3" t="str">
        <f t="array" ref="E3251">IF(B3251="","",INDEX(helper!$F$3:$F3996,MOD(ROW()-2,COUNTA(helper!$D$3:$D3996))+1))</f>
        <v/>
      </c>
      <c r="F3251" s="3" t="str">
        <f>IF(B3251="","",SUMIFS('inventory ledger'!$H:$H,'inventory ledger'!$C:$C,C3251,'inventory ledger'!$D:$D,D3251,'inventory ledger'!$E:$E,E3251,'inventory ledger'!$A:$A,"&lt;="&amp;B3251+TIME(23,59,59))-SUMIFS('inventory ledger'!$I:$I,'inventory ledger'!$C:$C,C3251,'inventory ledger'!$D:$D,D3251,'inventory ledger'!$E:$E,E3251,'inventory ledger'!$A:$A,"&lt;="&amp;B3251+TIME(23,59,59)))</f>
        <v/>
      </c>
      <c r="G3251" s="3">
        <f>IFERROR(__xludf.DUMMYFUNCTION("IF(F3251&lt;=0,0,IFERROR(ROUNDUP(F3251/INDEX(FILTER('warehouse config'!$D:$D,('warehouse config'!$B:$B=C3251)*('warehouse config'!$C:$C=D3251)*('warehouse config'!$G:$G&lt;=B3251)*(('warehouse config'!$H:$H&gt;=B3251)+ISBLANK('warehouse config'!$H:$H))),1)),0))"),0.0)</f>
        <v>0</v>
      </c>
      <c r="H3251" s="3">
        <f>IFERROR(__xludf.DUMMYFUNCTION("IFERROR(INDEX(FILTER('cost master'!$E:$E,('cost master'!$B:$B=C3251)*('cost master'!$D:$D=""Storage cost per pallet / week"")*('cost master'!$G:$G&lt;=B3251)*(('cost master'!$H:$H&gt;=B3251)+ISBLANK('cost master'!$H:$H))),1),0)"),0.0)</f>
        <v>0</v>
      </c>
      <c r="I3251" s="3">
        <f t="shared" si="4"/>
        <v>0</v>
      </c>
      <c r="J3251" s="27">
        <f t="shared" si="5"/>
        <v>693947</v>
      </c>
      <c r="K3251" s="27">
        <f t="shared" si="6"/>
        <v>693977</v>
      </c>
    </row>
    <row r="3252" hidden="1">
      <c r="A3252" s="3" t="str">
        <f t="shared" si="3"/>
        <v/>
      </c>
      <c r="B3252" s="2" t="str">
        <f t="array" ref="B3252">INDEX(helper!$A$3:$A3996,ROUNDUP((ROW()-1)/COUNTA(helper!$D$3:$D3996),0))</f>
        <v/>
      </c>
      <c r="C3252" s="5" t="str">
        <f t="array" ref="C3252">IF(B3252="","",INDEX(helper!$D$3:$D3996,MOD(ROW()-2,COUNTA(helper!$D$3:$D3996))+1))</f>
        <v/>
      </c>
      <c r="D3252" s="3" t="str">
        <f t="array" ref="D3252">IF(B3252="","",INDEX(helper!$E$3:$E3996,MOD(ROW()-2,COUNTA(helper!$D$3:$D3996))+1))</f>
        <v/>
      </c>
      <c r="E3252" s="3" t="str">
        <f t="array" ref="E3252">IF(B3252="","",INDEX(helper!$F$3:$F3996,MOD(ROW()-2,COUNTA(helper!$D$3:$D3996))+1))</f>
        <v/>
      </c>
      <c r="F3252" s="3" t="str">
        <f>IF(B3252="","",SUMIFS('inventory ledger'!$H:$H,'inventory ledger'!$C:$C,C3252,'inventory ledger'!$D:$D,D3252,'inventory ledger'!$E:$E,E3252,'inventory ledger'!$A:$A,"&lt;="&amp;B3252+TIME(23,59,59))-SUMIFS('inventory ledger'!$I:$I,'inventory ledger'!$C:$C,C3252,'inventory ledger'!$D:$D,D3252,'inventory ledger'!$E:$E,E3252,'inventory ledger'!$A:$A,"&lt;="&amp;B3252+TIME(23,59,59)))</f>
        <v/>
      </c>
      <c r="G3252" s="3">
        <f>IFERROR(__xludf.DUMMYFUNCTION("IF(F3252&lt;=0,0,IFERROR(ROUNDUP(F3252/INDEX(FILTER('warehouse config'!$D:$D,('warehouse config'!$B:$B=C3252)*('warehouse config'!$C:$C=D3252)*('warehouse config'!$G:$G&lt;=B3252)*(('warehouse config'!$H:$H&gt;=B3252)+ISBLANK('warehouse config'!$H:$H))),1)),0))"),0.0)</f>
        <v>0</v>
      </c>
      <c r="H3252" s="3">
        <f>IFERROR(__xludf.DUMMYFUNCTION("IFERROR(INDEX(FILTER('cost master'!$E:$E,('cost master'!$B:$B=C3252)*('cost master'!$D:$D=""Storage cost per pallet / week"")*('cost master'!$G:$G&lt;=B3252)*(('cost master'!$H:$H&gt;=B3252)+ISBLANK('cost master'!$H:$H))),1),0)"),0.0)</f>
        <v>0</v>
      </c>
      <c r="I3252" s="3">
        <f t="shared" si="4"/>
        <v>0</v>
      </c>
      <c r="J3252" s="27">
        <f t="shared" si="5"/>
        <v>693947</v>
      </c>
      <c r="K3252" s="27">
        <f t="shared" si="6"/>
        <v>693977</v>
      </c>
    </row>
    <row r="3253" hidden="1">
      <c r="A3253" s="3" t="str">
        <f t="shared" si="3"/>
        <v/>
      </c>
      <c r="B3253" s="2" t="str">
        <f t="array" ref="B3253">INDEX(helper!$A$3:$A3996,ROUNDUP((ROW()-1)/COUNTA(helper!$D$3:$D3996),0))</f>
        <v/>
      </c>
      <c r="C3253" s="5" t="str">
        <f t="array" ref="C3253">IF(B3253="","",INDEX(helper!$D$3:$D3996,MOD(ROW()-2,COUNTA(helper!$D$3:$D3996))+1))</f>
        <v/>
      </c>
      <c r="D3253" s="3" t="str">
        <f t="array" ref="D3253">IF(B3253="","",INDEX(helper!$E$3:$E3996,MOD(ROW()-2,COUNTA(helper!$D$3:$D3996))+1))</f>
        <v/>
      </c>
      <c r="E3253" s="3" t="str">
        <f t="array" ref="E3253">IF(B3253="","",INDEX(helper!$F$3:$F3996,MOD(ROW()-2,COUNTA(helper!$D$3:$D3996))+1))</f>
        <v/>
      </c>
      <c r="F3253" s="3" t="str">
        <f>IF(B3253="","",SUMIFS('inventory ledger'!$H:$H,'inventory ledger'!$C:$C,C3253,'inventory ledger'!$D:$D,D3253,'inventory ledger'!$E:$E,E3253,'inventory ledger'!$A:$A,"&lt;="&amp;B3253+TIME(23,59,59))-SUMIFS('inventory ledger'!$I:$I,'inventory ledger'!$C:$C,C3253,'inventory ledger'!$D:$D,D3253,'inventory ledger'!$E:$E,E3253,'inventory ledger'!$A:$A,"&lt;="&amp;B3253+TIME(23,59,59)))</f>
        <v/>
      </c>
      <c r="G3253" s="3">
        <f>IFERROR(__xludf.DUMMYFUNCTION("IF(F3253&lt;=0,0,IFERROR(ROUNDUP(F3253/INDEX(FILTER('warehouse config'!$D:$D,('warehouse config'!$B:$B=C3253)*('warehouse config'!$C:$C=D3253)*('warehouse config'!$G:$G&lt;=B3253)*(('warehouse config'!$H:$H&gt;=B3253)+ISBLANK('warehouse config'!$H:$H))),1)),0))"),0.0)</f>
        <v>0</v>
      </c>
      <c r="H3253" s="3">
        <f>IFERROR(__xludf.DUMMYFUNCTION("IFERROR(INDEX(FILTER('cost master'!$E:$E,('cost master'!$B:$B=C3253)*('cost master'!$D:$D=""Storage cost per pallet / week"")*('cost master'!$G:$G&lt;=B3253)*(('cost master'!$H:$H&gt;=B3253)+ISBLANK('cost master'!$H:$H))),1),0)"),0.0)</f>
        <v>0</v>
      </c>
      <c r="I3253" s="3">
        <f t="shared" si="4"/>
        <v>0</v>
      </c>
      <c r="J3253" s="27">
        <f t="shared" si="5"/>
        <v>693947</v>
      </c>
      <c r="K3253" s="27">
        <f t="shared" si="6"/>
        <v>693977</v>
      </c>
    </row>
    <row r="3254" hidden="1">
      <c r="A3254" s="3" t="str">
        <f t="shared" si="3"/>
        <v/>
      </c>
      <c r="B3254" s="2" t="str">
        <f t="array" ref="B3254">INDEX(helper!$A$3:$A3996,ROUNDUP((ROW()-1)/COUNTA(helper!$D$3:$D3996),0))</f>
        <v/>
      </c>
      <c r="C3254" s="5" t="str">
        <f t="array" ref="C3254">IF(B3254="","",INDEX(helper!$D$3:$D3996,MOD(ROW()-2,COUNTA(helper!$D$3:$D3996))+1))</f>
        <v/>
      </c>
      <c r="D3254" s="3" t="str">
        <f t="array" ref="D3254">IF(B3254="","",INDEX(helper!$E$3:$E3996,MOD(ROW()-2,COUNTA(helper!$D$3:$D3996))+1))</f>
        <v/>
      </c>
      <c r="E3254" s="3" t="str">
        <f t="array" ref="E3254">IF(B3254="","",INDEX(helper!$F$3:$F3996,MOD(ROW()-2,COUNTA(helper!$D$3:$D3996))+1))</f>
        <v/>
      </c>
      <c r="F3254" s="3" t="str">
        <f>IF(B3254="","",SUMIFS('inventory ledger'!$H:$H,'inventory ledger'!$C:$C,C3254,'inventory ledger'!$D:$D,D3254,'inventory ledger'!$E:$E,E3254,'inventory ledger'!$A:$A,"&lt;="&amp;B3254+TIME(23,59,59))-SUMIFS('inventory ledger'!$I:$I,'inventory ledger'!$C:$C,C3254,'inventory ledger'!$D:$D,D3254,'inventory ledger'!$E:$E,E3254,'inventory ledger'!$A:$A,"&lt;="&amp;B3254+TIME(23,59,59)))</f>
        <v/>
      </c>
      <c r="G3254" s="3">
        <f>IFERROR(__xludf.DUMMYFUNCTION("IF(F3254&lt;=0,0,IFERROR(ROUNDUP(F3254/INDEX(FILTER('warehouse config'!$D:$D,('warehouse config'!$B:$B=C3254)*('warehouse config'!$C:$C=D3254)*('warehouse config'!$G:$G&lt;=B3254)*(('warehouse config'!$H:$H&gt;=B3254)+ISBLANK('warehouse config'!$H:$H))),1)),0))"),0.0)</f>
        <v>0</v>
      </c>
      <c r="H3254" s="3">
        <f>IFERROR(__xludf.DUMMYFUNCTION("IFERROR(INDEX(FILTER('cost master'!$E:$E,('cost master'!$B:$B=C3254)*('cost master'!$D:$D=""Storage cost per pallet / week"")*('cost master'!$G:$G&lt;=B3254)*(('cost master'!$H:$H&gt;=B3254)+ISBLANK('cost master'!$H:$H))),1),0)"),0.0)</f>
        <v>0</v>
      </c>
      <c r="I3254" s="3">
        <f t="shared" si="4"/>
        <v>0</v>
      </c>
      <c r="J3254" s="27">
        <f t="shared" si="5"/>
        <v>693947</v>
      </c>
      <c r="K3254" s="27">
        <f t="shared" si="6"/>
        <v>693977</v>
      </c>
    </row>
    <row r="3255" hidden="1">
      <c r="A3255" s="3" t="str">
        <f t="shared" si="3"/>
        <v/>
      </c>
      <c r="B3255" s="2" t="str">
        <f t="array" ref="B3255">INDEX(helper!$A$3:$A3996,ROUNDUP((ROW()-1)/COUNTA(helper!$D$3:$D3996),0))</f>
        <v/>
      </c>
      <c r="C3255" s="5" t="str">
        <f t="array" ref="C3255">IF(B3255="","",INDEX(helper!$D$3:$D3996,MOD(ROW()-2,COUNTA(helper!$D$3:$D3996))+1))</f>
        <v/>
      </c>
      <c r="D3255" s="3" t="str">
        <f t="array" ref="D3255">IF(B3255="","",INDEX(helper!$E$3:$E3996,MOD(ROW()-2,COUNTA(helper!$D$3:$D3996))+1))</f>
        <v/>
      </c>
      <c r="E3255" s="3" t="str">
        <f t="array" ref="E3255">IF(B3255="","",INDEX(helper!$F$3:$F3996,MOD(ROW()-2,COUNTA(helper!$D$3:$D3996))+1))</f>
        <v/>
      </c>
      <c r="F3255" s="3" t="str">
        <f>IF(B3255="","",SUMIFS('inventory ledger'!$H:$H,'inventory ledger'!$C:$C,C3255,'inventory ledger'!$D:$D,D3255,'inventory ledger'!$E:$E,E3255,'inventory ledger'!$A:$A,"&lt;="&amp;B3255+TIME(23,59,59))-SUMIFS('inventory ledger'!$I:$I,'inventory ledger'!$C:$C,C3255,'inventory ledger'!$D:$D,D3255,'inventory ledger'!$E:$E,E3255,'inventory ledger'!$A:$A,"&lt;="&amp;B3255+TIME(23,59,59)))</f>
        <v/>
      </c>
      <c r="G3255" s="3">
        <f>IFERROR(__xludf.DUMMYFUNCTION("IF(F3255&lt;=0,0,IFERROR(ROUNDUP(F3255/INDEX(FILTER('warehouse config'!$D:$D,('warehouse config'!$B:$B=C3255)*('warehouse config'!$C:$C=D3255)*('warehouse config'!$G:$G&lt;=B3255)*(('warehouse config'!$H:$H&gt;=B3255)+ISBLANK('warehouse config'!$H:$H))),1)),0))"),0.0)</f>
        <v>0</v>
      </c>
      <c r="H3255" s="3">
        <f>IFERROR(__xludf.DUMMYFUNCTION("IFERROR(INDEX(FILTER('cost master'!$E:$E,('cost master'!$B:$B=C3255)*('cost master'!$D:$D=""Storage cost per pallet / week"")*('cost master'!$G:$G&lt;=B3255)*(('cost master'!$H:$H&gt;=B3255)+ISBLANK('cost master'!$H:$H))),1),0)"),0.0)</f>
        <v>0</v>
      </c>
      <c r="I3255" s="3">
        <f t="shared" si="4"/>
        <v>0</v>
      </c>
      <c r="J3255" s="27">
        <f t="shared" si="5"/>
        <v>693947</v>
      </c>
      <c r="K3255" s="27">
        <f t="shared" si="6"/>
        <v>693977</v>
      </c>
    </row>
    <row r="3256" hidden="1">
      <c r="A3256" s="3" t="str">
        <f t="shared" si="3"/>
        <v/>
      </c>
      <c r="B3256" s="2" t="str">
        <f t="array" ref="B3256">INDEX(helper!$A$3:$A3996,ROUNDUP((ROW()-1)/COUNTA(helper!$D$3:$D3996),0))</f>
        <v/>
      </c>
      <c r="C3256" s="5" t="str">
        <f t="array" ref="C3256">IF(B3256="","",INDEX(helper!$D$3:$D3996,MOD(ROW()-2,COUNTA(helper!$D$3:$D3996))+1))</f>
        <v/>
      </c>
      <c r="D3256" s="3" t="str">
        <f t="array" ref="D3256">IF(B3256="","",INDEX(helper!$E$3:$E3996,MOD(ROW()-2,COUNTA(helper!$D$3:$D3996))+1))</f>
        <v/>
      </c>
      <c r="E3256" s="3" t="str">
        <f t="array" ref="E3256">IF(B3256="","",INDEX(helper!$F$3:$F3996,MOD(ROW()-2,COUNTA(helper!$D$3:$D3996))+1))</f>
        <v/>
      </c>
      <c r="F3256" s="3" t="str">
        <f>IF(B3256="","",SUMIFS('inventory ledger'!$H:$H,'inventory ledger'!$C:$C,C3256,'inventory ledger'!$D:$D,D3256,'inventory ledger'!$E:$E,E3256,'inventory ledger'!$A:$A,"&lt;="&amp;B3256+TIME(23,59,59))-SUMIFS('inventory ledger'!$I:$I,'inventory ledger'!$C:$C,C3256,'inventory ledger'!$D:$D,D3256,'inventory ledger'!$E:$E,E3256,'inventory ledger'!$A:$A,"&lt;="&amp;B3256+TIME(23,59,59)))</f>
        <v/>
      </c>
      <c r="G3256" s="3">
        <f>IFERROR(__xludf.DUMMYFUNCTION("IF(F3256&lt;=0,0,IFERROR(ROUNDUP(F3256/INDEX(FILTER('warehouse config'!$D:$D,('warehouse config'!$B:$B=C3256)*('warehouse config'!$C:$C=D3256)*('warehouse config'!$G:$G&lt;=B3256)*(('warehouse config'!$H:$H&gt;=B3256)+ISBLANK('warehouse config'!$H:$H))),1)),0))"),0.0)</f>
        <v>0</v>
      </c>
      <c r="H3256" s="3">
        <f>IFERROR(__xludf.DUMMYFUNCTION("IFERROR(INDEX(FILTER('cost master'!$E:$E,('cost master'!$B:$B=C3256)*('cost master'!$D:$D=""Storage cost per pallet / week"")*('cost master'!$G:$G&lt;=B3256)*(('cost master'!$H:$H&gt;=B3256)+ISBLANK('cost master'!$H:$H))),1),0)"),0.0)</f>
        <v>0</v>
      </c>
      <c r="I3256" s="3">
        <f t="shared" si="4"/>
        <v>0</v>
      </c>
      <c r="J3256" s="27">
        <f t="shared" si="5"/>
        <v>693947</v>
      </c>
      <c r="K3256" s="27">
        <f t="shared" si="6"/>
        <v>693977</v>
      </c>
    </row>
    <row r="3257" hidden="1">
      <c r="A3257" s="3" t="str">
        <f t="shared" si="3"/>
        <v/>
      </c>
      <c r="B3257" s="2" t="str">
        <f t="array" ref="B3257">INDEX(helper!$A$3:$A3996,ROUNDUP((ROW()-1)/COUNTA(helper!$D$3:$D3996),0))</f>
        <v/>
      </c>
      <c r="C3257" s="5" t="str">
        <f t="array" ref="C3257">IF(B3257="","",INDEX(helper!$D$3:$D3996,MOD(ROW()-2,COUNTA(helper!$D$3:$D3996))+1))</f>
        <v/>
      </c>
      <c r="D3257" s="3" t="str">
        <f t="array" ref="D3257">IF(B3257="","",INDEX(helper!$E$3:$E3996,MOD(ROW()-2,COUNTA(helper!$D$3:$D3996))+1))</f>
        <v/>
      </c>
      <c r="E3257" s="3" t="str">
        <f t="array" ref="E3257">IF(B3257="","",INDEX(helper!$F$3:$F3996,MOD(ROW()-2,COUNTA(helper!$D$3:$D3996))+1))</f>
        <v/>
      </c>
      <c r="F3257" s="3" t="str">
        <f>IF(B3257="","",SUMIFS('inventory ledger'!$H:$H,'inventory ledger'!$C:$C,C3257,'inventory ledger'!$D:$D,D3257,'inventory ledger'!$E:$E,E3257,'inventory ledger'!$A:$A,"&lt;="&amp;B3257+TIME(23,59,59))-SUMIFS('inventory ledger'!$I:$I,'inventory ledger'!$C:$C,C3257,'inventory ledger'!$D:$D,D3257,'inventory ledger'!$E:$E,E3257,'inventory ledger'!$A:$A,"&lt;="&amp;B3257+TIME(23,59,59)))</f>
        <v/>
      </c>
      <c r="G3257" s="3">
        <f>IFERROR(__xludf.DUMMYFUNCTION("IF(F3257&lt;=0,0,IFERROR(ROUNDUP(F3257/INDEX(FILTER('warehouse config'!$D:$D,('warehouse config'!$B:$B=C3257)*('warehouse config'!$C:$C=D3257)*('warehouse config'!$G:$G&lt;=B3257)*(('warehouse config'!$H:$H&gt;=B3257)+ISBLANK('warehouse config'!$H:$H))),1)),0))"),0.0)</f>
        <v>0</v>
      </c>
      <c r="H3257" s="3">
        <f>IFERROR(__xludf.DUMMYFUNCTION("IFERROR(INDEX(FILTER('cost master'!$E:$E,('cost master'!$B:$B=C3257)*('cost master'!$D:$D=""Storage cost per pallet / week"")*('cost master'!$G:$G&lt;=B3257)*(('cost master'!$H:$H&gt;=B3257)+ISBLANK('cost master'!$H:$H))),1),0)"),0.0)</f>
        <v>0</v>
      </c>
      <c r="I3257" s="3">
        <f t="shared" si="4"/>
        <v>0</v>
      </c>
      <c r="J3257" s="27">
        <f t="shared" si="5"/>
        <v>693947</v>
      </c>
      <c r="K3257" s="27">
        <f t="shared" si="6"/>
        <v>693977</v>
      </c>
    </row>
    <row r="3258" hidden="1">
      <c r="A3258" s="3" t="str">
        <f t="shared" si="3"/>
        <v/>
      </c>
      <c r="B3258" s="2" t="str">
        <f t="array" ref="B3258">INDEX(helper!$A$3:$A3996,ROUNDUP((ROW()-1)/COUNTA(helper!$D$3:$D3996),0))</f>
        <v/>
      </c>
      <c r="C3258" s="5" t="str">
        <f t="array" ref="C3258">IF(B3258="","",INDEX(helper!$D$3:$D3996,MOD(ROW()-2,COUNTA(helper!$D$3:$D3996))+1))</f>
        <v/>
      </c>
      <c r="D3258" s="3" t="str">
        <f t="array" ref="D3258">IF(B3258="","",INDEX(helper!$E$3:$E3996,MOD(ROW()-2,COUNTA(helper!$D$3:$D3996))+1))</f>
        <v/>
      </c>
      <c r="E3258" s="3" t="str">
        <f t="array" ref="E3258">IF(B3258="","",INDEX(helper!$F$3:$F3996,MOD(ROW()-2,COUNTA(helper!$D$3:$D3996))+1))</f>
        <v/>
      </c>
      <c r="F3258" s="3" t="str">
        <f>IF(B3258="","",SUMIFS('inventory ledger'!$H:$H,'inventory ledger'!$C:$C,C3258,'inventory ledger'!$D:$D,D3258,'inventory ledger'!$E:$E,E3258,'inventory ledger'!$A:$A,"&lt;="&amp;B3258+TIME(23,59,59))-SUMIFS('inventory ledger'!$I:$I,'inventory ledger'!$C:$C,C3258,'inventory ledger'!$D:$D,D3258,'inventory ledger'!$E:$E,E3258,'inventory ledger'!$A:$A,"&lt;="&amp;B3258+TIME(23,59,59)))</f>
        <v/>
      </c>
      <c r="G3258" s="3">
        <f>IFERROR(__xludf.DUMMYFUNCTION("IF(F3258&lt;=0,0,IFERROR(ROUNDUP(F3258/INDEX(FILTER('warehouse config'!$D:$D,('warehouse config'!$B:$B=C3258)*('warehouse config'!$C:$C=D3258)*('warehouse config'!$G:$G&lt;=B3258)*(('warehouse config'!$H:$H&gt;=B3258)+ISBLANK('warehouse config'!$H:$H))),1)),0))"),0.0)</f>
        <v>0</v>
      </c>
      <c r="H3258" s="3">
        <f>IFERROR(__xludf.DUMMYFUNCTION("IFERROR(INDEX(FILTER('cost master'!$E:$E,('cost master'!$B:$B=C3258)*('cost master'!$D:$D=""Storage cost per pallet / week"")*('cost master'!$G:$G&lt;=B3258)*(('cost master'!$H:$H&gt;=B3258)+ISBLANK('cost master'!$H:$H))),1),0)"),0.0)</f>
        <v>0</v>
      </c>
      <c r="I3258" s="3">
        <f t="shared" si="4"/>
        <v>0</v>
      </c>
      <c r="J3258" s="27">
        <f t="shared" si="5"/>
        <v>693947</v>
      </c>
      <c r="K3258" s="27">
        <f t="shared" si="6"/>
        <v>693977</v>
      </c>
    </row>
    <row r="3259" hidden="1">
      <c r="A3259" s="3" t="str">
        <f t="shared" si="3"/>
        <v/>
      </c>
      <c r="B3259" s="2" t="str">
        <f t="array" ref="B3259">INDEX(helper!$A$3:$A3996,ROUNDUP((ROW()-1)/COUNTA(helper!$D$3:$D3996),0))</f>
        <v/>
      </c>
      <c r="C3259" s="5" t="str">
        <f t="array" ref="C3259">IF(B3259="","",INDEX(helper!$D$3:$D3996,MOD(ROW()-2,COUNTA(helper!$D$3:$D3996))+1))</f>
        <v/>
      </c>
      <c r="D3259" s="3" t="str">
        <f t="array" ref="D3259">IF(B3259="","",INDEX(helper!$E$3:$E3996,MOD(ROW()-2,COUNTA(helper!$D$3:$D3996))+1))</f>
        <v/>
      </c>
      <c r="E3259" s="3" t="str">
        <f t="array" ref="E3259">IF(B3259="","",INDEX(helper!$F$3:$F3996,MOD(ROW()-2,COUNTA(helper!$D$3:$D3996))+1))</f>
        <v/>
      </c>
      <c r="F3259" s="3" t="str">
        <f>IF(B3259="","",SUMIFS('inventory ledger'!$H:$H,'inventory ledger'!$C:$C,C3259,'inventory ledger'!$D:$D,D3259,'inventory ledger'!$E:$E,E3259,'inventory ledger'!$A:$A,"&lt;="&amp;B3259+TIME(23,59,59))-SUMIFS('inventory ledger'!$I:$I,'inventory ledger'!$C:$C,C3259,'inventory ledger'!$D:$D,D3259,'inventory ledger'!$E:$E,E3259,'inventory ledger'!$A:$A,"&lt;="&amp;B3259+TIME(23,59,59)))</f>
        <v/>
      </c>
      <c r="G3259" s="3">
        <f>IFERROR(__xludf.DUMMYFUNCTION("IF(F3259&lt;=0,0,IFERROR(ROUNDUP(F3259/INDEX(FILTER('warehouse config'!$D:$D,('warehouse config'!$B:$B=C3259)*('warehouse config'!$C:$C=D3259)*('warehouse config'!$G:$G&lt;=B3259)*(('warehouse config'!$H:$H&gt;=B3259)+ISBLANK('warehouse config'!$H:$H))),1)),0))"),0.0)</f>
        <v>0</v>
      </c>
      <c r="H3259" s="3">
        <f>IFERROR(__xludf.DUMMYFUNCTION("IFERROR(INDEX(FILTER('cost master'!$E:$E,('cost master'!$B:$B=C3259)*('cost master'!$D:$D=""Storage cost per pallet / week"")*('cost master'!$G:$G&lt;=B3259)*(('cost master'!$H:$H&gt;=B3259)+ISBLANK('cost master'!$H:$H))),1),0)"),0.0)</f>
        <v>0</v>
      </c>
      <c r="I3259" s="3">
        <f t="shared" si="4"/>
        <v>0</v>
      </c>
      <c r="J3259" s="27">
        <f t="shared" si="5"/>
        <v>693947</v>
      </c>
      <c r="K3259" s="27">
        <f t="shared" si="6"/>
        <v>693977</v>
      </c>
    </row>
    <row r="3260" hidden="1">
      <c r="A3260" s="3" t="str">
        <f t="shared" si="3"/>
        <v/>
      </c>
      <c r="B3260" s="2" t="str">
        <f t="array" ref="B3260">INDEX(helper!$A$3:$A3996,ROUNDUP((ROW()-1)/COUNTA(helper!$D$3:$D3996),0))</f>
        <v/>
      </c>
      <c r="C3260" s="5" t="str">
        <f t="array" ref="C3260">IF(B3260="","",INDEX(helper!$D$3:$D3996,MOD(ROW()-2,COUNTA(helper!$D$3:$D3996))+1))</f>
        <v/>
      </c>
      <c r="D3260" s="3" t="str">
        <f t="array" ref="D3260">IF(B3260="","",INDEX(helper!$E$3:$E3996,MOD(ROW()-2,COUNTA(helper!$D$3:$D3996))+1))</f>
        <v/>
      </c>
      <c r="E3260" s="3" t="str">
        <f t="array" ref="E3260">IF(B3260="","",INDEX(helper!$F$3:$F3996,MOD(ROW()-2,COUNTA(helper!$D$3:$D3996))+1))</f>
        <v/>
      </c>
      <c r="F3260" s="3" t="str">
        <f>IF(B3260="","",SUMIFS('inventory ledger'!$H:$H,'inventory ledger'!$C:$C,C3260,'inventory ledger'!$D:$D,D3260,'inventory ledger'!$E:$E,E3260,'inventory ledger'!$A:$A,"&lt;="&amp;B3260+TIME(23,59,59))-SUMIFS('inventory ledger'!$I:$I,'inventory ledger'!$C:$C,C3260,'inventory ledger'!$D:$D,D3260,'inventory ledger'!$E:$E,E3260,'inventory ledger'!$A:$A,"&lt;="&amp;B3260+TIME(23,59,59)))</f>
        <v/>
      </c>
      <c r="G3260" s="3">
        <f>IFERROR(__xludf.DUMMYFUNCTION("IF(F3260&lt;=0,0,IFERROR(ROUNDUP(F3260/INDEX(FILTER('warehouse config'!$D:$D,('warehouse config'!$B:$B=C3260)*('warehouse config'!$C:$C=D3260)*('warehouse config'!$G:$G&lt;=B3260)*(('warehouse config'!$H:$H&gt;=B3260)+ISBLANK('warehouse config'!$H:$H))),1)),0))"),0.0)</f>
        <v>0</v>
      </c>
      <c r="H3260" s="3">
        <f>IFERROR(__xludf.DUMMYFUNCTION("IFERROR(INDEX(FILTER('cost master'!$E:$E,('cost master'!$B:$B=C3260)*('cost master'!$D:$D=""Storage cost per pallet / week"")*('cost master'!$G:$G&lt;=B3260)*(('cost master'!$H:$H&gt;=B3260)+ISBLANK('cost master'!$H:$H))),1),0)"),0.0)</f>
        <v>0</v>
      </c>
      <c r="I3260" s="3">
        <f t="shared" si="4"/>
        <v>0</v>
      </c>
      <c r="J3260" s="27">
        <f t="shared" si="5"/>
        <v>693947</v>
      </c>
      <c r="K3260" s="27">
        <f t="shared" si="6"/>
        <v>693977</v>
      </c>
    </row>
    <row r="3261" hidden="1">
      <c r="A3261" s="3" t="str">
        <f t="shared" si="3"/>
        <v/>
      </c>
      <c r="B3261" s="2" t="str">
        <f t="array" ref="B3261">INDEX(helper!$A$3:$A3996,ROUNDUP((ROW()-1)/COUNTA(helper!$D$3:$D3996),0))</f>
        <v/>
      </c>
      <c r="C3261" s="5" t="str">
        <f t="array" ref="C3261">IF(B3261="","",INDEX(helper!$D$3:$D3996,MOD(ROW()-2,COUNTA(helper!$D$3:$D3996))+1))</f>
        <v/>
      </c>
      <c r="D3261" s="3" t="str">
        <f t="array" ref="D3261">IF(B3261="","",INDEX(helper!$E$3:$E3996,MOD(ROW()-2,COUNTA(helper!$D$3:$D3996))+1))</f>
        <v/>
      </c>
      <c r="E3261" s="3" t="str">
        <f t="array" ref="E3261">IF(B3261="","",INDEX(helper!$F$3:$F3996,MOD(ROW()-2,COUNTA(helper!$D$3:$D3996))+1))</f>
        <v/>
      </c>
      <c r="F3261" s="3" t="str">
        <f>IF(B3261="","",SUMIFS('inventory ledger'!$H:$H,'inventory ledger'!$C:$C,C3261,'inventory ledger'!$D:$D,D3261,'inventory ledger'!$E:$E,E3261,'inventory ledger'!$A:$A,"&lt;="&amp;B3261+TIME(23,59,59))-SUMIFS('inventory ledger'!$I:$I,'inventory ledger'!$C:$C,C3261,'inventory ledger'!$D:$D,D3261,'inventory ledger'!$E:$E,E3261,'inventory ledger'!$A:$A,"&lt;="&amp;B3261+TIME(23,59,59)))</f>
        <v/>
      </c>
      <c r="G3261" s="3">
        <f>IFERROR(__xludf.DUMMYFUNCTION("IF(F3261&lt;=0,0,IFERROR(ROUNDUP(F3261/INDEX(FILTER('warehouse config'!$D:$D,('warehouse config'!$B:$B=C3261)*('warehouse config'!$C:$C=D3261)*('warehouse config'!$G:$G&lt;=B3261)*(('warehouse config'!$H:$H&gt;=B3261)+ISBLANK('warehouse config'!$H:$H))),1)),0))"),0.0)</f>
        <v>0</v>
      </c>
      <c r="H3261" s="3">
        <f>IFERROR(__xludf.DUMMYFUNCTION("IFERROR(INDEX(FILTER('cost master'!$E:$E,('cost master'!$B:$B=C3261)*('cost master'!$D:$D=""Storage cost per pallet / week"")*('cost master'!$G:$G&lt;=B3261)*(('cost master'!$H:$H&gt;=B3261)+ISBLANK('cost master'!$H:$H))),1),0)"),0.0)</f>
        <v>0</v>
      </c>
      <c r="I3261" s="3">
        <f t="shared" si="4"/>
        <v>0</v>
      </c>
      <c r="J3261" s="27">
        <f t="shared" si="5"/>
        <v>693947</v>
      </c>
      <c r="K3261" s="27">
        <f t="shared" si="6"/>
        <v>693977</v>
      </c>
    </row>
    <row r="3262" hidden="1">
      <c r="A3262" s="3" t="str">
        <f t="shared" si="3"/>
        <v/>
      </c>
      <c r="B3262" s="2" t="str">
        <f t="array" ref="B3262">INDEX(helper!$A$3:$A3996,ROUNDUP((ROW()-1)/COUNTA(helper!$D$3:$D3996),0))</f>
        <v/>
      </c>
      <c r="C3262" s="5" t="str">
        <f t="array" ref="C3262">IF(B3262="","",INDEX(helper!$D$3:$D3996,MOD(ROW()-2,COUNTA(helper!$D$3:$D3996))+1))</f>
        <v/>
      </c>
      <c r="D3262" s="3" t="str">
        <f t="array" ref="D3262">IF(B3262="","",INDEX(helper!$E$3:$E3996,MOD(ROW()-2,COUNTA(helper!$D$3:$D3996))+1))</f>
        <v/>
      </c>
      <c r="E3262" s="3" t="str">
        <f t="array" ref="E3262">IF(B3262="","",INDEX(helper!$F$3:$F3996,MOD(ROW()-2,COUNTA(helper!$D$3:$D3996))+1))</f>
        <v/>
      </c>
      <c r="F3262" s="3" t="str">
        <f>IF(B3262="","",SUMIFS('inventory ledger'!$H:$H,'inventory ledger'!$C:$C,C3262,'inventory ledger'!$D:$D,D3262,'inventory ledger'!$E:$E,E3262,'inventory ledger'!$A:$A,"&lt;="&amp;B3262+TIME(23,59,59))-SUMIFS('inventory ledger'!$I:$I,'inventory ledger'!$C:$C,C3262,'inventory ledger'!$D:$D,D3262,'inventory ledger'!$E:$E,E3262,'inventory ledger'!$A:$A,"&lt;="&amp;B3262+TIME(23,59,59)))</f>
        <v/>
      </c>
      <c r="G3262" s="3">
        <f>IFERROR(__xludf.DUMMYFUNCTION("IF(F3262&lt;=0,0,IFERROR(ROUNDUP(F3262/INDEX(FILTER('warehouse config'!$D:$D,('warehouse config'!$B:$B=C3262)*('warehouse config'!$C:$C=D3262)*('warehouse config'!$G:$G&lt;=B3262)*(('warehouse config'!$H:$H&gt;=B3262)+ISBLANK('warehouse config'!$H:$H))),1)),0))"),0.0)</f>
        <v>0</v>
      </c>
      <c r="H3262" s="3">
        <f>IFERROR(__xludf.DUMMYFUNCTION("IFERROR(INDEX(FILTER('cost master'!$E:$E,('cost master'!$B:$B=C3262)*('cost master'!$D:$D=""Storage cost per pallet / week"")*('cost master'!$G:$G&lt;=B3262)*(('cost master'!$H:$H&gt;=B3262)+ISBLANK('cost master'!$H:$H))),1),0)"),0.0)</f>
        <v>0</v>
      </c>
      <c r="I3262" s="3">
        <f t="shared" si="4"/>
        <v>0</v>
      </c>
      <c r="J3262" s="27">
        <f t="shared" si="5"/>
        <v>693947</v>
      </c>
      <c r="K3262" s="27">
        <f t="shared" si="6"/>
        <v>693977</v>
      </c>
    </row>
    <row r="3263" hidden="1">
      <c r="A3263" s="3" t="str">
        <f t="shared" si="3"/>
        <v/>
      </c>
      <c r="B3263" s="2" t="str">
        <f t="array" ref="B3263">INDEX(helper!$A$3:$A3996,ROUNDUP((ROW()-1)/COUNTA(helper!$D$3:$D3996),0))</f>
        <v/>
      </c>
      <c r="C3263" s="5" t="str">
        <f t="array" ref="C3263">IF(B3263="","",INDEX(helper!$D$3:$D3996,MOD(ROW()-2,COUNTA(helper!$D$3:$D3996))+1))</f>
        <v/>
      </c>
      <c r="D3263" s="3" t="str">
        <f t="array" ref="D3263">IF(B3263="","",INDEX(helper!$E$3:$E3996,MOD(ROW()-2,COUNTA(helper!$D$3:$D3996))+1))</f>
        <v/>
      </c>
      <c r="E3263" s="3" t="str">
        <f t="array" ref="E3263">IF(B3263="","",INDEX(helper!$F$3:$F3996,MOD(ROW()-2,COUNTA(helper!$D$3:$D3996))+1))</f>
        <v/>
      </c>
      <c r="F3263" s="3" t="str">
        <f>IF(B3263="","",SUMIFS('inventory ledger'!$H:$H,'inventory ledger'!$C:$C,C3263,'inventory ledger'!$D:$D,D3263,'inventory ledger'!$E:$E,E3263,'inventory ledger'!$A:$A,"&lt;="&amp;B3263+TIME(23,59,59))-SUMIFS('inventory ledger'!$I:$I,'inventory ledger'!$C:$C,C3263,'inventory ledger'!$D:$D,D3263,'inventory ledger'!$E:$E,E3263,'inventory ledger'!$A:$A,"&lt;="&amp;B3263+TIME(23,59,59)))</f>
        <v/>
      </c>
      <c r="G3263" s="3">
        <f>IFERROR(__xludf.DUMMYFUNCTION("IF(F3263&lt;=0,0,IFERROR(ROUNDUP(F3263/INDEX(FILTER('warehouse config'!$D:$D,('warehouse config'!$B:$B=C3263)*('warehouse config'!$C:$C=D3263)*('warehouse config'!$G:$G&lt;=B3263)*(('warehouse config'!$H:$H&gt;=B3263)+ISBLANK('warehouse config'!$H:$H))),1)),0))"),0.0)</f>
        <v>0</v>
      </c>
      <c r="H3263" s="3">
        <f>IFERROR(__xludf.DUMMYFUNCTION("IFERROR(INDEX(FILTER('cost master'!$E:$E,('cost master'!$B:$B=C3263)*('cost master'!$D:$D=""Storage cost per pallet / week"")*('cost master'!$G:$G&lt;=B3263)*(('cost master'!$H:$H&gt;=B3263)+ISBLANK('cost master'!$H:$H))),1),0)"),0.0)</f>
        <v>0</v>
      </c>
      <c r="I3263" s="3">
        <f t="shared" si="4"/>
        <v>0</v>
      </c>
      <c r="J3263" s="27">
        <f t="shared" si="5"/>
        <v>693947</v>
      </c>
      <c r="K3263" s="27">
        <f t="shared" si="6"/>
        <v>693977</v>
      </c>
    </row>
    <row r="3264" hidden="1">
      <c r="A3264" s="3" t="str">
        <f t="shared" si="3"/>
        <v/>
      </c>
      <c r="B3264" s="2" t="str">
        <f t="array" ref="B3264">INDEX(helper!$A$3:$A3996,ROUNDUP((ROW()-1)/COUNTA(helper!$D$3:$D3996),0))</f>
        <v/>
      </c>
      <c r="C3264" s="5" t="str">
        <f t="array" ref="C3264">IF(B3264="","",INDEX(helper!$D$3:$D3996,MOD(ROW()-2,COUNTA(helper!$D$3:$D3996))+1))</f>
        <v/>
      </c>
      <c r="D3264" s="3" t="str">
        <f t="array" ref="D3264">IF(B3264="","",INDEX(helper!$E$3:$E3996,MOD(ROW()-2,COUNTA(helper!$D$3:$D3996))+1))</f>
        <v/>
      </c>
      <c r="E3264" s="3" t="str">
        <f t="array" ref="E3264">IF(B3264="","",INDEX(helper!$F$3:$F3996,MOD(ROW()-2,COUNTA(helper!$D$3:$D3996))+1))</f>
        <v/>
      </c>
      <c r="F3264" s="3" t="str">
        <f>IF(B3264="","",SUMIFS('inventory ledger'!$H:$H,'inventory ledger'!$C:$C,C3264,'inventory ledger'!$D:$D,D3264,'inventory ledger'!$E:$E,E3264,'inventory ledger'!$A:$A,"&lt;="&amp;B3264+TIME(23,59,59))-SUMIFS('inventory ledger'!$I:$I,'inventory ledger'!$C:$C,C3264,'inventory ledger'!$D:$D,D3264,'inventory ledger'!$E:$E,E3264,'inventory ledger'!$A:$A,"&lt;="&amp;B3264+TIME(23,59,59)))</f>
        <v/>
      </c>
      <c r="G3264" s="3">
        <f>IFERROR(__xludf.DUMMYFUNCTION("IF(F3264&lt;=0,0,IFERROR(ROUNDUP(F3264/INDEX(FILTER('warehouse config'!$D:$D,('warehouse config'!$B:$B=C3264)*('warehouse config'!$C:$C=D3264)*('warehouse config'!$G:$G&lt;=B3264)*(('warehouse config'!$H:$H&gt;=B3264)+ISBLANK('warehouse config'!$H:$H))),1)),0))"),0.0)</f>
        <v>0</v>
      </c>
      <c r="H3264" s="3">
        <f>IFERROR(__xludf.DUMMYFUNCTION("IFERROR(INDEX(FILTER('cost master'!$E:$E,('cost master'!$B:$B=C3264)*('cost master'!$D:$D=""Storage cost per pallet / week"")*('cost master'!$G:$G&lt;=B3264)*(('cost master'!$H:$H&gt;=B3264)+ISBLANK('cost master'!$H:$H))),1),0)"),0.0)</f>
        <v>0</v>
      </c>
      <c r="I3264" s="3">
        <f t="shared" si="4"/>
        <v>0</v>
      </c>
      <c r="J3264" s="27">
        <f t="shared" si="5"/>
        <v>693947</v>
      </c>
      <c r="K3264" s="27">
        <f t="shared" si="6"/>
        <v>693977</v>
      </c>
    </row>
    <row r="3265" hidden="1">
      <c r="A3265" s="3" t="str">
        <f t="shared" si="3"/>
        <v/>
      </c>
      <c r="B3265" s="2" t="str">
        <f t="array" ref="B3265">INDEX(helper!$A$3:$A3996,ROUNDUP((ROW()-1)/COUNTA(helper!$D$3:$D3996),0))</f>
        <v/>
      </c>
      <c r="C3265" s="5" t="str">
        <f t="array" ref="C3265">IF(B3265="","",INDEX(helper!$D$3:$D3996,MOD(ROW()-2,COUNTA(helper!$D$3:$D3996))+1))</f>
        <v/>
      </c>
      <c r="D3265" s="3" t="str">
        <f t="array" ref="D3265">IF(B3265="","",INDEX(helper!$E$3:$E3996,MOD(ROW()-2,COUNTA(helper!$D$3:$D3996))+1))</f>
        <v/>
      </c>
      <c r="E3265" s="3" t="str">
        <f t="array" ref="E3265">IF(B3265="","",INDEX(helper!$F$3:$F3996,MOD(ROW()-2,COUNTA(helper!$D$3:$D3996))+1))</f>
        <v/>
      </c>
      <c r="F3265" s="3" t="str">
        <f>IF(B3265="","",SUMIFS('inventory ledger'!$H:$H,'inventory ledger'!$C:$C,C3265,'inventory ledger'!$D:$D,D3265,'inventory ledger'!$E:$E,E3265,'inventory ledger'!$A:$A,"&lt;="&amp;B3265+TIME(23,59,59))-SUMIFS('inventory ledger'!$I:$I,'inventory ledger'!$C:$C,C3265,'inventory ledger'!$D:$D,D3265,'inventory ledger'!$E:$E,E3265,'inventory ledger'!$A:$A,"&lt;="&amp;B3265+TIME(23,59,59)))</f>
        <v/>
      </c>
      <c r="G3265" s="3">
        <f>IFERROR(__xludf.DUMMYFUNCTION("IF(F3265&lt;=0,0,IFERROR(ROUNDUP(F3265/INDEX(FILTER('warehouse config'!$D:$D,('warehouse config'!$B:$B=C3265)*('warehouse config'!$C:$C=D3265)*('warehouse config'!$G:$G&lt;=B3265)*(('warehouse config'!$H:$H&gt;=B3265)+ISBLANK('warehouse config'!$H:$H))),1)),0))"),0.0)</f>
        <v>0</v>
      </c>
      <c r="H3265" s="3">
        <f>IFERROR(__xludf.DUMMYFUNCTION("IFERROR(INDEX(FILTER('cost master'!$E:$E,('cost master'!$B:$B=C3265)*('cost master'!$D:$D=""Storage cost per pallet / week"")*('cost master'!$G:$G&lt;=B3265)*(('cost master'!$H:$H&gt;=B3265)+ISBLANK('cost master'!$H:$H))),1),0)"),0.0)</f>
        <v>0</v>
      </c>
      <c r="I3265" s="3">
        <f t="shared" si="4"/>
        <v>0</v>
      </c>
      <c r="J3265" s="27">
        <f t="shared" si="5"/>
        <v>693947</v>
      </c>
      <c r="K3265" s="27">
        <f t="shared" si="6"/>
        <v>693977</v>
      </c>
    </row>
    <row r="3266" hidden="1">
      <c r="A3266" s="3" t="str">
        <f t="shared" si="3"/>
        <v/>
      </c>
      <c r="B3266" s="2" t="str">
        <f t="array" ref="B3266">INDEX(helper!$A$3:$A3996,ROUNDUP((ROW()-1)/COUNTA(helper!$D$3:$D3996),0))</f>
        <v/>
      </c>
      <c r="C3266" s="5" t="str">
        <f t="array" ref="C3266">IF(B3266="","",INDEX(helper!$D$3:$D3996,MOD(ROW()-2,COUNTA(helper!$D$3:$D3996))+1))</f>
        <v/>
      </c>
      <c r="D3266" s="3" t="str">
        <f t="array" ref="D3266">IF(B3266="","",INDEX(helper!$E$3:$E3996,MOD(ROW()-2,COUNTA(helper!$D$3:$D3996))+1))</f>
        <v/>
      </c>
      <c r="E3266" s="3" t="str">
        <f t="array" ref="E3266">IF(B3266="","",INDEX(helper!$F$3:$F3996,MOD(ROW()-2,COUNTA(helper!$D$3:$D3996))+1))</f>
        <v/>
      </c>
      <c r="F3266" s="3" t="str">
        <f>IF(B3266="","",SUMIFS('inventory ledger'!$H:$H,'inventory ledger'!$C:$C,C3266,'inventory ledger'!$D:$D,D3266,'inventory ledger'!$E:$E,E3266,'inventory ledger'!$A:$A,"&lt;="&amp;B3266+TIME(23,59,59))-SUMIFS('inventory ledger'!$I:$I,'inventory ledger'!$C:$C,C3266,'inventory ledger'!$D:$D,D3266,'inventory ledger'!$E:$E,E3266,'inventory ledger'!$A:$A,"&lt;="&amp;B3266+TIME(23,59,59)))</f>
        <v/>
      </c>
      <c r="G3266" s="3">
        <f>IFERROR(__xludf.DUMMYFUNCTION("IF(F3266&lt;=0,0,IFERROR(ROUNDUP(F3266/INDEX(FILTER('warehouse config'!$D:$D,('warehouse config'!$B:$B=C3266)*('warehouse config'!$C:$C=D3266)*('warehouse config'!$G:$G&lt;=B3266)*(('warehouse config'!$H:$H&gt;=B3266)+ISBLANK('warehouse config'!$H:$H))),1)),0))"),0.0)</f>
        <v>0</v>
      </c>
      <c r="H3266" s="3">
        <f>IFERROR(__xludf.DUMMYFUNCTION("IFERROR(INDEX(FILTER('cost master'!$E:$E,('cost master'!$B:$B=C3266)*('cost master'!$D:$D=""Storage cost per pallet / week"")*('cost master'!$G:$G&lt;=B3266)*(('cost master'!$H:$H&gt;=B3266)+ISBLANK('cost master'!$H:$H))),1),0)"),0.0)</f>
        <v>0</v>
      </c>
      <c r="I3266" s="3">
        <f t="shared" si="4"/>
        <v>0</v>
      </c>
      <c r="J3266" s="27">
        <f t="shared" si="5"/>
        <v>693947</v>
      </c>
      <c r="K3266" s="27">
        <f t="shared" si="6"/>
        <v>693977</v>
      </c>
    </row>
    <row r="3267" hidden="1">
      <c r="A3267" s="3" t="str">
        <f t="shared" si="3"/>
        <v/>
      </c>
      <c r="B3267" s="2" t="str">
        <f t="array" ref="B3267">INDEX(helper!$A$3:$A3996,ROUNDUP((ROW()-1)/COUNTA(helper!$D$3:$D3996),0))</f>
        <v/>
      </c>
      <c r="C3267" s="5" t="str">
        <f t="array" ref="C3267">IF(B3267="","",INDEX(helper!$D$3:$D3996,MOD(ROW()-2,COUNTA(helper!$D$3:$D3996))+1))</f>
        <v/>
      </c>
      <c r="D3267" s="3" t="str">
        <f t="array" ref="D3267">IF(B3267="","",INDEX(helper!$E$3:$E3996,MOD(ROW()-2,COUNTA(helper!$D$3:$D3996))+1))</f>
        <v/>
      </c>
      <c r="E3267" s="3" t="str">
        <f t="array" ref="E3267">IF(B3267="","",INDEX(helper!$F$3:$F3996,MOD(ROW()-2,COUNTA(helper!$D$3:$D3996))+1))</f>
        <v/>
      </c>
      <c r="F3267" s="3" t="str">
        <f>IF(B3267="","",SUMIFS('inventory ledger'!$H:$H,'inventory ledger'!$C:$C,C3267,'inventory ledger'!$D:$D,D3267,'inventory ledger'!$E:$E,E3267,'inventory ledger'!$A:$A,"&lt;="&amp;B3267+TIME(23,59,59))-SUMIFS('inventory ledger'!$I:$I,'inventory ledger'!$C:$C,C3267,'inventory ledger'!$D:$D,D3267,'inventory ledger'!$E:$E,E3267,'inventory ledger'!$A:$A,"&lt;="&amp;B3267+TIME(23,59,59)))</f>
        <v/>
      </c>
      <c r="G3267" s="3">
        <f>IFERROR(__xludf.DUMMYFUNCTION("IF(F3267&lt;=0,0,IFERROR(ROUNDUP(F3267/INDEX(FILTER('warehouse config'!$D:$D,('warehouse config'!$B:$B=C3267)*('warehouse config'!$C:$C=D3267)*('warehouse config'!$G:$G&lt;=B3267)*(('warehouse config'!$H:$H&gt;=B3267)+ISBLANK('warehouse config'!$H:$H))),1)),0))"),0.0)</f>
        <v>0</v>
      </c>
      <c r="H3267" s="3">
        <f>IFERROR(__xludf.DUMMYFUNCTION("IFERROR(INDEX(FILTER('cost master'!$E:$E,('cost master'!$B:$B=C3267)*('cost master'!$D:$D=""Storage cost per pallet / week"")*('cost master'!$G:$G&lt;=B3267)*(('cost master'!$H:$H&gt;=B3267)+ISBLANK('cost master'!$H:$H))),1),0)"),0.0)</f>
        <v>0</v>
      </c>
      <c r="I3267" s="3">
        <f t="shared" si="4"/>
        <v>0</v>
      </c>
      <c r="J3267" s="27">
        <f t="shared" si="5"/>
        <v>693947</v>
      </c>
      <c r="K3267" s="27">
        <f t="shared" si="6"/>
        <v>693977</v>
      </c>
    </row>
    <row r="3268" hidden="1">
      <c r="A3268" s="3" t="str">
        <f t="shared" si="3"/>
        <v/>
      </c>
      <c r="B3268" s="2" t="str">
        <f t="array" ref="B3268">INDEX(helper!$A$3:$A3996,ROUNDUP((ROW()-1)/COUNTA(helper!$D$3:$D3996),0))</f>
        <v/>
      </c>
      <c r="C3268" s="5" t="str">
        <f t="array" ref="C3268">IF(B3268="","",INDEX(helper!$D$3:$D3996,MOD(ROW()-2,COUNTA(helper!$D$3:$D3996))+1))</f>
        <v/>
      </c>
      <c r="D3268" s="3" t="str">
        <f t="array" ref="D3268">IF(B3268="","",INDEX(helper!$E$3:$E3996,MOD(ROW()-2,COUNTA(helper!$D$3:$D3996))+1))</f>
        <v/>
      </c>
      <c r="E3268" s="3" t="str">
        <f t="array" ref="E3268">IF(B3268="","",INDEX(helper!$F$3:$F3996,MOD(ROW()-2,COUNTA(helper!$D$3:$D3996))+1))</f>
        <v/>
      </c>
      <c r="F3268" s="3" t="str">
        <f>IF(B3268="","",SUMIFS('inventory ledger'!$H:$H,'inventory ledger'!$C:$C,C3268,'inventory ledger'!$D:$D,D3268,'inventory ledger'!$E:$E,E3268,'inventory ledger'!$A:$A,"&lt;="&amp;B3268+TIME(23,59,59))-SUMIFS('inventory ledger'!$I:$I,'inventory ledger'!$C:$C,C3268,'inventory ledger'!$D:$D,D3268,'inventory ledger'!$E:$E,E3268,'inventory ledger'!$A:$A,"&lt;="&amp;B3268+TIME(23,59,59)))</f>
        <v/>
      </c>
      <c r="G3268" s="3">
        <f>IFERROR(__xludf.DUMMYFUNCTION("IF(F3268&lt;=0,0,IFERROR(ROUNDUP(F3268/INDEX(FILTER('warehouse config'!$D:$D,('warehouse config'!$B:$B=C3268)*('warehouse config'!$C:$C=D3268)*('warehouse config'!$G:$G&lt;=B3268)*(('warehouse config'!$H:$H&gt;=B3268)+ISBLANK('warehouse config'!$H:$H))),1)),0))"),0.0)</f>
        <v>0</v>
      </c>
      <c r="H3268" s="3">
        <f>IFERROR(__xludf.DUMMYFUNCTION("IFERROR(INDEX(FILTER('cost master'!$E:$E,('cost master'!$B:$B=C3268)*('cost master'!$D:$D=""Storage cost per pallet / week"")*('cost master'!$G:$G&lt;=B3268)*(('cost master'!$H:$H&gt;=B3268)+ISBLANK('cost master'!$H:$H))),1),0)"),0.0)</f>
        <v>0</v>
      </c>
      <c r="I3268" s="3">
        <f t="shared" si="4"/>
        <v>0</v>
      </c>
      <c r="J3268" s="27">
        <f t="shared" si="5"/>
        <v>693947</v>
      </c>
      <c r="K3268" s="27">
        <f t="shared" si="6"/>
        <v>693977</v>
      </c>
    </row>
    <row r="3269" hidden="1">
      <c r="A3269" s="3" t="str">
        <f t="shared" si="3"/>
        <v/>
      </c>
      <c r="B3269" s="2" t="str">
        <f t="array" ref="B3269">INDEX(helper!$A$3:$A3996,ROUNDUP((ROW()-1)/COUNTA(helper!$D$3:$D3996),0))</f>
        <v/>
      </c>
      <c r="C3269" s="5" t="str">
        <f t="array" ref="C3269">IF(B3269="","",INDEX(helper!$D$3:$D3996,MOD(ROW()-2,COUNTA(helper!$D$3:$D3996))+1))</f>
        <v/>
      </c>
      <c r="D3269" s="3" t="str">
        <f t="array" ref="D3269">IF(B3269="","",INDEX(helper!$E$3:$E3996,MOD(ROW()-2,COUNTA(helper!$D$3:$D3996))+1))</f>
        <v/>
      </c>
      <c r="E3269" s="3" t="str">
        <f t="array" ref="E3269">IF(B3269="","",INDEX(helper!$F$3:$F3996,MOD(ROW()-2,COUNTA(helper!$D$3:$D3996))+1))</f>
        <v/>
      </c>
      <c r="F3269" s="3" t="str">
        <f>IF(B3269="","",SUMIFS('inventory ledger'!$H:$H,'inventory ledger'!$C:$C,C3269,'inventory ledger'!$D:$D,D3269,'inventory ledger'!$E:$E,E3269,'inventory ledger'!$A:$A,"&lt;="&amp;B3269+TIME(23,59,59))-SUMIFS('inventory ledger'!$I:$I,'inventory ledger'!$C:$C,C3269,'inventory ledger'!$D:$D,D3269,'inventory ledger'!$E:$E,E3269,'inventory ledger'!$A:$A,"&lt;="&amp;B3269+TIME(23,59,59)))</f>
        <v/>
      </c>
      <c r="G3269" s="3">
        <f>IFERROR(__xludf.DUMMYFUNCTION("IF(F3269&lt;=0,0,IFERROR(ROUNDUP(F3269/INDEX(FILTER('warehouse config'!$D:$D,('warehouse config'!$B:$B=C3269)*('warehouse config'!$C:$C=D3269)*('warehouse config'!$G:$G&lt;=B3269)*(('warehouse config'!$H:$H&gt;=B3269)+ISBLANK('warehouse config'!$H:$H))),1)),0))"),0.0)</f>
        <v>0</v>
      </c>
      <c r="H3269" s="3">
        <f>IFERROR(__xludf.DUMMYFUNCTION("IFERROR(INDEX(FILTER('cost master'!$E:$E,('cost master'!$B:$B=C3269)*('cost master'!$D:$D=""Storage cost per pallet / week"")*('cost master'!$G:$G&lt;=B3269)*(('cost master'!$H:$H&gt;=B3269)+ISBLANK('cost master'!$H:$H))),1),0)"),0.0)</f>
        <v>0</v>
      </c>
      <c r="I3269" s="3">
        <f t="shared" si="4"/>
        <v>0</v>
      </c>
      <c r="J3269" s="27">
        <f t="shared" si="5"/>
        <v>693947</v>
      </c>
      <c r="K3269" s="27">
        <f t="shared" si="6"/>
        <v>693977</v>
      </c>
    </row>
    <row r="3270" hidden="1">
      <c r="A3270" s="3" t="str">
        <f t="shared" si="3"/>
        <v/>
      </c>
      <c r="B3270" s="2" t="str">
        <f t="array" ref="B3270">INDEX(helper!$A$3:$A3996,ROUNDUP((ROW()-1)/COUNTA(helper!$D$3:$D3996),0))</f>
        <v/>
      </c>
      <c r="C3270" s="5" t="str">
        <f t="array" ref="C3270">IF(B3270="","",INDEX(helper!$D$3:$D3996,MOD(ROW()-2,COUNTA(helper!$D$3:$D3996))+1))</f>
        <v/>
      </c>
      <c r="D3270" s="3" t="str">
        <f t="array" ref="D3270">IF(B3270="","",INDEX(helper!$E$3:$E3996,MOD(ROW()-2,COUNTA(helper!$D$3:$D3996))+1))</f>
        <v/>
      </c>
      <c r="E3270" s="3" t="str">
        <f t="array" ref="E3270">IF(B3270="","",INDEX(helper!$F$3:$F3996,MOD(ROW()-2,COUNTA(helper!$D$3:$D3996))+1))</f>
        <v/>
      </c>
      <c r="F3270" s="3" t="str">
        <f>IF(B3270="","",SUMIFS('inventory ledger'!$H:$H,'inventory ledger'!$C:$C,C3270,'inventory ledger'!$D:$D,D3270,'inventory ledger'!$E:$E,E3270,'inventory ledger'!$A:$A,"&lt;="&amp;B3270+TIME(23,59,59))-SUMIFS('inventory ledger'!$I:$I,'inventory ledger'!$C:$C,C3270,'inventory ledger'!$D:$D,D3270,'inventory ledger'!$E:$E,E3270,'inventory ledger'!$A:$A,"&lt;="&amp;B3270+TIME(23,59,59)))</f>
        <v/>
      </c>
      <c r="G3270" s="3">
        <f>IFERROR(__xludf.DUMMYFUNCTION("IF(F3270&lt;=0,0,IFERROR(ROUNDUP(F3270/INDEX(FILTER('warehouse config'!$D:$D,('warehouse config'!$B:$B=C3270)*('warehouse config'!$C:$C=D3270)*('warehouse config'!$G:$G&lt;=B3270)*(('warehouse config'!$H:$H&gt;=B3270)+ISBLANK('warehouse config'!$H:$H))),1)),0))"),0.0)</f>
        <v>0</v>
      </c>
      <c r="H3270" s="3">
        <f>IFERROR(__xludf.DUMMYFUNCTION("IFERROR(INDEX(FILTER('cost master'!$E:$E,('cost master'!$B:$B=C3270)*('cost master'!$D:$D=""Storage cost per pallet / week"")*('cost master'!$G:$G&lt;=B3270)*(('cost master'!$H:$H&gt;=B3270)+ISBLANK('cost master'!$H:$H))),1),0)"),0.0)</f>
        <v>0</v>
      </c>
      <c r="I3270" s="3">
        <f t="shared" si="4"/>
        <v>0</v>
      </c>
      <c r="J3270" s="27">
        <f t="shared" si="5"/>
        <v>693947</v>
      </c>
      <c r="K3270" s="27">
        <f t="shared" si="6"/>
        <v>693977</v>
      </c>
    </row>
    <row r="3271" hidden="1">
      <c r="A3271" s="3" t="str">
        <f t="shared" si="3"/>
        <v/>
      </c>
      <c r="B3271" s="2" t="str">
        <f t="array" ref="B3271">INDEX(helper!$A$3:$A3996,ROUNDUP((ROW()-1)/COUNTA(helper!$D$3:$D3996),0))</f>
        <v/>
      </c>
      <c r="C3271" s="5" t="str">
        <f t="array" ref="C3271">IF(B3271="","",INDEX(helper!$D$3:$D3996,MOD(ROW()-2,COUNTA(helper!$D$3:$D3996))+1))</f>
        <v/>
      </c>
      <c r="D3271" s="3" t="str">
        <f t="array" ref="D3271">IF(B3271="","",INDEX(helper!$E$3:$E3996,MOD(ROW()-2,COUNTA(helper!$D$3:$D3996))+1))</f>
        <v/>
      </c>
      <c r="E3271" s="3" t="str">
        <f t="array" ref="E3271">IF(B3271="","",INDEX(helper!$F$3:$F3996,MOD(ROW()-2,COUNTA(helper!$D$3:$D3996))+1))</f>
        <v/>
      </c>
      <c r="F3271" s="3" t="str">
        <f>IF(B3271="","",SUMIFS('inventory ledger'!$H:$H,'inventory ledger'!$C:$C,C3271,'inventory ledger'!$D:$D,D3271,'inventory ledger'!$E:$E,E3271,'inventory ledger'!$A:$A,"&lt;="&amp;B3271+TIME(23,59,59))-SUMIFS('inventory ledger'!$I:$I,'inventory ledger'!$C:$C,C3271,'inventory ledger'!$D:$D,D3271,'inventory ledger'!$E:$E,E3271,'inventory ledger'!$A:$A,"&lt;="&amp;B3271+TIME(23,59,59)))</f>
        <v/>
      </c>
      <c r="G3271" s="3">
        <f>IFERROR(__xludf.DUMMYFUNCTION("IF(F3271&lt;=0,0,IFERROR(ROUNDUP(F3271/INDEX(FILTER('warehouse config'!$D:$D,('warehouse config'!$B:$B=C3271)*('warehouse config'!$C:$C=D3271)*('warehouse config'!$G:$G&lt;=B3271)*(('warehouse config'!$H:$H&gt;=B3271)+ISBLANK('warehouse config'!$H:$H))),1)),0))"),0.0)</f>
        <v>0</v>
      </c>
      <c r="H3271" s="3">
        <f>IFERROR(__xludf.DUMMYFUNCTION("IFERROR(INDEX(FILTER('cost master'!$E:$E,('cost master'!$B:$B=C3271)*('cost master'!$D:$D=""Storage cost per pallet / week"")*('cost master'!$G:$G&lt;=B3271)*(('cost master'!$H:$H&gt;=B3271)+ISBLANK('cost master'!$H:$H))),1),0)"),0.0)</f>
        <v>0</v>
      </c>
      <c r="I3271" s="3">
        <f t="shared" si="4"/>
        <v>0</v>
      </c>
      <c r="J3271" s="27">
        <f t="shared" si="5"/>
        <v>693947</v>
      </c>
      <c r="K3271" s="27">
        <f t="shared" si="6"/>
        <v>693977</v>
      </c>
    </row>
    <row r="3272" hidden="1">
      <c r="A3272" s="3" t="str">
        <f t="shared" si="3"/>
        <v/>
      </c>
      <c r="B3272" s="2" t="str">
        <f t="array" ref="B3272">INDEX(helper!$A$3:$A3996,ROUNDUP((ROW()-1)/COUNTA(helper!$D$3:$D3996),0))</f>
        <v/>
      </c>
      <c r="C3272" s="5" t="str">
        <f t="array" ref="C3272">IF(B3272="","",INDEX(helper!$D$3:$D3996,MOD(ROW()-2,COUNTA(helper!$D$3:$D3996))+1))</f>
        <v/>
      </c>
      <c r="D3272" s="3" t="str">
        <f t="array" ref="D3272">IF(B3272="","",INDEX(helper!$E$3:$E3996,MOD(ROW()-2,COUNTA(helper!$D$3:$D3996))+1))</f>
        <v/>
      </c>
      <c r="E3272" s="3" t="str">
        <f t="array" ref="E3272">IF(B3272="","",INDEX(helper!$F$3:$F3996,MOD(ROW()-2,COUNTA(helper!$D$3:$D3996))+1))</f>
        <v/>
      </c>
      <c r="F3272" s="3" t="str">
        <f>IF(B3272="","",SUMIFS('inventory ledger'!$H:$H,'inventory ledger'!$C:$C,C3272,'inventory ledger'!$D:$D,D3272,'inventory ledger'!$E:$E,E3272,'inventory ledger'!$A:$A,"&lt;="&amp;B3272+TIME(23,59,59))-SUMIFS('inventory ledger'!$I:$I,'inventory ledger'!$C:$C,C3272,'inventory ledger'!$D:$D,D3272,'inventory ledger'!$E:$E,E3272,'inventory ledger'!$A:$A,"&lt;="&amp;B3272+TIME(23,59,59)))</f>
        <v/>
      </c>
      <c r="G3272" s="3">
        <f>IFERROR(__xludf.DUMMYFUNCTION("IF(F3272&lt;=0,0,IFERROR(ROUNDUP(F3272/INDEX(FILTER('warehouse config'!$D:$D,('warehouse config'!$B:$B=C3272)*('warehouse config'!$C:$C=D3272)*('warehouse config'!$G:$G&lt;=B3272)*(('warehouse config'!$H:$H&gt;=B3272)+ISBLANK('warehouse config'!$H:$H))),1)),0))"),0.0)</f>
        <v>0</v>
      </c>
      <c r="H3272" s="3">
        <f>IFERROR(__xludf.DUMMYFUNCTION("IFERROR(INDEX(FILTER('cost master'!$E:$E,('cost master'!$B:$B=C3272)*('cost master'!$D:$D=""Storage cost per pallet / week"")*('cost master'!$G:$G&lt;=B3272)*(('cost master'!$H:$H&gt;=B3272)+ISBLANK('cost master'!$H:$H))),1),0)"),0.0)</f>
        <v>0</v>
      </c>
      <c r="I3272" s="3">
        <f t="shared" si="4"/>
        <v>0</v>
      </c>
      <c r="J3272" s="27">
        <f t="shared" si="5"/>
        <v>693947</v>
      </c>
      <c r="K3272" s="27">
        <f t="shared" si="6"/>
        <v>693977</v>
      </c>
    </row>
    <row r="3273" hidden="1">
      <c r="A3273" s="3" t="str">
        <f t="shared" si="3"/>
        <v/>
      </c>
      <c r="B3273" s="2" t="str">
        <f t="array" ref="B3273">INDEX(helper!$A$3:$A3996,ROUNDUP((ROW()-1)/COUNTA(helper!$D$3:$D3996),0))</f>
        <v/>
      </c>
      <c r="C3273" s="5" t="str">
        <f t="array" ref="C3273">IF(B3273="","",INDEX(helper!$D$3:$D3996,MOD(ROW()-2,COUNTA(helper!$D$3:$D3996))+1))</f>
        <v/>
      </c>
      <c r="D3273" s="3" t="str">
        <f t="array" ref="D3273">IF(B3273="","",INDEX(helper!$E$3:$E3996,MOD(ROW()-2,COUNTA(helper!$D$3:$D3996))+1))</f>
        <v/>
      </c>
      <c r="E3273" s="3" t="str">
        <f t="array" ref="E3273">IF(B3273="","",INDEX(helper!$F$3:$F3996,MOD(ROW()-2,COUNTA(helper!$D$3:$D3996))+1))</f>
        <v/>
      </c>
      <c r="F3273" s="3" t="str">
        <f>IF(B3273="","",SUMIFS('inventory ledger'!$H:$H,'inventory ledger'!$C:$C,C3273,'inventory ledger'!$D:$D,D3273,'inventory ledger'!$E:$E,E3273,'inventory ledger'!$A:$A,"&lt;="&amp;B3273+TIME(23,59,59))-SUMIFS('inventory ledger'!$I:$I,'inventory ledger'!$C:$C,C3273,'inventory ledger'!$D:$D,D3273,'inventory ledger'!$E:$E,E3273,'inventory ledger'!$A:$A,"&lt;="&amp;B3273+TIME(23,59,59)))</f>
        <v/>
      </c>
      <c r="G3273" s="3">
        <f>IFERROR(__xludf.DUMMYFUNCTION("IF(F3273&lt;=0,0,IFERROR(ROUNDUP(F3273/INDEX(FILTER('warehouse config'!$D:$D,('warehouse config'!$B:$B=C3273)*('warehouse config'!$C:$C=D3273)*('warehouse config'!$G:$G&lt;=B3273)*(('warehouse config'!$H:$H&gt;=B3273)+ISBLANK('warehouse config'!$H:$H))),1)),0))"),0.0)</f>
        <v>0</v>
      </c>
      <c r="H3273" s="3">
        <f>IFERROR(__xludf.DUMMYFUNCTION("IFERROR(INDEX(FILTER('cost master'!$E:$E,('cost master'!$B:$B=C3273)*('cost master'!$D:$D=""Storage cost per pallet / week"")*('cost master'!$G:$G&lt;=B3273)*(('cost master'!$H:$H&gt;=B3273)+ISBLANK('cost master'!$H:$H))),1),0)"),0.0)</f>
        <v>0</v>
      </c>
      <c r="I3273" s="3">
        <f t="shared" si="4"/>
        <v>0</v>
      </c>
      <c r="J3273" s="27">
        <f t="shared" si="5"/>
        <v>693947</v>
      </c>
      <c r="K3273" s="27">
        <f t="shared" si="6"/>
        <v>693977</v>
      </c>
    </row>
    <row r="3274" hidden="1">
      <c r="A3274" s="3" t="str">
        <f t="shared" si="3"/>
        <v/>
      </c>
      <c r="B3274" s="2" t="str">
        <f t="array" ref="B3274">INDEX(helper!$A$3:$A3996,ROUNDUP((ROW()-1)/COUNTA(helper!$D$3:$D3996),0))</f>
        <v/>
      </c>
      <c r="C3274" s="5" t="str">
        <f t="array" ref="C3274">IF(B3274="","",INDEX(helper!$D$3:$D3996,MOD(ROW()-2,COUNTA(helper!$D$3:$D3996))+1))</f>
        <v/>
      </c>
      <c r="D3274" s="3" t="str">
        <f t="array" ref="D3274">IF(B3274="","",INDEX(helper!$E$3:$E3996,MOD(ROW()-2,COUNTA(helper!$D$3:$D3996))+1))</f>
        <v/>
      </c>
      <c r="E3274" s="3" t="str">
        <f t="array" ref="E3274">IF(B3274="","",INDEX(helper!$F$3:$F3996,MOD(ROW()-2,COUNTA(helper!$D$3:$D3996))+1))</f>
        <v/>
      </c>
      <c r="F3274" s="3" t="str">
        <f>IF(B3274="","",SUMIFS('inventory ledger'!$H:$H,'inventory ledger'!$C:$C,C3274,'inventory ledger'!$D:$D,D3274,'inventory ledger'!$E:$E,E3274,'inventory ledger'!$A:$A,"&lt;="&amp;B3274+TIME(23,59,59))-SUMIFS('inventory ledger'!$I:$I,'inventory ledger'!$C:$C,C3274,'inventory ledger'!$D:$D,D3274,'inventory ledger'!$E:$E,E3274,'inventory ledger'!$A:$A,"&lt;="&amp;B3274+TIME(23,59,59)))</f>
        <v/>
      </c>
      <c r="G3274" s="3">
        <f>IFERROR(__xludf.DUMMYFUNCTION("IF(F3274&lt;=0,0,IFERROR(ROUNDUP(F3274/INDEX(FILTER('warehouse config'!$D:$D,('warehouse config'!$B:$B=C3274)*('warehouse config'!$C:$C=D3274)*('warehouse config'!$G:$G&lt;=B3274)*(('warehouse config'!$H:$H&gt;=B3274)+ISBLANK('warehouse config'!$H:$H))),1)),0))"),0.0)</f>
        <v>0</v>
      </c>
      <c r="H3274" s="3">
        <f>IFERROR(__xludf.DUMMYFUNCTION("IFERROR(INDEX(FILTER('cost master'!$E:$E,('cost master'!$B:$B=C3274)*('cost master'!$D:$D=""Storage cost per pallet / week"")*('cost master'!$G:$G&lt;=B3274)*(('cost master'!$H:$H&gt;=B3274)+ISBLANK('cost master'!$H:$H))),1),0)"),0.0)</f>
        <v>0</v>
      </c>
      <c r="I3274" s="3">
        <f t="shared" si="4"/>
        <v>0</v>
      </c>
      <c r="J3274" s="27">
        <f t="shared" si="5"/>
        <v>693947</v>
      </c>
      <c r="K3274" s="27">
        <f t="shared" si="6"/>
        <v>693977</v>
      </c>
    </row>
    <row r="3275" hidden="1">
      <c r="A3275" s="3" t="str">
        <f t="shared" si="3"/>
        <v/>
      </c>
      <c r="B3275" s="2" t="str">
        <f t="array" ref="B3275">INDEX(helper!$A$3:$A3996,ROUNDUP((ROW()-1)/COUNTA(helper!$D$3:$D3996),0))</f>
        <v/>
      </c>
      <c r="C3275" s="5" t="str">
        <f t="array" ref="C3275">IF(B3275="","",INDEX(helper!$D$3:$D3996,MOD(ROW()-2,COUNTA(helper!$D$3:$D3996))+1))</f>
        <v/>
      </c>
      <c r="D3275" s="3" t="str">
        <f t="array" ref="D3275">IF(B3275="","",INDEX(helper!$E$3:$E3996,MOD(ROW()-2,COUNTA(helper!$D$3:$D3996))+1))</f>
        <v/>
      </c>
      <c r="E3275" s="3" t="str">
        <f t="array" ref="E3275">IF(B3275="","",INDEX(helper!$F$3:$F3996,MOD(ROW()-2,COUNTA(helper!$D$3:$D3996))+1))</f>
        <v/>
      </c>
      <c r="F3275" s="3" t="str">
        <f>IF(B3275="","",SUMIFS('inventory ledger'!$H:$H,'inventory ledger'!$C:$C,C3275,'inventory ledger'!$D:$D,D3275,'inventory ledger'!$E:$E,E3275,'inventory ledger'!$A:$A,"&lt;="&amp;B3275+TIME(23,59,59))-SUMIFS('inventory ledger'!$I:$I,'inventory ledger'!$C:$C,C3275,'inventory ledger'!$D:$D,D3275,'inventory ledger'!$E:$E,E3275,'inventory ledger'!$A:$A,"&lt;="&amp;B3275+TIME(23,59,59)))</f>
        <v/>
      </c>
      <c r="G3275" s="3">
        <f>IFERROR(__xludf.DUMMYFUNCTION("IF(F3275&lt;=0,0,IFERROR(ROUNDUP(F3275/INDEX(FILTER('warehouse config'!$D:$D,('warehouse config'!$B:$B=C3275)*('warehouse config'!$C:$C=D3275)*('warehouse config'!$G:$G&lt;=B3275)*(('warehouse config'!$H:$H&gt;=B3275)+ISBLANK('warehouse config'!$H:$H))),1)),0))"),0.0)</f>
        <v>0</v>
      </c>
      <c r="H3275" s="3">
        <f>IFERROR(__xludf.DUMMYFUNCTION("IFERROR(INDEX(FILTER('cost master'!$E:$E,('cost master'!$B:$B=C3275)*('cost master'!$D:$D=""Storage cost per pallet / week"")*('cost master'!$G:$G&lt;=B3275)*(('cost master'!$H:$H&gt;=B3275)+ISBLANK('cost master'!$H:$H))),1),0)"),0.0)</f>
        <v>0</v>
      </c>
      <c r="I3275" s="3">
        <f t="shared" si="4"/>
        <v>0</v>
      </c>
      <c r="J3275" s="27">
        <f t="shared" si="5"/>
        <v>693947</v>
      </c>
      <c r="K3275" s="27">
        <f t="shared" si="6"/>
        <v>693977</v>
      </c>
    </row>
    <row r="3276" hidden="1">
      <c r="A3276" s="3" t="str">
        <f t="shared" si="3"/>
        <v/>
      </c>
      <c r="B3276" s="2" t="str">
        <f t="array" ref="B3276">INDEX(helper!$A$3:$A3996,ROUNDUP((ROW()-1)/COUNTA(helper!$D$3:$D3996),0))</f>
        <v/>
      </c>
      <c r="C3276" s="5" t="str">
        <f t="array" ref="C3276">IF(B3276="","",INDEX(helper!$D$3:$D3996,MOD(ROW()-2,COUNTA(helper!$D$3:$D3996))+1))</f>
        <v/>
      </c>
      <c r="D3276" s="3" t="str">
        <f t="array" ref="D3276">IF(B3276="","",INDEX(helper!$E$3:$E3996,MOD(ROW()-2,COUNTA(helper!$D$3:$D3996))+1))</f>
        <v/>
      </c>
      <c r="E3276" s="3" t="str">
        <f t="array" ref="E3276">IF(B3276="","",INDEX(helper!$F$3:$F3996,MOD(ROW()-2,COUNTA(helper!$D$3:$D3996))+1))</f>
        <v/>
      </c>
      <c r="F3276" s="3" t="str">
        <f>IF(B3276="","",SUMIFS('inventory ledger'!$H:$H,'inventory ledger'!$C:$C,C3276,'inventory ledger'!$D:$D,D3276,'inventory ledger'!$E:$E,E3276,'inventory ledger'!$A:$A,"&lt;="&amp;B3276+TIME(23,59,59))-SUMIFS('inventory ledger'!$I:$I,'inventory ledger'!$C:$C,C3276,'inventory ledger'!$D:$D,D3276,'inventory ledger'!$E:$E,E3276,'inventory ledger'!$A:$A,"&lt;="&amp;B3276+TIME(23,59,59)))</f>
        <v/>
      </c>
      <c r="G3276" s="3">
        <f>IFERROR(__xludf.DUMMYFUNCTION("IF(F3276&lt;=0,0,IFERROR(ROUNDUP(F3276/INDEX(FILTER('warehouse config'!$D:$D,('warehouse config'!$B:$B=C3276)*('warehouse config'!$C:$C=D3276)*('warehouse config'!$G:$G&lt;=B3276)*(('warehouse config'!$H:$H&gt;=B3276)+ISBLANK('warehouse config'!$H:$H))),1)),0))"),0.0)</f>
        <v>0</v>
      </c>
      <c r="H3276" s="3">
        <f>IFERROR(__xludf.DUMMYFUNCTION("IFERROR(INDEX(FILTER('cost master'!$E:$E,('cost master'!$B:$B=C3276)*('cost master'!$D:$D=""Storage cost per pallet / week"")*('cost master'!$G:$G&lt;=B3276)*(('cost master'!$H:$H&gt;=B3276)+ISBLANK('cost master'!$H:$H))),1),0)"),0.0)</f>
        <v>0</v>
      </c>
      <c r="I3276" s="3">
        <f t="shared" si="4"/>
        <v>0</v>
      </c>
      <c r="J3276" s="27">
        <f t="shared" si="5"/>
        <v>693947</v>
      </c>
      <c r="K3276" s="27">
        <f t="shared" si="6"/>
        <v>693977</v>
      </c>
    </row>
    <row r="3277" hidden="1">
      <c r="A3277" s="3" t="str">
        <f t="shared" si="3"/>
        <v/>
      </c>
      <c r="B3277" s="2" t="str">
        <f t="array" ref="B3277">INDEX(helper!$A$3:$A3996,ROUNDUP((ROW()-1)/COUNTA(helper!$D$3:$D3996),0))</f>
        <v/>
      </c>
      <c r="C3277" s="5" t="str">
        <f t="array" ref="C3277">IF(B3277="","",INDEX(helper!$D$3:$D3996,MOD(ROW()-2,COUNTA(helper!$D$3:$D3996))+1))</f>
        <v/>
      </c>
      <c r="D3277" s="3" t="str">
        <f t="array" ref="D3277">IF(B3277="","",INDEX(helper!$E$3:$E3996,MOD(ROW()-2,COUNTA(helper!$D$3:$D3996))+1))</f>
        <v/>
      </c>
      <c r="E3277" s="3" t="str">
        <f t="array" ref="E3277">IF(B3277="","",INDEX(helper!$F$3:$F3996,MOD(ROW()-2,COUNTA(helper!$D$3:$D3996))+1))</f>
        <v/>
      </c>
      <c r="F3277" s="3" t="str">
        <f>IF(B3277="","",SUMIFS('inventory ledger'!$H:$H,'inventory ledger'!$C:$C,C3277,'inventory ledger'!$D:$D,D3277,'inventory ledger'!$E:$E,E3277,'inventory ledger'!$A:$A,"&lt;="&amp;B3277+TIME(23,59,59))-SUMIFS('inventory ledger'!$I:$I,'inventory ledger'!$C:$C,C3277,'inventory ledger'!$D:$D,D3277,'inventory ledger'!$E:$E,E3277,'inventory ledger'!$A:$A,"&lt;="&amp;B3277+TIME(23,59,59)))</f>
        <v/>
      </c>
      <c r="G3277" s="3">
        <f>IFERROR(__xludf.DUMMYFUNCTION("IF(F3277&lt;=0,0,IFERROR(ROUNDUP(F3277/INDEX(FILTER('warehouse config'!$D:$D,('warehouse config'!$B:$B=C3277)*('warehouse config'!$C:$C=D3277)*('warehouse config'!$G:$G&lt;=B3277)*(('warehouse config'!$H:$H&gt;=B3277)+ISBLANK('warehouse config'!$H:$H))),1)),0))"),0.0)</f>
        <v>0</v>
      </c>
      <c r="H3277" s="3">
        <f>IFERROR(__xludf.DUMMYFUNCTION("IFERROR(INDEX(FILTER('cost master'!$E:$E,('cost master'!$B:$B=C3277)*('cost master'!$D:$D=""Storage cost per pallet / week"")*('cost master'!$G:$G&lt;=B3277)*(('cost master'!$H:$H&gt;=B3277)+ISBLANK('cost master'!$H:$H))),1),0)"),0.0)</f>
        <v>0</v>
      </c>
      <c r="I3277" s="3">
        <f t="shared" si="4"/>
        <v>0</v>
      </c>
      <c r="J3277" s="27">
        <f t="shared" si="5"/>
        <v>693947</v>
      </c>
      <c r="K3277" s="27">
        <f t="shared" si="6"/>
        <v>693977</v>
      </c>
    </row>
    <row r="3278" hidden="1">
      <c r="A3278" s="3" t="str">
        <f t="shared" si="3"/>
        <v/>
      </c>
      <c r="B3278" s="2" t="str">
        <f t="array" ref="B3278">INDEX(helper!$A$3:$A3996,ROUNDUP((ROW()-1)/COUNTA(helper!$D$3:$D3996),0))</f>
        <v/>
      </c>
      <c r="C3278" s="5" t="str">
        <f t="array" ref="C3278">IF(B3278="","",INDEX(helper!$D$3:$D3996,MOD(ROW()-2,COUNTA(helper!$D$3:$D3996))+1))</f>
        <v/>
      </c>
      <c r="D3278" s="3" t="str">
        <f t="array" ref="D3278">IF(B3278="","",INDEX(helper!$E$3:$E3996,MOD(ROW()-2,COUNTA(helper!$D$3:$D3996))+1))</f>
        <v/>
      </c>
      <c r="E3278" s="3" t="str">
        <f t="array" ref="E3278">IF(B3278="","",INDEX(helper!$F$3:$F3996,MOD(ROW()-2,COUNTA(helper!$D$3:$D3996))+1))</f>
        <v/>
      </c>
      <c r="F3278" s="3" t="str">
        <f>IF(B3278="","",SUMIFS('inventory ledger'!$H:$H,'inventory ledger'!$C:$C,C3278,'inventory ledger'!$D:$D,D3278,'inventory ledger'!$E:$E,E3278,'inventory ledger'!$A:$A,"&lt;="&amp;B3278+TIME(23,59,59))-SUMIFS('inventory ledger'!$I:$I,'inventory ledger'!$C:$C,C3278,'inventory ledger'!$D:$D,D3278,'inventory ledger'!$E:$E,E3278,'inventory ledger'!$A:$A,"&lt;="&amp;B3278+TIME(23,59,59)))</f>
        <v/>
      </c>
      <c r="G3278" s="3">
        <f>IFERROR(__xludf.DUMMYFUNCTION("IF(F3278&lt;=0,0,IFERROR(ROUNDUP(F3278/INDEX(FILTER('warehouse config'!$D:$D,('warehouse config'!$B:$B=C3278)*('warehouse config'!$C:$C=D3278)*('warehouse config'!$G:$G&lt;=B3278)*(('warehouse config'!$H:$H&gt;=B3278)+ISBLANK('warehouse config'!$H:$H))),1)),0))"),0.0)</f>
        <v>0</v>
      </c>
      <c r="H3278" s="3">
        <f>IFERROR(__xludf.DUMMYFUNCTION("IFERROR(INDEX(FILTER('cost master'!$E:$E,('cost master'!$B:$B=C3278)*('cost master'!$D:$D=""Storage cost per pallet / week"")*('cost master'!$G:$G&lt;=B3278)*(('cost master'!$H:$H&gt;=B3278)+ISBLANK('cost master'!$H:$H))),1),0)"),0.0)</f>
        <v>0</v>
      </c>
      <c r="I3278" s="3">
        <f t="shared" si="4"/>
        <v>0</v>
      </c>
      <c r="J3278" s="27">
        <f t="shared" si="5"/>
        <v>693947</v>
      </c>
      <c r="K3278" s="27">
        <f t="shared" si="6"/>
        <v>693977</v>
      </c>
    </row>
    <row r="3279" hidden="1">
      <c r="A3279" s="3" t="str">
        <f t="shared" si="3"/>
        <v/>
      </c>
      <c r="B3279" s="2" t="str">
        <f t="array" ref="B3279">INDEX(helper!$A$3:$A3996,ROUNDUP((ROW()-1)/COUNTA(helper!$D$3:$D3996),0))</f>
        <v/>
      </c>
      <c r="C3279" s="5" t="str">
        <f t="array" ref="C3279">IF(B3279="","",INDEX(helper!$D$3:$D3996,MOD(ROW()-2,COUNTA(helper!$D$3:$D3996))+1))</f>
        <v/>
      </c>
      <c r="D3279" s="3" t="str">
        <f t="array" ref="D3279">IF(B3279="","",INDEX(helper!$E$3:$E3996,MOD(ROW()-2,COUNTA(helper!$D$3:$D3996))+1))</f>
        <v/>
      </c>
      <c r="E3279" s="3" t="str">
        <f t="array" ref="E3279">IF(B3279="","",INDEX(helper!$F$3:$F3996,MOD(ROW()-2,COUNTA(helper!$D$3:$D3996))+1))</f>
        <v/>
      </c>
      <c r="F3279" s="3" t="str">
        <f>IF(B3279="","",SUMIFS('inventory ledger'!$H:$H,'inventory ledger'!$C:$C,C3279,'inventory ledger'!$D:$D,D3279,'inventory ledger'!$E:$E,E3279,'inventory ledger'!$A:$A,"&lt;="&amp;B3279+TIME(23,59,59))-SUMIFS('inventory ledger'!$I:$I,'inventory ledger'!$C:$C,C3279,'inventory ledger'!$D:$D,D3279,'inventory ledger'!$E:$E,E3279,'inventory ledger'!$A:$A,"&lt;="&amp;B3279+TIME(23,59,59)))</f>
        <v/>
      </c>
      <c r="G3279" s="3">
        <f>IFERROR(__xludf.DUMMYFUNCTION("IF(F3279&lt;=0,0,IFERROR(ROUNDUP(F3279/INDEX(FILTER('warehouse config'!$D:$D,('warehouse config'!$B:$B=C3279)*('warehouse config'!$C:$C=D3279)*('warehouse config'!$G:$G&lt;=B3279)*(('warehouse config'!$H:$H&gt;=B3279)+ISBLANK('warehouse config'!$H:$H))),1)),0))"),0.0)</f>
        <v>0</v>
      </c>
      <c r="H3279" s="3">
        <f>IFERROR(__xludf.DUMMYFUNCTION("IFERROR(INDEX(FILTER('cost master'!$E:$E,('cost master'!$B:$B=C3279)*('cost master'!$D:$D=""Storage cost per pallet / week"")*('cost master'!$G:$G&lt;=B3279)*(('cost master'!$H:$H&gt;=B3279)+ISBLANK('cost master'!$H:$H))),1),0)"),0.0)</f>
        <v>0</v>
      </c>
      <c r="I3279" s="3">
        <f t="shared" si="4"/>
        <v>0</v>
      </c>
      <c r="J3279" s="27">
        <f t="shared" si="5"/>
        <v>693947</v>
      </c>
      <c r="K3279" s="27">
        <f t="shared" si="6"/>
        <v>693977</v>
      </c>
    </row>
    <row r="3280" hidden="1">
      <c r="A3280" s="3" t="str">
        <f t="shared" si="3"/>
        <v/>
      </c>
      <c r="B3280" s="2" t="str">
        <f t="array" ref="B3280">INDEX(helper!$A$3:$A3996,ROUNDUP((ROW()-1)/COUNTA(helper!$D$3:$D3996),0))</f>
        <v/>
      </c>
      <c r="C3280" s="5" t="str">
        <f t="array" ref="C3280">IF(B3280="","",INDEX(helper!$D$3:$D3996,MOD(ROW()-2,COUNTA(helper!$D$3:$D3996))+1))</f>
        <v/>
      </c>
      <c r="D3280" s="3" t="str">
        <f t="array" ref="D3280">IF(B3280="","",INDEX(helper!$E$3:$E3996,MOD(ROW()-2,COUNTA(helper!$D$3:$D3996))+1))</f>
        <v/>
      </c>
      <c r="E3280" s="3" t="str">
        <f t="array" ref="E3280">IF(B3280="","",INDEX(helper!$F$3:$F3996,MOD(ROW()-2,COUNTA(helper!$D$3:$D3996))+1))</f>
        <v/>
      </c>
      <c r="F3280" s="3" t="str">
        <f>IF(B3280="","",SUMIFS('inventory ledger'!$H:$H,'inventory ledger'!$C:$C,C3280,'inventory ledger'!$D:$D,D3280,'inventory ledger'!$E:$E,E3280,'inventory ledger'!$A:$A,"&lt;="&amp;B3280+TIME(23,59,59))-SUMIFS('inventory ledger'!$I:$I,'inventory ledger'!$C:$C,C3280,'inventory ledger'!$D:$D,D3280,'inventory ledger'!$E:$E,E3280,'inventory ledger'!$A:$A,"&lt;="&amp;B3280+TIME(23,59,59)))</f>
        <v/>
      </c>
      <c r="G3280" s="3">
        <f>IFERROR(__xludf.DUMMYFUNCTION("IF(F3280&lt;=0,0,IFERROR(ROUNDUP(F3280/INDEX(FILTER('warehouse config'!$D:$D,('warehouse config'!$B:$B=C3280)*('warehouse config'!$C:$C=D3280)*('warehouse config'!$G:$G&lt;=B3280)*(('warehouse config'!$H:$H&gt;=B3280)+ISBLANK('warehouse config'!$H:$H))),1)),0))"),0.0)</f>
        <v>0</v>
      </c>
      <c r="H3280" s="3">
        <f>IFERROR(__xludf.DUMMYFUNCTION("IFERROR(INDEX(FILTER('cost master'!$E:$E,('cost master'!$B:$B=C3280)*('cost master'!$D:$D=""Storage cost per pallet / week"")*('cost master'!$G:$G&lt;=B3280)*(('cost master'!$H:$H&gt;=B3280)+ISBLANK('cost master'!$H:$H))),1),0)"),0.0)</f>
        <v>0</v>
      </c>
      <c r="I3280" s="3">
        <f t="shared" si="4"/>
        <v>0</v>
      </c>
      <c r="J3280" s="27">
        <f t="shared" si="5"/>
        <v>693947</v>
      </c>
      <c r="K3280" s="27">
        <f t="shared" si="6"/>
        <v>693977</v>
      </c>
    </row>
    <row r="3281" hidden="1">
      <c r="A3281" s="3" t="str">
        <f t="shared" si="3"/>
        <v/>
      </c>
      <c r="B3281" s="2" t="str">
        <f t="array" ref="B3281">INDEX(helper!$A$3:$A3996,ROUNDUP((ROW()-1)/COUNTA(helper!$D$3:$D3996),0))</f>
        <v/>
      </c>
      <c r="C3281" s="5" t="str">
        <f t="array" ref="C3281">IF(B3281="","",INDEX(helper!$D$3:$D3996,MOD(ROW()-2,COUNTA(helper!$D$3:$D3996))+1))</f>
        <v/>
      </c>
      <c r="D3281" s="3" t="str">
        <f t="array" ref="D3281">IF(B3281="","",INDEX(helper!$E$3:$E3996,MOD(ROW()-2,COUNTA(helper!$D$3:$D3996))+1))</f>
        <v/>
      </c>
      <c r="E3281" s="3" t="str">
        <f t="array" ref="E3281">IF(B3281="","",INDEX(helper!$F$3:$F3996,MOD(ROW()-2,COUNTA(helper!$D$3:$D3996))+1))</f>
        <v/>
      </c>
      <c r="F3281" s="3" t="str">
        <f>IF(B3281="","",SUMIFS('inventory ledger'!$H:$H,'inventory ledger'!$C:$C,C3281,'inventory ledger'!$D:$D,D3281,'inventory ledger'!$E:$E,E3281,'inventory ledger'!$A:$A,"&lt;="&amp;B3281+TIME(23,59,59))-SUMIFS('inventory ledger'!$I:$I,'inventory ledger'!$C:$C,C3281,'inventory ledger'!$D:$D,D3281,'inventory ledger'!$E:$E,E3281,'inventory ledger'!$A:$A,"&lt;="&amp;B3281+TIME(23,59,59)))</f>
        <v/>
      </c>
      <c r="G3281" s="3">
        <f>IFERROR(__xludf.DUMMYFUNCTION("IF(F3281&lt;=0,0,IFERROR(ROUNDUP(F3281/INDEX(FILTER('warehouse config'!$D:$D,('warehouse config'!$B:$B=C3281)*('warehouse config'!$C:$C=D3281)*('warehouse config'!$G:$G&lt;=B3281)*(('warehouse config'!$H:$H&gt;=B3281)+ISBLANK('warehouse config'!$H:$H))),1)),0))"),0.0)</f>
        <v>0</v>
      </c>
      <c r="H3281" s="3">
        <f>IFERROR(__xludf.DUMMYFUNCTION("IFERROR(INDEX(FILTER('cost master'!$E:$E,('cost master'!$B:$B=C3281)*('cost master'!$D:$D=""Storage cost per pallet / week"")*('cost master'!$G:$G&lt;=B3281)*(('cost master'!$H:$H&gt;=B3281)+ISBLANK('cost master'!$H:$H))),1),0)"),0.0)</f>
        <v>0</v>
      </c>
      <c r="I3281" s="3">
        <f t="shared" si="4"/>
        <v>0</v>
      </c>
      <c r="J3281" s="27">
        <f t="shared" si="5"/>
        <v>693947</v>
      </c>
      <c r="K3281" s="27">
        <f t="shared" si="6"/>
        <v>693977</v>
      </c>
    </row>
    <row r="3282" hidden="1">
      <c r="A3282" s="3" t="str">
        <f t="shared" si="3"/>
        <v/>
      </c>
      <c r="B3282" s="2" t="str">
        <f t="array" ref="B3282">INDEX(helper!$A$3:$A3996,ROUNDUP((ROW()-1)/COUNTA(helper!$D$3:$D3996),0))</f>
        <v/>
      </c>
      <c r="C3282" s="5" t="str">
        <f t="array" ref="C3282">IF(B3282="","",INDEX(helper!$D$3:$D3996,MOD(ROW()-2,COUNTA(helper!$D$3:$D3996))+1))</f>
        <v/>
      </c>
      <c r="D3282" s="3" t="str">
        <f t="array" ref="D3282">IF(B3282="","",INDEX(helper!$E$3:$E3996,MOD(ROW()-2,COUNTA(helper!$D$3:$D3996))+1))</f>
        <v/>
      </c>
      <c r="E3282" s="3" t="str">
        <f t="array" ref="E3282">IF(B3282="","",INDEX(helper!$F$3:$F3996,MOD(ROW()-2,COUNTA(helper!$D$3:$D3996))+1))</f>
        <v/>
      </c>
      <c r="F3282" s="3" t="str">
        <f>IF(B3282="","",SUMIFS('inventory ledger'!$H:$H,'inventory ledger'!$C:$C,C3282,'inventory ledger'!$D:$D,D3282,'inventory ledger'!$E:$E,E3282,'inventory ledger'!$A:$A,"&lt;="&amp;B3282+TIME(23,59,59))-SUMIFS('inventory ledger'!$I:$I,'inventory ledger'!$C:$C,C3282,'inventory ledger'!$D:$D,D3282,'inventory ledger'!$E:$E,E3282,'inventory ledger'!$A:$A,"&lt;="&amp;B3282+TIME(23,59,59)))</f>
        <v/>
      </c>
      <c r="G3282" s="3">
        <f>IFERROR(__xludf.DUMMYFUNCTION("IF(F3282&lt;=0,0,IFERROR(ROUNDUP(F3282/INDEX(FILTER('warehouse config'!$D:$D,('warehouse config'!$B:$B=C3282)*('warehouse config'!$C:$C=D3282)*('warehouse config'!$G:$G&lt;=B3282)*(('warehouse config'!$H:$H&gt;=B3282)+ISBLANK('warehouse config'!$H:$H))),1)),0))"),0.0)</f>
        <v>0</v>
      </c>
      <c r="H3282" s="3">
        <f>IFERROR(__xludf.DUMMYFUNCTION("IFERROR(INDEX(FILTER('cost master'!$E:$E,('cost master'!$B:$B=C3282)*('cost master'!$D:$D=""Storage cost per pallet / week"")*('cost master'!$G:$G&lt;=B3282)*(('cost master'!$H:$H&gt;=B3282)+ISBLANK('cost master'!$H:$H))),1),0)"),0.0)</f>
        <v>0</v>
      </c>
      <c r="I3282" s="3">
        <f t="shared" si="4"/>
        <v>0</v>
      </c>
      <c r="J3282" s="27">
        <f t="shared" si="5"/>
        <v>693947</v>
      </c>
      <c r="K3282" s="27">
        <f t="shared" si="6"/>
        <v>693977</v>
      </c>
    </row>
    <row r="3283" hidden="1">
      <c r="A3283" s="3" t="str">
        <f t="shared" si="3"/>
        <v/>
      </c>
      <c r="B3283" s="2" t="str">
        <f t="array" ref="B3283">INDEX(helper!$A$3:$A3996,ROUNDUP((ROW()-1)/COUNTA(helper!$D$3:$D3996),0))</f>
        <v/>
      </c>
      <c r="C3283" s="5" t="str">
        <f t="array" ref="C3283">IF(B3283="","",INDEX(helper!$D$3:$D3996,MOD(ROW()-2,COUNTA(helper!$D$3:$D3996))+1))</f>
        <v/>
      </c>
      <c r="D3283" s="3" t="str">
        <f t="array" ref="D3283">IF(B3283="","",INDEX(helper!$E$3:$E3996,MOD(ROW()-2,COUNTA(helper!$D$3:$D3996))+1))</f>
        <v/>
      </c>
      <c r="E3283" s="3" t="str">
        <f t="array" ref="E3283">IF(B3283="","",INDEX(helper!$F$3:$F3996,MOD(ROW()-2,COUNTA(helper!$D$3:$D3996))+1))</f>
        <v/>
      </c>
      <c r="F3283" s="3" t="str">
        <f>IF(B3283="","",SUMIFS('inventory ledger'!$H:$H,'inventory ledger'!$C:$C,C3283,'inventory ledger'!$D:$D,D3283,'inventory ledger'!$E:$E,E3283,'inventory ledger'!$A:$A,"&lt;="&amp;B3283+TIME(23,59,59))-SUMIFS('inventory ledger'!$I:$I,'inventory ledger'!$C:$C,C3283,'inventory ledger'!$D:$D,D3283,'inventory ledger'!$E:$E,E3283,'inventory ledger'!$A:$A,"&lt;="&amp;B3283+TIME(23,59,59)))</f>
        <v/>
      </c>
      <c r="G3283" s="3">
        <f>IFERROR(__xludf.DUMMYFUNCTION("IF(F3283&lt;=0,0,IFERROR(ROUNDUP(F3283/INDEX(FILTER('warehouse config'!$D:$D,('warehouse config'!$B:$B=C3283)*('warehouse config'!$C:$C=D3283)*('warehouse config'!$G:$G&lt;=B3283)*(('warehouse config'!$H:$H&gt;=B3283)+ISBLANK('warehouse config'!$H:$H))),1)),0))"),0.0)</f>
        <v>0</v>
      </c>
      <c r="H3283" s="3">
        <f>IFERROR(__xludf.DUMMYFUNCTION("IFERROR(INDEX(FILTER('cost master'!$E:$E,('cost master'!$B:$B=C3283)*('cost master'!$D:$D=""Storage cost per pallet / week"")*('cost master'!$G:$G&lt;=B3283)*(('cost master'!$H:$H&gt;=B3283)+ISBLANK('cost master'!$H:$H))),1),0)"),0.0)</f>
        <v>0</v>
      </c>
      <c r="I3283" s="3">
        <f t="shared" si="4"/>
        <v>0</v>
      </c>
      <c r="J3283" s="27">
        <f t="shared" si="5"/>
        <v>693947</v>
      </c>
      <c r="K3283" s="27">
        <f t="shared" si="6"/>
        <v>693977</v>
      </c>
    </row>
    <row r="3284" hidden="1">
      <c r="A3284" s="3" t="str">
        <f t="shared" si="3"/>
        <v/>
      </c>
      <c r="B3284" s="2" t="str">
        <f t="array" ref="B3284">INDEX(helper!$A$3:$A3996,ROUNDUP((ROW()-1)/COUNTA(helper!$D$3:$D3996),0))</f>
        <v/>
      </c>
      <c r="C3284" s="5" t="str">
        <f t="array" ref="C3284">IF(B3284="","",INDEX(helper!$D$3:$D3996,MOD(ROW()-2,COUNTA(helper!$D$3:$D3996))+1))</f>
        <v/>
      </c>
      <c r="D3284" s="3" t="str">
        <f t="array" ref="D3284">IF(B3284="","",INDEX(helper!$E$3:$E3996,MOD(ROW()-2,COUNTA(helper!$D$3:$D3996))+1))</f>
        <v/>
      </c>
      <c r="E3284" s="3" t="str">
        <f t="array" ref="E3284">IF(B3284="","",INDEX(helper!$F$3:$F3996,MOD(ROW()-2,COUNTA(helper!$D$3:$D3996))+1))</f>
        <v/>
      </c>
      <c r="F3284" s="3" t="str">
        <f>IF(B3284="","",SUMIFS('inventory ledger'!$H:$H,'inventory ledger'!$C:$C,C3284,'inventory ledger'!$D:$D,D3284,'inventory ledger'!$E:$E,E3284,'inventory ledger'!$A:$A,"&lt;="&amp;B3284+TIME(23,59,59))-SUMIFS('inventory ledger'!$I:$I,'inventory ledger'!$C:$C,C3284,'inventory ledger'!$D:$D,D3284,'inventory ledger'!$E:$E,E3284,'inventory ledger'!$A:$A,"&lt;="&amp;B3284+TIME(23,59,59)))</f>
        <v/>
      </c>
      <c r="G3284" s="3">
        <f>IFERROR(__xludf.DUMMYFUNCTION("IF(F3284&lt;=0,0,IFERROR(ROUNDUP(F3284/INDEX(FILTER('warehouse config'!$D:$D,('warehouse config'!$B:$B=C3284)*('warehouse config'!$C:$C=D3284)*('warehouse config'!$G:$G&lt;=B3284)*(('warehouse config'!$H:$H&gt;=B3284)+ISBLANK('warehouse config'!$H:$H))),1)),0))"),0.0)</f>
        <v>0</v>
      </c>
      <c r="H3284" s="3">
        <f>IFERROR(__xludf.DUMMYFUNCTION("IFERROR(INDEX(FILTER('cost master'!$E:$E,('cost master'!$B:$B=C3284)*('cost master'!$D:$D=""Storage cost per pallet / week"")*('cost master'!$G:$G&lt;=B3284)*(('cost master'!$H:$H&gt;=B3284)+ISBLANK('cost master'!$H:$H))),1),0)"),0.0)</f>
        <v>0</v>
      </c>
      <c r="I3284" s="3">
        <f t="shared" si="4"/>
        <v>0</v>
      </c>
      <c r="J3284" s="27">
        <f t="shared" si="5"/>
        <v>693947</v>
      </c>
      <c r="K3284" s="27">
        <f t="shared" si="6"/>
        <v>693977</v>
      </c>
    </row>
    <row r="3285" hidden="1">
      <c r="A3285" s="3" t="str">
        <f t="shared" si="3"/>
        <v/>
      </c>
      <c r="B3285" s="2" t="str">
        <f t="array" ref="B3285">INDEX(helper!$A$3:$A3996,ROUNDUP((ROW()-1)/COUNTA(helper!$D$3:$D3996),0))</f>
        <v/>
      </c>
      <c r="C3285" s="5" t="str">
        <f t="array" ref="C3285">IF(B3285="","",INDEX(helper!$D$3:$D3996,MOD(ROW()-2,COUNTA(helper!$D$3:$D3996))+1))</f>
        <v/>
      </c>
      <c r="D3285" s="3" t="str">
        <f t="array" ref="D3285">IF(B3285="","",INDEX(helper!$E$3:$E3996,MOD(ROW()-2,COUNTA(helper!$D$3:$D3996))+1))</f>
        <v/>
      </c>
      <c r="E3285" s="3" t="str">
        <f t="array" ref="E3285">IF(B3285="","",INDEX(helper!$F$3:$F3996,MOD(ROW()-2,COUNTA(helper!$D$3:$D3996))+1))</f>
        <v/>
      </c>
      <c r="F3285" s="3" t="str">
        <f>IF(B3285="","",SUMIFS('inventory ledger'!$H:$H,'inventory ledger'!$C:$C,C3285,'inventory ledger'!$D:$D,D3285,'inventory ledger'!$E:$E,E3285,'inventory ledger'!$A:$A,"&lt;="&amp;B3285+TIME(23,59,59))-SUMIFS('inventory ledger'!$I:$I,'inventory ledger'!$C:$C,C3285,'inventory ledger'!$D:$D,D3285,'inventory ledger'!$E:$E,E3285,'inventory ledger'!$A:$A,"&lt;="&amp;B3285+TIME(23,59,59)))</f>
        <v/>
      </c>
      <c r="G3285" s="3">
        <f>IFERROR(__xludf.DUMMYFUNCTION("IF(F3285&lt;=0,0,IFERROR(ROUNDUP(F3285/INDEX(FILTER('warehouse config'!$D:$D,('warehouse config'!$B:$B=C3285)*('warehouse config'!$C:$C=D3285)*('warehouse config'!$G:$G&lt;=B3285)*(('warehouse config'!$H:$H&gt;=B3285)+ISBLANK('warehouse config'!$H:$H))),1)),0))"),0.0)</f>
        <v>0</v>
      </c>
      <c r="H3285" s="3">
        <f>IFERROR(__xludf.DUMMYFUNCTION("IFERROR(INDEX(FILTER('cost master'!$E:$E,('cost master'!$B:$B=C3285)*('cost master'!$D:$D=""Storage cost per pallet / week"")*('cost master'!$G:$G&lt;=B3285)*(('cost master'!$H:$H&gt;=B3285)+ISBLANK('cost master'!$H:$H))),1),0)"),0.0)</f>
        <v>0</v>
      </c>
      <c r="I3285" s="3">
        <f t="shared" si="4"/>
        <v>0</v>
      </c>
      <c r="J3285" s="27">
        <f t="shared" si="5"/>
        <v>693947</v>
      </c>
      <c r="K3285" s="27">
        <f t="shared" si="6"/>
        <v>693977</v>
      </c>
    </row>
    <row r="3286" hidden="1">
      <c r="A3286" s="3" t="str">
        <f t="shared" si="3"/>
        <v/>
      </c>
      <c r="B3286" s="2" t="str">
        <f t="array" ref="B3286">INDEX(helper!$A$3:$A3996,ROUNDUP((ROW()-1)/COUNTA(helper!$D$3:$D3996),0))</f>
        <v/>
      </c>
      <c r="C3286" s="5" t="str">
        <f t="array" ref="C3286">IF(B3286="","",INDEX(helper!$D$3:$D3996,MOD(ROW()-2,COUNTA(helper!$D$3:$D3996))+1))</f>
        <v/>
      </c>
      <c r="D3286" s="3" t="str">
        <f t="array" ref="D3286">IF(B3286="","",INDEX(helper!$E$3:$E3996,MOD(ROW()-2,COUNTA(helper!$D$3:$D3996))+1))</f>
        <v/>
      </c>
      <c r="E3286" s="3" t="str">
        <f t="array" ref="E3286">IF(B3286="","",INDEX(helper!$F$3:$F3996,MOD(ROW()-2,COUNTA(helper!$D$3:$D3996))+1))</f>
        <v/>
      </c>
      <c r="F3286" s="3" t="str">
        <f>IF(B3286="","",SUMIFS('inventory ledger'!$H:$H,'inventory ledger'!$C:$C,C3286,'inventory ledger'!$D:$D,D3286,'inventory ledger'!$E:$E,E3286,'inventory ledger'!$A:$A,"&lt;="&amp;B3286+TIME(23,59,59))-SUMIFS('inventory ledger'!$I:$I,'inventory ledger'!$C:$C,C3286,'inventory ledger'!$D:$D,D3286,'inventory ledger'!$E:$E,E3286,'inventory ledger'!$A:$A,"&lt;="&amp;B3286+TIME(23,59,59)))</f>
        <v/>
      </c>
      <c r="G3286" s="3">
        <f>IFERROR(__xludf.DUMMYFUNCTION("IF(F3286&lt;=0,0,IFERROR(ROUNDUP(F3286/INDEX(FILTER('warehouse config'!$D:$D,('warehouse config'!$B:$B=C3286)*('warehouse config'!$C:$C=D3286)*('warehouse config'!$G:$G&lt;=B3286)*(('warehouse config'!$H:$H&gt;=B3286)+ISBLANK('warehouse config'!$H:$H))),1)),0))"),0.0)</f>
        <v>0</v>
      </c>
      <c r="H3286" s="3">
        <f>IFERROR(__xludf.DUMMYFUNCTION("IFERROR(INDEX(FILTER('cost master'!$E:$E,('cost master'!$B:$B=C3286)*('cost master'!$D:$D=""Storage cost per pallet / week"")*('cost master'!$G:$G&lt;=B3286)*(('cost master'!$H:$H&gt;=B3286)+ISBLANK('cost master'!$H:$H))),1),0)"),0.0)</f>
        <v>0</v>
      </c>
      <c r="I3286" s="3">
        <f t="shared" si="4"/>
        <v>0</v>
      </c>
      <c r="J3286" s="27">
        <f t="shared" si="5"/>
        <v>693947</v>
      </c>
      <c r="K3286" s="27">
        <f t="shared" si="6"/>
        <v>693977</v>
      </c>
    </row>
    <row r="3287" hidden="1">
      <c r="A3287" s="3" t="str">
        <f t="shared" si="3"/>
        <v/>
      </c>
      <c r="B3287" s="2" t="str">
        <f t="array" ref="B3287">INDEX(helper!$A$3:$A3996,ROUNDUP((ROW()-1)/COUNTA(helper!$D$3:$D3996),0))</f>
        <v/>
      </c>
      <c r="C3287" s="5" t="str">
        <f t="array" ref="C3287">IF(B3287="","",INDEX(helper!$D$3:$D3996,MOD(ROW()-2,COUNTA(helper!$D$3:$D3996))+1))</f>
        <v/>
      </c>
      <c r="D3287" s="3" t="str">
        <f t="array" ref="D3287">IF(B3287="","",INDEX(helper!$E$3:$E3996,MOD(ROW()-2,COUNTA(helper!$D$3:$D3996))+1))</f>
        <v/>
      </c>
      <c r="E3287" s="3" t="str">
        <f t="array" ref="E3287">IF(B3287="","",INDEX(helper!$F$3:$F3996,MOD(ROW()-2,COUNTA(helper!$D$3:$D3996))+1))</f>
        <v/>
      </c>
      <c r="F3287" s="3" t="str">
        <f>IF(B3287="","",SUMIFS('inventory ledger'!$H:$H,'inventory ledger'!$C:$C,C3287,'inventory ledger'!$D:$D,D3287,'inventory ledger'!$E:$E,E3287,'inventory ledger'!$A:$A,"&lt;="&amp;B3287+TIME(23,59,59))-SUMIFS('inventory ledger'!$I:$I,'inventory ledger'!$C:$C,C3287,'inventory ledger'!$D:$D,D3287,'inventory ledger'!$E:$E,E3287,'inventory ledger'!$A:$A,"&lt;="&amp;B3287+TIME(23,59,59)))</f>
        <v/>
      </c>
      <c r="G3287" s="3">
        <f>IFERROR(__xludf.DUMMYFUNCTION("IF(F3287&lt;=0,0,IFERROR(ROUNDUP(F3287/INDEX(FILTER('warehouse config'!$D:$D,('warehouse config'!$B:$B=C3287)*('warehouse config'!$C:$C=D3287)*('warehouse config'!$G:$G&lt;=B3287)*(('warehouse config'!$H:$H&gt;=B3287)+ISBLANK('warehouse config'!$H:$H))),1)),0))"),0.0)</f>
        <v>0</v>
      </c>
      <c r="H3287" s="3">
        <f>IFERROR(__xludf.DUMMYFUNCTION("IFERROR(INDEX(FILTER('cost master'!$E:$E,('cost master'!$B:$B=C3287)*('cost master'!$D:$D=""Storage cost per pallet / week"")*('cost master'!$G:$G&lt;=B3287)*(('cost master'!$H:$H&gt;=B3287)+ISBLANK('cost master'!$H:$H))),1),0)"),0.0)</f>
        <v>0</v>
      </c>
      <c r="I3287" s="3">
        <f t="shared" si="4"/>
        <v>0</v>
      </c>
      <c r="J3287" s="27">
        <f t="shared" si="5"/>
        <v>693947</v>
      </c>
      <c r="K3287" s="27">
        <f t="shared" si="6"/>
        <v>693977</v>
      </c>
    </row>
    <row r="3288" hidden="1">
      <c r="A3288" s="3" t="str">
        <f t="shared" si="3"/>
        <v/>
      </c>
      <c r="B3288" s="2" t="str">
        <f t="array" ref="B3288">INDEX(helper!$A$3:$A3996,ROUNDUP((ROW()-1)/COUNTA(helper!$D$3:$D3996),0))</f>
        <v/>
      </c>
      <c r="C3288" s="5" t="str">
        <f t="array" ref="C3288">IF(B3288="","",INDEX(helper!$D$3:$D3996,MOD(ROW()-2,COUNTA(helper!$D$3:$D3996))+1))</f>
        <v/>
      </c>
      <c r="D3288" s="3" t="str">
        <f t="array" ref="D3288">IF(B3288="","",INDEX(helper!$E$3:$E3996,MOD(ROW()-2,COUNTA(helper!$D$3:$D3996))+1))</f>
        <v/>
      </c>
      <c r="E3288" s="3" t="str">
        <f t="array" ref="E3288">IF(B3288="","",INDEX(helper!$F$3:$F3996,MOD(ROW()-2,COUNTA(helper!$D$3:$D3996))+1))</f>
        <v/>
      </c>
      <c r="F3288" s="3" t="str">
        <f>IF(B3288="","",SUMIFS('inventory ledger'!$H:$H,'inventory ledger'!$C:$C,C3288,'inventory ledger'!$D:$D,D3288,'inventory ledger'!$E:$E,E3288,'inventory ledger'!$A:$A,"&lt;="&amp;B3288+TIME(23,59,59))-SUMIFS('inventory ledger'!$I:$I,'inventory ledger'!$C:$C,C3288,'inventory ledger'!$D:$D,D3288,'inventory ledger'!$E:$E,E3288,'inventory ledger'!$A:$A,"&lt;="&amp;B3288+TIME(23,59,59)))</f>
        <v/>
      </c>
      <c r="G3288" s="3">
        <f>IFERROR(__xludf.DUMMYFUNCTION("IF(F3288&lt;=0,0,IFERROR(ROUNDUP(F3288/INDEX(FILTER('warehouse config'!$D:$D,('warehouse config'!$B:$B=C3288)*('warehouse config'!$C:$C=D3288)*('warehouse config'!$G:$G&lt;=B3288)*(('warehouse config'!$H:$H&gt;=B3288)+ISBLANK('warehouse config'!$H:$H))),1)),0))"),0.0)</f>
        <v>0</v>
      </c>
      <c r="H3288" s="3">
        <f>IFERROR(__xludf.DUMMYFUNCTION("IFERROR(INDEX(FILTER('cost master'!$E:$E,('cost master'!$B:$B=C3288)*('cost master'!$D:$D=""Storage cost per pallet / week"")*('cost master'!$G:$G&lt;=B3288)*(('cost master'!$H:$H&gt;=B3288)+ISBLANK('cost master'!$H:$H))),1),0)"),0.0)</f>
        <v>0</v>
      </c>
      <c r="I3288" s="3">
        <f t="shared" si="4"/>
        <v>0</v>
      </c>
      <c r="J3288" s="27">
        <f t="shared" si="5"/>
        <v>693947</v>
      </c>
      <c r="K3288" s="27">
        <f t="shared" si="6"/>
        <v>693977</v>
      </c>
    </row>
    <row r="3289" hidden="1">
      <c r="A3289" s="3" t="str">
        <f t="shared" si="3"/>
        <v/>
      </c>
      <c r="B3289" s="2" t="str">
        <f t="array" ref="B3289">INDEX(helper!$A$3:$A3996,ROUNDUP((ROW()-1)/COUNTA(helper!$D$3:$D3996),0))</f>
        <v/>
      </c>
      <c r="C3289" s="5" t="str">
        <f t="array" ref="C3289">IF(B3289="","",INDEX(helper!$D$3:$D3996,MOD(ROW()-2,COUNTA(helper!$D$3:$D3996))+1))</f>
        <v/>
      </c>
      <c r="D3289" s="3" t="str">
        <f t="array" ref="D3289">IF(B3289="","",INDEX(helper!$E$3:$E3996,MOD(ROW()-2,COUNTA(helper!$D$3:$D3996))+1))</f>
        <v/>
      </c>
      <c r="E3289" s="3" t="str">
        <f t="array" ref="E3289">IF(B3289="","",INDEX(helper!$F$3:$F3996,MOD(ROW()-2,COUNTA(helper!$D$3:$D3996))+1))</f>
        <v/>
      </c>
      <c r="F3289" s="3" t="str">
        <f>IF(B3289="","",SUMIFS('inventory ledger'!$H:$H,'inventory ledger'!$C:$C,C3289,'inventory ledger'!$D:$D,D3289,'inventory ledger'!$E:$E,E3289,'inventory ledger'!$A:$A,"&lt;="&amp;B3289+TIME(23,59,59))-SUMIFS('inventory ledger'!$I:$I,'inventory ledger'!$C:$C,C3289,'inventory ledger'!$D:$D,D3289,'inventory ledger'!$E:$E,E3289,'inventory ledger'!$A:$A,"&lt;="&amp;B3289+TIME(23,59,59)))</f>
        <v/>
      </c>
      <c r="G3289" s="3">
        <f>IFERROR(__xludf.DUMMYFUNCTION("IF(F3289&lt;=0,0,IFERROR(ROUNDUP(F3289/INDEX(FILTER('warehouse config'!$D:$D,('warehouse config'!$B:$B=C3289)*('warehouse config'!$C:$C=D3289)*('warehouse config'!$G:$G&lt;=B3289)*(('warehouse config'!$H:$H&gt;=B3289)+ISBLANK('warehouse config'!$H:$H))),1)),0))"),0.0)</f>
        <v>0</v>
      </c>
      <c r="H3289" s="3">
        <f>IFERROR(__xludf.DUMMYFUNCTION("IFERROR(INDEX(FILTER('cost master'!$E:$E,('cost master'!$B:$B=C3289)*('cost master'!$D:$D=""Storage cost per pallet / week"")*('cost master'!$G:$G&lt;=B3289)*(('cost master'!$H:$H&gt;=B3289)+ISBLANK('cost master'!$H:$H))),1),0)"),0.0)</f>
        <v>0</v>
      </c>
      <c r="I3289" s="3">
        <f t="shared" si="4"/>
        <v>0</v>
      </c>
      <c r="J3289" s="27">
        <f t="shared" si="5"/>
        <v>693947</v>
      </c>
      <c r="K3289" s="27">
        <f t="shared" si="6"/>
        <v>693977</v>
      </c>
    </row>
    <row r="3290" hidden="1">
      <c r="A3290" s="3" t="str">
        <f t="shared" si="3"/>
        <v/>
      </c>
      <c r="B3290" s="2" t="str">
        <f t="array" ref="B3290">INDEX(helper!$A$3:$A3996,ROUNDUP((ROW()-1)/COUNTA(helper!$D$3:$D3996),0))</f>
        <v/>
      </c>
      <c r="C3290" s="5" t="str">
        <f t="array" ref="C3290">IF(B3290="","",INDEX(helper!$D$3:$D3996,MOD(ROW()-2,COUNTA(helper!$D$3:$D3996))+1))</f>
        <v/>
      </c>
      <c r="D3290" s="3" t="str">
        <f t="array" ref="D3290">IF(B3290="","",INDEX(helper!$E$3:$E3996,MOD(ROW()-2,COUNTA(helper!$D$3:$D3996))+1))</f>
        <v/>
      </c>
      <c r="E3290" s="3" t="str">
        <f t="array" ref="E3290">IF(B3290="","",INDEX(helper!$F$3:$F3996,MOD(ROW()-2,COUNTA(helper!$D$3:$D3996))+1))</f>
        <v/>
      </c>
      <c r="F3290" s="3" t="str">
        <f>IF(B3290="","",SUMIFS('inventory ledger'!$H:$H,'inventory ledger'!$C:$C,C3290,'inventory ledger'!$D:$D,D3290,'inventory ledger'!$E:$E,E3290,'inventory ledger'!$A:$A,"&lt;="&amp;B3290+TIME(23,59,59))-SUMIFS('inventory ledger'!$I:$I,'inventory ledger'!$C:$C,C3290,'inventory ledger'!$D:$D,D3290,'inventory ledger'!$E:$E,E3290,'inventory ledger'!$A:$A,"&lt;="&amp;B3290+TIME(23,59,59)))</f>
        <v/>
      </c>
      <c r="G3290" s="3">
        <f>IFERROR(__xludf.DUMMYFUNCTION("IF(F3290&lt;=0,0,IFERROR(ROUNDUP(F3290/INDEX(FILTER('warehouse config'!$D:$D,('warehouse config'!$B:$B=C3290)*('warehouse config'!$C:$C=D3290)*('warehouse config'!$G:$G&lt;=B3290)*(('warehouse config'!$H:$H&gt;=B3290)+ISBLANK('warehouse config'!$H:$H))),1)),0))"),0.0)</f>
        <v>0</v>
      </c>
      <c r="H3290" s="3">
        <f>IFERROR(__xludf.DUMMYFUNCTION("IFERROR(INDEX(FILTER('cost master'!$E:$E,('cost master'!$B:$B=C3290)*('cost master'!$D:$D=""Storage cost per pallet / week"")*('cost master'!$G:$G&lt;=B3290)*(('cost master'!$H:$H&gt;=B3290)+ISBLANK('cost master'!$H:$H))),1),0)"),0.0)</f>
        <v>0</v>
      </c>
      <c r="I3290" s="3">
        <f t="shared" si="4"/>
        <v>0</v>
      </c>
      <c r="J3290" s="27">
        <f t="shared" si="5"/>
        <v>693947</v>
      </c>
      <c r="K3290" s="27">
        <f t="shared" si="6"/>
        <v>693977</v>
      </c>
    </row>
    <row r="3291" hidden="1">
      <c r="A3291" s="3" t="str">
        <f t="shared" si="3"/>
        <v/>
      </c>
      <c r="B3291" s="2" t="str">
        <f t="array" ref="B3291">INDEX(helper!$A$3:$A3996,ROUNDUP((ROW()-1)/COUNTA(helper!$D$3:$D3996),0))</f>
        <v/>
      </c>
      <c r="C3291" s="5" t="str">
        <f t="array" ref="C3291">IF(B3291="","",INDEX(helper!$D$3:$D3996,MOD(ROW()-2,COUNTA(helper!$D$3:$D3996))+1))</f>
        <v/>
      </c>
      <c r="D3291" s="3" t="str">
        <f t="array" ref="D3291">IF(B3291="","",INDEX(helper!$E$3:$E3996,MOD(ROW()-2,COUNTA(helper!$D$3:$D3996))+1))</f>
        <v/>
      </c>
      <c r="E3291" s="3" t="str">
        <f t="array" ref="E3291">IF(B3291="","",INDEX(helper!$F$3:$F3996,MOD(ROW()-2,COUNTA(helper!$D$3:$D3996))+1))</f>
        <v/>
      </c>
      <c r="F3291" s="3" t="str">
        <f>IF(B3291="","",SUMIFS('inventory ledger'!$H:$H,'inventory ledger'!$C:$C,C3291,'inventory ledger'!$D:$D,D3291,'inventory ledger'!$E:$E,E3291,'inventory ledger'!$A:$A,"&lt;="&amp;B3291+TIME(23,59,59))-SUMIFS('inventory ledger'!$I:$I,'inventory ledger'!$C:$C,C3291,'inventory ledger'!$D:$D,D3291,'inventory ledger'!$E:$E,E3291,'inventory ledger'!$A:$A,"&lt;="&amp;B3291+TIME(23,59,59)))</f>
        <v/>
      </c>
      <c r="G3291" s="3">
        <f>IFERROR(__xludf.DUMMYFUNCTION("IF(F3291&lt;=0,0,IFERROR(ROUNDUP(F3291/INDEX(FILTER('warehouse config'!$D:$D,('warehouse config'!$B:$B=C3291)*('warehouse config'!$C:$C=D3291)*('warehouse config'!$G:$G&lt;=B3291)*(('warehouse config'!$H:$H&gt;=B3291)+ISBLANK('warehouse config'!$H:$H))),1)),0))"),0.0)</f>
        <v>0</v>
      </c>
      <c r="H3291" s="3">
        <f>IFERROR(__xludf.DUMMYFUNCTION("IFERROR(INDEX(FILTER('cost master'!$E:$E,('cost master'!$B:$B=C3291)*('cost master'!$D:$D=""Storage cost per pallet / week"")*('cost master'!$G:$G&lt;=B3291)*(('cost master'!$H:$H&gt;=B3291)+ISBLANK('cost master'!$H:$H))),1),0)"),0.0)</f>
        <v>0</v>
      </c>
      <c r="I3291" s="3">
        <f t="shared" si="4"/>
        <v>0</v>
      </c>
      <c r="J3291" s="27">
        <f t="shared" si="5"/>
        <v>693947</v>
      </c>
      <c r="K3291" s="27">
        <f t="shared" si="6"/>
        <v>693977</v>
      </c>
    </row>
    <row r="3292" hidden="1">
      <c r="A3292" s="3" t="str">
        <f t="shared" si="3"/>
        <v/>
      </c>
      <c r="B3292" s="2" t="str">
        <f t="array" ref="B3292">INDEX(helper!$A$3:$A3996,ROUNDUP((ROW()-1)/COUNTA(helper!$D$3:$D3996),0))</f>
        <v/>
      </c>
      <c r="C3292" s="5" t="str">
        <f t="array" ref="C3292">IF(B3292="","",INDEX(helper!$D$3:$D3996,MOD(ROW()-2,COUNTA(helper!$D$3:$D3996))+1))</f>
        <v/>
      </c>
      <c r="D3292" s="3" t="str">
        <f t="array" ref="D3292">IF(B3292="","",INDEX(helper!$E$3:$E3996,MOD(ROW()-2,COUNTA(helper!$D$3:$D3996))+1))</f>
        <v/>
      </c>
      <c r="E3292" s="3" t="str">
        <f t="array" ref="E3292">IF(B3292="","",INDEX(helper!$F$3:$F3996,MOD(ROW()-2,COUNTA(helper!$D$3:$D3996))+1))</f>
        <v/>
      </c>
      <c r="F3292" s="3" t="str">
        <f>IF(B3292="","",SUMIFS('inventory ledger'!$H:$H,'inventory ledger'!$C:$C,C3292,'inventory ledger'!$D:$D,D3292,'inventory ledger'!$E:$E,E3292,'inventory ledger'!$A:$A,"&lt;="&amp;B3292+TIME(23,59,59))-SUMIFS('inventory ledger'!$I:$I,'inventory ledger'!$C:$C,C3292,'inventory ledger'!$D:$D,D3292,'inventory ledger'!$E:$E,E3292,'inventory ledger'!$A:$A,"&lt;="&amp;B3292+TIME(23,59,59)))</f>
        <v/>
      </c>
      <c r="G3292" s="3">
        <f>IFERROR(__xludf.DUMMYFUNCTION("IF(F3292&lt;=0,0,IFERROR(ROUNDUP(F3292/INDEX(FILTER('warehouse config'!$D:$D,('warehouse config'!$B:$B=C3292)*('warehouse config'!$C:$C=D3292)*('warehouse config'!$G:$G&lt;=B3292)*(('warehouse config'!$H:$H&gt;=B3292)+ISBLANK('warehouse config'!$H:$H))),1)),0))"),0.0)</f>
        <v>0</v>
      </c>
      <c r="H3292" s="3">
        <f>IFERROR(__xludf.DUMMYFUNCTION("IFERROR(INDEX(FILTER('cost master'!$E:$E,('cost master'!$B:$B=C3292)*('cost master'!$D:$D=""Storage cost per pallet / week"")*('cost master'!$G:$G&lt;=B3292)*(('cost master'!$H:$H&gt;=B3292)+ISBLANK('cost master'!$H:$H))),1),0)"),0.0)</f>
        <v>0</v>
      </c>
      <c r="I3292" s="3">
        <f t="shared" si="4"/>
        <v>0</v>
      </c>
      <c r="J3292" s="27">
        <f t="shared" si="5"/>
        <v>693947</v>
      </c>
      <c r="K3292" s="27">
        <f t="shared" si="6"/>
        <v>693977</v>
      </c>
    </row>
    <row r="3293" hidden="1">
      <c r="A3293" s="3" t="str">
        <f t="shared" si="3"/>
        <v/>
      </c>
      <c r="B3293" s="2" t="str">
        <f t="array" ref="B3293">INDEX(helper!$A$3:$A3996,ROUNDUP((ROW()-1)/COUNTA(helper!$D$3:$D3996),0))</f>
        <v/>
      </c>
      <c r="C3293" s="5" t="str">
        <f t="array" ref="C3293">IF(B3293="","",INDEX(helper!$D$3:$D3996,MOD(ROW()-2,COUNTA(helper!$D$3:$D3996))+1))</f>
        <v/>
      </c>
      <c r="D3293" s="3" t="str">
        <f t="array" ref="D3293">IF(B3293="","",INDEX(helper!$E$3:$E3996,MOD(ROW()-2,COUNTA(helper!$D$3:$D3996))+1))</f>
        <v/>
      </c>
      <c r="E3293" s="3" t="str">
        <f t="array" ref="E3293">IF(B3293="","",INDEX(helper!$F$3:$F3996,MOD(ROW()-2,COUNTA(helper!$D$3:$D3996))+1))</f>
        <v/>
      </c>
      <c r="F3293" s="3" t="str">
        <f>IF(B3293="","",SUMIFS('inventory ledger'!$H:$H,'inventory ledger'!$C:$C,C3293,'inventory ledger'!$D:$D,D3293,'inventory ledger'!$E:$E,E3293,'inventory ledger'!$A:$A,"&lt;="&amp;B3293+TIME(23,59,59))-SUMIFS('inventory ledger'!$I:$I,'inventory ledger'!$C:$C,C3293,'inventory ledger'!$D:$D,D3293,'inventory ledger'!$E:$E,E3293,'inventory ledger'!$A:$A,"&lt;="&amp;B3293+TIME(23,59,59)))</f>
        <v/>
      </c>
      <c r="G3293" s="3">
        <f>IFERROR(__xludf.DUMMYFUNCTION("IF(F3293&lt;=0,0,IFERROR(ROUNDUP(F3293/INDEX(FILTER('warehouse config'!$D:$D,('warehouse config'!$B:$B=C3293)*('warehouse config'!$C:$C=D3293)*('warehouse config'!$G:$G&lt;=B3293)*(('warehouse config'!$H:$H&gt;=B3293)+ISBLANK('warehouse config'!$H:$H))),1)),0))"),0.0)</f>
        <v>0</v>
      </c>
      <c r="H3293" s="3">
        <f>IFERROR(__xludf.DUMMYFUNCTION("IFERROR(INDEX(FILTER('cost master'!$E:$E,('cost master'!$B:$B=C3293)*('cost master'!$D:$D=""Storage cost per pallet / week"")*('cost master'!$G:$G&lt;=B3293)*(('cost master'!$H:$H&gt;=B3293)+ISBLANK('cost master'!$H:$H))),1),0)"),0.0)</f>
        <v>0</v>
      </c>
      <c r="I3293" s="3">
        <f t="shared" si="4"/>
        <v>0</v>
      </c>
      <c r="J3293" s="27">
        <f t="shared" si="5"/>
        <v>693947</v>
      </c>
      <c r="K3293" s="27">
        <f t="shared" si="6"/>
        <v>693977</v>
      </c>
    </row>
    <row r="3294" hidden="1">
      <c r="A3294" s="3" t="str">
        <f t="shared" si="3"/>
        <v/>
      </c>
      <c r="B3294" s="2" t="str">
        <f t="array" ref="B3294">INDEX(helper!$A$3:$A3996,ROUNDUP((ROW()-1)/COUNTA(helper!$D$3:$D3996),0))</f>
        <v/>
      </c>
      <c r="C3294" s="5" t="str">
        <f t="array" ref="C3294">IF(B3294="","",INDEX(helper!$D$3:$D3996,MOD(ROW()-2,COUNTA(helper!$D$3:$D3996))+1))</f>
        <v/>
      </c>
      <c r="D3294" s="3" t="str">
        <f t="array" ref="D3294">IF(B3294="","",INDEX(helper!$E$3:$E3996,MOD(ROW()-2,COUNTA(helper!$D$3:$D3996))+1))</f>
        <v/>
      </c>
      <c r="E3294" s="3" t="str">
        <f t="array" ref="E3294">IF(B3294="","",INDEX(helper!$F$3:$F3996,MOD(ROW()-2,COUNTA(helper!$D$3:$D3996))+1))</f>
        <v/>
      </c>
      <c r="F3294" s="3" t="str">
        <f>IF(B3294="","",SUMIFS('inventory ledger'!$H:$H,'inventory ledger'!$C:$C,C3294,'inventory ledger'!$D:$D,D3294,'inventory ledger'!$E:$E,E3294,'inventory ledger'!$A:$A,"&lt;="&amp;B3294+TIME(23,59,59))-SUMIFS('inventory ledger'!$I:$I,'inventory ledger'!$C:$C,C3294,'inventory ledger'!$D:$D,D3294,'inventory ledger'!$E:$E,E3294,'inventory ledger'!$A:$A,"&lt;="&amp;B3294+TIME(23,59,59)))</f>
        <v/>
      </c>
      <c r="G3294" s="3">
        <f>IFERROR(__xludf.DUMMYFUNCTION("IF(F3294&lt;=0,0,IFERROR(ROUNDUP(F3294/INDEX(FILTER('warehouse config'!$D:$D,('warehouse config'!$B:$B=C3294)*('warehouse config'!$C:$C=D3294)*('warehouse config'!$G:$G&lt;=B3294)*(('warehouse config'!$H:$H&gt;=B3294)+ISBLANK('warehouse config'!$H:$H))),1)),0))"),0.0)</f>
        <v>0</v>
      </c>
      <c r="H3294" s="3">
        <f>IFERROR(__xludf.DUMMYFUNCTION("IFERROR(INDEX(FILTER('cost master'!$E:$E,('cost master'!$B:$B=C3294)*('cost master'!$D:$D=""Storage cost per pallet / week"")*('cost master'!$G:$G&lt;=B3294)*(('cost master'!$H:$H&gt;=B3294)+ISBLANK('cost master'!$H:$H))),1),0)"),0.0)</f>
        <v>0</v>
      </c>
      <c r="I3294" s="3">
        <f t="shared" si="4"/>
        <v>0</v>
      </c>
      <c r="J3294" s="27">
        <f t="shared" si="5"/>
        <v>693947</v>
      </c>
      <c r="K3294" s="27">
        <f t="shared" si="6"/>
        <v>693977</v>
      </c>
    </row>
    <row r="3295" hidden="1">
      <c r="A3295" s="3" t="str">
        <f t="shared" si="3"/>
        <v/>
      </c>
      <c r="B3295" s="2" t="str">
        <f t="array" ref="B3295">INDEX(helper!$A$3:$A3996,ROUNDUP((ROW()-1)/COUNTA(helper!$D$3:$D3996),0))</f>
        <v/>
      </c>
      <c r="C3295" s="5" t="str">
        <f t="array" ref="C3295">IF(B3295="","",INDEX(helper!$D$3:$D3996,MOD(ROW()-2,COUNTA(helper!$D$3:$D3996))+1))</f>
        <v/>
      </c>
      <c r="D3295" s="3" t="str">
        <f t="array" ref="D3295">IF(B3295="","",INDEX(helper!$E$3:$E3996,MOD(ROW()-2,COUNTA(helper!$D$3:$D3996))+1))</f>
        <v/>
      </c>
      <c r="E3295" s="3" t="str">
        <f t="array" ref="E3295">IF(B3295="","",INDEX(helper!$F$3:$F3996,MOD(ROW()-2,COUNTA(helper!$D$3:$D3996))+1))</f>
        <v/>
      </c>
      <c r="F3295" s="3" t="str">
        <f>IF(B3295="","",SUMIFS('inventory ledger'!$H:$H,'inventory ledger'!$C:$C,C3295,'inventory ledger'!$D:$D,D3295,'inventory ledger'!$E:$E,E3295,'inventory ledger'!$A:$A,"&lt;="&amp;B3295+TIME(23,59,59))-SUMIFS('inventory ledger'!$I:$I,'inventory ledger'!$C:$C,C3295,'inventory ledger'!$D:$D,D3295,'inventory ledger'!$E:$E,E3295,'inventory ledger'!$A:$A,"&lt;="&amp;B3295+TIME(23,59,59)))</f>
        <v/>
      </c>
      <c r="G3295" s="3">
        <f>IFERROR(__xludf.DUMMYFUNCTION("IF(F3295&lt;=0,0,IFERROR(ROUNDUP(F3295/INDEX(FILTER('warehouse config'!$D:$D,('warehouse config'!$B:$B=C3295)*('warehouse config'!$C:$C=D3295)*('warehouse config'!$G:$G&lt;=B3295)*(('warehouse config'!$H:$H&gt;=B3295)+ISBLANK('warehouse config'!$H:$H))),1)),0))"),0.0)</f>
        <v>0</v>
      </c>
      <c r="H3295" s="3">
        <f>IFERROR(__xludf.DUMMYFUNCTION("IFERROR(INDEX(FILTER('cost master'!$E:$E,('cost master'!$B:$B=C3295)*('cost master'!$D:$D=""Storage cost per pallet / week"")*('cost master'!$G:$G&lt;=B3295)*(('cost master'!$H:$H&gt;=B3295)+ISBLANK('cost master'!$H:$H))),1),0)"),0.0)</f>
        <v>0</v>
      </c>
      <c r="I3295" s="3">
        <f t="shared" si="4"/>
        <v>0</v>
      </c>
      <c r="J3295" s="27">
        <f t="shared" si="5"/>
        <v>693947</v>
      </c>
      <c r="K3295" s="27">
        <f t="shared" si="6"/>
        <v>693977</v>
      </c>
    </row>
    <row r="3296" hidden="1">
      <c r="A3296" s="3" t="str">
        <f t="shared" si="3"/>
        <v/>
      </c>
      <c r="B3296" s="2" t="str">
        <f t="array" ref="B3296">INDEX(helper!$A$3:$A3996,ROUNDUP((ROW()-1)/COUNTA(helper!$D$3:$D3996),0))</f>
        <v/>
      </c>
      <c r="C3296" s="5" t="str">
        <f t="array" ref="C3296">IF(B3296="","",INDEX(helper!$D$3:$D3996,MOD(ROW()-2,COUNTA(helper!$D$3:$D3996))+1))</f>
        <v/>
      </c>
      <c r="D3296" s="3" t="str">
        <f t="array" ref="D3296">IF(B3296="","",INDEX(helper!$E$3:$E3996,MOD(ROW()-2,COUNTA(helper!$D$3:$D3996))+1))</f>
        <v/>
      </c>
      <c r="E3296" s="3" t="str">
        <f t="array" ref="E3296">IF(B3296="","",INDEX(helper!$F$3:$F3996,MOD(ROW()-2,COUNTA(helper!$D$3:$D3996))+1))</f>
        <v/>
      </c>
      <c r="F3296" s="3" t="str">
        <f>IF(B3296="","",SUMIFS('inventory ledger'!$H:$H,'inventory ledger'!$C:$C,C3296,'inventory ledger'!$D:$D,D3296,'inventory ledger'!$E:$E,E3296,'inventory ledger'!$A:$A,"&lt;="&amp;B3296+TIME(23,59,59))-SUMIFS('inventory ledger'!$I:$I,'inventory ledger'!$C:$C,C3296,'inventory ledger'!$D:$D,D3296,'inventory ledger'!$E:$E,E3296,'inventory ledger'!$A:$A,"&lt;="&amp;B3296+TIME(23,59,59)))</f>
        <v/>
      </c>
      <c r="G3296" s="3">
        <f>IFERROR(__xludf.DUMMYFUNCTION("IF(F3296&lt;=0,0,IFERROR(ROUNDUP(F3296/INDEX(FILTER('warehouse config'!$D:$D,('warehouse config'!$B:$B=C3296)*('warehouse config'!$C:$C=D3296)*('warehouse config'!$G:$G&lt;=B3296)*(('warehouse config'!$H:$H&gt;=B3296)+ISBLANK('warehouse config'!$H:$H))),1)),0))"),0.0)</f>
        <v>0</v>
      </c>
      <c r="H3296" s="3">
        <f>IFERROR(__xludf.DUMMYFUNCTION("IFERROR(INDEX(FILTER('cost master'!$E:$E,('cost master'!$B:$B=C3296)*('cost master'!$D:$D=""Storage cost per pallet / week"")*('cost master'!$G:$G&lt;=B3296)*(('cost master'!$H:$H&gt;=B3296)+ISBLANK('cost master'!$H:$H))),1),0)"),0.0)</f>
        <v>0</v>
      </c>
      <c r="I3296" s="3">
        <f t="shared" si="4"/>
        <v>0</v>
      </c>
      <c r="J3296" s="27">
        <f t="shared" si="5"/>
        <v>693947</v>
      </c>
      <c r="K3296" s="27">
        <f t="shared" si="6"/>
        <v>693977</v>
      </c>
    </row>
    <row r="3297" hidden="1">
      <c r="A3297" s="3" t="str">
        <f t="shared" si="3"/>
        <v/>
      </c>
      <c r="B3297" s="2" t="str">
        <f t="array" ref="B3297">INDEX(helper!$A$3:$A3996,ROUNDUP((ROW()-1)/COUNTA(helper!$D$3:$D3996),0))</f>
        <v/>
      </c>
      <c r="C3297" s="5" t="str">
        <f t="array" ref="C3297">IF(B3297="","",INDEX(helper!$D$3:$D3996,MOD(ROW()-2,COUNTA(helper!$D$3:$D3996))+1))</f>
        <v/>
      </c>
      <c r="D3297" s="3" t="str">
        <f t="array" ref="D3297">IF(B3297="","",INDEX(helper!$E$3:$E3996,MOD(ROW()-2,COUNTA(helper!$D$3:$D3996))+1))</f>
        <v/>
      </c>
      <c r="E3297" s="3" t="str">
        <f t="array" ref="E3297">IF(B3297="","",INDEX(helper!$F$3:$F3996,MOD(ROW()-2,COUNTA(helper!$D$3:$D3996))+1))</f>
        <v/>
      </c>
      <c r="F3297" s="3" t="str">
        <f>IF(B3297="","",SUMIFS('inventory ledger'!$H:$H,'inventory ledger'!$C:$C,C3297,'inventory ledger'!$D:$D,D3297,'inventory ledger'!$E:$E,E3297,'inventory ledger'!$A:$A,"&lt;="&amp;B3297+TIME(23,59,59))-SUMIFS('inventory ledger'!$I:$I,'inventory ledger'!$C:$C,C3297,'inventory ledger'!$D:$D,D3297,'inventory ledger'!$E:$E,E3297,'inventory ledger'!$A:$A,"&lt;="&amp;B3297+TIME(23,59,59)))</f>
        <v/>
      </c>
      <c r="G3297" s="3">
        <f>IFERROR(__xludf.DUMMYFUNCTION("IF(F3297&lt;=0,0,IFERROR(ROUNDUP(F3297/INDEX(FILTER('warehouse config'!$D:$D,('warehouse config'!$B:$B=C3297)*('warehouse config'!$C:$C=D3297)*('warehouse config'!$G:$G&lt;=B3297)*(('warehouse config'!$H:$H&gt;=B3297)+ISBLANK('warehouse config'!$H:$H))),1)),0))"),0.0)</f>
        <v>0</v>
      </c>
      <c r="H3297" s="3">
        <f>IFERROR(__xludf.DUMMYFUNCTION("IFERROR(INDEX(FILTER('cost master'!$E:$E,('cost master'!$B:$B=C3297)*('cost master'!$D:$D=""Storage cost per pallet / week"")*('cost master'!$G:$G&lt;=B3297)*(('cost master'!$H:$H&gt;=B3297)+ISBLANK('cost master'!$H:$H))),1),0)"),0.0)</f>
        <v>0</v>
      </c>
      <c r="I3297" s="3">
        <f t="shared" si="4"/>
        <v>0</v>
      </c>
      <c r="J3297" s="27">
        <f t="shared" si="5"/>
        <v>693947</v>
      </c>
      <c r="K3297" s="27">
        <f t="shared" si="6"/>
        <v>693977</v>
      </c>
    </row>
    <row r="3298" hidden="1">
      <c r="A3298" s="3" t="str">
        <f t="shared" si="3"/>
        <v/>
      </c>
      <c r="B3298" s="2" t="str">
        <f t="array" ref="B3298">INDEX(helper!$A$3:$A3996,ROUNDUP((ROW()-1)/COUNTA(helper!$D$3:$D3996),0))</f>
        <v/>
      </c>
      <c r="C3298" s="5" t="str">
        <f t="array" ref="C3298">IF(B3298="","",INDEX(helper!$D$3:$D3996,MOD(ROW()-2,COUNTA(helper!$D$3:$D3996))+1))</f>
        <v/>
      </c>
      <c r="D3298" s="3" t="str">
        <f t="array" ref="D3298">IF(B3298="","",INDEX(helper!$E$3:$E3996,MOD(ROW()-2,COUNTA(helper!$D$3:$D3996))+1))</f>
        <v/>
      </c>
      <c r="E3298" s="3" t="str">
        <f t="array" ref="E3298">IF(B3298="","",INDEX(helper!$F$3:$F3996,MOD(ROW()-2,COUNTA(helper!$D$3:$D3996))+1))</f>
        <v/>
      </c>
      <c r="F3298" s="3" t="str">
        <f>IF(B3298="","",SUMIFS('inventory ledger'!$H:$H,'inventory ledger'!$C:$C,C3298,'inventory ledger'!$D:$D,D3298,'inventory ledger'!$E:$E,E3298,'inventory ledger'!$A:$A,"&lt;="&amp;B3298+TIME(23,59,59))-SUMIFS('inventory ledger'!$I:$I,'inventory ledger'!$C:$C,C3298,'inventory ledger'!$D:$D,D3298,'inventory ledger'!$E:$E,E3298,'inventory ledger'!$A:$A,"&lt;="&amp;B3298+TIME(23,59,59)))</f>
        <v/>
      </c>
      <c r="G3298" s="3">
        <f>IFERROR(__xludf.DUMMYFUNCTION("IF(F3298&lt;=0,0,IFERROR(ROUNDUP(F3298/INDEX(FILTER('warehouse config'!$D:$D,('warehouse config'!$B:$B=C3298)*('warehouse config'!$C:$C=D3298)*('warehouse config'!$G:$G&lt;=B3298)*(('warehouse config'!$H:$H&gt;=B3298)+ISBLANK('warehouse config'!$H:$H))),1)),0))"),0.0)</f>
        <v>0</v>
      </c>
      <c r="H3298" s="3">
        <f>IFERROR(__xludf.DUMMYFUNCTION("IFERROR(INDEX(FILTER('cost master'!$E:$E,('cost master'!$B:$B=C3298)*('cost master'!$D:$D=""Storage cost per pallet / week"")*('cost master'!$G:$G&lt;=B3298)*(('cost master'!$H:$H&gt;=B3298)+ISBLANK('cost master'!$H:$H))),1),0)"),0.0)</f>
        <v>0</v>
      </c>
      <c r="I3298" s="3">
        <f t="shared" si="4"/>
        <v>0</v>
      </c>
      <c r="J3298" s="27">
        <f t="shared" si="5"/>
        <v>693947</v>
      </c>
      <c r="K3298" s="27">
        <f t="shared" si="6"/>
        <v>693977</v>
      </c>
    </row>
    <row r="3299" hidden="1">
      <c r="A3299" s="3" t="str">
        <f t="shared" si="3"/>
        <v/>
      </c>
      <c r="B3299" s="2" t="str">
        <f t="array" ref="B3299">INDEX(helper!$A$3:$A3996,ROUNDUP((ROW()-1)/COUNTA(helper!$D$3:$D3996),0))</f>
        <v/>
      </c>
      <c r="C3299" s="5" t="str">
        <f t="array" ref="C3299">IF(B3299="","",INDEX(helper!$D$3:$D3996,MOD(ROW()-2,COUNTA(helper!$D$3:$D3996))+1))</f>
        <v/>
      </c>
      <c r="D3299" s="3" t="str">
        <f t="array" ref="D3299">IF(B3299="","",INDEX(helper!$E$3:$E3996,MOD(ROW()-2,COUNTA(helper!$D$3:$D3996))+1))</f>
        <v/>
      </c>
      <c r="E3299" s="3" t="str">
        <f t="array" ref="E3299">IF(B3299="","",INDEX(helper!$F$3:$F3996,MOD(ROW()-2,COUNTA(helper!$D$3:$D3996))+1))</f>
        <v/>
      </c>
      <c r="F3299" s="3" t="str">
        <f>IF(B3299="","",SUMIFS('inventory ledger'!$H:$H,'inventory ledger'!$C:$C,C3299,'inventory ledger'!$D:$D,D3299,'inventory ledger'!$E:$E,E3299,'inventory ledger'!$A:$A,"&lt;="&amp;B3299+TIME(23,59,59))-SUMIFS('inventory ledger'!$I:$I,'inventory ledger'!$C:$C,C3299,'inventory ledger'!$D:$D,D3299,'inventory ledger'!$E:$E,E3299,'inventory ledger'!$A:$A,"&lt;="&amp;B3299+TIME(23,59,59)))</f>
        <v/>
      </c>
      <c r="G3299" s="3">
        <f>IFERROR(__xludf.DUMMYFUNCTION("IF(F3299&lt;=0,0,IFERROR(ROUNDUP(F3299/INDEX(FILTER('warehouse config'!$D:$D,('warehouse config'!$B:$B=C3299)*('warehouse config'!$C:$C=D3299)*('warehouse config'!$G:$G&lt;=B3299)*(('warehouse config'!$H:$H&gt;=B3299)+ISBLANK('warehouse config'!$H:$H))),1)),0))"),0.0)</f>
        <v>0</v>
      </c>
      <c r="H3299" s="3">
        <f>IFERROR(__xludf.DUMMYFUNCTION("IFERROR(INDEX(FILTER('cost master'!$E:$E,('cost master'!$B:$B=C3299)*('cost master'!$D:$D=""Storage cost per pallet / week"")*('cost master'!$G:$G&lt;=B3299)*(('cost master'!$H:$H&gt;=B3299)+ISBLANK('cost master'!$H:$H))),1),0)"),0.0)</f>
        <v>0</v>
      </c>
      <c r="I3299" s="3">
        <f t="shared" si="4"/>
        <v>0</v>
      </c>
      <c r="J3299" s="27">
        <f t="shared" si="5"/>
        <v>693947</v>
      </c>
      <c r="K3299" s="27">
        <f t="shared" si="6"/>
        <v>693977</v>
      </c>
    </row>
    <row r="3300" hidden="1">
      <c r="A3300" s="3" t="str">
        <f t="shared" si="3"/>
        <v/>
      </c>
      <c r="B3300" s="2" t="str">
        <f t="array" ref="B3300">INDEX(helper!$A$3:$A3996,ROUNDUP((ROW()-1)/COUNTA(helper!$D$3:$D3996),0))</f>
        <v/>
      </c>
      <c r="C3300" s="5" t="str">
        <f t="array" ref="C3300">IF(B3300="","",INDEX(helper!$D$3:$D3996,MOD(ROW()-2,COUNTA(helper!$D$3:$D3996))+1))</f>
        <v/>
      </c>
      <c r="D3300" s="3" t="str">
        <f t="array" ref="D3300">IF(B3300="","",INDEX(helper!$E$3:$E3996,MOD(ROW()-2,COUNTA(helper!$D$3:$D3996))+1))</f>
        <v/>
      </c>
      <c r="E3300" s="3" t="str">
        <f t="array" ref="E3300">IF(B3300="","",INDEX(helper!$F$3:$F3996,MOD(ROW()-2,COUNTA(helper!$D$3:$D3996))+1))</f>
        <v/>
      </c>
      <c r="F3300" s="3" t="str">
        <f>IF(B3300="","",SUMIFS('inventory ledger'!$H:$H,'inventory ledger'!$C:$C,C3300,'inventory ledger'!$D:$D,D3300,'inventory ledger'!$E:$E,E3300,'inventory ledger'!$A:$A,"&lt;="&amp;B3300+TIME(23,59,59))-SUMIFS('inventory ledger'!$I:$I,'inventory ledger'!$C:$C,C3300,'inventory ledger'!$D:$D,D3300,'inventory ledger'!$E:$E,E3300,'inventory ledger'!$A:$A,"&lt;="&amp;B3300+TIME(23,59,59)))</f>
        <v/>
      </c>
      <c r="G3300" s="3">
        <f>IFERROR(__xludf.DUMMYFUNCTION("IF(F3300&lt;=0,0,IFERROR(ROUNDUP(F3300/INDEX(FILTER('warehouse config'!$D:$D,('warehouse config'!$B:$B=C3300)*('warehouse config'!$C:$C=D3300)*('warehouse config'!$G:$G&lt;=B3300)*(('warehouse config'!$H:$H&gt;=B3300)+ISBLANK('warehouse config'!$H:$H))),1)),0))"),0.0)</f>
        <v>0</v>
      </c>
      <c r="H3300" s="3">
        <f>IFERROR(__xludf.DUMMYFUNCTION("IFERROR(INDEX(FILTER('cost master'!$E:$E,('cost master'!$B:$B=C3300)*('cost master'!$D:$D=""Storage cost per pallet / week"")*('cost master'!$G:$G&lt;=B3300)*(('cost master'!$H:$H&gt;=B3300)+ISBLANK('cost master'!$H:$H))),1),0)"),0.0)</f>
        <v>0</v>
      </c>
      <c r="I3300" s="3">
        <f t="shared" si="4"/>
        <v>0</v>
      </c>
      <c r="J3300" s="27">
        <f t="shared" si="5"/>
        <v>693947</v>
      </c>
      <c r="K3300" s="27">
        <f t="shared" si="6"/>
        <v>693977</v>
      </c>
    </row>
    <row r="3301" hidden="1">
      <c r="A3301" s="3" t="str">
        <f t="shared" si="3"/>
        <v/>
      </c>
      <c r="B3301" s="2" t="str">
        <f t="array" ref="B3301">INDEX(helper!$A$3:$A3996,ROUNDUP((ROW()-1)/COUNTA(helper!$D$3:$D3996),0))</f>
        <v/>
      </c>
      <c r="C3301" s="5" t="str">
        <f t="array" ref="C3301">IF(B3301="","",INDEX(helper!$D$3:$D3996,MOD(ROW()-2,COUNTA(helper!$D$3:$D3996))+1))</f>
        <v/>
      </c>
      <c r="D3301" s="3" t="str">
        <f t="array" ref="D3301">IF(B3301="","",INDEX(helper!$E$3:$E3996,MOD(ROW()-2,COUNTA(helper!$D$3:$D3996))+1))</f>
        <v/>
      </c>
      <c r="E3301" s="3" t="str">
        <f t="array" ref="E3301">IF(B3301="","",INDEX(helper!$F$3:$F3996,MOD(ROW()-2,COUNTA(helper!$D$3:$D3996))+1))</f>
        <v/>
      </c>
      <c r="F3301" s="3" t="str">
        <f>IF(B3301="","",SUMIFS('inventory ledger'!$H:$H,'inventory ledger'!$C:$C,C3301,'inventory ledger'!$D:$D,D3301,'inventory ledger'!$E:$E,E3301,'inventory ledger'!$A:$A,"&lt;="&amp;B3301+TIME(23,59,59))-SUMIFS('inventory ledger'!$I:$I,'inventory ledger'!$C:$C,C3301,'inventory ledger'!$D:$D,D3301,'inventory ledger'!$E:$E,E3301,'inventory ledger'!$A:$A,"&lt;="&amp;B3301+TIME(23,59,59)))</f>
        <v/>
      </c>
      <c r="G3301" s="3">
        <f>IFERROR(__xludf.DUMMYFUNCTION("IF(F3301&lt;=0,0,IFERROR(ROUNDUP(F3301/INDEX(FILTER('warehouse config'!$D:$D,('warehouse config'!$B:$B=C3301)*('warehouse config'!$C:$C=D3301)*('warehouse config'!$G:$G&lt;=B3301)*(('warehouse config'!$H:$H&gt;=B3301)+ISBLANK('warehouse config'!$H:$H))),1)),0))"),0.0)</f>
        <v>0</v>
      </c>
      <c r="H3301" s="3">
        <f>IFERROR(__xludf.DUMMYFUNCTION("IFERROR(INDEX(FILTER('cost master'!$E:$E,('cost master'!$B:$B=C3301)*('cost master'!$D:$D=""Storage cost per pallet / week"")*('cost master'!$G:$G&lt;=B3301)*(('cost master'!$H:$H&gt;=B3301)+ISBLANK('cost master'!$H:$H))),1),0)"),0.0)</f>
        <v>0</v>
      </c>
      <c r="I3301" s="3">
        <f t="shared" si="4"/>
        <v>0</v>
      </c>
      <c r="J3301" s="27">
        <f t="shared" si="5"/>
        <v>693947</v>
      </c>
      <c r="K3301" s="27">
        <f t="shared" si="6"/>
        <v>693977</v>
      </c>
    </row>
    <row r="3302" hidden="1">
      <c r="A3302" s="3" t="str">
        <f t="shared" si="3"/>
        <v/>
      </c>
      <c r="B3302" s="2" t="str">
        <f t="array" ref="B3302">INDEX(helper!$A$3:$A3996,ROUNDUP((ROW()-1)/COUNTA(helper!$D$3:$D3996),0))</f>
        <v/>
      </c>
      <c r="C3302" s="5" t="str">
        <f t="array" ref="C3302">IF(B3302="","",INDEX(helper!$D$3:$D3996,MOD(ROW()-2,COUNTA(helper!$D$3:$D3996))+1))</f>
        <v/>
      </c>
      <c r="D3302" s="3" t="str">
        <f t="array" ref="D3302">IF(B3302="","",INDEX(helper!$E$3:$E3996,MOD(ROW()-2,COUNTA(helper!$D$3:$D3996))+1))</f>
        <v/>
      </c>
      <c r="E3302" s="3" t="str">
        <f t="array" ref="E3302">IF(B3302="","",INDEX(helper!$F$3:$F3996,MOD(ROW()-2,COUNTA(helper!$D$3:$D3996))+1))</f>
        <v/>
      </c>
      <c r="F3302" s="3" t="str">
        <f>IF(B3302="","",SUMIFS('inventory ledger'!$H:$H,'inventory ledger'!$C:$C,C3302,'inventory ledger'!$D:$D,D3302,'inventory ledger'!$E:$E,E3302,'inventory ledger'!$A:$A,"&lt;="&amp;B3302+TIME(23,59,59))-SUMIFS('inventory ledger'!$I:$I,'inventory ledger'!$C:$C,C3302,'inventory ledger'!$D:$D,D3302,'inventory ledger'!$E:$E,E3302,'inventory ledger'!$A:$A,"&lt;="&amp;B3302+TIME(23,59,59)))</f>
        <v/>
      </c>
      <c r="G3302" s="3">
        <f>IFERROR(__xludf.DUMMYFUNCTION("IF(F3302&lt;=0,0,IFERROR(ROUNDUP(F3302/INDEX(FILTER('warehouse config'!$D:$D,('warehouse config'!$B:$B=C3302)*('warehouse config'!$C:$C=D3302)*('warehouse config'!$G:$G&lt;=B3302)*(('warehouse config'!$H:$H&gt;=B3302)+ISBLANK('warehouse config'!$H:$H))),1)),0))"),0.0)</f>
        <v>0</v>
      </c>
      <c r="H3302" s="3">
        <f>IFERROR(__xludf.DUMMYFUNCTION("IFERROR(INDEX(FILTER('cost master'!$E:$E,('cost master'!$B:$B=C3302)*('cost master'!$D:$D=""Storage cost per pallet / week"")*('cost master'!$G:$G&lt;=B3302)*(('cost master'!$H:$H&gt;=B3302)+ISBLANK('cost master'!$H:$H))),1),0)"),0.0)</f>
        <v>0</v>
      </c>
      <c r="I3302" s="3">
        <f t="shared" si="4"/>
        <v>0</v>
      </c>
      <c r="J3302" s="27">
        <f t="shared" si="5"/>
        <v>693947</v>
      </c>
      <c r="K3302" s="27">
        <f t="shared" si="6"/>
        <v>693977</v>
      </c>
    </row>
    <row r="3303" hidden="1">
      <c r="A3303" s="3" t="str">
        <f t="shared" si="3"/>
        <v/>
      </c>
      <c r="B3303" s="2" t="str">
        <f t="array" ref="B3303">INDEX(helper!$A$3:$A3996,ROUNDUP((ROW()-1)/COUNTA(helper!$D$3:$D3996),0))</f>
        <v/>
      </c>
      <c r="C3303" s="5" t="str">
        <f t="array" ref="C3303">IF(B3303="","",INDEX(helper!$D$3:$D3996,MOD(ROW()-2,COUNTA(helper!$D$3:$D3996))+1))</f>
        <v/>
      </c>
      <c r="D3303" s="3" t="str">
        <f t="array" ref="D3303">IF(B3303="","",INDEX(helper!$E$3:$E3996,MOD(ROW()-2,COUNTA(helper!$D$3:$D3996))+1))</f>
        <v/>
      </c>
      <c r="E3303" s="3" t="str">
        <f t="array" ref="E3303">IF(B3303="","",INDEX(helper!$F$3:$F3996,MOD(ROW()-2,COUNTA(helper!$D$3:$D3996))+1))</f>
        <v/>
      </c>
      <c r="F3303" s="3" t="str">
        <f>IF(B3303="","",SUMIFS('inventory ledger'!$H:$H,'inventory ledger'!$C:$C,C3303,'inventory ledger'!$D:$D,D3303,'inventory ledger'!$E:$E,E3303,'inventory ledger'!$A:$A,"&lt;="&amp;B3303+TIME(23,59,59))-SUMIFS('inventory ledger'!$I:$I,'inventory ledger'!$C:$C,C3303,'inventory ledger'!$D:$D,D3303,'inventory ledger'!$E:$E,E3303,'inventory ledger'!$A:$A,"&lt;="&amp;B3303+TIME(23,59,59)))</f>
        <v/>
      </c>
      <c r="G3303" s="3">
        <f>IFERROR(__xludf.DUMMYFUNCTION("IF(F3303&lt;=0,0,IFERROR(ROUNDUP(F3303/INDEX(FILTER('warehouse config'!$D:$D,('warehouse config'!$B:$B=C3303)*('warehouse config'!$C:$C=D3303)*('warehouse config'!$G:$G&lt;=B3303)*(('warehouse config'!$H:$H&gt;=B3303)+ISBLANK('warehouse config'!$H:$H))),1)),0))"),0.0)</f>
        <v>0</v>
      </c>
      <c r="H3303" s="3">
        <f>IFERROR(__xludf.DUMMYFUNCTION("IFERROR(INDEX(FILTER('cost master'!$E:$E,('cost master'!$B:$B=C3303)*('cost master'!$D:$D=""Storage cost per pallet / week"")*('cost master'!$G:$G&lt;=B3303)*(('cost master'!$H:$H&gt;=B3303)+ISBLANK('cost master'!$H:$H))),1),0)"),0.0)</f>
        <v>0</v>
      </c>
      <c r="I3303" s="3">
        <f t="shared" si="4"/>
        <v>0</v>
      </c>
      <c r="J3303" s="27">
        <f t="shared" si="5"/>
        <v>693947</v>
      </c>
      <c r="K3303" s="27">
        <f t="shared" si="6"/>
        <v>693977</v>
      </c>
    </row>
    <row r="3304" hidden="1">
      <c r="A3304" s="3" t="str">
        <f t="shared" si="3"/>
        <v/>
      </c>
      <c r="B3304" s="2" t="str">
        <f t="array" ref="B3304">INDEX(helper!$A$3:$A3996,ROUNDUP((ROW()-1)/COUNTA(helper!$D$3:$D3996),0))</f>
        <v/>
      </c>
      <c r="C3304" s="5" t="str">
        <f t="array" ref="C3304">IF(B3304="","",INDEX(helper!$D$3:$D3996,MOD(ROW()-2,COUNTA(helper!$D$3:$D3996))+1))</f>
        <v/>
      </c>
      <c r="D3304" s="3" t="str">
        <f t="array" ref="D3304">IF(B3304="","",INDEX(helper!$E$3:$E3996,MOD(ROW()-2,COUNTA(helper!$D$3:$D3996))+1))</f>
        <v/>
      </c>
      <c r="E3304" s="3" t="str">
        <f t="array" ref="E3304">IF(B3304="","",INDEX(helper!$F$3:$F3996,MOD(ROW()-2,COUNTA(helper!$D$3:$D3996))+1))</f>
        <v/>
      </c>
      <c r="F3304" s="3" t="str">
        <f>IF(B3304="","",SUMIFS('inventory ledger'!$H:$H,'inventory ledger'!$C:$C,C3304,'inventory ledger'!$D:$D,D3304,'inventory ledger'!$E:$E,E3304,'inventory ledger'!$A:$A,"&lt;="&amp;B3304+TIME(23,59,59))-SUMIFS('inventory ledger'!$I:$I,'inventory ledger'!$C:$C,C3304,'inventory ledger'!$D:$D,D3304,'inventory ledger'!$E:$E,E3304,'inventory ledger'!$A:$A,"&lt;="&amp;B3304+TIME(23,59,59)))</f>
        <v/>
      </c>
      <c r="G3304" s="3">
        <f>IFERROR(__xludf.DUMMYFUNCTION("IF(F3304&lt;=0,0,IFERROR(ROUNDUP(F3304/INDEX(FILTER('warehouse config'!$D:$D,('warehouse config'!$B:$B=C3304)*('warehouse config'!$C:$C=D3304)*('warehouse config'!$G:$G&lt;=B3304)*(('warehouse config'!$H:$H&gt;=B3304)+ISBLANK('warehouse config'!$H:$H))),1)),0))"),0.0)</f>
        <v>0</v>
      </c>
      <c r="H3304" s="3">
        <f>IFERROR(__xludf.DUMMYFUNCTION("IFERROR(INDEX(FILTER('cost master'!$E:$E,('cost master'!$B:$B=C3304)*('cost master'!$D:$D=""Storage cost per pallet / week"")*('cost master'!$G:$G&lt;=B3304)*(('cost master'!$H:$H&gt;=B3304)+ISBLANK('cost master'!$H:$H))),1),0)"),0.0)</f>
        <v>0</v>
      </c>
      <c r="I3304" s="3">
        <f t="shared" si="4"/>
        <v>0</v>
      </c>
      <c r="J3304" s="27">
        <f t="shared" si="5"/>
        <v>693947</v>
      </c>
      <c r="K3304" s="27">
        <f t="shared" si="6"/>
        <v>693977</v>
      </c>
    </row>
    <row r="3305" hidden="1">
      <c r="A3305" s="3" t="str">
        <f t="shared" si="3"/>
        <v/>
      </c>
      <c r="B3305" s="2" t="str">
        <f t="array" ref="B3305">INDEX(helper!$A$3:$A3996,ROUNDUP((ROW()-1)/COUNTA(helper!$D$3:$D3996),0))</f>
        <v/>
      </c>
      <c r="C3305" s="5" t="str">
        <f t="array" ref="C3305">IF(B3305="","",INDEX(helper!$D$3:$D3996,MOD(ROW()-2,COUNTA(helper!$D$3:$D3996))+1))</f>
        <v/>
      </c>
      <c r="D3305" s="3" t="str">
        <f t="array" ref="D3305">IF(B3305="","",INDEX(helper!$E$3:$E3996,MOD(ROW()-2,COUNTA(helper!$D$3:$D3996))+1))</f>
        <v/>
      </c>
      <c r="E3305" s="3" t="str">
        <f t="array" ref="E3305">IF(B3305="","",INDEX(helper!$F$3:$F3996,MOD(ROW()-2,COUNTA(helper!$D$3:$D3996))+1))</f>
        <v/>
      </c>
      <c r="F3305" s="3" t="str">
        <f>IF(B3305="","",SUMIFS('inventory ledger'!$H:$H,'inventory ledger'!$C:$C,C3305,'inventory ledger'!$D:$D,D3305,'inventory ledger'!$E:$E,E3305,'inventory ledger'!$A:$A,"&lt;="&amp;B3305+TIME(23,59,59))-SUMIFS('inventory ledger'!$I:$I,'inventory ledger'!$C:$C,C3305,'inventory ledger'!$D:$D,D3305,'inventory ledger'!$E:$E,E3305,'inventory ledger'!$A:$A,"&lt;="&amp;B3305+TIME(23,59,59)))</f>
        <v/>
      </c>
      <c r="G3305" s="3">
        <f>IFERROR(__xludf.DUMMYFUNCTION("IF(F3305&lt;=0,0,IFERROR(ROUNDUP(F3305/INDEX(FILTER('warehouse config'!$D:$D,('warehouse config'!$B:$B=C3305)*('warehouse config'!$C:$C=D3305)*('warehouse config'!$G:$G&lt;=B3305)*(('warehouse config'!$H:$H&gt;=B3305)+ISBLANK('warehouse config'!$H:$H))),1)),0))"),0.0)</f>
        <v>0</v>
      </c>
      <c r="H3305" s="3">
        <f>IFERROR(__xludf.DUMMYFUNCTION("IFERROR(INDEX(FILTER('cost master'!$E:$E,('cost master'!$B:$B=C3305)*('cost master'!$D:$D=""Storage cost per pallet / week"")*('cost master'!$G:$G&lt;=B3305)*(('cost master'!$H:$H&gt;=B3305)+ISBLANK('cost master'!$H:$H))),1),0)"),0.0)</f>
        <v>0</v>
      </c>
      <c r="I3305" s="3">
        <f t="shared" si="4"/>
        <v>0</v>
      </c>
      <c r="J3305" s="27">
        <f t="shared" si="5"/>
        <v>693947</v>
      </c>
      <c r="K3305" s="27">
        <f t="shared" si="6"/>
        <v>693977</v>
      </c>
    </row>
    <row r="3306" hidden="1">
      <c r="A3306" s="3" t="str">
        <f t="shared" si="3"/>
        <v/>
      </c>
      <c r="B3306" s="2" t="str">
        <f t="array" ref="B3306">INDEX(helper!$A$3:$A3996,ROUNDUP((ROW()-1)/COUNTA(helper!$D$3:$D3996),0))</f>
        <v/>
      </c>
      <c r="C3306" s="5" t="str">
        <f t="array" ref="C3306">IF(B3306="","",INDEX(helper!$D$3:$D3996,MOD(ROW()-2,COUNTA(helper!$D$3:$D3996))+1))</f>
        <v/>
      </c>
      <c r="D3306" s="3" t="str">
        <f t="array" ref="D3306">IF(B3306="","",INDEX(helper!$E$3:$E3996,MOD(ROW()-2,COUNTA(helper!$D$3:$D3996))+1))</f>
        <v/>
      </c>
      <c r="E3306" s="3" t="str">
        <f t="array" ref="E3306">IF(B3306="","",INDEX(helper!$F$3:$F3996,MOD(ROW()-2,COUNTA(helper!$D$3:$D3996))+1))</f>
        <v/>
      </c>
      <c r="F3306" s="3" t="str">
        <f>IF(B3306="","",SUMIFS('inventory ledger'!$H:$H,'inventory ledger'!$C:$C,C3306,'inventory ledger'!$D:$D,D3306,'inventory ledger'!$E:$E,E3306,'inventory ledger'!$A:$A,"&lt;="&amp;B3306+TIME(23,59,59))-SUMIFS('inventory ledger'!$I:$I,'inventory ledger'!$C:$C,C3306,'inventory ledger'!$D:$D,D3306,'inventory ledger'!$E:$E,E3306,'inventory ledger'!$A:$A,"&lt;="&amp;B3306+TIME(23,59,59)))</f>
        <v/>
      </c>
      <c r="G3306" s="3">
        <f>IFERROR(__xludf.DUMMYFUNCTION("IF(F3306&lt;=0,0,IFERROR(ROUNDUP(F3306/INDEX(FILTER('warehouse config'!$D:$D,('warehouse config'!$B:$B=C3306)*('warehouse config'!$C:$C=D3306)*('warehouse config'!$G:$G&lt;=B3306)*(('warehouse config'!$H:$H&gt;=B3306)+ISBLANK('warehouse config'!$H:$H))),1)),0))"),0.0)</f>
        <v>0</v>
      </c>
      <c r="H3306" s="3">
        <f>IFERROR(__xludf.DUMMYFUNCTION("IFERROR(INDEX(FILTER('cost master'!$E:$E,('cost master'!$B:$B=C3306)*('cost master'!$D:$D=""Storage cost per pallet / week"")*('cost master'!$G:$G&lt;=B3306)*(('cost master'!$H:$H&gt;=B3306)+ISBLANK('cost master'!$H:$H))),1),0)"),0.0)</f>
        <v>0</v>
      </c>
      <c r="I3306" s="3">
        <f t="shared" si="4"/>
        <v>0</v>
      </c>
      <c r="J3306" s="27">
        <f t="shared" si="5"/>
        <v>693947</v>
      </c>
      <c r="K3306" s="27">
        <f t="shared" si="6"/>
        <v>693977</v>
      </c>
    </row>
    <row r="3307" hidden="1">
      <c r="A3307" s="3" t="str">
        <f t="shared" si="3"/>
        <v/>
      </c>
      <c r="B3307" s="2" t="str">
        <f t="array" ref="B3307">INDEX(helper!$A$3:$A3996,ROUNDUP((ROW()-1)/COUNTA(helper!$D$3:$D3996),0))</f>
        <v/>
      </c>
      <c r="C3307" s="5" t="str">
        <f t="array" ref="C3307">IF(B3307="","",INDEX(helper!$D$3:$D3996,MOD(ROW()-2,COUNTA(helper!$D$3:$D3996))+1))</f>
        <v/>
      </c>
      <c r="D3307" s="3" t="str">
        <f t="array" ref="D3307">IF(B3307="","",INDEX(helper!$E$3:$E3996,MOD(ROW()-2,COUNTA(helper!$D$3:$D3996))+1))</f>
        <v/>
      </c>
      <c r="E3307" s="3" t="str">
        <f t="array" ref="E3307">IF(B3307="","",INDEX(helper!$F$3:$F3996,MOD(ROW()-2,COUNTA(helper!$D$3:$D3996))+1))</f>
        <v/>
      </c>
      <c r="F3307" s="3" t="str">
        <f>IF(B3307="","",SUMIFS('inventory ledger'!$H:$H,'inventory ledger'!$C:$C,C3307,'inventory ledger'!$D:$D,D3307,'inventory ledger'!$E:$E,E3307,'inventory ledger'!$A:$A,"&lt;="&amp;B3307+TIME(23,59,59))-SUMIFS('inventory ledger'!$I:$I,'inventory ledger'!$C:$C,C3307,'inventory ledger'!$D:$D,D3307,'inventory ledger'!$E:$E,E3307,'inventory ledger'!$A:$A,"&lt;="&amp;B3307+TIME(23,59,59)))</f>
        <v/>
      </c>
      <c r="G3307" s="3">
        <f>IFERROR(__xludf.DUMMYFUNCTION("IF(F3307&lt;=0,0,IFERROR(ROUNDUP(F3307/INDEX(FILTER('warehouse config'!$D:$D,('warehouse config'!$B:$B=C3307)*('warehouse config'!$C:$C=D3307)*('warehouse config'!$G:$G&lt;=B3307)*(('warehouse config'!$H:$H&gt;=B3307)+ISBLANK('warehouse config'!$H:$H))),1)),0))"),0.0)</f>
        <v>0</v>
      </c>
      <c r="H3307" s="3">
        <f>IFERROR(__xludf.DUMMYFUNCTION("IFERROR(INDEX(FILTER('cost master'!$E:$E,('cost master'!$B:$B=C3307)*('cost master'!$D:$D=""Storage cost per pallet / week"")*('cost master'!$G:$G&lt;=B3307)*(('cost master'!$H:$H&gt;=B3307)+ISBLANK('cost master'!$H:$H))),1),0)"),0.0)</f>
        <v>0</v>
      </c>
      <c r="I3307" s="3">
        <f t="shared" si="4"/>
        <v>0</v>
      </c>
      <c r="J3307" s="27">
        <f t="shared" si="5"/>
        <v>693947</v>
      </c>
      <c r="K3307" s="27">
        <f t="shared" si="6"/>
        <v>693977</v>
      </c>
    </row>
    <row r="3308" hidden="1">
      <c r="A3308" s="3" t="str">
        <f t="shared" si="3"/>
        <v/>
      </c>
      <c r="B3308" s="2" t="str">
        <f t="array" ref="B3308">INDEX(helper!$A$3:$A3996,ROUNDUP((ROW()-1)/COUNTA(helper!$D$3:$D3996),0))</f>
        <v/>
      </c>
      <c r="C3308" s="5" t="str">
        <f t="array" ref="C3308">IF(B3308="","",INDEX(helper!$D$3:$D3996,MOD(ROW()-2,COUNTA(helper!$D$3:$D3996))+1))</f>
        <v/>
      </c>
      <c r="D3308" s="3" t="str">
        <f t="array" ref="D3308">IF(B3308="","",INDEX(helper!$E$3:$E3996,MOD(ROW()-2,COUNTA(helper!$D$3:$D3996))+1))</f>
        <v/>
      </c>
      <c r="E3308" s="3" t="str">
        <f t="array" ref="E3308">IF(B3308="","",INDEX(helper!$F$3:$F3996,MOD(ROW()-2,COUNTA(helper!$D$3:$D3996))+1))</f>
        <v/>
      </c>
      <c r="F3308" s="3" t="str">
        <f>IF(B3308="","",SUMIFS('inventory ledger'!$H:$H,'inventory ledger'!$C:$C,C3308,'inventory ledger'!$D:$D,D3308,'inventory ledger'!$E:$E,E3308,'inventory ledger'!$A:$A,"&lt;="&amp;B3308+TIME(23,59,59))-SUMIFS('inventory ledger'!$I:$I,'inventory ledger'!$C:$C,C3308,'inventory ledger'!$D:$D,D3308,'inventory ledger'!$E:$E,E3308,'inventory ledger'!$A:$A,"&lt;="&amp;B3308+TIME(23,59,59)))</f>
        <v/>
      </c>
      <c r="G3308" s="3">
        <f>IFERROR(__xludf.DUMMYFUNCTION("IF(F3308&lt;=0,0,IFERROR(ROUNDUP(F3308/INDEX(FILTER('warehouse config'!$D:$D,('warehouse config'!$B:$B=C3308)*('warehouse config'!$C:$C=D3308)*('warehouse config'!$G:$G&lt;=B3308)*(('warehouse config'!$H:$H&gt;=B3308)+ISBLANK('warehouse config'!$H:$H))),1)),0))"),0.0)</f>
        <v>0</v>
      </c>
      <c r="H3308" s="3">
        <f>IFERROR(__xludf.DUMMYFUNCTION("IFERROR(INDEX(FILTER('cost master'!$E:$E,('cost master'!$B:$B=C3308)*('cost master'!$D:$D=""Storage cost per pallet / week"")*('cost master'!$G:$G&lt;=B3308)*(('cost master'!$H:$H&gt;=B3308)+ISBLANK('cost master'!$H:$H))),1),0)"),0.0)</f>
        <v>0</v>
      </c>
      <c r="I3308" s="3">
        <f t="shared" si="4"/>
        <v>0</v>
      </c>
      <c r="J3308" s="27">
        <f t="shared" si="5"/>
        <v>693947</v>
      </c>
      <c r="K3308" s="27">
        <f t="shared" si="6"/>
        <v>693977</v>
      </c>
    </row>
    <row r="3309" hidden="1">
      <c r="A3309" s="3" t="str">
        <f t="shared" si="3"/>
        <v/>
      </c>
      <c r="B3309" s="2" t="str">
        <f t="array" ref="B3309">INDEX(helper!$A$3:$A3996,ROUNDUP((ROW()-1)/COUNTA(helper!$D$3:$D3996),0))</f>
        <v/>
      </c>
      <c r="C3309" s="5" t="str">
        <f t="array" ref="C3309">IF(B3309="","",INDEX(helper!$D$3:$D3996,MOD(ROW()-2,COUNTA(helper!$D$3:$D3996))+1))</f>
        <v/>
      </c>
      <c r="D3309" s="3" t="str">
        <f t="array" ref="D3309">IF(B3309="","",INDEX(helper!$E$3:$E3996,MOD(ROW()-2,COUNTA(helper!$D$3:$D3996))+1))</f>
        <v/>
      </c>
      <c r="E3309" s="3" t="str">
        <f t="array" ref="E3309">IF(B3309="","",INDEX(helper!$F$3:$F3996,MOD(ROW()-2,COUNTA(helper!$D$3:$D3996))+1))</f>
        <v/>
      </c>
      <c r="F3309" s="3" t="str">
        <f>IF(B3309="","",SUMIFS('inventory ledger'!$H:$H,'inventory ledger'!$C:$C,C3309,'inventory ledger'!$D:$D,D3309,'inventory ledger'!$E:$E,E3309,'inventory ledger'!$A:$A,"&lt;="&amp;B3309+TIME(23,59,59))-SUMIFS('inventory ledger'!$I:$I,'inventory ledger'!$C:$C,C3309,'inventory ledger'!$D:$D,D3309,'inventory ledger'!$E:$E,E3309,'inventory ledger'!$A:$A,"&lt;="&amp;B3309+TIME(23,59,59)))</f>
        <v/>
      </c>
      <c r="G3309" s="3">
        <f>IFERROR(__xludf.DUMMYFUNCTION("IF(F3309&lt;=0,0,IFERROR(ROUNDUP(F3309/INDEX(FILTER('warehouse config'!$D:$D,('warehouse config'!$B:$B=C3309)*('warehouse config'!$C:$C=D3309)*('warehouse config'!$G:$G&lt;=B3309)*(('warehouse config'!$H:$H&gt;=B3309)+ISBLANK('warehouse config'!$H:$H))),1)),0))"),0.0)</f>
        <v>0</v>
      </c>
      <c r="H3309" s="3">
        <f>IFERROR(__xludf.DUMMYFUNCTION("IFERROR(INDEX(FILTER('cost master'!$E:$E,('cost master'!$B:$B=C3309)*('cost master'!$D:$D=""Storage cost per pallet / week"")*('cost master'!$G:$G&lt;=B3309)*(('cost master'!$H:$H&gt;=B3309)+ISBLANK('cost master'!$H:$H))),1),0)"),0.0)</f>
        <v>0</v>
      </c>
      <c r="I3309" s="3">
        <f t="shared" si="4"/>
        <v>0</v>
      </c>
      <c r="J3309" s="27">
        <f t="shared" si="5"/>
        <v>693947</v>
      </c>
      <c r="K3309" s="27">
        <f t="shared" si="6"/>
        <v>693977</v>
      </c>
    </row>
    <row r="3310" hidden="1">
      <c r="A3310" s="3" t="str">
        <f t="shared" si="3"/>
        <v/>
      </c>
      <c r="B3310" s="2" t="str">
        <f t="array" ref="B3310">INDEX(helper!$A$3:$A3996,ROUNDUP((ROW()-1)/COUNTA(helper!$D$3:$D3996),0))</f>
        <v/>
      </c>
      <c r="C3310" s="5" t="str">
        <f t="array" ref="C3310">IF(B3310="","",INDEX(helper!$D$3:$D3996,MOD(ROW()-2,COUNTA(helper!$D$3:$D3996))+1))</f>
        <v/>
      </c>
      <c r="D3310" s="3" t="str">
        <f t="array" ref="D3310">IF(B3310="","",INDEX(helper!$E$3:$E3996,MOD(ROW()-2,COUNTA(helper!$D$3:$D3996))+1))</f>
        <v/>
      </c>
      <c r="E3310" s="3" t="str">
        <f t="array" ref="E3310">IF(B3310="","",INDEX(helper!$F$3:$F3996,MOD(ROW()-2,COUNTA(helper!$D$3:$D3996))+1))</f>
        <v/>
      </c>
      <c r="F3310" s="3" t="str">
        <f>IF(B3310="","",SUMIFS('inventory ledger'!$H:$H,'inventory ledger'!$C:$C,C3310,'inventory ledger'!$D:$D,D3310,'inventory ledger'!$E:$E,E3310,'inventory ledger'!$A:$A,"&lt;="&amp;B3310+TIME(23,59,59))-SUMIFS('inventory ledger'!$I:$I,'inventory ledger'!$C:$C,C3310,'inventory ledger'!$D:$D,D3310,'inventory ledger'!$E:$E,E3310,'inventory ledger'!$A:$A,"&lt;="&amp;B3310+TIME(23,59,59)))</f>
        <v/>
      </c>
      <c r="G3310" s="3">
        <f>IFERROR(__xludf.DUMMYFUNCTION("IF(F3310&lt;=0,0,IFERROR(ROUNDUP(F3310/INDEX(FILTER('warehouse config'!$D:$D,('warehouse config'!$B:$B=C3310)*('warehouse config'!$C:$C=D3310)*('warehouse config'!$G:$G&lt;=B3310)*(('warehouse config'!$H:$H&gt;=B3310)+ISBLANK('warehouse config'!$H:$H))),1)),0))"),0.0)</f>
        <v>0</v>
      </c>
      <c r="H3310" s="3">
        <f>IFERROR(__xludf.DUMMYFUNCTION("IFERROR(INDEX(FILTER('cost master'!$E:$E,('cost master'!$B:$B=C3310)*('cost master'!$D:$D=""Storage cost per pallet / week"")*('cost master'!$G:$G&lt;=B3310)*(('cost master'!$H:$H&gt;=B3310)+ISBLANK('cost master'!$H:$H))),1),0)"),0.0)</f>
        <v>0</v>
      </c>
      <c r="I3310" s="3">
        <f t="shared" si="4"/>
        <v>0</v>
      </c>
      <c r="J3310" s="27">
        <f t="shared" si="5"/>
        <v>693947</v>
      </c>
      <c r="K3310" s="27">
        <f t="shared" si="6"/>
        <v>693977</v>
      </c>
    </row>
    <row r="3311" hidden="1">
      <c r="A3311" s="3" t="str">
        <f t="shared" si="3"/>
        <v/>
      </c>
      <c r="B3311" s="2" t="str">
        <f t="array" ref="B3311">INDEX(helper!$A$3:$A3996,ROUNDUP((ROW()-1)/COUNTA(helper!$D$3:$D3996),0))</f>
        <v/>
      </c>
      <c r="C3311" s="5" t="str">
        <f t="array" ref="C3311">IF(B3311="","",INDEX(helper!$D$3:$D3996,MOD(ROW()-2,COUNTA(helper!$D$3:$D3996))+1))</f>
        <v/>
      </c>
      <c r="D3311" s="3" t="str">
        <f t="array" ref="D3311">IF(B3311="","",INDEX(helper!$E$3:$E3996,MOD(ROW()-2,COUNTA(helper!$D$3:$D3996))+1))</f>
        <v/>
      </c>
      <c r="E3311" s="3" t="str">
        <f t="array" ref="E3311">IF(B3311="","",INDEX(helper!$F$3:$F3996,MOD(ROW()-2,COUNTA(helper!$D$3:$D3996))+1))</f>
        <v/>
      </c>
      <c r="F3311" s="3" t="str">
        <f>IF(B3311="","",SUMIFS('inventory ledger'!$H:$H,'inventory ledger'!$C:$C,C3311,'inventory ledger'!$D:$D,D3311,'inventory ledger'!$E:$E,E3311,'inventory ledger'!$A:$A,"&lt;="&amp;B3311+TIME(23,59,59))-SUMIFS('inventory ledger'!$I:$I,'inventory ledger'!$C:$C,C3311,'inventory ledger'!$D:$D,D3311,'inventory ledger'!$E:$E,E3311,'inventory ledger'!$A:$A,"&lt;="&amp;B3311+TIME(23,59,59)))</f>
        <v/>
      </c>
      <c r="G3311" s="3">
        <f>IFERROR(__xludf.DUMMYFUNCTION("IF(F3311&lt;=0,0,IFERROR(ROUNDUP(F3311/INDEX(FILTER('warehouse config'!$D:$D,('warehouse config'!$B:$B=C3311)*('warehouse config'!$C:$C=D3311)*('warehouse config'!$G:$G&lt;=B3311)*(('warehouse config'!$H:$H&gt;=B3311)+ISBLANK('warehouse config'!$H:$H))),1)),0))"),0.0)</f>
        <v>0</v>
      </c>
      <c r="H3311" s="3">
        <f>IFERROR(__xludf.DUMMYFUNCTION("IFERROR(INDEX(FILTER('cost master'!$E:$E,('cost master'!$B:$B=C3311)*('cost master'!$D:$D=""Storage cost per pallet / week"")*('cost master'!$G:$G&lt;=B3311)*(('cost master'!$H:$H&gt;=B3311)+ISBLANK('cost master'!$H:$H))),1),0)"),0.0)</f>
        <v>0</v>
      </c>
      <c r="I3311" s="3">
        <f t="shared" si="4"/>
        <v>0</v>
      </c>
      <c r="J3311" s="27">
        <f t="shared" si="5"/>
        <v>693947</v>
      </c>
      <c r="K3311" s="27">
        <f t="shared" si="6"/>
        <v>693977</v>
      </c>
    </row>
    <row r="3312" hidden="1">
      <c r="A3312" s="3" t="str">
        <f t="shared" si="3"/>
        <v/>
      </c>
      <c r="B3312" s="2" t="str">
        <f t="array" ref="B3312">INDEX(helper!$A$3:$A3996,ROUNDUP((ROW()-1)/COUNTA(helper!$D$3:$D3996),0))</f>
        <v/>
      </c>
      <c r="C3312" s="5" t="str">
        <f t="array" ref="C3312">IF(B3312="","",INDEX(helper!$D$3:$D3996,MOD(ROW()-2,COUNTA(helper!$D$3:$D3996))+1))</f>
        <v/>
      </c>
      <c r="D3312" s="3" t="str">
        <f t="array" ref="D3312">IF(B3312="","",INDEX(helper!$E$3:$E3996,MOD(ROW()-2,COUNTA(helper!$D$3:$D3996))+1))</f>
        <v/>
      </c>
      <c r="E3312" s="3" t="str">
        <f t="array" ref="E3312">IF(B3312="","",INDEX(helper!$F$3:$F3996,MOD(ROW()-2,COUNTA(helper!$D$3:$D3996))+1))</f>
        <v/>
      </c>
      <c r="F3312" s="3" t="str">
        <f>IF(B3312="","",SUMIFS('inventory ledger'!$H:$H,'inventory ledger'!$C:$C,C3312,'inventory ledger'!$D:$D,D3312,'inventory ledger'!$E:$E,E3312,'inventory ledger'!$A:$A,"&lt;="&amp;B3312+TIME(23,59,59))-SUMIFS('inventory ledger'!$I:$I,'inventory ledger'!$C:$C,C3312,'inventory ledger'!$D:$D,D3312,'inventory ledger'!$E:$E,E3312,'inventory ledger'!$A:$A,"&lt;="&amp;B3312+TIME(23,59,59)))</f>
        <v/>
      </c>
      <c r="G3312" s="3">
        <f>IFERROR(__xludf.DUMMYFUNCTION("IF(F3312&lt;=0,0,IFERROR(ROUNDUP(F3312/INDEX(FILTER('warehouse config'!$D:$D,('warehouse config'!$B:$B=C3312)*('warehouse config'!$C:$C=D3312)*('warehouse config'!$G:$G&lt;=B3312)*(('warehouse config'!$H:$H&gt;=B3312)+ISBLANK('warehouse config'!$H:$H))),1)),0))"),0.0)</f>
        <v>0</v>
      </c>
      <c r="H3312" s="3">
        <f>IFERROR(__xludf.DUMMYFUNCTION("IFERROR(INDEX(FILTER('cost master'!$E:$E,('cost master'!$B:$B=C3312)*('cost master'!$D:$D=""Storage cost per pallet / week"")*('cost master'!$G:$G&lt;=B3312)*(('cost master'!$H:$H&gt;=B3312)+ISBLANK('cost master'!$H:$H))),1),0)"),0.0)</f>
        <v>0</v>
      </c>
      <c r="I3312" s="3">
        <f t="shared" si="4"/>
        <v>0</v>
      </c>
      <c r="J3312" s="27">
        <f t="shared" si="5"/>
        <v>693947</v>
      </c>
      <c r="K3312" s="27">
        <f t="shared" si="6"/>
        <v>693977</v>
      </c>
    </row>
    <row r="3313" hidden="1">
      <c r="A3313" s="3" t="str">
        <f t="shared" si="3"/>
        <v/>
      </c>
      <c r="B3313" s="2" t="str">
        <f t="array" ref="B3313">INDEX(helper!$A$3:$A3996,ROUNDUP((ROW()-1)/COUNTA(helper!$D$3:$D3996),0))</f>
        <v/>
      </c>
      <c r="C3313" s="5" t="str">
        <f t="array" ref="C3313">IF(B3313="","",INDEX(helper!$D$3:$D3996,MOD(ROW()-2,COUNTA(helper!$D$3:$D3996))+1))</f>
        <v/>
      </c>
      <c r="D3313" s="3" t="str">
        <f t="array" ref="D3313">IF(B3313="","",INDEX(helper!$E$3:$E3996,MOD(ROW()-2,COUNTA(helper!$D$3:$D3996))+1))</f>
        <v/>
      </c>
      <c r="E3313" s="3" t="str">
        <f t="array" ref="E3313">IF(B3313="","",INDEX(helper!$F$3:$F3996,MOD(ROW()-2,COUNTA(helper!$D$3:$D3996))+1))</f>
        <v/>
      </c>
      <c r="F3313" s="3" t="str">
        <f>IF(B3313="","",SUMIFS('inventory ledger'!$H:$H,'inventory ledger'!$C:$C,C3313,'inventory ledger'!$D:$D,D3313,'inventory ledger'!$E:$E,E3313,'inventory ledger'!$A:$A,"&lt;="&amp;B3313+TIME(23,59,59))-SUMIFS('inventory ledger'!$I:$I,'inventory ledger'!$C:$C,C3313,'inventory ledger'!$D:$D,D3313,'inventory ledger'!$E:$E,E3313,'inventory ledger'!$A:$A,"&lt;="&amp;B3313+TIME(23,59,59)))</f>
        <v/>
      </c>
      <c r="G3313" s="3">
        <f>IFERROR(__xludf.DUMMYFUNCTION("IF(F3313&lt;=0,0,IFERROR(ROUNDUP(F3313/INDEX(FILTER('warehouse config'!$D:$D,('warehouse config'!$B:$B=C3313)*('warehouse config'!$C:$C=D3313)*('warehouse config'!$G:$G&lt;=B3313)*(('warehouse config'!$H:$H&gt;=B3313)+ISBLANK('warehouse config'!$H:$H))),1)),0))"),0.0)</f>
        <v>0</v>
      </c>
      <c r="H3313" s="3">
        <f>IFERROR(__xludf.DUMMYFUNCTION("IFERROR(INDEX(FILTER('cost master'!$E:$E,('cost master'!$B:$B=C3313)*('cost master'!$D:$D=""Storage cost per pallet / week"")*('cost master'!$G:$G&lt;=B3313)*(('cost master'!$H:$H&gt;=B3313)+ISBLANK('cost master'!$H:$H))),1),0)"),0.0)</f>
        <v>0</v>
      </c>
      <c r="I3313" s="3">
        <f t="shared" si="4"/>
        <v>0</v>
      </c>
      <c r="J3313" s="27">
        <f t="shared" si="5"/>
        <v>693947</v>
      </c>
      <c r="K3313" s="27">
        <f t="shared" si="6"/>
        <v>693977</v>
      </c>
    </row>
    <row r="3314" hidden="1">
      <c r="A3314" s="3" t="str">
        <f t="shared" si="3"/>
        <v/>
      </c>
      <c r="B3314" s="2" t="str">
        <f t="array" ref="B3314">INDEX(helper!$A$3:$A3996,ROUNDUP((ROW()-1)/COUNTA(helper!$D$3:$D3996),0))</f>
        <v/>
      </c>
      <c r="C3314" s="5" t="str">
        <f t="array" ref="C3314">IF(B3314="","",INDEX(helper!$D$3:$D3996,MOD(ROW()-2,COUNTA(helper!$D$3:$D3996))+1))</f>
        <v/>
      </c>
      <c r="D3314" s="3" t="str">
        <f t="array" ref="D3314">IF(B3314="","",INDEX(helper!$E$3:$E3996,MOD(ROW()-2,COUNTA(helper!$D$3:$D3996))+1))</f>
        <v/>
      </c>
      <c r="E3314" s="3" t="str">
        <f t="array" ref="E3314">IF(B3314="","",INDEX(helper!$F$3:$F3996,MOD(ROW()-2,COUNTA(helper!$D$3:$D3996))+1))</f>
        <v/>
      </c>
      <c r="F3314" s="3" t="str">
        <f>IF(B3314="","",SUMIFS('inventory ledger'!$H:$H,'inventory ledger'!$C:$C,C3314,'inventory ledger'!$D:$D,D3314,'inventory ledger'!$E:$E,E3314,'inventory ledger'!$A:$A,"&lt;="&amp;B3314+TIME(23,59,59))-SUMIFS('inventory ledger'!$I:$I,'inventory ledger'!$C:$C,C3314,'inventory ledger'!$D:$D,D3314,'inventory ledger'!$E:$E,E3314,'inventory ledger'!$A:$A,"&lt;="&amp;B3314+TIME(23,59,59)))</f>
        <v/>
      </c>
      <c r="G3314" s="3">
        <f>IFERROR(__xludf.DUMMYFUNCTION("IF(F3314&lt;=0,0,IFERROR(ROUNDUP(F3314/INDEX(FILTER('warehouse config'!$D:$D,('warehouse config'!$B:$B=C3314)*('warehouse config'!$C:$C=D3314)*('warehouse config'!$G:$G&lt;=B3314)*(('warehouse config'!$H:$H&gt;=B3314)+ISBLANK('warehouse config'!$H:$H))),1)),0))"),0.0)</f>
        <v>0</v>
      </c>
      <c r="H3314" s="3">
        <f>IFERROR(__xludf.DUMMYFUNCTION("IFERROR(INDEX(FILTER('cost master'!$E:$E,('cost master'!$B:$B=C3314)*('cost master'!$D:$D=""Storage cost per pallet / week"")*('cost master'!$G:$G&lt;=B3314)*(('cost master'!$H:$H&gt;=B3314)+ISBLANK('cost master'!$H:$H))),1),0)"),0.0)</f>
        <v>0</v>
      </c>
      <c r="I3314" s="3">
        <f t="shared" si="4"/>
        <v>0</v>
      </c>
      <c r="J3314" s="27">
        <f t="shared" si="5"/>
        <v>693947</v>
      </c>
      <c r="K3314" s="27">
        <f t="shared" si="6"/>
        <v>693977</v>
      </c>
    </row>
    <row r="3315" hidden="1">
      <c r="A3315" s="3" t="str">
        <f t="shared" si="3"/>
        <v/>
      </c>
      <c r="B3315" s="2" t="str">
        <f t="array" ref="B3315">INDEX(helper!$A$3:$A3996,ROUNDUP((ROW()-1)/COUNTA(helper!$D$3:$D3996),0))</f>
        <v/>
      </c>
      <c r="C3315" s="5" t="str">
        <f t="array" ref="C3315">IF(B3315="","",INDEX(helper!$D$3:$D3996,MOD(ROW()-2,COUNTA(helper!$D$3:$D3996))+1))</f>
        <v/>
      </c>
      <c r="D3315" s="3" t="str">
        <f t="array" ref="D3315">IF(B3315="","",INDEX(helper!$E$3:$E3996,MOD(ROW()-2,COUNTA(helper!$D$3:$D3996))+1))</f>
        <v/>
      </c>
      <c r="E3315" s="3" t="str">
        <f t="array" ref="E3315">IF(B3315="","",INDEX(helper!$F$3:$F3996,MOD(ROW()-2,COUNTA(helper!$D$3:$D3996))+1))</f>
        <v/>
      </c>
      <c r="F3315" s="3" t="str">
        <f>IF(B3315="","",SUMIFS('inventory ledger'!$H:$H,'inventory ledger'!$C:$C,C3315,'inventory ledger'!$D:$D,D3315,'inventory ledger'!$E:$E,E3315,'inventory ledger'!$A:$A,"&lt;="&amp;B3315+TIME(23,59,59))-SUMIFS('inventory ledger'!$I:$I,'inventory ledger'!$C:$C,C3315,'inventory ledger'!$D:$D,D3315,'inventory ledger'!$E:$E,E3315,'inventory ledger'!$A:$A,"&lt;="&amp;B3315+TIME(23,59,59)))</f>
        <v/>
      </c>
      <c r="G3315" s="3">
        <f>IFERROR(__xludf.DUMMYFUNCTION("IF(F3315&lt;=0,0,IFERROR(ROUNDUP(F3315/INDEX(FILTER('warehouse config'!$D:$D,('warehouse config'!$B:$B=C3315)*('warehouse config'!$C:$C=D3315)*('warehouse config'!$G:$G&lt;=B3315)*(('warehouse config'!$H:$H&gt;=B3315)+ISBLANK('warehouse config'!$H:$H))),1)),0))"),0.0)</f>
        <v>0</v>
      </c>
      <c r="H3315" s="3">
        <f>IFERROR(__xludf.DUMMYFUNCTION("IFERROR(INDEX(FILTER('cost master'!$E:$E,('cost master'!$B:$B=C3315)*('cost master'!$D:$D=""Storage cost per pallet / week"")*('cost master'!$G:$G&lt;=B3315)*(('cost master'!$H:$H&gt;=B3315)+ISBLANK('cost master'!$H:$H))),1),0)"),0.0)</f>
        <v>0</v>
      </c>
      <c r="I3315" s="3">
        <f t="shared" si="4"/>
        <v>0</v>
      </c>
      <c r="J3315" s="27">
        <f t="shared" si="5"/>
        <v>693947</v>
      </c>
      <c r="K3315" s="27">
        <f t="shared" si="6"/>
        <v>693977</v>
      </c>
    </row>
    <row r="3316" hidden="1">
      <c r="A3316" s="3" t="str">
        <f t="shared" si="3"/>
        <v/>
      </c>
      <c r="B3316" s="2" t="str">
        <f t="array" ref="B3316">INDEX(helper!$A$3:$A3996,ROUNDUP((ROW()-1)/COUNTA(helper!$D$3:$D3996),0))</f>
        <v/>
      </c>
      <c r="C3316" s="5" t="str">
        <f t="array" ref="C3316">IF(B3316="","",INDEX(helper!$D$3:$D3996,MOD(ROW()-2,COUNTA(helper!$D$3:$D3996))+1))</f>
        <v/>
      </c>
      <c r="D3316" s="3" t="str">
        <f t="array" ref="D3316">IF(B3316="","",INDEX(helper!$E$3:$E3996,MOD(ROW()-2,COUNTA(helper!$D$3:$D3996))+1))</f>
        <v/>
      </c>
      <c r="E3316" s="3" t="str">
        <f t="array" ref="E3316">IF(B3316="","",INDEX(helper!$F$3:$F3996,MOD(ROW()-2,COUNTA(helper!$D$3:$D3996))+1))</f>
        <v/>
      </c>
      <c r="F3316" s="3" t="str">
        <f>IF(B3316="","",SUMIFS('inventory ledger'!$H:$H,'inventory ledger'!$C:$C,C3316,'inventory ledger'!$D:$D,D3316,'inventory ledger'!$E:$E,E3316,'inventory ledger'!$A:$A,"&lt;="&amp;B3316+TIME(23,59,59))-SUMIFS('inventory ledger'!$I:$I,'inventory ledger'!$C:$C,C3316,'inventory ledger'!$D:$D,D3316,'inventory ledger'!$E:$E,E3316,'inventory ledger'!$A:$A,"&lt;="&amp;B3316+TIME(23,59,59)))</f>
        <v/>
      </c>
      <c r="G3316" s="3">
        <f>IFERROR(__xludf.DUMMYFUNCTION("IF(F3316&lt;=0,0,IFERROR(ROUNDUP(F3316/INDEX(FILTER('warehouse config'!$D:$D,('warehouse config'!$B:$B=C3316)*('warehouse config'!$C:$C=D3316)*('warehouse config'!$G:$G&lt;=B3316)*(('warehouse config'!$H:$H&gt;=B3316)+ISBLANK('warehouse config'!$H:$H))),1)),0))"),0.0)</f>
        <v>0</v>
      </c>
      <c r="H3316" s="3">
        <f>IFERROR(__xludf.DUMMYFUNCTION("IFERROR(INDEX(FILTER('cost master'!$E:$E,('cost master'!$B:$B=C3316)*('cost master'!$D:$D=""Storage cost per pallet / week"")*('cost master'!$G:$G&lt;=B3316)*(('cost master'!$H:$H&gt;=B3316)+ISBLANK('cost master'!$H:$H))),1),0)"),0.0)</f>
        <v>0</v>
      </c>
      <c r="I3316" s="3">
        <f t="shared" si="4"/>
        <v>0</v>
      </c>
      <c r="J3316" s="27">
        <f t="shared" si="5"/>
        <v>693947</v>
      </c>
      <c r="K3316" s="27">
        <f t="shared" si="6"/>
        <v>693977</v>
      </c>
    </row>
    <row r="3317" hidden="1">
      <c r="A3317" s="3" t="str">
        <f t="shared" si="3"/>
        <v/>
      </c>
      <c r="B3317" s="2" t="str">
        <f t="array" ref="B3317">INDEX(helper!$A$3:$A3996,ROUNDUP((ROW()-1)/COUNTA(helper!$D$3:$D3996),0))</f>
        <v/>
      </c>
      <c r="C3317" s="5" t="str">
        <f t="array" ref="C3317">IF(B3317="","",INDEX(helper!$D$3:$D3996,MOD(ROW()-2,COUNTA(helper!$D$3:$D3996))+1))</f>
        <v/>
      </c>
      <c r="D3317" s="3" t="str">
        <f t="array" ref="D3317">IF(B3317="","",INDEX(helper!$E$3:$E3996,MOD(ROW()-2,COUNTA(helper!$D$3:$D3996))+1))</f>
        <v/>
      </c>
      <c r="E3317" s="3" t="str">
        <f t="array" ref="E3317">IF(B3317="","",INDEX(helper!$F$3:$F3996,MOD(ROW()-2,COUNTA(helper!$D$3:$D3996))+1))</f>
        <v/>
      </c>
      <c r="F3317" s="3" t="str">
        <f>IF(B3317="","",SUMIFS('inventory ledger'!$H:$H,'inventory ledger'!$C:$C,C3317,'inventory ledger'!$D:$D,D3317,'inventory ledger'!$E:$E,E3317,'inventory ledger'!$A:$A,"&lt;="&amp;B3317+TIME(23,59,59))-SUMIFS('inventory ledger'!$I:$I,'inventory ledger'!$C:$C,C3317,'inventory ledger'!$D:$D,D3317,'inventory ledger'!$E:$E,E3317,'inventory ledger'!$A:$A,"&lt;="&amp;B3317+TIME(23,59,59)))</f>
        <v/>
      </c>
      <c r="G3317" s="3">
        <f>IFERROR(__xludf.DUMMYFUNCTION("IF(F3317&lt;=0,0,IFERROR(ROUNDUP(F3317/INDEX(FILTER('warehouse config'!$D:$D,('warehouse config'!$B:$B=C3317)*('warehouse config'!$C:$C=D3317)*('warehouse config'!$G:$G&lt;=B3317)*(('warehouse config'!$H:$H&gt;=B3317)+ISBLANK('warehouse config'!$H:$H))),1)),0))"),0.0)</f>
        <v>0</v>
      </c>
      <c r="H3317" s="3">
        <f>IFERROR(__xludf.DUMMYFUNCTION("IFERROR(INDEX(FILTER('cost master'!$E:$E,('cost master'!$B:$B=C3317)*('cost master'!$D:$D=""Storage cost per pallet / week"")*('cost master'!$G:$G&lt;=B3317)*(('cost master'!$H:$H&gt;=B3317)+ISBLANK('cost master'!$H:$H))),1),0)"),0.0)</f>
        <v>0</v>
      </c>
      <c r="I3317" s="3">
        <f t="shared" si="4"/>
        <v>0</v>
      </c>
      <c r="J3317" s="27">
        <f t="shared" si="5"/>
        <v>693947</v>
      </c>
      <c r="K3317" s="27">
        <f t="shared" si="6"/>
        <v>693977</v>
      </c>
    </row>
    <row r="3318" hidden="1">
      <c r="A3318" s="3" t="str">
        <f t="shared" si="3"/>
        <v/>
      </c>
      <c r="B3318" s="2" t="str">
        <f t="array" ref="B3318">INDEX(helper!$A$3:$A3996,ROUNDUP((ROW()-1)/COUNTA(helper!$D$3:$D3996),0))</f>
        <v/>
      </c>
      <c r="C3318" s="5" t="str">
        <f t="array" ref="C3318">IF(B3318="","",INDEX(helper!$D$3:$D3996,MOD(ROW()-2,COUNTA(helper!$D$3:$D3996))+1))</f>
        <v/>
      </c>
      <c r="D3318" s="3" t="str">
        <f t="array" ref="D3318">IF(B3318="","",INDEX(helper!$E$3:$E3996,MOD(ROW()-2,COUNTA(helper!$D$3:$D3996))+1))</f>
        <v/>
      </c>
      <c r="E3318" s="3" t="str">
        <f t="array" ref="E3318">IF(B3318="","",INDEX(helper!$F$3:$F3996,MOD(ROW()-2,COUNTA(helper!$D$3:$D3996))+1))</f>
        <v/>
      </c>
      <c r="F3318" s="3" t="str">
        <f>IF(B3318="","",SUMIFS('inventory ledger'!$H:$H,'inventory ledger'!$C:$C,C3318,'inventory ledger'!$D:$D,D3318,'inventory ledger'!$E:$E,E3318,'inventory ledger'!$A:$A,"&lt;="&amp;B3318+TIME(23,59,59))-SUMIFS('inventory ledger'!$I:$I,'inventory ledger'!$C:$C,C3318,'inventory ledger'!$D:$D,D3318,'inventory ledger'!$E:$E,E3318,'inventory ledger'!$A:$A,"&lt;="&amp;B3318+TIME(23,59,59)))</f>
        <v/>
      </c>
      <c r="G3318" s="3">
        <f>IFERROR(__xludf.DUMMYFUNCTION("IF(F3318&lt;=0,0,IFERROR(ROUNDUP(F3318/INDEX(FILTER('warehouse config'!$D:$D,('warehouse config'!$B:$B=C3318)*('warehouse config'!$C:$C=D3318)*('warehouse config'!$G:$G&lt;=B3318)*(('warehouse config'!$H:$H&gt;=B3318)+ISBLANK('warehouse config'!$H:$H))),1)),0))"),0.0)</f>
        <v>0</v>
      </c>
      <c r="H3318" s="3">
        <f>IFERROR(__xludf.DUMMYFUNCTION("IFERROR(INDEX(FILTER('cost master'!$E:$E,('cost master'!$B:$B=C3318)*('cost master'!$D:$D=""Storage cost per pallet / week"")*('cost master'!$G:$G&lt;=B3318)*(('cost master'!$H:$H&gt;=B3318)+ISBLANK('cost master'!$H:$H))),1),0)"),0.0)</f>
        <v>0</v>
      </c>
      <c r="I3318" s="3">
        <f t="shared" si="4"/>
        <v>0</v>
      </c>
      <c r="J3318" s="27">
        <f t="shared" si="5"/>
        <v>693947</v>
      </c>
      <c r="K3318" s="27">
        <f t="shared" si="6"/>
        <v>693977</v>
      </c>
    </row>
    <row r="3319" hidden="1">
      <c r="A3319" s="3" t="str">
        <f t="shared" si="3"/>
        <v/>
      </c>
      <c r="B3319" s="2" t="str">
        <f t="array" ref="B3319">INDEX(helper!$A$3:$A3996,ROUNDUP((ROW()-1)/COUNTA(helper!$D$3:$D3996),0))</f>
        <v/>
      </c>
      <c r="C3319" s="5" t="str">
        <f t="array" ref="C3319">IF(B3319="","",INDEX(helper!$D$3:$D3996,MOD(ROW()-2,COUNTA(helper!$D$3:$D3996))+1))</f>
        <v/>
      </c>
      <c r="D3319" s="3" t="str">
        <f t="array" ref="D3319">IF(B3319="","",INDEX(helper!$E$3:$E3996,MOD(ROW()-2,COUNTA(helper!$D$3:$D3996))+1))</f>
        <v/>
      </c>
      <c r="E3319" s="3" t="str">
        <f t="array" ref="E3319">IF(B3319="","",INDEX(helper!$F$3:$F3996,MOD(ROW()-2,COUNTA(helper!$D$3:$D3996))+1))</f>
        <v/>
      </c>
      <c r="F3319" s="3" t="str">
        <f>IF(B3319="","",SUMIFS('inventory ledger'!$H:$H,'inventory ledger'!$C:$C,C3319,'inventory ledger'!$D:$D,D3319,'inventory ledger'!$E:$E,E3319,'inventory ledger'!$A:$A,"&lt;="&amp;B3319+TIME(23,59,59))-SUMIFS('inventory ledger'!$I:$I,'inventory ledger'!$C:$C,C3319,'inventory ledger'!$D:$D,D3319,'inventory ledger'!$E:$E,E3319,'inventory ledger'!$A:$A,"&lt;="&amp;B3319+TIME(23,59,59)))</f>
        <v/>
      </c>
      <c r="G3319" s="3">
        <f>IFERROR(__xludf.DUMMYFUNCTION("IF(F3319&lt;=0,0,IFERROR(ROUNDUP(F3319/INDEX(FILTER('warehouse config'!$D:$D,('warehouse config'!$B:$B=C3319)*('warehouse config'!$C:$C=D3319)*('warehouse config'!$G:$G&lt;=B3319)*(('warehouse config'!$H:$H&gt;=B3319)+ISBLANK('warehouse config'!$H:$H))),1)),0))"),0.0)</f>
        <v>0</v>
      </c>
      <c r="H3319" s="3">
        <f>IFERROR(__xludf.DUMMYFUNCTION("IFERROR(INDEX(FILTER('cost master'!$E:$E,('cost master'!$B:$B=C3319)*('cost master'!$D:$D=""Storage cost per pallet / week"")*('cost master'!$G:$G&lt;=B3319)*(('cost master'!$H:$H&gt;=B3319)+ISBLANK('cost master'!$H:$H))),1),0)"),0.0)</f>
        <v>0</v>
      </c>
      <c r="I3319" s="3">
        <f t="shared" si="4"/>
        <v>0</v>
      </c>
      <c r="J3319" s="27">
        <f t="shared" si="5"/>
        <v>693947</v>
      </c>
      <c r="K3319" s="27">
        <f t="shared" si="6"/>
        <v>693977</v>
      </c>
    </row>
    <row r="3320" hidden="1">
      <c r="A3320" s="3" t="str">
        <f t="shared" si="3"/>
        <v/>
      </c>
      <c r="B3320" s="2" t="str">
        <f t="array" ref="B3320">INDEX(helper!$A$3:$A3996,ROUNDUP((ROW()-1)/COUNTA(helper!$D$3:$D3996),0))</f>
        <v/>
      </c>
      <c r="C3320" s="5" t="str">
        <f t="array" ref="C3320">IF(B3320="","",INDEX(helper!$D$3:$D3996,MOD(ROW()-2,COUNTA(helper!$D$3:$D3996))+1))</f>
        <v/>
      </c>
      <c r="D3320" s="3" t="str">
        <f t="array" ref="D3320">IF(B3320="","",INDEX(helper!$E$3:$E3996,MOD(ROW()-2,COUNTA(helper!$D$3:$D3996))+1))</f>
        <v/>
      </c>
      <c r="E3320" s="3" t="str">
        <f t="array" ref="E3320">IF(B3320="","",INDEX(helper!$F$3:$F3996,MOD(ROW()-2,COUNTA(helper!$D$3:$D3996))+1))</f>
        <v/>
      </c>
      <c r="F3320" s="3" t="str">
        <f>IF(B3320="","",SUMIFS('inventory ledger'!$H:$H,'inventory ledger'!$C:$C,C3320,'inventory ledger'!$D:$D,D3320,'inventory ledger'!$E:$E,E3320,'inventory ledger'!$A:$A,"&lt;="&amp;B3320+TIME(23,59,59))-SUMIFS('inventory ledger'!$I:$I,'inventory ledger'!$C:$C,C3320,'inventory ledger'!$D:$D,D3320,'inventory ledger'!$E:$E,E3320,'inventory ledger'!$A:$A,"&lt;="&amp;B3320+TIME(23,59,59)))</f>
        <v/>
      </c>
      <c r="G3320" s="3">
        <f>IFERROR(__xludf.DUMMYFUNCTION("IF(F3320&lt;=0,0,IFERROR(ROUNDUP(F3320/INDEX(FILTER('warehouse config'!$D:$D,('warehouse config'!$B:$B=C3320)*('warehouse config'!$C:$C=D3320)*('warehouse config'!$G:$G&lt;=B3320)*(('warehouse config'!$H:$H&gt;=B3320)+ISBLANK('warehouse config'!$H:$H))),1)),0))"),0.0)</f>
        <v>0</v>
      </c>
      <c r="H3320" s="3">
        <f>IFERROR(__xludf.DUMMYFUNCTION("IFERROR(INDEX(FILTER('cost master'!$E:$E,('cost master'!$B:$B=C3320)*('cost master'!$D:$D=""Storage cost per pallet / week"")*('cost master'!$G:$G&lt;=B3320)*(('cost master'!$H:$H&gt;=B3320)+ISBLANK('cost master'!$H:$H))),1),0)"),0.0)</f>
        <v>0</v>
      </c>
      <c r="I3320" s="3">
        <f t="shared" si="4"/>
        <v>0</v>
      </c>
      <c r="J3320" s="27">
        <f t="shared" si="5"/>
        <v>693947</v>
      </c>
      <c r="K3320" s="27">
        <f t="shared" si="6"/>
        <v>693977</v>
      </c>
    </row>
    <row r="3321" hidden="1">
      <c r="A3321" s="3" t="str">
        <f t="shared" si="3"/>
        <v/>
      </c>
      <c r="B3321" s="2" t="str">
        <f t="array" ref="B3321">INDEX(helper!$A$3:$A3996,ROUNDUP((ROW()-1)/COUNTA(helper!$D$3:$D3996),0))</f>
        <v/>
      </c>
      <c r="C3321" s="5" t="str">
        <f t="array" ref="C3321">IF(B3321="","",INDEX(helper!$D$3:$D3996,MOD(ROW()-2,COUNTA(helper!$D$3:$D3996))+1))</f>
        <v/>
      </c>
      <c r="D3321" s="3" t="str">
        <f t="array" ref="D3321">IF(B3321="","",INDEX(helper!$E$3:$E3996,MOD(ROW()-2,COUNTA(helper!$D$3:$D3996))+1))</f>
        <v/>
      </c>
      <c r="E3321" s="3" t="str">
        <f t="array" ref="E3321">IF(B3321="","",INDEX(helper!$F$3:$F3996,MOD(ROW()-2,COUNTA(helper!$D$3:$D3996))+1))</f>
        <v/>
      </c>
      <c r="F3321" s="3" t="str">
        <f>IF(B3321="","",SUMIFS('inventory ledger'!$H:$H,'inventory ledger'!$C:$C,C3321,'inventory ledger'!$D:$D,D3321,'inventory ledger'!$E:$E,E3321,'inventory ledger'!$A:$A,"&lt;="&amp;B3321+TIME(23,59,59))-SUMIFS('inventory ledger'!$I:$I,'inventory ledger'!$C:$C,C3321,'inventory ledger'!$D:$D,D3321,'inventory ledger'!$E:$E,E3321,'inventory ledger'!$A:$A,"&lt;="&amp;B3321+TIME(23,59,59)))</f>
        <v/>
      </c>
      <c r="G3321" s="3">
        <f>IFERROR(__xludf.DUMMYFUNCTION("IF(F3321&lt;=0,0,IFERROR(ROUNDUP(F3321/INDEX(FILTER('warehouse config'!$D:$D,('warehouse config'!$B:$B=C3321)*('warehouse config'!$C:$C=D3321)*('warehouse config'!$G:$G&lt;=B3321)*(('warehouse config'!$H:$H&gt;=B3321)+ISBLANK('warehouse config'!$H:$H))),1)),0))"),0.0)</f>
        <v>0</v>
      </c>
      <c r="H3321" s="3">
        <f>IFERROR(__xludf.DUMMYFUNCTION("IFERROR(INDEX(FILTER('cost master'!$E:$E,('cost master'!$B:$B=C3321)*('cost master'!$D:$D=""Storage cost per pallet / week"")*('cost master'!$G:$G&lt;=B3321)*(('cost master'!$H:$H&gt;=B3321)+ISBLANK('cost master'!$H:$H))),1),0)"),0.0)</f>
        <v>0</v>
      </c>
      <c r="I3321" s="3">
        <f t="shared" si="4"/>
        <v>0</v>
      </c>
      <c r="J3321" s="27">
        <f t="shared" si="5"/>
        <v>693947</v>
      </c>
      <c r="K3321" s="27">
        <f t="shared" si="6"/>
        <v>693977</v>
      </c>
    </row>
    <row r="3322" hidden="1">
      <c r="A3322" s="3" t="str">
        <f t="shared" si="3"/>
        <v/>
      </c>
      <c r="B3322" s="2" t="str">
        <f t="array" ref="B3322">INDEX(helper!$A$3:$A3996,ROUNDUP((ROW()-1)/COUNTA(helper!$D$3:$D3996),0))</f>
        <v/>
      </c>
      <c r="C3322" s="5" t="str">
        <f t="array" ref="C3322">IF(B3322="","",INDEX(helper!$D$3:$D3996,MOD(ROW()-2,COUNTA(helper!$D$3:$D3996))+1))</f>
        <v/>
      </c>
      <c r="D3322" s="3" t="str">
        <f t="array" ref="D3322">IF(B3322="","",INDEX(helper!$E$3:$E3996,MOD(ROW()-2,COUNTA(helper!$D$3:$D3996))+1))</f>
        <v/>
      </c>
      <c r="E3322" s="3" t="str">
        <f t="array" ref="E3322">IF(B3322="","",INDEX(helper!$F$3:$F3996,MOD(ROW()-2,COUNTA(helper!$D$3:$D3996))+1))</f>
        <v/>
      </c>
      <c r="F3322" s="3" t="str">
        <f>IF(B3322="","",SUMIFS('inventory ledger'!$H:$H,'inventory ledger'!$C:$C,C3322,'inventory ledger'!$D:$D,D3322,'inventory ledger'!$E:$E,E3322,'inventory ledger'!$A:$A,"&lt;="&amp;B3322+TIME(23,59,59))-SUMIFS('inventory ledger'!$I:$I,'inventory ledger'!$C:$C,C3322,'inventory ledger'!$D:$D,D3322,'inventory ledger'!$E:$E,E3322,'inventory ledger'!$A:$A,"&lt;="&amp;B3322+TIME(23,59,59)))</f>
        <v/>
      </c>
      <c r="G3322" s="3">
        <f>IFERROR(__xludf.DUMMYFUNCTION("IF(F3322&lt;=0,0,IFERROR(ROUNDUP(F3322/INDEX(FILTER('warehouse config'!$D:$D,('warehouse config'!$B:$B=C3322)*('warehouse config'!$C:$C=D3322)*('warehouse config'!$G:$G&lt;=B3322)*(('warehouse config'!$H:$H&gt;=B3322)+ISBLANK('warehouse config'!$H:$H))),1)),0))"),0.0)</f>
        <v>0</v>
      </c>
      <c r="H3322" s="3">
        <f>IFERROR(__xludf.DUMMYFUNCTION("IFERROR(INDEX(FILTER('cost master'!$E:$E,('cost master'!$B:$B=C3322)*('cost master'!$D:$D=""Storage cost per pallet / week"")*('cost master'!$G:$G&lt;=B3322)*(('cost master'!$H:$H&gt;=B3322)+ISBLANK('cost master'!$H:$H))),1),0)"),0.0)</f>
        <v>0</v>
      </c>
      <c r="I3322" s="3">
        <f t="shared" si="4"/>
        <v>0</v>
      </c>
      <c r="J3322" s="27">
        <f t="shared" si="5"/>
        <v>693947</v>
      </c>
      <c r="K3322" s="27">
        <f t="shared" si="6"/>
        <v>693977</v>
      </c>
    </row>
    <row r="3323" hidden="1">
      <c r="A3323" s="3" t="str">
        <f t="shared" si="3"/>
        <v/>
      </c>
      <c r="B3323" s="2" t="str">
        <f t="array" ref="B3323">INDEX(helper!$A$3:$A3996,ROUNDUP((ROW()-1)/COUNTA(helper!$D$3:$D3996),0))</f>
        <v/>
      </c>
      <c r="C3323" s="5" t="str">
        <f t="array" ref="C3323">IF(B3323="","",INDEX(helper!$D$3:$D3996,MOD(ROW()-2,COUNTA(helper!$D$3:$D3996))+1))</f>
        <v/>
      </c>
      <c r="D3323" s="3" t="str">
        <f t="array" ref="D3323">IF(B3323="","",INDEX(helper!$E$3:$E3996,MOD(ROW()-2,COUNTA(helper!$D$3:$D3996))+1))</f>
        <v/>
      </c>
      <c r="E3323" s="3" t="str">
        <f t="array" ref="E3323">IF(B3323="","",INDEX(helper!$F$3:$F3996,MOD(ROW()-2,COUNTA(helper!$D$3:$D3996))+1))</f>
        <v/>
      </c>
      <c r="F3323" s="3" t="str">
        <f>IF(B3323="","",SUMIFS('inventory ledger'!$H:$H,'inventory ledger'!$C:$C,C3323,'inventory ledger'!$D:$D,D3323,'inventory ledger'!$E:$E,E3323,'inventory ledger'!$A:$A,"&lt;="&amp;B3323+TIME(23,59,59))-SUMIFS('inventory ledger'!$I:$I,'inventory ledger'!$C:$C,C3323,'inventory ledger'!$D:$D,D3323,'inventory ledger'!$E:$E,E3323,'inventory ledger'!$A:$A,"&lt;="&amp;B3323+TIME(23,59,59)))</f>
        <v/>
      </c>
      <c r="G3323" s="3">
        <f>IFERROR(__xludf.DUMMYFUNCTION("IF(F3323&lt;=0,0,IFERROR(ROUNDUP(F3323/INDEX(FILTER('warehouse config'!$D:$D,('warehouse config'!$B:$B=C3323)*('warehouse config'!$C:$C=D3323)*('warehouse config'!$G:$G&lt;=B3323)*(('warehouse config'!$H:$H&gt;=B3323)+ISBLANK('warehouse config'!$H:$H))),1)),0))"),0.0)</f>
        <v>0</v>
      </c>
      <c r="H3323" s="3">
        <f>IFERROR(__xludf.DUMMYFUNCTION("IFERROR(INDEX(FILTER('cost master'!$E:$E,('cost master'!$B:$B=C3323)*('cost master'!$D:$D=""Storage cost per pallet / week"")*('cost master'!$G:$G&lt;=B3323)*(('cost master'!$H:$H&gt;=B3323)+ISBLANK('cost master'!$H:$H))),1),0)"),0.0)</f>
        <v>0</v>
      </c>
      <c r="I3323" s="3">
        <f t="shared" si="4"/>
        <v>0</v>
      </c>
      <c r="J3323" s="27">
        <f t="shared" si="5"/>
        <v>693947</v>
      </c>
      <c r="K3323" s="27">
        <f t="shared" si="6"/>
        <v>693977</v>
      </c>
    </row>
    <row r="3324" hidden="1">
      <c r="A3324" s="3" t="str">
        <f t="shared" si="3"/>
        <v/>
      </c>
      <c r="B3324" s="2" t="str">
        <f t="array" ref="B3324">INDEX(helper!$A$3:$A3996,ROUNDUP((ROW()-1)/COUNTA(helper!$D$3:$D3996),0))</f>
        <v/>
      </c>
      <c r="C3324" s="5" t="str">
        <f t="array" ref="C3324">IF(B3324="","",INDEX(helper!$D$3:$D3996,MOD(ROW()-2,COUNTA(helper!$D$3:$D3996))+1))</f>
        <v/>
      </c>
      <c r="D3324" s="3" t="str">
        <f t="array" ref="D3324">IF(B3324="","",INDEX(helper!$E$3:$E3996,MOD(ROW()-2,COUNTA(helper!$D$3:$D3996))+1))</f>
        <v/>
      </c>
      <c r="E3324" s="3" t="str">
        <f t="array" ref="E3324">IF(B3324="","",INDEX(helper!$F$3:$F3996,MOD(ROW()-2,COUNTA(helper!$D$3:$D3996))+1))</f>
        <v/>
      </c>
      <c r="F3324" s="3" t="str">
        <f>IF(B3324="","",SUMIFS('inventory ledger'!$H:$H,'inventory ledger'!$C:$C,C3324,'inventory ledger'!$D:$D,D3324,'inventory ledger'!$E:$E,E3324,'inventory ledger'!$A:$A,"&lt;="&amp;B3324+TIME(23,59,59))-SUMIFS('inventory ledger'!$I:$I,'inventory ledger'!$C:$C,C3324,'inventory ledger'!$D:$D,D3324,'inventory ledger'!$E:$E,E3324,'inventory ledger'!$A:$A,"&lt;="&amp;B3324+TIME(23,59,59)))</f>
        <v/>
      </c>
      <c r="G3324" s="3">
        <f>IFERROR(__xludf.DUMMYFUNCTION("IF(F3324&lt;=0,0,IFERROR(ROUNDUP(F3324/INDEX(FILTER('warehouse config'!$D:$D,('warehouse config'!$B:$B=C3324)*('warehouse config'!$C:$C=D3324)*('warehouse config'!$G:$G&lt;=B3324)*(('warehouse config'!$H:$H&gt;=B3324)+ISBLANK('warehouse config'!$H:$H))),1)),0))"),0.0)</f>
        <v>0</v>
      </c>
      <c r="H3324" s="3">
        <f>IFERROR(__xludf.DUMMYFUNCTION("IFERROR(INDEX(FILTER('cost master'!$E:$E,('cost master'!$B:$B=C3324)*('cost master'!$D:$D=""Storage cost per pallet / week"")*('cost master'!$G:$G&lt;=B3324)*(('cost master'!$H:$H&gt;=B3324)+ISBLANK('cost master'!$H:$H))),1),0)"),0.0)</f>
        <v>0</v>
      </c>
      <c r="I3324" s="3">
        <f t="shared" si="4"/>
        <v>0</v>
      </c>
      <c r="J3324" s="27">
        <f t="shared" si="5"/>
        <v>693947</v>
      </c>
      <c r="K3324" s="27">
        <f t="shared" si="6"/>
        <v>693977</v>
      </c>
    </row>
    <row r="3325" hidden="1">
      <c r="A3325" s="3" t="str">
        <f t="shared" si="3"/>
        <v/>
      </c>
      <c r="B3325" s="2" t="str">
        <f t="array" ref="B3325">INDEX(helper!$A$3:$A3996,ROUNDUP((ROW()-1)/COUNTA(helper!$D$3:$D3996),0))</f>
        <v/>
      </c>
      <c r="C3325" s="5" t="str">
        <f t="array" ref="C3325">IF(B3325="","",INDEX(helper!$D$3:$D3996,MOD(ROW()-2,COUNTA(helper!$D$3:$D3996))+1))</f>
        <v/>
      </c>
      <c r="D3325" s="3" t="str">
        <f t="array" ref="D3325">IF(B3325="","",INDEX(helper!$E$3:$E3996,MOD(ROW()-2,COUNTA(helper!$D$3:$D3996))+1))</f>
        <v/>
      </c>
      <c r="E3325" s="3" t="str">
        <f t="array" ref="E3325">IF(B3325="","",INDEX(helper!$F$3:$F3996,MOD(ROW()-2,COUNTA(helper!$D$3:$D3996))+1))</f>
        <v/>
      </c>
      <c r="F3325" s="3" t="str">
        <f>IF(B3325="","",SUMIFS('inventory ledger'!$H:$H,'inventory ledger'!$C:$C,C3325,'inventory ledger'!$D:$D,D3325,'inventory ledger'!$E:$E,E3325,'inventory ledger'!$A:$A,"&lt;="&amp;B3325+TIME(23,59,59))-SUMIFS('inventory ledger'!$I:$I,'inventory ledger'!$C:$C,C3325,'inventory ledger'!$D:$D,D3325,'inventory ledger'!$E:$E,E3325,'inventory ledger'!$A:$A,"&lt;="&amp;B3325+TIME(23,59,59)))</f>
        <v/>
      </c>
      <c r="G3325" s="3">
        <f>IFERROR(__xludf.DUMMYFUNCTION("IF(F3325&lt;=0,0,IFERROR(ROUNDUP(F3325/INDEX(FILTER('warehouse config'!$D:$D,('warehouse config'!$B:$B=C3325)*('warehouse config'!$C:$C=D3325)*('warehouse config'!$G:$G&lt;=B3325)*(('warehouse config'!$H:$H&gt;=B3325)+ISBLANK('warehouse config'!$H:$H))),1)),0))"),0.0)</f>
        <v>0</v>
      </c>
      <c r="H3325" s="3">
        <f>IFERROR(__xludf.DUMMYFUNCTION("IFERROR(INDEX(FILTER('cost master'!$E:$E,('cost master'!$B:$B=C3325)*('cost master'!$D:$D=""Storage cost per pallet / week"")*('cost master'!$G:$G&lt;=B3325)*(('cost master'!$H:$H&gt;=B3325)+ISBLANK('cost master'!$H:$H))),1),0)"),0.0)</f>
        <v>0</v>
      </c>
      <c r="I3325" s="3">
        <f t="shared" si="4"/>
        <v>0</v>
      </c>
      <c r="J3325" s="27">
        <f t="shared" si="5"/>
        <v>693947</v>
      </c>
      <c r="K3325" s="27">
        <f t="shared" si="6"/>
        <v>693977</v>
      </c>
    </row>
    <row r="3326" hidden="1">
      <c r="A3326" s="3" t="str">
        <f t="shared" si="3"/>
        <v/>
      </c>
      <c r="B3326" s="2" t="str">
        <f t="array" ref="B3326">INDEX(helper!$A$3:$A3996,ROUNDUP((ROW()-1)/COUNTA(helper!$D$3:$D3996),0))</f>
        <v/>
      </c>
      <c r="C3326" s="5" t="str">
        <f t="array" ref="C3326">IF(B3326="","",INDEX(helper!$D$3:$D3996,MOD(ROW()-2,COUNTA(helper!$D$3:$D3996))+1))</f>
        <v/>
      </c>
      <c r="D3326" s="3" t="str">
        <f t="array" ref="D3326">IF(B3326="","",INDEX(helper!$E$3:$E3996,MOD(ROW()-2,COUNTA(helper!$D$3:$D3996))+1))</f>
        <v/>
      </c>
      <c r="E3326" s="3" t="str">
        <f t="array" ref="E3326">IF(B3326="","",INDEX(helper!$F$3:$F3996,MOD(ROW()-2,COUNTA(helper!$D$3:$D3996))+1))</f>
        <v/>
      </c>
      <c r="F3326" s="3" t="str">
        <f>IF(B3326="","",SUMIFS('inventory ledger'!$H:$H,'inventory ledger'!$C:$C,C3326,'inventory ledger'!$D:$D,D3326,'inventory ledger'!$E:$E,E3326,'inventory ledger'!$A:$A,"&lt;="&amp;B3326+TIME(23,59,59))-SUMIFS('inventory ledger'!$I:$I,'inventory ledger'!$C:$C,C3326,'inventory ledger'!$D:$D,D3326,'inventory ledger'!$E:$E,E3326,'inventory ledger'!$A:$A,"&lt;="&amp;B3326+TIME(23,59,59)))</f>
        <v/>
      </c>
      <c r="G3326" s="3">
        <f>IFERROR(__xludf.DUMMYFUNCTION("IF(F3326&lt;=0,0,IFERROR(ROUNDUP(F3326/INDEX(FILTER('warehouse config'!$D:$D,('warehouse config'!$B:$B=C3326)*('warehouse config'!$C:$C=D3326)*('warehouse config'!$G:$G&lt;=B3326)*(('warehouse config'!$H:$H&gt;=B3326)+ISBLANK('warehouse config'!$H:$H))),1)),0))"),0.0)</f>
        <v>0</v>
      </c>
      <c r="H3326" s="3">
        <f>IFERROR(__xludf.DUMMYFUNCTION("IFERROR(INDEX(FILTER('cost master'!$E:$E,('cost master'!$B:$B=C3326)*('cost master'!$D:$D=""Storage cost per pallet / week"")*('cost master'!$G:$G&lt;=B3326)*(('cost master'!$H:$H&gt;=B3326)+ISBLANK('cost master'!$H:$H))),1),0)"),0.0)</f>
        <v>0</v>
      </c>
      <c r="I3326" s="3">
        <f t="shared" si="4"/>
        <v>0</v>
      </c>
      <c r="J3326" s="27">
        <f t="shared" si="5"/>
        <v>693947</v>
      </c>
      <c r="K3326" s="27">
        <f t="shared" si="6"/>
        <v>693977</v>
      </c>
    </row>
    <row r="3327" hidden="1">
      <c r="A3327" s="3" t="str">
        <f t="shared" si="3"/>
        <v/>
      </c>
      <c r="B3327" s="2" t="str">
        <f t="array" ref="B3327">INDEX(helper!$A$3:$A3996,ROUNDUP((ROW()-1)/COUNTA(helper!$D$3:$D3996),0))</f>
        <v/>
      </c>
      <c r="C3327" s="5" t="str">
        <f t="array" ref="C3327">IF(B3327="","",INDEX(helper!$D$3:$D3996,MOD(ROW()-2,COUNTA(helper!$D$3:$D3996))+1))</f>
        <v/>
      </c>
      <c r="D3327" s="3" t="str">
        <f t="array" ref="D3327">IF(B3327="","",INDEX(helper!$E$3:$E3996,MOD(ROW()-2,COUNTA(helper!$D$3:$D3996))+1))</f>
        <v/>
      </c>
      <c r="E3327" s="3" t="str">
        <f t="array" ref="E3327">IF(B3327="","",INDEX(helper!$F$3:$F3996,MOD(ROW()-2,COUNTA(helper!$D$3:$D3996))+1))</f>
        <v/>
      </c>
      <c r="F3327" s="3" t="str">
        <f>IF(B3327="","",SUMIFS('inventory ledger'!$H:$H,'inventory ledger'!$C:$C,C3327,'inventory ledger'!$D:$D,D3327,'inventory ledger'!$E:$E,E3327,'inventory ledger'!$A:$A,"&lt;="&amp;B3327+TIME(23,59,59))-SUMIFS('inventory ledger'!$I:$I,'inventory ledger'!$C:$C,C3327,'inventory ledger'!$D:$D,D3327,'inventory ledger'!$E:$E,E3327,'inventory ledger'!$A:$A,"&lt;="&amp;B3327+TIME(23,59,59)))</f>
        <v/>
      </c>
      <c r="G3327" s="3">
        <f>IFERROR(__xludf.DUMMYFUNCTION("IF(F3327&lt;=0,0,IFERROR(ROUNDUP(F3327/INDEX(FILTER('warehouse config'!$D:$D,('warehouse config'!$B:$B=C3327)*('warehouse config'!$C:$C=D3327)*('warehouse config'!$G:$G&lt;=B3327)*(('warehouse config'!$H:$H&gt;=B3327)+ISBLANK('warehouse config'!$H:$H))),1)),0))"),0.0)</f>
        <v>0</v>
      </c>
      <c r="H3327" s="3">
        <f>IFERROR(__xludf.DUMMYFUNCTION("IFERROR(INDEX(FILTER('cost master'!$E:$E,('cost master'!$B:$B=C3327)*('cost master'!$D:$D=""Storage cost per pallet / week"")*('cost master'!$G:$G&lt;=B3327)*(('cost master'!$H:$H&gt;=B3327)+ISBLANK('cost master'!$H:$H))),1),0)"),0.0)</f>
        <v>0</v>
      </c>
      <c r="I3327" s="3">
        <f t="shared" si="4"/>
        <v>0</v>
      </c>
      <c r="J3327" s="27">
        <f t="shared" si="5"/>
        <v>693947</v>
      </c>
      <c r="K3327" s="27">
        <f t="shared" si="6"/>
        <v>693977</v>
      </c>
    </row>
    <row r="3328" hidden="1">
      <c r="A3328" s="3" t="str">
        <f t="shared" si="3"/>
        <v/>
      </c>
      <c r="B3328" s="2" t="str">
        <f t="array" ref="B3328">INDEX(helper!$A$3:$A3996,ROUNDUP((ROW()-1)/COUNTA(helper!$D$3:$D3996),0))</f>
        <v/>
      </c>
      <c r="C3328" s="5" t="str">
        <f t="array" ref="C3328">IF(B3328="","",INDEX(helper!$D$3:$D3996,MOD(ROW()-2,COUNTA(helper!$D$3:$D3996))+1))</f>
        <v/>
      </c>
      <c r="D3328" s="3" t="str">
        <f t="array" ref="D3328">IF(B3328="","",INDEX(helper!$E$3:$E3996,MOD(ROW()-2,COUNTA(helper!$D$3:$D3996))+1))</f>
        <v/>
      </c>
      <c r="E3328" s="3" t="str">
        <f t="array" ref="E3328">IF(B3328="","",INDEX(helper!$F$3:$F3996,MOD(ROW()-2,COUNTA(helper!$D$3:$D3996))+1))</f>
        <v/>
      </c>
      <c r="F3328" s="3" t="str">
        <f>IF(B3328="","",SUMIFS('inventory ledger'!$H:$H,'inventory ledger'!$C:$C,C3328,'inventory ledger'!$D:$D,D3328,'inventory ledger'!$E:$E,E3328,'inventory ledger'!$A:$A,"&lt;="&amp;B3328+TIME(23,59,59))-SUMIFS('inventory ledger'!$I:$I,'inventory ledger'!$C:$C,C3328,'inventory ledger'!$D:$D,D3328,'inventory ledger'!$E:$E,E3328,'inventory ledger'!$A:$A,"&lt;="&amp;B3328+TIME(23,59,59)))</f>
        <v/>
      </c>
      <c r="G3328" s="3">
        <f>IFERROR(__xludf.DUMMYFUNCTION("IF(F3328&lt;=0,0,IFERROR(ROUNDUP(F3328/INDEX(FILTER('warehouse config'!$D:$D,('warehouse config'!$B:$B=C3328)*('warehouse config'!$C:$C=D3328)*('warehouse config'!$G:$G&lt;=B3328)*(('warehouse config'!$H:$H&gt;=B3328)+ISBLANK('warehouse config'!$H:$H))),1)),0))"),0.0)</f>
        <v>0</v>
      </c>
      <c r="H3328" s="3">
        <f>IFERROR(__xludf.DUMMYFUNCTION("IFERROR(INDEX(FILTER('cost master'!$E:$E,('cost master'!$B:$B=C3328)*('cost master'!$D:$D=""Storage cost per pallet / week"")*('cost master'!$G:$G&lt;=B3328)*(('cost master'!$H:$H&gt;=B3328)+ISBLANK('cost master'!$H:$H))),1),0)"),0.0)</f>
        <v>0</v>
      </c>
      <c r="I3328" s="3">
        <f t="shared" si="4"/>
        <v>0</v>
      </c>
      <c r="J3328" s="27">
        <f t="shared" si="5"/>
        <v>693947</v>
      </c>
      <c r="K3328" s="27">
        <f t="shared" si="6"/>
        <v>693977</v>
      </c>
    </row>
    <row r="3329" hidden="1">
      <c r="A3329" s="3" t="str">
        <f t="shared" si="3"/>
        <v/>
      </c>
      <c r="B3329" s="2" t="str">
        <f t="array" ref="B3329">INDEX(helper!$A$3:$A3996,ROUNDUP((ROW()-1)/COUNTA(helper!$D$3:$D3996),0))</f>
        <v/>
      </c>
      <c r="C3329" s="5" t="str">
        <f t="array" ref="C3329">IF(B3329="","",INDEX(helper!$D$3:$D3996,MOD(ROW()-2,COUNTA(helper!$D$3:$D3996))+1))</f>
        <v/>
      </c>
      <c r="D3329" s="3" t="str">
        <f t="array" ref="D3329">IF(B3329="","",INDEX(helper!$E$3:$E3996,MOD(ROW()-2,COUNTA(helper!$D$3:$D3996))+1))</f>
        <v/>
      </c>
      <c r="E3329" s="3" t="str">
        <f t="array" ref="E3329">IF(B3329="","",INDEX(helper!$F$3:$F3996,MOD(ROW()-2,COUNTA(helper!$D$3:$D3996))+1))</f>
        <v/>
      </c>
      <c r="F3329" s="3" t="str">
        <f>IF(B3329="","",SUMIFS('inventory ledger'!$H:$H,'inventory ledger'!$C:$C,C3329,'inventory ledger'!$D:$D,D3329,'inventory ledger'!$E:$E,E3329,'inventory ledger'!$A:$A,"&lt;="&amp;B3329+TIME(23,59,59))-SUMIFS('inventory ledger'!$I:$I,'inventory ledger'!$C:$C,C3329,'inventory ledger'!$D:$D,D3329,'inventory ledger'!$E:$E,E3329,'inventory ledger'!$A:$A,"&lt;="&amp;B3329+TIME(23,59,59)))</f>
        <v/>
      </c>
      <c r="G3329" s="3">
        <f>IFERROR(__xludf.DUMMYFUNCTION("IF(F3329&lt;=0,0,IFERROR(ROUNDUP(F3329/INDEX(FILTER('warehouse config'!$D:$D,('warehouse config'!$B:$B=C3329)*('warehouse config'!$C:$C=D3329)*('warehouse config'!$G:$G&lt;=B3329)*(('warehouse config'!$H:$H&gt;=B3329)+ISBLANK('warehouse config'!$H:$H))),1)),0))"),0.0)</f>
        <v>0</v>
      </c>
      <c r="H3329" s="3">
        <f>IFERROR(__xludf.DUMMYFUNCTION("IFERROR(INDEX(FILTER('cost master'!$E:$E,('cost master'!$B:$B=C3329)*('cost master'!$D:$D=""Storage cost per pallet / week"")*('cost master'!$G:$G&lt;=B3329)*(('cost master'!$H:$H&gt;=B3329)+ISBLANK('cost master'!$H:$H))),1),0)"),0.0)</f>
        <v>0</v>
      </c>
      <c r="I3329" s="3">
        <f t="shared" si="4"/>
        <v>0</v>
      </c>
      <c r="J3329" s="27">
        <f t="shared" si="5"/>
        <v>693947</v>
      </c>
      <c r="K3329" s="27">
        <f t="shared" si="6"/>
        <v>693977</v>
      </c>
    </row>
    <row r="3330" hidden="1">
      <c r="A3330" s="3" t="str">
        <f t="shared" si="3"/>
        <v/>
      </c>
      <c r="B3330" s="2" t="str">
        <f t="array" ref="B3330">INDEX(helper!$A$3:$A3996,ROUNDUP((ROW()-1)/COUNTA(helper!$D$3:$D3996),0))</f>
        <v/>
      </c>
      <c r="C3330" s="5" t="str">
        <f t="array" ref="C3330">IF(B3330="","",INDEX(helper!$D$3:$D3996,MOD(ROW()-2,COUNTA(helper!$D$3:$D3996))+1))</f>
        <v/>
      </c>
      <c r="D3330" s="3" t="str">
        <f t="array" ref="D3330">IF(B3330="","",INDEX(helper!$E$3:$E3996,MOD(ROW()-2,COUNTA(helper!$D$3:$D3996))+1))</f>
        <v/>
      </c>
      <c r="E3330" s="3" t="str">
        <f t="array" ref="E3330">IF(B3330="","",INDEX(helper!$F$3:$F3996,MOD(ROW()-2,COUNTA(helper!$D$3:$D3996))+1))</f>
        <v/>
      </c>
      <c r="F3330" s="3" t="str">
        <f>IF(B3330="","",SUMIFS('inventory ledger'!$H:$H,'inventory ledger'!$C:$C,C3330,'inventory ledger'!$D:$D,D3330,'inventory ledger'!$E:$E,E3330,'inventory ledger'!$A:$A,"&lt;="&amp;B3330+TIME(23,59,59))-SUMIFS('inventory ledger'!$I:$I,'inventory ledger'!$C:$C,C3330,'inventory ledger'!$D:$D,D3330,'inventory ledger'!$E:$E,E3330,'inventory ledger'!$A:$A,"&lt;="&amp;B3330+TIME(23,59,59)))</f>
        <v/>
      </c>
      <c r="G3330" s="3">
        <f>IFERROR(__xludf.DUMMYFUNCTION("IF(F3330&lt;=0,0,IFERROR(ROUNDUP(F3330/INDEX(FILTER('warehouse config'!$D:$D,('warehouse config'!$B:$B=C3330)*('warehouse config'!$C:$C=D3330)*('warehouse config'!$G:$G&lt;=B3330)*(('warehouse config'!$H:$H&gt;=B3330)+ISBLANK('warehouse config'!$H:$H))),1)),0))"),0.0)</f>
        <v>0</v>
      </c>
      <c r="H3330" s="3">
        <f>IFERROR(__xludf.DUMMYFUNCTION("IFERROR(INDEX(FILTER('cost master'!$E:$E,('cost master'!$B:$B=C3330)*('cost master'!$D:$D=""Storage cost per pallet / week"")*('cost master'!$G:$G&lt;=B3330)*(('cost master'!$H:$H&gt;=B3330)+ISBLANK('cost master'!$H:$H))),1),0)"),0.0)</f>
        <v>0</v>
      </c>
      <c r="I3330" s="3">
        <f t="shared" si="4"/>
        <v>0</v>
      </c>
      <c r="J3330" s="27">
        <f t="shared" si="5"/>
        <v>693947</v>
      </c>
      <c r="K3330" s="27">
        <f t="shared" si="6"/>
        <v>693977</v>
      </c>
    </row>
    <row r="3331" hidden="1">
      <c r="A3331" s="3" t="str">
        <f t="shared" si="3"/>
        <v/>
      </c>
      <c r="B3331" s="2" t="str">
        <f t="array" ref="B3331">INDEX(helper!$A$3:$A3996,ROUNDUP((ROW()-1)/COUNTA(helper!$D$3:$D3996),0))</f>
        <v/>
      </c>
      <c r="C3331" s="5" t="str">
        <f t="array" ref="C3331">IF(B3331="","",INDEX(helper!$D$3:$D3996,MOD(ROW()-2,COUNTA(helper!$D$3:$D3996))+1))</f>
        <v/>
      </c>
      <c r="D3331" s="3" t="str">
        <f t="array" ref="D3331">IF(B3331="","",INDEX(helper!$E$3:$E3996,MOD(ROW()-2,COUNTA(helper!$D$3:$D3996))+1))</f>
        <v/>
      </c>
      <c r="E3331" s="3" t="str">
        <f t="array" ref="E3331">IF(B3331="","",INDEX(helper!$F$3:$F3996,MOD(ROW()-2,COUNTA(helper!$D$3:$D3996))+1))</f>
        <v/>
      </c>
      <c r="F3331" s="3" t="str">
        <f>IF(B3331="","",SUMIFS('inventory ledger'!$H:$H,'inventory ledger'!$C:$C,C3331,'inventory ledger'!$D:$D,D3331,'inventory ledger'!$E:$E,E3331,'inventory ledger'!$A:$A,"&lt;="&amp;B3331+TIME(23,59,59))-SUMIFS('inventory ledger'!$I:$I,'inventory ledger'!$C:$C,C3331,'inventory ledger'!$D:$D,D3331,'inventory ledger'!$E:$E,E3331,'inventory ledger'!$A:$A,"&lt;="&amp;B3331+TIME(23,59,59)))</f>
        <v/>
      </c>
      <c r="G3331" s="3">
        <f>IFERROR(__xludf.DUMMYFUNCTION("IF(F3331&lt;=0,0,IFERROR(ROUNDUP(F3331/INDEX(FILTER('warehouse config'!$D:$D,('warehouse config'!$B:$B=C3331)*('warehouse config'!$C:$C=D3331)*('warehouse config'!$G:$G&lt;=B3331)*(('warehouse config'!$H:$H&gt;=B3331)+ISBLANK('warehouse config'!$H:$H))),1)),0))"),0.0)</f>
        <v>0</v>
      </c>
      <c r="H3331" s="3">
        <f>IFERROR(__xludf.DUMMYFUNCTION("IFERROR(INDEX(FILTER('cost master'!$E:$E,('cost master'!$B:$B=C3331)*('cost master'!$D:$D=""Storage cost per pallet / week"")*('cost master'!$G:$G&lt;=B3331)*(('cost master'!$H:$H&gt;=B3331)+ISBLANK('cost master'!$H:$H))),1),0)"),0.0)</f>
        <v>0</v>
      </c>
      <c r="I3331" s="3">
        <f t="shared" si="4"/>
        <v>0</v>
      </c>
      <c r="J3331" s="27">
        <f t="shared" si="5"/>
        <v>693947</v>
      </c>
      <c r="K3331" s="27">
        <f t="shared" si="6"/>
        <v>693977</v>
      </c>
    </row>
    <row r="3332" hidden="1">
      <c r="A3332" s="3" t="str">
        <f t="shared" si="3"/>
        <v/>
      </c>
      <c r="B3332" s="2" t="str">
        <f t="array" ref="B3332">INDEX(helper!$A$3:$A3996,ROUNDUP((ROW()-1)/COUNTA(helper!$D$3:$D3996),0))</f>
        <v/>
      </c>
      <c r="C3332" s="5" t="str">
        <f t="array" ref="C3332">IF(B3332="","",INDEX(helper!$D$3:$D3996,MOD(ROW()-2,COUNTA(helper!$D$3:$D3996))+1))</f>
        <v/>
      </c>
      <c r="D3332" s="3" t="str">
        <f t="array" ref="D3332">IF(B3332="","",INDEX(helper!$E$3:$E3996,MOD(ROW()-2,COUNTA(helper!$D$3:$D3996))+1))</f>
        <v/>
      </c>
      <c r="E3332" s="3" t="str">
        <f t="array" ref="E3332">IF(B3332="","",INDEX(helper!$F$3:$F3996,MOD(ROW()-2,COUNTA(helper!$D$3:$D3996))+1))</f>
        <v/>
      </c>
      <c r="F3332" s="3" t="str">
        <f>IF(B3332="","",SUMIFS('inventory ledger'!$H:$H,'inventory ledger'!$C:$C,C3332,'inventory ledger'!$D:$D,D3332,'inventory ledger'!$E:$E,E3332,'inventory ledger'!$A:$A,"&lt;="&amp;B3332+TIME(23,59,59))-SUMIFS('inventory ledger'!$I:$I,'inventory ledger'!$C:$C,C3332,'inventory ledger'!$D:$D,D3332,'inventory ledger'!$E:$E,E3332,'inventory ledger'!$A:$A,"&lt;="&amp;B3332+TIME(23,59,59)))</f>
        <v/>
      </c>
      <c r="G3332" s="3">
        <f>IFERROR(__xludf.DUMMYFUNCTION("IF(F3332&lt;=0,0,IFERROR(ROUNDUP(F3332/INDEX(FILTER('warehouse config'!$D:$D,('warehouse config'!$B:$B=C3332)*('warehouse config'!$C:$C=D3332)*('warehouse config'!$G:$G&lt;=B3332)*(('warehouse config'!$H:$H&gt;=B3332)+ISBLANK('warehouse config'!$H:$H))),1)),0))"),0.0)</f>
        <v>0</v>
      </c>
      <c r="H3332" s="3">
        <f>IFERROR(__xludf.DUMMYFUNCTION("IFERROR(INDEX(FILTER('cost master'!$E:$E,('cost master'!$B:$B=C3332)*('cost master'!$D:$D=""Storage cost per pallet / week"")*('cost master'!$G:$G&lt;=B3332)*(('cost master'!$H:$H&gt;=B3332)+ISBLANK('cost master'!$H:$H))),1),0)"),0.0)</f>
        <v>0</v>
      </c>
      <c r="I3332" s="3">
        <f t="shared" si="4"/>
        <v>0</v>
      </c>
      <c r="J3332" s="27">
        <f t="shared" si="5"/>
        <v>693947</v>
      </c>
      <c r="K3332" s="27">
        <f t="shared" si="6"/>
        <v>693977</v>
      </c>
    </row>
    <row r="3333" hidden="1">
      <c r="A3333" s="3" t="str">
        <f t="shared" si="3"/>
        <v/>
      </c>
      <c r="B3333" s="2" t="str">
        <f t="array" ref="B3333">INDEX(helper!$A$3:$A3996,ROUNDUP((ROW()-1)/COUNTA(helper!$D$3:$D3996),0))</f>
        <v/>
      </c>
      <c r="C3333" s="5" t="str">
        <f t="array" ref="C3333">IF(B3333="","",INDEX(helper!$D$3:$D3996,MOD(ROW()-2,COUNTA(helper!$D$3:$D3996))+1))</f>
        <v/>
      </c>
      <c r="D3333" s="3" t="str">
        <f t="array" ref="D3333">IF(B3333="","",INDEX(helper!$E$3:$E3996,MOD(ROW()-2,COUNTA(helper!$D$3:$D3996))+1))</f>
        <v/>
      </c>
      <c r="E3333" s="3" t="str">
        <f t="array" ref="E3333">IF(B3333="","",INDEX(helper!$F$3:$F3996,MOD(ROW()-2,COUNTA(helper!$D$3:$D3996))+1))</f>
        <v/>
      </c>
      <c r="F3333" s="3" t="str">
        <f>IF(B3333="","",SUMIFS('inventory ledger'!$H:$H,'inventory ledger'!$C:$C,C3333,'inventory ledger'!$D:$D,D3333,'inventory ledger'!$E:$E,E3333,'inventory ledger'!$A:$A,"&lt;="&amp;B3333+TIME(23,59,59))-SUMIFS('inventory ledger'!$I:$I,'inventory ledger'!$C:$C,C3333,'inventory ledger'!$D:$D,D3333,'inventory ledger'!$E:$E,E3333,'inventory ledger'!$A:$A,"&lt;="&amp;B3333+TIME(23,59,59)))</f>
        <v/>
      </c>
      <c r="G3333" s="3">
        <f>IFERROR(__xludf.DUMMYFUNCTION("IF(F3333&lt;=0,0,IFERROR(ROUNDUP(F3333/INDEX(FILTER('warehouse config'!$D:$D,('warehouse config'!$B:$B=C3333)*('warehouse config'!$C:$C=D3333)*('warehouse config'!$G:$G&lt;=B3333)*(('warehouse config'!$H:$H&gt;=B3333)+ISBLANK('warehouse config'!$H:$H))),1)),0))"),0.0)</f>
        <v>0</v>
      </c>
      <c r="H3333" s="3">
        <f>IFERROR(__xludf.DUMMYFUNCTION("IFERROR(INDEX(FILTER('cost master'!$E:$E,('cost master'!$B:$B=C3333)*('cost master'!$D:$D=""Storage cost per pallet / week"")*('cost master'!$G:$G&lt;=B3333)*(('cost master'!$H:$H&gt;=B3333)+ISBLANK('cost master'!$H:$H))),1),0)"),0.0)</f>
        <v>0</v>
      </c>
      <c r="I3333" s="3">
        <f t="shared" si="4"/>
        <v>0</v>
      </c>
      <c r="J3333" s="27">
        <f t="shared" si="5"/>
        <v>693947</v>
      </c>
      <c r="K3333" s="27">
        <f t="shared" si="6"/>
        <v>693977</v>
      </c>
    </row>
    <row r="3334" hidden="1">
      <c r="A3334" s="3" t="str">
        <f t="shared" si="3"/>
        <v/>
      </c>
      <c r="B3334" s="2" t="str">
        <f t="array" ref="B3334">INDEX(helper!$A$3:$A3996,ROUNDUP((ROW()-1)/COUNTA(helper!$D$3:$D3996),0))</f>
        <v/>
      </c>
      <c r="C3334" s="5" t="str">
        <f t="array" ref="C3334">IF(B3334="","",INDEX(helper!$D$3:$D3996,MOD(ROW()-2,COUNTA(helper!$D$3:$D3996))+1))</f>
        <v/>
      </c>
      <c r="D3334" s="3" t="str">
        <f t="array" ref="D3334">IF(B3334="","",INDEX(helper!$E$3:$E3996,MOD(ROW()-2,COUNTA(helper!$D$3:$D3996))+1))</f>
        <v/>
      </c>
      <c r="E3334" s="3" t="str">
        <f t="array" ref="E3334">IF(B3334="","",INDEX(helper!$F$3:$F3996,MOD(ROW()-2,COUNTA(helper!$D$3:$D3996))+1))</f>
        <v/>
      </c>
      <c r="F3334" s="3" t="str">
        <f>IF(B3334="","",SUMIFS('inventory ledger'!$H:$H,'inventory ledger'!$C:$C,C3334,'inventory ledger'!$D:$D,D3334,'inventory ledger'!$E:$E,E3334,'inventory ledger'!$A:$A,"&lt;="&amp;B3334+TIME(23,59,59))-SUMIFS('inventory ledger'!$I:$I,'inventory ledger'!$C:$C,C3334,'inventory ledger'!$D:$D,D3334,'inventory ledger'!$E:$E,E3334,'inventory ledger'!$A:$A,"&lt;="&amp;B3334+TIME(23,59,59)))</f>
        <v/>
      </c>
      <c r="G3334" s="3">
        <f>IFERROR(__xludf.DUMMYFUNCTION("IF(F3334&lt;=0,0,IFERROR(ROUNDUP(F3334/INDEX(FILTER('warehouse config'!$D:$D,('warehouse config'!$B:$B=C3334)*('warehouse config'!$C:$C=D3334)*('warehouse config'!$G:$G&lt;=B3334)*(('warehouse config'!$H:$H&gt;=B3334)+ISBLANK('warehouse config'!$H:$H))),1)),0))"),0.0)</f>
        <v>0</v>
      </c>
      <c r="H3334" s="3">
        <f>IFERROR(__xludf.DUMMYFUNCTION("IFERROR(INDEX(FILTER('cost master'!$E:$E,('cost master'!$B:$B=C3334)*('cost master'!$D:$D=""Storage cost per pallet / week"")*('cost master'!$G:$G&lt;=B3334)*(('cost master'!$H:$H&gt;=B3334)+ISBLANK('cost master'!$H:$H))),1),0)"),0.0)</f>
        <v>0</v>
      </c>
      <c r="I3334" s="3">
        <f t="shared" si="4"/>
        <v>0</v>
      </c>
      <c r="J3334" s="27">
        <f t="shared" si="5"/>
        <v>693947</v>
      </c>
      <c r="K3334" s="27">
        <f t="shared" si="6"/>
        <v>693977</v>
      </c>
    </row>
    <row r="3335" hidden="1">
      <c r="A3335" s="3" t="str">
        <f t="shared" si="3"/>
        <v/>
      </c>
      <c r="B3335" s="2" t="str">
        <f t="array" ref="B3335">INDEX(helper!$A$3:$A3996,ROUNDUP((ROW()-1)/COUNTA(helper!$D$3:$D3996),0))</f>
        <v/>
      </c>
      <c r="C3335" s="5" t="str">
        <f t="array" ref="C3335">IF(B3335="","",INDEX(helper!$D$3:$D3996,MOD(ROW()-2,COUNTA(helper!$D$3:$D3996))+1))</f>
        <v/>
      </c>
      <c r="D3335" s="3" t="str">
        <f t="array" ref="D3335">IF(B3335="","",INDEX(helper!$E$3:$E3996,MOD(ROW()-2,COUNTA(helper!$D$3:$D3996))+1))</f>
        <v/>
      </c>
      <c r="E3335" s="3" t="str">
        <f t="array" ref="E3335">IF(B3335="","",INDEX(helper!$F$3:$F3996,MOD(ROW()-2,COUNTA(helper!$D$3:$D3996))+1))</f>
        <v/>
      </c>
      <c r="F3335" s="3" t="str">
        <f>IF(B3335="","",SUMIFS('inventory ledger'!$H:$H,'inventory ledger'!$C:$C,C3335,'inventory ledger'!$D:$D,D3335,'inventory ledger'!$E:$E,E3335,'inventory ledger'!$A:$A,"&lt;="&amp;B3335+TIME(23,59,59))-SUMIFS('inventory ledger'!$I:$I,'inventory ledger'!$C:$C,C3335,'inventory ledger'!$D:$D,D3335,'inventory ledger'!$E:$E,E3335,'inventory ledger'!$A:$A,"&lt;="&amp;B3335+TIME(23,59,59)))</f>
        <v/>
      </c>
      <c r="G3335" s="3">
        <f>IFERROR(__xludf.DUMMYFUNCTION("IF(F3335&lt;=0,0,IFERROR(ROUNDUP(F3335/INDEX(FILTER('warehouse config'!$D:$D,('warehouse config'!$B:$B=C3335)*('warehouse config'!$C:$C=D3335)*('warehouse config'!$G:$G&lt;=B3335)*(('warehouse config'!$H:$H&gt;=B3335)+ISBLANK('warehouse config'!$H:$H))),1)),0))"),0.0)</f>
        <v>0</v>
      </c>
      <c r="H3335" s="3">
        <f>IFERROR(__xludf.DUMMYFUNCTION("IFERROR(INDEX(FILTER('cost master'!$E:$E,('cost master'!$B:$B=C3335)*('cost master'!$D:$D=""Storage cost per pallet / week"")*('cost master'!$G:$G&lt;=B3335)*(('cost master'!$H:$H&gt;=B3335)+ISBLANK('cost master'!$H:$H))),1),0)"),0.0)</f>
        <v>0</v>
      </c>
      <c r="I3335" s="3">
        <f t="shared" si="4"/>
        <v>0</v>
      </c>
      <c r="J3335" s="27">
        <f t="shared" si="5"/>
        <v>693947</v>
      </c>
      <c r="K3335" s="27">
        <f t="shared" si="6"/>
        <v>693977</v>
      </c>
    </row>
    <row r="3336" hidden="1">
      <c r="A3336" s="3" t="str">
        <f t="shared" si="3"/>
        <v/>
      </c>
      <c r="B3336" s="2" t="str">
        <f t="array" ref="B3336">INDEX(helper!$A$3:$A3996,ROUNDUP((ROW()-1)/COUNTA(helper!$D$3:$D3996),0))</f>
        <v/>
      </c>
      <c r="C3336" s="5" t="str">
        <f t="array" ref="C3336">IF(B3336="","",INDEX(helper!$D$3:$D3996,MOD(ROW()-2,COUNTA(helper!$D$3:$D3996))+1))</f>
        <v/>
      </c>
      <c r="D3336" s="3" t="str">
        <f t="array" ref="D3336">IF(B3336="","",INDEX(helper!$E$3:$E3996,MOD(ROW()-2,COUNTA(helper!$D$3:$D3996))+1))</f>
        <v/>
      </c>
      <c r="E3336" s="3" t="str">
        <f t="array" ref="E3336">IF(B3336="","",INDEX(helper!$F$3:$F3996,MOD(ROW()-2,COUNTA(helper!$D$3:$D3996))+1))</f>
        <v/>
      </c>
      <c r="F3336" s="3" t="str">
        <f>IF(B3336="","",SUMIFS('inventory ledger'!$H:$H,'inventory ledger'!$C:$C,C3336,'inventory ledger'!$D:$D,D3336,'inventory ledger'!$E:$E,E3336,'inventory ledger'!$A:$A,"&lt;="&amp;B3336+TIME(23,59,59))-SUMIFS('inventory ledger'!$I:$I,'inventory ledger'!$C:$C,C3336,'inventory ledger'!$D:$D,D3336,'inventory ledger'!$E:$E,E3336,'inventory ledger'!$A:$A,"&lt;="&amp;B3336+TIME(23,59,59)))</f>
        <v/>
      </c>
      <c r="G3336" s="3">
        <f>IFERROR(__xludf.DUMMYFUNCTION("IF(F3336&lt;=0,0,IFERROR(ROUNDUP(F3336/INDEX(FILTER('warehouse config'!$D:$D,('warehouse config'!$B:$B=C3336)*('warehouse config'!$C:$C=D3336)*('warehouse config'!$G:$G&lt;=B3336)*(('warehouse config'!$H:$H&gt;=B3336)+ISBLANK('warehouse config'!$H:$H))),1)),0))"),0.0)</f>
        <v>0</v>
      </c>
      <c r="H3336" s="3">
        <f>IFERROR(__xludf.DUMMYFUNCTION("IFERROR(INDEX(FILTER('cost master'!$E:$E,('cost master'!$B:$B=C3336)*('cost master'!$D:$D=""Storage cost per pallet / week"")*('cost master'!$G:$G&lt;=B3336)*(('cost master'!$H:$H&gt;=B3336)+ISBLANK('cost master'!$H:$H))),1),0)"),0.0)</f>
        <v>0</v>
      </c>
      <c r="I3336" s="3">
        <f t="shared" si="4"/>
        <v>0</v>
      </c>
      <c r="J3336" s="27">
        <f t="shared" si="5"/>
        <v>693947</v>
      </c>
      <c r="K3336" s="27">
        <f t="shared" si="6"/>
        <v>693977</v>
      </c>
    </row>
    <row r="3337" hidden="1">
      <c r="A3337" s="3" t="str">
        <f t="shared" si="3"/>
        <v/>
      </c>
      <c r="B3337" s="2" t="str">
        <f t="array" ref="B3337">INDEX(helper!$A$3:$A3996,ROUNDUP((ROW()-1)/COUNTA(helper!$D$3:$D3996),0))</f>
        <v/>
      </c>
      <c r="C3337" s="5" t="str">
        <f t="array" ref="C3337">IF(B3337="","",INDEX(helper!$D$3:$D3996,MOD(ROW()-2,COUNTA(helper!$D$3:$D3996))+1))</f>
        <v/>
      </c>
      <c r="D3337" s="3" t="str">
        <f t="array" ref="D3337">IF(B3337="","",INDEX(helper!$E$3:$E3996,MOD(ROW()-2,COUNTA(helper!$D$3:$D3996))+1))</f>
        <v/>
      </c>
      <c r="E3337" s="3" t="str">
        <f t="array" ref="E3337">IF(B3337="","",INDEX(helper!$F$3:$F3996,MOD(ROW()-2,COUNTA(helper!$D$3:$D3996))+1))</f>
        <v/>
      </c>
      <c r="F3337" s="3" t="str">
        <f>IF(B3337="","",SUMIFS('inventory ledger'!$H:$H,'inventory ledger'!$C:$C,C3337,'inventory ledger'!$D:$D,D3337,'inventory ledger'!$E:$E,E3337,'inventory ledger'!$A:$A,"&lt;="&amp;B3337+TIME(23,59,59))-SUMIFS('inventory ledger'!$I:$I,'inventory ledger'!$C:$C,C3337,'inventory ledger'!$D:$D,D3337,'inventory ledger'!$E:$E,E3337,'inventory ledger'!$A:$A,"&lt;="&amp;B3337+TIME(23,59,59)))</f>
        <v/>
      </c>
      <c r="G3337" s="3">
        <f>IFERROR(__xludf.DUMMYFUNCTION("IF(F3337&lt;=0,0,IFERROR(ROUNDUP(F3337/INDEX(FILTER('warehouse config'!$D:$D,('warehouse config'!$B:$B=C3337)*('warehouse config'!$C:$C=D3337)*('warehouse config'!$G:$G&lt;=B3337)*(('warehouse config'!$H:$H&gt;=B3337)+ISBLANK('warehouse config'!$H:$H))),1)),0))"),0.0)</f>
        <v>0</v>
      </c>
      <c r="H3337" s="3">
        <f>IFERROR(__xludf.DUMMYFUNCTION("IFERROR(INDEX(FILTER('cost master'!$E:$E,('cost master'!$B:$B=C3337)*('cost master'!$D:$D=""Storage cost per pallet / week"")*('cost master'!$G:$G&lt;=B3337)*(('cost master'!$H:$H&gt;=B3337)+ISBLANK('cost master'!$H:$H))),1),0)"),0.0)</f>
        <v>0</v>
      </c>
      <c r="I3337" s="3">
        <f t="shared" si="4"/>
        <v>0</v>
      </c>
      <c r="J3337" s="27">
        <f t="shared" si="5"/>
        <v>693947</v>
      </c>
      <c r="K3337" s="27">
        <f t="shared" si="6"/>
        <v>693977</v>
      </c>
    </row>
    <row r="3338" hidden="1">
      <c r="A3338" s="3" t="str">
        <f t="shared" si="3"/>
        <v/>
      </c>
      <c r="B3338" s="2" t="str">
        <f t="array" ref="B3338">INDEX(helper!$A$3:$A3996,ROUNDUP((ROW()-1)/COUNTA(helper!$D$3:$D3996),0))</f>
        <v/>
      </c>
      <c r="C3338" s="5" t="str">
        <f t="array" ref="C3338">IF(B3338="","",INDEX(helper!$D$3:$D3996,MOD(ROW()-2,COUNTA(helper!$D$3:$D3996))+1))</f>
        <v/>
      </c>
      <c r="D3338" s="3" t="str">
        <f t="array" ref="D3338">IF(B3338="","",INDEX(helper!$E$3:$E3996,MOD(ROW()-2,COUNTA(helper!$D$3:$D3996))+1))</f>
        <v/>
      </c>
      <c r="E3338" s="3" t="str">
        <f t="array" ref="E3338">IF(B3338="","",INDEX(helper!$F$3:$F3996,MOD(ROW()-2,COUNTA(helper!$D$3:$D3996))+1))</f>
        <v/>
      </c>
      <c r="F3338" s="3" t="str">
        <f>IF(B3338="","",SUMIFS('inventory ledger'!$H:$H,'inventory ledger'!$C:$C,C3338,'inventory ledger'!$D:$D,D3338,'inventory ledger'!$E:$E,E3338,'inventory ledger'!$A:$A,"&lt;="&amp;B3338+TIME(23,59,59))-SUMIFS('inventory ledger'!$I:$I,'inventory ledger'!$C:$C,C3338,'inventory ledger'!$D:$D,D3338,'inventory ledger'!$E:$E,E3338,'inventory ledger'!$A:$A,"&lt;="&amp;B3338+TIME(23,59,59)))</f>
        <v/>
      </c>
      <c r="G3338" s="3">
        <f>IFERROR(__xludf.DUMMYFUNCTION("IF(F3338&lt;=0,0,IFERROR(ROUNDUP(F3338/INDEX(FILTER('warehouse config'!$D:$D,('warehouse config'!$B:$B=C3338)*('warehouse config'!$C:$C=D3338)*('warehouse config'!$G:$G&lt;=B3338)*(('warehouse config'!$H:$H&gt;=B3338)+ISBLANK('warehouse config'!$H:$H))),1)),0))"),0.0)</f>
        <v>0</v>
      </c>
      <c r="H3338" s="3">
        <f>IFERROR(__xludf.DUMMYFUNCTION("IFERROR(INDEX(FILTER('cost master'!$E:$E,('cost master'!$B:$B=C3338)*('cost master'!$D:$D=""Storage cost per pallet / week"")*('cost master'!$G:$G&lt;=B3338)*(('cost master'!$H:$H&gt;=B3338)+ISBLANK('cost master'!$H:$H))),1),0)"),0.0)</f>
        <v>0</v>
      </c>
      <c r="I3338" s="3">
        <f t="shared" si="4"/>
        <v>0</v>
      </c>
      <c r="J3338" s="27">
        <f t="shared" si="5"/>
        <v>693947</v>
      </c>
      <c r="K3338" s="27">
        <f t="shared" si="6"/>
        <v>693977</v>
      </c>
    </row>
    <row r="3339" hidden="1">
      <c r="A3339" s="3" t="str">
        <f t="shared" si="3"/>
        <v/>
      </c>
      <c r="B3339" s="2" t="str">
        <f t="array" ref="B3339">INDEX(helper!$A$3:$A3996,ROUNDUP((ROW()-1)/COUNTA(helper!$D$3:$D3996),0))</f>
        <v/>
      </c>
      <c r="C3339" s="5" t="str">
        <f t="array" ref="C3339">IF(B3339="","",INDEX(helper!$D$3:$D3996,MOD(ROW()-2,COUNTA(helper!$D$3:$D3996))+1))</f>
        <v/>
      </c>
      <c r="D3339" s="3" t="str">
        <f t="array" ref="D3339">IF(B3339="","",INDEX(helper!$E$3:$E3996,MOD(ROW()-2,COUNTA(helper!$D$3:$D3996))+1))</f>
        <v/>
      </c>
      <c r="E3339" s="3" t="str">
        <f t="array" ref="E3339">IF(B3339="","",INDEX(helper!$F$3:$F3996,MOD(ROW()-2,COUNTA(helper!$D$3:$D3996))+1))</f>
        <v/>
      </c>
      <c r="F3339" s="3" t="str">
        <f>IF(B3339="","",SUMIFS('inventory ledger'!$H:$H,'inventory ledger'!$C:$C,C3339,'inventory ledger'!$D:$D,D3339,'inventory ledger'!$E:$E,E3339,'inventory ledger'!$A:$A,"&lt;="&amp;B3339+TIME(23,59,59))-SUMIFS('inventory ledger'!$I:$I,'inventory ledger'!$C:$C,C3339,'inventory ledger'!$D:$D,D3339,'inventory ledger'!$E:$E,E3339,'inventory ledger'!$A:$A,"&lt;="&amp;B3339+TIME(23,59,59)))</f>
        <v/>
      </c>
      <c r="G3339" s="3">
        <f>IFERROR(__xludf.DUMMYFUNCTION("IF(F3339&lt;=0,0,IFERROR(ROUNDUP(F3339/INDEX(FILTER('warehouse config'!$D:$D,('warehouse config'!$B:$B=C3339)*('warehouse config'!$C:$C=D3339)*('warehouse config'!$G:$G&lt;=B3339)*(('warehouse config'!$H:$H&gt;=B3339)+ISBLANK('warehouse config'!$H:$H))),1)),0))"),0.0)</f>
        <v>0</v>
      </c>
      <c r="H3339" s="3">
        <f>IFERROR(__xludf.DUMMYFUNCTION("IFERROR(INDEX(FILTER('cost master'!$E:$E,('cost master'!$B:$B=C3339)*('cost master'!$D:$D=""Storage cost per pallet / week"")*('cost master'!$G:$G&lt;=B3339)*(('cost master'!$H:$H&gt;=B3339)+ISBLANK('cost master'!$H:$H))),1),0)"),0.0)</f>
        <v>0</v>
      </c>
      <c r="I3339" s="3">
        <f t="shared" si="4"/>
        <v>0</v>
      </c>
      <c r="J3339" s="27">
        <f t="shared" si="5"/>
        <v>693947</v>
      </c>
      <c r="K3339" s="27">
        <f t="shared" si="6"/>
        <v>693977</v>
      </c>
    </row>
    <row r="3340" hidden="1">
      <c r="A3340" s="3" t="str">
        <f t="shared" si="3"/>
        <v/>
      </c>
      <c r="B3340" s="2" t="str">
        <f t="array" ref="B3340">INDEX(helper!$A$3:$A3996,ROUNDUP((ROW()-1)/COUNTA(helper!$D$3:$D3996),0))</f>
        <v/>
      </c>
      <c r="C3340" s="5" t="str">
        <f t="array" ref="C3340">IF(B3340="","",INDEX(helper!$D$3:$D3996,MOD(ROW()-2,COUNTA(helper!$D$3:$D3996))+1))</f>
        <v/>
      </c>
      <c r="D3340" s="3" t="str">
        <f t="array" ref="D3340">IF(B3340="","",INDEX(helper!$E$3:$E3996,MOD(ROW()-2,COUNTA(helper!$D$3:$D3996))+1))</f>
        <v/>
      </c>
      <c r="E3340" s="3" t="str">
        <f t="array" ref="E3340">IF(B3340="","",INDEX(helper!$F$3:$F3996,MOD(ROW()-2,COUNTA(helper!$D$3:$D3996))+1))</f>
        <v/>
      </c>
      <c r="F3340" s="3" t="str">
        <f>IF(B3340="","",SUMIFS('inventory ledger'!$H:$H,'inventory ledger'!$C:$C,C3340,'inventory ledger'!$D:$D,D3340,'inventory ledger'!$E:$E,E3340,'inventory ledger'!$A:$A,"&lt;="&amp;B3340+TIME(23,59,59))-SUMIFS('inventory ledger'!$I:$I,'inventory ledger'!$C:$C,C3340,'inventory ledger'!$D:$D,D3340,'inventory ledger'!$E:$E,E3340,'inventory ledger'!$A:$A,"&lt;="&amp;B3340+TIME(23,59,59)))</f>
        <v/>
      </c>
      <c r="G3340" s="3">
        <f>IFERROR(__xludf.DUMMYFUNCTION("IF(F3340&lt;=0,0,IFERROR(ROUNDUP(F3340/INDEX(FILTER('warehouse config'!$D:$D,('warehouse config'!$B:$B=C3340)*('warehouse config'!$C:$C=D3340)*('warehouse config'!$G:$G&lt;=B3340)*(('warehouse config'!$H:$H&gt;=B3340)+ISBLANK('warehouse config'!$H:$H))),1)),0))"),0.0)</f>
        <v>0</v>
      </c>
      <c r="H3340" s="3">
        <f>IFERROR(__xludf.DUMMYFUNCTION("IFERROR(INDEX(FILTER('cost master'!$E:$E,('cost master'!$B:$B=C3340)*('cost master'!$D:$D=""Storage cost per pallet / week"")*('cost master'!$G:$G&lt;=B3340)*(('cost master'!$H:$H&gt;=B3340)+ISBLANK('cost master'!$H:$H))),1),0)"),0.0)</f>
        <v>0</v>
      </c>
      <c r="I3340" s="3">
        <f t="shared" si="4"/>
        <v>0</v>
      </c>
      <c r="J3340" s="27">
        <f t="shared" si="5"/>
        <v>693947</v>
      </c>
      <c r="K3340" s="27">
        <f t="shared" si="6"/>
        <v>693977</v>
      </c>
    </row>
    <row r="3341" hidden="1">
      <c r="A3341" s="3" t="str">
        <f t="shared" si="3"/>
        <v/>
      </c>
      <c r="B3341" s="2" t="str">
        <f t="array" ref="B3341">INDEX(helper!$A$3:$A3996,ROUNDUP((ROW()-1)/COUNTA(helper!$D$3:$D3996),0))</f>
        <v/>
      </c>
      <c r="C3341" s="5" t="str">
        <f t="array" ref="C3341">IF(B3341="","",INDEX(helper!$D$3:$D3996,MOD(ROW()-2,COUNTA(helper!$D$3:$D3996))+1))</f>
        <v/>
      </c>
      <c r="D3341" s="3" t="str">
        <f t="array" ref="D3341">IF(B3341="","",INDEX(helper!$E$3:$E3996,MOD(ROW()-2,COUNTA(helper!$D$3:$D3996))+1))</f>
        <v/>
      </c>
      <c r="E3341" s="3" t="str">
        <f t="array" ref="E3341">IF(B3341="","",INDEX(helper!$F$3:$F3996,MOD(ROW()-2,COUNTA(helper!$D$3:$D3996))+1))</f>
        <v/>
      </c>
      <c r="F3341" s="3" t="str">
        <f>IF(B3341="","",SUMIFS('inventory ledger'!$H:$H,'inventory ledger'!$C:$C,C3341,'inventory ledger'!$D:$D,D3341,'inventory ledger'!$E:$E,E3341,'inventory ledger'!$A:$A,"&lt;="&amp;B3341+TIME(23,59,59))-SUMIFS('inventory ledger'!$I:$I,'inventory ledger'!$C:$C,C3341,'inventory ledger'!$D:$D,D3341,'inventory ledger'!$E:$E,E3341,'inventory ledger'!$A:$A,"&lt;="&amp;B3341+TIME(23,59,59)))</f>
        <v/>
      </c>
      <c r="G3341" s="3">
        <f>IFERROR(__xludf.DUMMYFUNCTION("IF(F3341&lt;=0,0,IFERROR(ROUNDUP(F3341/INDEX(FILTER('warehouse config'!$D:$D,('warehouse config'!$B:$B=C3341)*('warehouse config'!$C:$C=D3341)*('warehouse config'!$G:$G&lt;=B3341)*(('warehouse config'!$H:$H&gt;=B3341)+ISBLANK('warehouse config'!$H:$H))),1)),0))"),0.0)</f>
        <v>0</v>
      </c>
      <c r="H3341" s="3">
        <f>IFERROR(__xludf.DUMMYFUNCTION("IFERROR(INDEX(FILTER('cost master'!$E:$E,('cost master'!$B:$B=C3341)*('cost master'!$D:$D=""Storage cost per pallet / week"")*('cost master'!$G:$G&lt;=B3341)*(('cost master'!$H:$H&gt;=B3341)+ISBLANK('cost master'!$H:$H))),1),0)"),0.0)</f>
        <v>0</v>
      </c>
      <c r="I3341" s="3">
        <f t="shared" si="4"/>
        <v>0</v>
      </c>
      <c r="J3341" s="27">
        <f t="shared" si="5"/>
        <v>693947</v>
      </c>
      <c r="K3341" s="27">
        <f t="shared" si="6"/>
        <v>693977</v>
      </c>
    </row>
    <row r="3342" hidden="1">
      <c r="A3342" s="3" t="str">
        <f t="shared" si="3"/>
        <v/>
      </c>
      <c r="B3342" s="2" t="str">
        <f t="array" ref="B3342">INDEX(helper!$A$3:$A3996,ROUNDUP((ROW()-1)/COUNTA(helper!$D$3:$D3996),0))</f>
        <v/>
      </c>
      <c r="C3342" s="5" t="str">
        <f t="array" ref="C3342">IF(B3342="","",INDEX(helper!$D$3:$D3996,MOD(ROW()-2,COUNTA(helper!$D$3:$D3996))+1))</f>
        <v/>
      </c>
      <c r="D3342" s="3" t="str">
        <f t="array" ref="D3342">IF(B3342="","",INDEX(helper!$E$3:$E3996,MOD(ROW()-2,COUNTA(helper!$D$3:$D3996))+1))</f>
        <v/>
      </c>
      <c r="E3342" s="3" t="str">
        <f t="array" ref="E3342">IF(B3342="","",INDEX(helper!$F$3:$F3996,MOD(ROW()-2,COUNTA(helper!$D$3:$D3996))+1))</f>
        <v/>
      </c>
      <c r="F3342" s="3" t="str">
        <f>IF(B3342="","",SUMIFS('inventory ledger'!$H:$H,'inventory ledger'!$C:$C,C3342,'inventory ledger'!$D:$D,D3342,'inventory ledger'!$E:$E,E3342,'inventory ledger'!$A:$A,"&lt;="&amp;B3342+TIME(23,59,59))-SUMIFS('inventory ledger'!$I:$I,'inventory ledger'!$C:$C,C3342,'inventory ledger'!$D:$D,D3342,'inventory ledger'!$E:$E,E3342,'inventory ledger'!$A:$A,"&lt;="&amp;B3342+TIME(23,59,59)))</f>
        <v/>
      </c>
      <c r="G3342" s="3">
        <f>IFERROR(__xludf.DUMMYFUNCTION("IF(F3342&lt;=0,0,IFERROR(ROUNDUP(F3342/INDEX(FILTER('warehouse config'!$D:$D,('warehouse config'!$B:$B=C3342)*('warehouse config'!$C:$C=D3342)*('warehouse config'!$G:$G&lt;=B3342)*(('warehouse config'!$H:$H&gt;=B3342)+ISBLANK('warehouse config'!$H:$H))),1)),0))"),0.0)</f>
        <v>0</v>
      </c>
      <c r="H3342" s="3">
        <f>IFERROR(__xludf.DUMMYFUNCTION("IFERROR(INDEX(FILTER('cost master'!$E:$E,('cost master'!$B:$B=C3342)*('cost master'!$D:$D=""Storage cost per pallet / week"")*('cost master'!$G:$G&lt;=B3342)*(('cost master'!$H:$H&gt;=B3342)+ISBLANK('cost master'!$H:$H))),1),0)"),0.0)</f>
        <v>0</v>
      </c>
      <c r="I3342" s="3">
        <f t="shared" si="4"/>
        <v>0</v>
      </c>
      <c r="J3342" s="27">
        <f t="shared" si="5"/>
        <v>693947</v>
      </c>
      <c r="K3342" s="27">
        <f t="shared" si="6"/>
        <v>693977</v>
      </c>
    </row>
    <row r="3343" hidden="1">
      <c r="A3343" s="3" t="str">
        <f t="shared" si="3"/>
        <v/>
      </c>
      <c r="B3343" s="2" t="str">
        <f t="array" ref="B3343">INDEX(helper!$A$3:$A3996,ROUNDUP((ROW()-1)/COUNTA(helper!$D$3:$D3996),0))</f>
        <v/>
      </c>
      <c r="C3343" s="5" t="str">
        <f t="array" ref="C3343">IF(B3343="","",INDEX(helper!$D$3:$D3996,MOD(ROW()-2,COUNTA(helper!$D$3:$D3996))+1))</f>
        <v/>
      </c>
      <c r="D3343" s="3" t="str">
        <f t="array" ref="D3343">IF(B3343="","",INDEX(helper!$E$3:$E3996,MOD(ROW()-2,COUNTA(helper!$D$3:$D3996))+1))</f>
        <v/>
      </c>
      <c r="E3343" s="3" t="str">
        <f t="array" ref="E3343">IF(B3343="","",INDEX(helper!$F$3:$F3996,MOD(ROW()-2,COUNTA(helper!$D$3:$D3996))+1))</f>
        <v/>
      </c>
      <c r="F3343" s="3" t="str">
        <f>IF(B3343="","",SUMIFS('inventory ledger'!$H:$H,'inventory ledger'!$C:$C,C3343,'inventory ledger'!$D:$D,D3343,'inventory ledger'!$E:$E,E3343,'inventory ledger'!$A:$A,"&lt;="&amp;B3343+TIME(23,59,59))-SUMIFS('inventory ledger'!$I:$I,'inventory ledger'!$C:$C,C3343,'inventory ledger'!$D:$D,D3343,'inventory ledger'!$E:$E,E3343,'inventory ledger'!$A:$A,"&lt;="&amp;B3343+TIME(23,59,59)))</f>
        <v/>
      </c>
      <c r="G3343" s="3">
        <f>IFERROR(__xludf.DUMMYFUNCTION("IF(F3343&lt;=0,0,IFERROR(ROUNDUP(F3343/INDEX(FILTER('warehouse config'!$D:$D,('warehouse config'!$B:$B=C3343)*('warehouse config'!$C:$C=D3343)*('warehouse config'!$G:$G&lt;=B3343)*(('warehouse config'!$H:$H&gt;=B3343)+ISBLANK('warehouse config'!$H:$H))),1)),0))"),0.0)</f>
        <v>0</v>
      </c>
      <c r="H3343" s="3">
        <f>IFERROR(__xludf.DUMMYFUNCTION("IFERROR(INDEX(FILTER('cost master'!$E:$E,('cost master'!$B:$B=C3343)*('cost master'!$D:$D=""Storage cost per pallet / week"")*('cost master'!$G:$G&lt;=B3343)*(('cost master'!$H:$H&gt;=B3343)+ISBLANK('cost master'!$H:$H))),1),0)"),0.0)</f>
        <v>0</v>
      </c>
      <c r="I3343" s="3">
        <f t="shared" si="4"/>
        <v>0</v>
      </c>
      <c r="J3343" s="27">
        <f t="shared" si="5"/>
        <v>693947</v>
      </c>
      <c r="K3343" s="27">
        <f t="shared" si="6"/>
        <v>693977</v>
      </c>
    </row>
    <row r="3344" hidden="1">
      <c r="A3344" s="3" t="str">
        <f t="shared" si="3"/>
        <v/>
      </c>
      <c r="B3344" s="2" t="str">
        <f t="array" ref="B3344">INDEX(helper!$A$3:$A3996,ROUNDUP((ROW()-1)/COUNTA(helper!$D$3:$D3996),0))</f>
        <v/>
      </c>
      <c r="C3344" s="5" t="str">
        <f t="array" ref="C3344">IF(B3344="","",INDEX(helper!$D$3:$D3996,MOD(ROW()-2,COUNTA(helper!$D$3:$D3996))+1))</f>
        <v/>
      </c>
      <c r="D3344" s="3" t="str">
        <f t="array" ref="D3344">IF(B3344="","",INDEX(helper!$E$3:$E3996,MOD(ROW()-2,COUNTA(helper!$D$3:$D3996))+1))</f>
        <v/>
      </c>
      <c r="E3344" s="3" t="str">
        <f t="array" ref="E3344">IF(B3344="","",INDEX(helper!$F$3:$F3996,MOD(ROW()-2,COUNTA(helper!$D$3:$D3996))+1))</f>
        <v/>
      </c>
      <c r="F3344" s="3" t="str">
        <f>IF(B3344="","",SUMIFS('inventory ledger'!$H:$H,'inventory ledger'!$C:$C,C3344,'inventory ledger'!$D:$D,D3344,'inventory ledger'!$E:$E,E3344,'inventory ledger'!$A:$A,"&lt;="&amp;B3344+TIME(23,59,59))-SUMIFS('inventory ledger'!$I:$I,'inventory ledger'!$C:$C,C3344,'inventory ledger'!$D:$D,D3344,'inventory ledger'!$E:$E,E3344,'inventory ledger'!$A:$A,"&lt;="&amp;B3344+TIME(23,59,59)))</f>
        <v/>
      </c>
      <c r="G3344" s="3">
        <f>IFERROR(__xludf.DUMMYFUNCTION("IF(F3344&lt;=0,0,IFERROR(ROUNDUP(F3344/INDEX(FILTER('warehouse config'!$D:$D,('warehouse config'!$B:$B=C3344)*('warehouse config'!$C:$C=D3344)*('warehouse config'!$G:$G&lt;=B3344)*(('warehouse config'!$H:$H&gt;=B3344)+ISBLANK('warehouse config'!$H:$H))),1)),0))"),0.0)</f>
        <v>0</v>
      </c>
      <c r="H3344" s="3">
        <f>IFERROR(__xludf.DUMMYFUNCTION("IFERROR(INDEX(FILTER('cost master'!$E:$E,('cost master'!$B:$B=C3344)*('cost master'!$D:$D=""Storage cost per pallet / week"")*('cost master'!$G:$G&lt;=B3344)*(('cost master'!$H:$H&gt;=B3344)+ISBLANK('cost master'!$H:$H))),1),0)"),0.0)</f>
        <v>0</v>
      </c>
      <c r="I3344" s="3">
        <f t="shared" si="4"/>
        <v>0</v>
      </c>
      <c r="J3344" s="27">
        <f t="shared" si="5"/>
        <v>693947</v>
      </c>
      <c r="K3344" s="27">
        <f t="shared" si="6"/>
        <v>693977</v>
      </c>
    </row>
    <row r="3345" hidden="1">
      <c r="A3345" s="3" t="str">
        <f t="shared" si="3"/>
        <v/>
      </c>
      <c r="B3345" s="2" t="str">
        <f t="array" ref="B3345">INDEX(helper!$A$3:$A3996,ROUNDUP((ROW()-1)/COUNTA(helper!$D$3:$D3996),0))</f>
        <v/>
      </c>
      <c r="C3345" s="5" t="str">
        <f t="array" ref="C3345">IF(B3345="","",INDEX(helper!$D$3:$D3996,MOD(ROW()-2,COUNTA(helper!$D$3:$D3996))+1))</f>
        <v/>
      </c>
      <c r="D3345" s="3" t="str">
        <f t="array" ref="D3345">IF(B3345="","",INDEX(helper!$E$3:$E3996,MOD(ROW()-2,COUNTA(helper!$D$3:$D3996))+1))</f>
        <v/>
      </c>
      <c r="E3345" s="3" t="str">
        <f t="array" ref="E3345">IF(B3345="","",INDEX(helper!$F$3:$F3996,MOD(ROW()-2,COUNTA(helper!$D$3:$D3996))+1))</f>
        <v/>
      </c>
      <c r="F3345" s="3" t="str">
        <f>IF(B3345="","",SUMIFS('inventory ledger'!$H:$H,'inventory ledger'!$C:$C,C3345,'inventory ledger'!$D:$D,D3345,'inventory ledger'!$E:$E,E3345,'inventory ledger'!$A:$A,"&lt;="&amp;B3345+TIME(23,59,59))-SUMIFS('inventory ledger'!$I:$I,'inventory ledger'!$C:$C,C3345,'inventory ledger'!$D:$D,D3345,'inventory ledger'!$E:$E,E3345,'inventory ledger'!$A:$A,"&lt;="&amp;B3345+TIME(23,59,59)))</f>
        <v/>
      </c>
      <c r="G3345" s="3">
        <f>IFERROR(__xludf.DUMMYFUNCTION("IF(F3345&lt;=0,0,IFERROR(ROUNDUP(F3345/INDEX(FILTER('warehouse config'!$D:$D,('warehouse config'!$B:$B=C3345)*('warehouse config'!$C:$C=D3345)*('warehouse config'!$G:$G&lt;=B3345)*(('warehouse config'!$H:$H&gt;=B3345)+ISBLANK('warehouse config'!$H:$H))),1)),0))"),0.0)</f>
        <v>0</v>
      </c>
      <c r="H3345" s="3">
        <f>IFERROR(__xludf.DUMMYFUNCTION("IFERROR(INDEX(FILTER('cost master'!$E:$E,('cost master'!$B:$B=C3345)*('cost master'!$D:$D=""Storage cost per pallet / week"")*('cost master'!$G:$G&lt;=B3345)*(('cost master'!$H:$H&gt;=B3345)+ISBLANK('cost master'!$H:$H))),1),0)"),0.0)</f>
        <v>0</v>
      </c>
      <c r="I3345" s="3">
        <f t="shared" si="4"/>
        <v>0</v>
      </c>
      <c r="J3345" s="27">
        <f t="shared" si="5"/>
        <v>693947</v>
      </c>
      <c r="K3345" s="27">
        <f t="shared" si="6"/>
        <v>693977</v>
      </c>
    </row>
    <row r="3346" hidden="1">
      <c r="A3346" s="3" t="str">
        <f t="shared" si="3"/>
        <v/>
      </c>
      <c r="B3346" s="2" t="str">
        <f t="array" ref="B3346">INDEX(helper!$A$3:$A3996,ROUNDUP((ROW()-1)/COUNTA(helper!$D$3:$D3996),0))</f>
        <v/>
      </c>
      <c r="C3346" s="5" t="str">
        <f t="array" ref="C3346">IF(B3346="","",INDEX(helper!$D$3:$D3996,MOD(ROW()-2,COUNTA(helper!$D$3:$D3996))+1))</f>
        <v/>
      </c>
      <c r="D3346" s="3" t="str">
        <f t="array" ref="D3346">IF(B3346="","",INDEX(helper!$E$3:$E3996,MOD(ROW()-2,COUNTA(helper!$D$3:$D3996))+1))</f>
        <v/>
      </c>
      <c r="E3346" s="3" t="str">
        <f t="array" ref="E3346">IF(B3346="","",INDEX(helper!$F$3:$F3996,MOD(ROW()-2,COUNTA(helper!$D$3:$D3996))+1))</f>
        <v/>
      </c>
      <c r="F3346" s="3" t="str">
        <f>IF(B3346="","",SUMIFS('inventory ledger'!$H:$H,'inventory ledger'!$C:$C,C3346,'inventory ledger'!$D:$D,D3346,'inventory ledger'!$E:$E,E3346,'inventory ledger'!$A:$A,"&lt;="&amp;B3346+TIME(23,59,59))-SUMIFS('inventory ledger'!$I:$I,'inventory ledger'!$C:$C,C3346,'inventory ledger'!$D:$D,D3346,'inventory ledger'!$E:$E,E3346,'inventory ledger'!$A:$A,"&lt;="&amp;B3346+TIME(23,59,59)))</f>
        <v/>
      </c>
      <c r="G3346" s="3">
        <f>IFERROR(__xludf.DUMMYFUNCTION("IF(F3346&lt;=0,0,IFERROR(ROUNDUP(F3346/INDEX(FILTER('warehouse config'!$D:$D,('warehouse config'!$B:$B=C3346)*('warehouse config'!$C:$C=D3346)*('warehouse config'!$G:$G&lt;=B3346)*(('warehouse config'!$H:$H&gt;=B3346)+ISBLANK('warehouse config'!$H:$H))),1)),0))"),0.0)</f>
        <v>0</v>
      </c>
      <c r="H3346" s="3">
        <f>IFERROR(__xludf.DUMMYFUNCTION("IFERROR(INDEX(FILTER('cost master'!$E:$E,('cost master'!$B:$B=C3346)*('cost master'!$D:$D=""Storage cost per pallet / week"")*('cost master'!$G:$G&lt;=B3346)*(('cost master'!$H:$H&gt;=B3346)+ISBLANK('cost master'!$H:$H))),1),0)"),0.0)</f>
        <v>0</v>
      </c>
      <c r="I3346" s="3">
        <f t="shared" si="4"/>
        <v>0</v>
      </c>
      <c r="J3346" s="27">
        <f t="shared" si="5"/>
        <v>693947</v>
      </c>
      <c r="K3346" s="27">
        <f t="shared" si="6"/>
        <v>693977</v>
      </c>
    </row>
    <row r="3347" hidden="1">
      <c r="A3347" s="3" t="str">
        <f t="shared" si="3"/>
        <v/>
      </c>
      <c r="B3347" s="2" t="str">
        <f t="array" ref="B3347">INDEX(helper!$A$3:$A3996,ROUNDUP((ROW()-1)/COUNTA(helper!$D$3:$D3996),0))</f>
        <v/>
      </c>
      <c r="C3347" s="5" t="str">
        <f t="array" ref="C3347">IF(B3347="","",INDEX(helper!$D$3:$D3996,MOD(ROW()-2,COUNTA(helper!$D$3:$D3996))+1))</f>
        <v/>
      </c>
      <c r="D3347" s="3" t="str">
        <f t="array" ref="D3347">IF(B3347="","",INDEX(helper!$E$3:$E3996,MOD(ROW()-2,COUNTA(helper!$D$3:$D3996))+1))</f>
        <v/>
      </c>
      <c r="E3347" s="3" t="str">
        <f t="array" ref="E3347">IF(B3347="","",INDEX(helper!$F$3:$F3996,MOD(ROW()-2,COUNTA(helper!$D$3:$D3996))+1))</f>
        <v/>
      </c>
      <c r="F3347" s="3" t="str">
        <f>IF(B3347="","",SUMIFS('inventory ledger'!$H:$H,'inventory ledger'!$C:$C,C3347,'inventory ledger'!$D:$D,D3347,'inventory ledger'!$E:$E,E3347,'inventory ledger'!$A:$A,"&lt;="&amp;B3347+TIME(23,59,59))-SUMIFS('inventory ledger'!$I:$I,'inventory ledger'!$C:$C,C3347,'inventory ledger'!$D:$D,D3347,'inventory ledger'!$E:$E,E3347,'inventory ledger'!$A:$A,"&lt;="&amp;B3347+TIME(23,59,59)))</f>
        <v/>
      </c>
      <c r="G3347" s="3">
        <f>IFERROR(__xludf.DUMMYFUNCTION("IF(F3347&lt;=0,0,IFERROR(ROUNDUP(F3347/INDEX(FILTER('warehouse config'!$D:$D,('warehouse config'!$B:$B=C3347)*('warehouse config'!$C:$C=D3347)*('warehouse config'!$G:$G&lt;=B3347)*(('warehouse config'!$H:$H&gt;=B3347)+ISBLANK('warehouse config'!$H:$H))),1)),0))"),0.0)</f>
        <v>0</v>
      </c>
      <c r="H3347" s="3">
        <f>IFERROR(__xludf.DUMMYFUNCTION("IFERROR(INDEX(FILTER('cost master'!$E:$E,('cost master'!$B:$B=C3347)*('cost master'!$D:$D=""Storage cost per pallet / week"")*('cost master'!$G:$G&lt;=B3347)*(('cost master'!$H:$H&gt;=B3347)+ISBLANK('cost master'!$H:$H))),1),0)"),0.0)</f>
        <v>0</v>
      </c>
      <c r="I3347" s="3">
        <f t="shared" si="4"/>
        <v>0</v>
      </c>
      <c r="J3347" s="27">
        <f t="shared" si="5"/>
        <v>693947</v>
      </c>
      <c r="K3347" s="27">
        <f t="shared" si="6"/>
        <v>693977</v>
      </c>
    </row>
    <row r="3348" hidden="1">
      <c r="A3348" s="3" t="str">
        <f t="shared" si="3"/>
        <v/>
      </c>
      <c r="B3348" s="2" t="str">
        <f t="array" ref="B3348">INDEX(helper!$A$3:$A3996,ROUNDUP((ROW()-1)/COUNTA(helper!$D$3:$D3996),0))</f>
        <v/>
      </c>
      <c r="C3348" s="5" t="str">
        <f t="array" ref="C3348">IF(B3348="","",INDEX(helper!$D$3:$D3996,MOD(ROW()-2,COUNTA(helper!$D$3:$D3996))+1))</f>
        <v/>
      </c>
      <c r="D3348" s="3" t="str">
        <f t="array" ref="D3348">IF(B3348="","",INDEX(helper!$E$3:$E3996,MOD(ROW()-2,COUNTA(helper!$D$3:$D3996))+1))</f>
        <v/>
      </c>
      <c r="E3348" s="3" t="str">
        <f t="array" ref="E3348">IF(B3348="","",INDEX(helper!$F$3:$F3996,MOD(ROW()-2,COUNTA(helper!$D$3:$D3996))+1))</f>
        <v/>
      </c>
      <c r="F3348" s="3" t="str">
        <f>IF(B3348="","",SUMIFS('inventory ledger'!$H:$H,'inventory ledger'!$C:$C,C3348,'inventory ledger'!$D:$D,D3348,'inventory ledger'!$E:$E,E3348,'inventory ledger'!$A:$A,"&lt;="&amp;B3348+TIME(23,59,59))-SUMIFS('inventory ledger'!$I:$I,'inventory ledger'!$C:$C,C3348,'inventory ledger'!$D:$D,D3348,'inventory ledger'!$E:$E,E3348,'inventory ledger'!$A:$A,"&lt;="&amp;B3348+TIME(23,59,59)))</f>
        <v/>
      </c>
      <c r="G3348" s="3">
        <f>IFERROR(__xludf.DUMMYFUNCTION("IF(F3348&lt;=0,0,IFERROR(ROUNDUP(F3348/INDEX(FILTER('warehouse config'!$D:$D,('warehouse config'!$B:$B=C3348)*('warehouse config'!$C:$C=D3348)*('warehouse config'!$G:$G&lt;=B3348)*(('warehouse config'!$H:$H&gt;=B3348)+ISBLANK('warehouse config'!$H:$H))),1)),0))"),0.0)</f>
        <v>0</v>
      </c>
      <c r="H3348" s="3">
        <f>IFERROR(__xludf.DUMMYFUNCTION("IFERROR(INDEX(FILTER('cost master'!$E:$E,('cost master'!$B:$B=C3348)*('cost master'!$D:$D=""Storage cost per pallet / week"")*('cost master'!$G:$G&lt;=B3348)*(('cost master'!$H:$H&gt;=B3348)+ISBLANK('cost master'!$H:$H))),1),0)"),0.0)</f>
        <v>0</v>
      </c>
      <c r="I3348" s="3">
        <f t="shared" si="4"/>
        <v>0</v>
      </c>
      <c r="J3348" s="27">
        <f t="shared" si="5"/>
        <v>693947</v>
      </c>
      <c r="K3348" s="27">
        <f t="shared" si="6"/>
        <v>693977</v>
      </c>
    </row>
    <row r="3349" hidden="1">
      <c r="A3349" s="3" t="str">
        <f t="shared" si="3"/>
        <v/>
      </c>
      <c r="B3349" s="2" t="str">
        <f t="array" ref="B3349">INDEX(helper!$A$3:$A3996,ROUNDUP((ROW()-1)/COUNTA(helper!$D$3:$D3996),0))</f>
        <v/>
      </c>
      <c r="C3349" s="5" t="str">
        <f t="array" ref="C3349">IF(B3349="","",INDEX(helper!$D$3:$D3996,MOD(ROW()-2,COUNTA(helper!$D$3:$D3996))+1))</f>
        <v/>
      </c>
      <c r="D3349" s="3" t="str">
        <f t="array" ref="D3349">IF(B3349="","",INDEX(helper!$E$3:$E3996,MOD(ROW()-2,COUNTA(helper!$D$3:$D3996))+1))</f>
        <v/>
      </c>
      <c r="E3349" s="3" t="str">
        <f t="array" ref="E3349">IF(B3349="","",INDEX(helper!$F$3:$F3996,MOD(ROW()-2,COUNTA(helper!$D$3:$D3996))+1))</f>
        <v/>
      </c>
      <c r="F3349" s="3" t="str">
        <f>IF(B3349="","",SUMIFS('inventory ledger'!$H:$H,'inventory ledger'!$C:$C,C3349,'inventory ledger'!$D:$D,D3349,'inventory ledger'!$E:$E,E3349,'inventory ledger'!$A:$A,"&lt;="&amp;B3349+TIME(23,59,59))-SUMIFS('inventory ledger'!$I:$I,'inventory ledger'!$C:$C,C3349,'inventory ledger'!$D:$D,D3349,'inventory ledger'!$E:$E,E3349,'inventory ledger'!$A:$A,"&lt;="&amp;B3349+TIME(23,59,59)))</f>
        <v/>
      </c>
      <c r="G3349" s="3">
        <f>IFERROR(__xludf.DUMMYFUNCTION("IF(F3349&lt;=0,0,IFERROR(ROUNDUP(F3349/INDEX(FILTER('warehouse config'!$D:$D,('warehouse config'!$B:$B=C3349)*('warehouse config'!$C:$C=D3349)*('warehouse config'!$G:$G&lt;=B3349)*(('warehouse config'!$H:$H&gt;=B3349)+ISBLANK('warehouse config'!$H:$H))),1)),0))"),0.0)</f>
        <v>0</v>
      </c>
      <c r="H3349" s="3">
        <f>IFERROR(__xludf.DUMMYFUNCTION("IFERROR(INDEX(FILTER('cost master'!$E:$E,('cost master'!$B:$B=C3349)*('cost master'!$D:$D=""Storage cost per pallet / week"")*('cost master'!$G:$G&lt;=B3349)*(('cost master'!$H:$H&gt;=B3349)+ISBLANK('cost master'!$H:$H))),1),0)"),0.0)</f>
        <v>0</v>
      </c>
      <c r="I3349" s="3">
        <f t="shared" si="4"/>
        <v>0</v>
      </c>
      <c r="J3349" s="27">
        <f t="shared" si="5"/>
        <v>693947</v>
      </c>
      <c r="K3349" s="27">
        <f t="shared" si="6"/>
        <v>693977</v>
      </c>
    </row>
    <row r="3350" hidden="1">
      <c r="A3350" s="3" t="str">
        <f t="shared" si="3"/>
        <v/>
      </c>
      <c r="B3350" s="2" t="str">
        <f t="array" ref="B3350">INDEX(helper!$A$3:$A3996,ROUNDUP((ROW()-1)/COUNTA(helper!$D$3:$D3996),0))</f>
        <v/>
      </c>
      <c r="C3350" s="5" t="str">
        <f t="array" ref="C3350">IF(B3350="","",INDEX(helper!$D$3:$D3996,MOD(ROW()-2,COUNTA(helper!$D$3:$D3996))+1))</f>
        <v/>
      </c>
      <c r="D3350" s="3" t="str">
        <f t="array" ref="D3350">IF(B3350="","",INDEX(helper!$E$3:$E3996,MOD(ROW()-2,COUNTA(helper!$D$3:$D3996))+1))</f>
        <v/>
      </c>
      <c r="E3350" s="3" t="str">
        <f t="array" ref="E3350">IF(B3350="","",INDEX(helper!$F$3:$F3996,MOD(ROW()-2,COUNTA(helper!$D$3:$D3996))+1))</f>
        <v/>
      </c>
      <c r="F3350" s="3" t="str">
        <f>IF(B3350="","",SUMIFS('inventory ledger'!$H:$H,'inventory ledger'!$C:$C,C3350,'inventory ledger'!$D:$D,D3350,'inventory ledger'!$E:$E,E3350,'inventory ledger'!$A:$A,"&lt;="&amp;B3350+TIME(23,59,59))-SUMIFS('inventory ledger'!$I:$I,'inventory ledger'!$C:$C,C3350,'inventory ledger'!$D:$D,D3350,'inventory ledger'!$E:$E,E3350,'inventory ledger'!$A:$A,"&lt;="&amp;B3350+TIME(23,59,59)))</f>
        <v/>
      </c>
      <c r="G3350" s="3">
        <f>IFERROR(__xludf.DUMMYFUNCTION("IF(F3350&lt;=0,0,IFERROR(ROUNDUP(F3350/INDEX(FILTER('warehouse config'!$D:$D,('warehouse config'!$B:$B=C3350)*('warehouse config'!$C:$C=D3350)*('warehouse config'!$G:$G&lt;=B3350)*(('warehouse config'!$H:$H&gt;=B3350)+ISBLANK('warehouse config'!$H:$H))),1)),0))"),0.0)</f>
        <v>0</v>
      </c>
      <c r="H3350" s="3">
        <f>IFERROR(__xludf.DUMMYFUNCTION("IFERROR(INDEX(FILTER('cost master'!$E:$E,('cost master'!$B:$B=C3350)*('cost master'!$D:$D=""Storage cost per pallet / week"")*('cost master'!$G:$G&lt;=B3350)*(('cost master'!$H:$H&gt;=B3350)+ISBLANK('cost master'!$H:$H))),1),0)"),0.0)</f>
        <v>0</v>
      </c>
      <c r="I3350" s="3">
        <f t="shared" si="4"/>
        <v>0</v>
      </c>
      <c r="J3350" s="27">
        <f t="shared" si="5"/>
        <v>693947</v>
      </c>
      <c r="K3350" s="27">
        <f t="shared" si="6"/>
        <v>693977</v>
      </c>
    </row>
    <row r="3351" hidden="1">
      <c r="A3351" s="3" t="str">
        <f t="shared" si="3"/>
        <v/>
      </c>
      <c r="B3351" s="2" t="str">
        <f t="array" ref="B3351">INDEX(helper!$A$3:$A3996,ROUNDUP((ROW()-1)/COUNTA(helper!$D$3:$D3996),0))</f>
        <v/>
      </c>
      <c r="C3351" s="5" t="str">
        <f t="array" ref="C3351">IF(B3351="","",INDEX(helper!$D$3:$D3996,MOD(ROW()-2,COUNTA(helper!$D$3:$D3996))+1))</f>
        <v/>
      </c>
      <c r="D3351" s="3" t="str">
        <f t="array" ref="D3351">IF(B3351="","",INDEX(helper!$E$3:$E3996,MOD(ROW()-2,COUNTA(helper!$D$3:$D3996))+1))</f>
        <v/>
      </c>
      <c r="E3351" s="3" t="str">
        <f t="array" ref="E3351">IF(B3351="","",INDEX(helper!$F$3:$F3996,MOD(ROW()-2,COUNTA(helper!$D$3:$D3996))+1))</f>
        <v/>
      </c>
      <c r="F3351" s="3" t="str">
        <f>IF(B3351="","",SUMIFS('inventory ledger'!$H:$H,'inventory ledger'!$C:$C,C3351,'inventory ledger'!$D:$D,D3351,'inventory ledger'!$E:$E,E3351,'inventory ledger'!$A:$A,"&lt;="&amp;B3351+TIME(23,59,59))-SUMIFS('inventory ledger'!$I:$I,'inventory ledger'!$C:$C,C3351,'inventory ledger'!$D:$D,D3351,'inventory ledger'!$E:$E,E3351,'inventory ledger'!$A:$A,"&lt;="&amp;B3351+TIME(23,59,59)))</f>
        <v/>
      </c>
      <c r="G3351" s="3">
        <f>IFERROR(__xludf.DUMMYFUNCTION("IF(F3351&lt;=0,0,IFERROR(ROUNDUP(F3351/INDEX(FILTER('warehouse config'!$D:$D,('warehouse config'!$B:$B=C3351)*('warehouse config'!$C:$C=D3351)*('warehouse config'!$G:$G&lt;=B3351)*(('warehouse config'!$H:$H&gt;=B3351)+ISBLANK('warehouse config'!$H:$H))),1)),0))"),0.0)</f>
        <v>0</v>
      </c>
      <c r="H3351" s="3">
        <f>IFERROR(__xludf.DUMMYFUNCTION("IFERROR(INDEX(FILTER('cost master'!$E:$E,('cost master'!$B:$B=C3351)*('cost master'!$D:$D=""Storage cost per pallet / week"")*('cost master'!$G:$G&lt;=B3351)*(('cost master'!$H:$H&gt;=B3351)+ISBLANK('cost master'!$H:$H))),1),0)"),0.0)</f>
        <v>0</v>
      </c>
      <c r="I3351" s="3">
        <f t="shared" si="4"/>
        <v>0</v>
      </c>
      <c r="J3351" s="27">
        <f t="shared" si="5"/>
        <v>693947</v>
      </c>
      <c r="K3351" s="27">
        <f t="shared" si="6"/>
        <v>693977</v>
      </c>
    </row>
    <row r="3352" hidden="1">
      <c r="A3352" s="3" t="str">
        <f t="shared" si="3"/>
        <v/>
      </c>
      <c r="B3352" s="2" t="str">
        <f t="array" ref="B3352">INDEX(helper!$A$3:$A3996,ROUNDUP((ROW()-1)/COUNTA(helper!$D$3:$D3996),0))</f>
        <v/>
      </c>
      <c r="C3352" s="5" t="str">
        <f t="array" ref="C3352">IF(B3352="","",INDEX(helper!$D$3:$D3996,MOD(ROW()-2,COUNTA(helper!$D$3:$D3996))+1))</f>
        <v/>
      </c>
      <c r="D3352" s="3" t="str">
        <f t="array" ref="D3352">IF(B3352="","",INDEX(helper!$E$3:$E3996,MOD(ROW()-2,COUNTA(helper!$D$3:$D3996))+1))</f>
        <v/>
      </c>
      <c r="E3352" s="3" t="str">
        <f t="array" ref="E3352">IF(B3352="","",INDEX(helper!$F$3:$F3996,MOD(ROW()-2,COUNTA(helper!$D$3:$D3996))+1))</f>
        <v/>
      </c>
      <c r="F3352" s="3" t="str">
        <f>IF(B3352="","",SUMIFS('inventory ledger'!$H:$H,'inventory ledger'!$C:$C,C3352,'inventory ledger'!$D:$D,D3352,'inventory ledger'!$E:$E,E3352,'inventory ledger'!$A:$A,"&lt;="&amp;B3352+TIME(23,59,59))-SUMIFS('inventory ledger'!$I:$I,'inventory ledger'!$C:$C,C3352,'inventory ledger'!$D:$D,D3352,'inventory ledger'!$E:$E,E3352,'inventory ledger'!$A:$A,"&lt;="&amp;B3352+TIME(23,59,59)))</f>
        <v/>
      </c>
      <c r="G3352" s="3">
        <f>IFERROR(__xludf.DUMMYFUNCTION("IF(F3352&lt;=0,0,IFERROR(ROUNDUP(F3352/INDEX(FILTER('warehouse config'!$D:$D,('warehouse config'!$B:$B=C3352)*('warehouse config'!$C:$C=D3352)*('warehouse config'!$G:$G&lt;=B3352)*(('warehouse config'!$H:$H&gt;=B3352)+ISBLANK('warehouse config'!$H:$H))),1)),0))"),0.0)</f>
        <v>0</v>
      </c>
      <c r="H3352" s="3">
        <f>IFERROR(__xludf.DUMMYFUNCTION("IFERROR(INDEX(FILTER('cost master'!$E:$E,('cost master'!$B:$B=C3352)*('cost master'!$D:$D=""Storage cost per pallet / week"")*('cost master'!$G:$G&lt;=B3352)*(('cost master'!$H:$H&gt;=B3352)+ISBLANK('cost master'!$H:$H))),1),0)"),0.0)</f>
        <v>0</v>
      </c>
      <c r="I3352" s="3">
        <f t="shared" si="4"/>
        <v>0</v>
      </c>
      <c r="J3352" s="27">
        <f t="shared" si="5"/>
        <v>693947</v>
      </c>
      <c r="K3352" s="27">
        <f t="shared" si="6"/>
        <v>693977</v>
      </c>
    </row>
    <row r="3353" hidden="1">
      <c r="A3353" s="3" t="str">
        <f t="shared" si="3"/>
        <v/>
      </c>
      <c r="B3353" s="2" t="str">
        <f t="array" ref="B3353">INDEX(helper!$A$3:$A3996,ROUNDUP((ROW()-1)/COUNTA(helper!$D$3:$D3996),0))</f>
        <v/>
      </c>
      <c r="C3353" s="5" t="str">
        <f t="array" ref="C3353">IF(B3353="","",INDEX(helper!$D$3:$D3996,MOD(ROW()-2,COUNTA(helper!$D$3:$D3996))+1))</f>
        <v/>
      </c>
      <c r="D3353" s="3" t="str">
        <f t="array" ref="D3353">IF(B3353="","",INDEX(helper!$E$3:$E3996,MOD(ROW()-2,COUNTA(helper!$D$3:$D3996))+1))</f>
        <v/>
      </c>
      <c r="E3353" s="3" t="str">
        <f t="array" ref="E3353">IF(B3353="","",INDEX(helper!$F$3:$F3996,MOD(ROW()-2,COUNTA(helper!$D$3:$D3996))+1))</f>
        <v/>
      </c>
      <c r="F3353" s="3" t="str">
        <f>IF(B3353="","",SUMIFS('inventory ledger'!$H:$H,'inventory ledger'!$C:$C,C3353,'inventory ledger'!$D:$D,D3353,'inventory ledger'!$E:$E,E3353,'inventory ledger'!$A:$A,"&lt;="&amp;B3353+TIME(23,59,59))-SUMIFS('inventory ledger'!$I:$I,'inventory ledger'!$C:$C,C3353,'inventory ledger'!$D:$D,D3353,'inventory ledger'!$E:$E,E3353,'inventory ledger'!$A:$A,"&lt;="&amp;B3353+TIME(23,59,59)))</f>
        <v/>
      </c>
      <c r="G3353" s="3">
        <f>IFERROR(__xludf.DUMMYFUNCTION("IF(F3353&lt;=0,0,IFERROR(ROUNDUP(F3353/INDEX(FILTER('warehouse config'!$D:$D,('warehouse config'!$B:$B=C3353)*('warehouse config'!$C:$C=D3353)*('warehouse config'!$G:$G&lt;=B3353)*(('warehouse config'!$H:$H&gt;=B3353)+ISBLANK('warehouse config'!$H:$H))),1)),0))"),0.0)</f>
        <v>0</v>
      </c>
      <c r="H3353" s="3">
        <f>IFERROR(__xludf.DUMMYFUNCTION("IFERROR(INDEX(FILTER('cost master'!$E:$E,('cost master'!$B:$B=C3353)*('cost master'!$D:$D=""Storage cost per pallet / week"")*('cost master'!$G:$G&lt;=B3353)*(('cost master'!$H:$H&gt;=B3353)+ISBLANK('cost master'!$H:$H))),1),0)"),0.0)</f>
        <v>0</v>
      </c>
      <c r="I3353" s="3">
        <f t="shared" si="4"/>
        <v>0</v>
      </c>
      <c r="J3353" s="27">
        <f t="shared" si="5"/>
        <v>693947</v>
      </c>
      <c r="K3353" s="27">
        <f t="shared" si="6"/>
        <v>693977</v>
      </c>
    </row>
    <row r="3354" hidden="1">
      <c r="A3354" s="3" t="str">
        <f t="shared" si="3"/>
        <v/>
      </c>
      <c r="B3354" s="2" t="str">
        <f t="array" ref="B3354">INDEX(helper!$A$3:$A3996,ROUNDUP((ROW()-1)/COUNTA(helper!$D$3:$D3996),0))</f>
        <v/>
      </c>
      <c r="C3354" s="5" t="str">
        <f t="array" ref="C3354">IF(B3354="","",INDEX(helper!$D$3:$D3996,MOD(ROW()-2,COUNTA(helper!$D$3:$D3996))+1))</f>
        <v/>
      </c>
      <c r="D3354" s="3" t="str">
        <f t="array" ref="D3354">IF(B3354="","",INDEX(helper!$E$3:$E3996,MOD(ROW()-2,COUNTA(helper!$D$3:$D3996))+1))</f>
        <v/>
      </c>
      <c r="E3354" s="3" t="str">
        <f t="array" ref="E3354">IF(B3354="","",INDEX(helper!$F$3:$F3996,MOD(ROW()-2,COUNTA(helper!$D$3:$D3996))+1))</f>
        <v/>
      </c>
      <c r="F3354" s="3" t="str">
        <f>IF(B3354="","",SUMIFS('inventory ledger'!$H:$H,'inventory ledger'!$C:$C,C3354,'inventory ledger'!$D:$D,D3354,'inventory ledger'!$E:$E,E3354,'inventory ledger'!$A:$A,"&lt;="&amp;B3354+TIME(23,59,59))-SUMIFS('inventory ledger'!$I:$I,'inventory ledger'!$C:$C,C3354,'inventory ledger'!$D:$D,D3354,'inventory ledger'!$E:$E,E3354,'inventory ledger'!$A:$A,"&lt;="&amp;B3354+TIME(23,59,59)))</f>
        <v/>
      </c>
      <c r="G3354" s="3">
        <f>IFERROR(__xludf.DUMMYFUNCTION("IF(F3354&lt;=0,0,IFERROR(ROUNDUP(F3354/INDEX(FILTER('warehouse config'!$D:$D,('warehouse config'!$B:$B=C3354)*('warehouse config'!$C:$C=D3354)*('warehouse config'!$G:$G&lt;=B3354)*(('warehouse config'!$H:$H&gt;=B3354)+ISBLANK('warehouse config'!$H:$H))),1)),0))"),0.0)</f>
        <v>0</v>
      </c>
      <c r="H3354" s="3">
        <f>IFERROR(__xludf.DUMMYFUNCTION("IFERROR(INDEX(FILTER('cost master'!$E:$E,('cost master'!$B:$B=C3354)*('cost master'!$D:$D=""Storage cost per pallet / week"")*('cost master'!$G:$G&lt;=B3354)*(('cost master'!$H:$H&gt;=B3354)+ISBLANK('cost master'!$H:$H))),1),0)"),0.0)</f>
        <v>0</v>
      </c>
      <c r="I3354" s="3">
        <f t="shared" si="4"/>
        <v>0</v>
      </c>
      <c r="J3354" s="27">
        <f t="shared" si="5"/>
        <v>693947</v>
      </c>
      <c r="K3354" s="27">
        <f t="shared" si="6"/>
        <v>693977</v>
      </c>
    </row>
    <row r="3355" hidden="1">
      <c r="A3355" s="3" t="str">
        <f t="shared" si="3"/>
        <v/>
      </c>
      <c r="B3355" s="2" t="str">
        <f t="array" ref="B3355">INDEX(helper!$A$3:$A3996,ROUNDUP((ROW()-1)/COUNTA(helper!$D$3:$D3996),0))</f>
        <v/>
      </c>
      <c r="C3355" s="5" t="str">
        <f t="array" ref="C3355">IF(B3355="","",INDEX(helper!$D$3:$D3996,MOD(ROW()-2,COUNTA(helper!$D$3:$D3996))+1))</f>
        <v/>
      </c>
      <c r="D3355" s="3" t="str">
        <f t="array" ref="D3355">IF(B3355="","",INDEX(helper!$E$3:$E3996,MOD(ROW()-2,COUNTA(helper!$D$3:$D3996))+1))</f>
        <v/>
      </c>
      <c r="E3355" s="3" t="str">
        <f t="array" ref="E3355">IF(B3355="","",INDEX(helper!$F$3:$F3996,MOD(ROW()-2,COUNTA(helper!$D$3:$D3996))+1))</f>
        <v/>
      </c>
      <c r="F3355" s="3" t="str">
        <f>IF(B3355="","",SUMIFS('inventory ledger'!$H:$H,'inventory ledger'!$C:$C,C3355,'inventory ledger'!$D:$D,D3355,'inventory ledger'!$E:$E,E3355,'inventory ledger'!$A:$A,"&lt;="&amp;B3355+TIME(23,59,59))-SUMIFS('inventory ledger'!$I:$I,'inventory ledger'!$C:$C,C3355,'inventory ledger'!$D:$D,D3355,'inventory ledger'!$E:$E,E3355,'inventory ledger'!$A:$A,"&lt;="&amp;B3355+TIME(23,59,59)))</f>
        <v/>
      </c>
      <c r="G3355" s="3">
        <f>IFERROR(__xludf.DUMMYFUNCTION("IF(F3355&lt;=0,0,IFERROR(ROUNDUP(F3355/INDEX(FILTER('warehouse config'!$D:$D,('warehouse config'!$B:$B=C3355)*('warehouse config'!$C:$C=D3355)*('warehouse config'!$G:$G&lt;=B3355)*(('warehouse config'!$H:$H&gt;=B3355)+ISBLANK('warehouse config'!$H:$H))),1)),0))"),0.0)</f>
        <v>0</v>
      </c>
      <c r="H3355" s="3">
        <f>IFERROR(__xludf.DUMMYFUNCTION("IFERROR(INDEX(FILTER('cost master'!$E:$E,('cost master'!$B:$B=C3355)*('cost master'!$D:$D=""Storage cost per pallet / week"")*('cost master'!$G:$G&lt;=B3355)*(('cost master'!$H:$H&gt;=B3355)+ISBLANK('cost master'!$H:$H))),1),0)"),0.0)</f>
        <v>0</v>
      </c>
      <c r="I3355" s="3">
        <f t="shared" si="4"/>
        <v>0</v>
      </c>
      <c r="J3355" s="27">
        <f t="shared" si="5"/>
        <v>693947</v>
      </c>
      <c r="K3355" s="27">
        <f t="shared" si="6"/>
        <v>693977</v>
      </c>
    </row>
    <row r="3356" hidden="1">
      <c r="A3356" s="3" t="str">
        <f t="shared" si="3"/>
        <v/>
      </c>
      <c r="B3356" s="2" t="str">
        <f t="array" ref="B3356">INDEX(helper!$A$3:$A3996,ROUNDUP((ROW()-1)/COUNTA(helper!$D$3:$D3996),0))</f>
        <v/>
      </c>
      <c r="C3356" s="5" t="str">
        <f t="array" ref="C3356">IF(B3356="","",INDEX(helper!$D$3:$D3996,MOD(ROW()-2,COUNTA(helper!$D$3:$D3996))+1))</f>
        <v/>
      </c>
      <c r="D3356" s="3" t="str">
        <f t="array" ref="D3356">IF(B3356="","",INDEX(helper!$E$3:$E3996,MOD(ROW()-2,COUNTA(helper!$D$3:$D3996))+1))</f>
        <v/>
      </c>
      <c r="E3356" s="3" t="str">
        <f t="array" ref="E3356">IF(B3356="","",INDEX(helper!$F$3:$F3996,MOD(ROW()-2,COUNTA(helper!$D$3:$D3996))+1))</f>
        <v/>
      </c>
      <c r="F3356" s="3" t="str">
        <f>IF(B3356="","",SUMIFS('inventory ledger'!$H:$H,'inventory ledger'!$C:$C,C3356,'inventory ledger'!$D:$D,D3356,'inventory ledger'!$E:$E,E3356,'inventory ledger'!$A:$A,"&lt;="&amp;B3356+TIME(23,59,59))-SUMIFS('inventory ledger'!$I:$I,'inventory ledger'!$C:$C,C3356,'inventory ledger'!$D:$D,D3356,'inventory ledger'!$E:$E,E3356,'inventory ledger'!$A:$A,"&lt;="&amp;B3356+TIME(23,59,59)))</f>
        <v/>
      </c>
      <c r="G3356" s="3">
        <f>IFERROR(__xludf.DUMMYFUNCTION("IF(F3356&lt;=0,0,IFERROR(ROUNDUP(F3356/INDEX(FILTER('warehouse config'!$D:$D,('warehouse config'!$B:$B=C3356)*('warehouse config'!$C:$C=D3356)*('warehouse config'!$G:$G&lt;=B3356)*(('warehouse config'!$H:$H&gt;=B3356)+ISBLANK('warehouse config'!$H:$H))),1)),0))"),0.0)</f>
        <v>0</v>
      </c>
      <c r="H3356" s="3">
        <f>IFERROR(__xludf.DUMMYFUNCTION("IFERROR(INDEX(FILTER('cost master'!$E:$E,('cost master'!$B:$B=C3356)*('cost master'!$D:$D=""Storage cost per pallet / week"")*('cost master'!$G:$G&lt;=B3356)*(('cost master'!$H:$H&gt;=B3356)+ISBLANK('cost master'!$H:$H))),1),0)"),0.0)</f>
        <v>0</v>
      </c>
      <c r="I3356" s="3">
        <f t="shared" si="4"/>
        <v>0</v>
      </c>
      <c r="J3356" s="27">
        <f t="shared" si="5"/>
        <v>693947</v>
      </c>
      <c r="K3356" s="27">
        <f t="shared" si="6"/>
        <v>693977</v>
      </c>
    </row>
    <row r="3357" hidden="1">
      <c r="A3357" s="3" t="str">
        <f t="shared" si="3"/>
        <v/>
      </c>
      <c r="B3357" s="2" t="str">
        <f t="array" ref="B3357">INDEX(helper!$A$3:$A3996,ROUNDUP((ROW()-1)/COUNTA(helper!$D$3:$D3996),0))</f>
        <v/>
      </c>
      <c r="C3357" s="5" t="str">
        <f t="array" ref="C3357">IF(B3357="","",INDEX(helper!$D$3:$D3996,MOD(ROW()-2,COUNTA(helper!$D$3:$D3996))+1))</f>
        <v/>
      </c>
      <c r="D3357" s="3" t="str">
        <f t="array" ref="D3357">IF(B3357="","",INDEX(helper!$E$3:$E3996,MOD(ROW()-2,COUNTA(helper!$D$3:$D3996))+1))</f>
        <v/>
      </c>
      <c r="E3357" s="3" t="str">
        <f t="array" ref="E3357">IF(B3357="","",INDEX(helper!$F$3:$F3996,MOD(ROW()-2,COUNTA(helper!$D$3:$D3996))+1))</f>
        <v/>
      </c>
      <c r="F3357" s="3" t="str">
        <f>IF(B3357="","",SUMIFS('inventory ledger'!$H:$H,'inventory ledger'!$C:$C,C3357,'inventory ledger'!$D:$D,D3357,'inventory ledger'!$E:$E,E3357,'inventory ledger'!$A:$A,"&lt;="&amp;B3357+TIME(23,59,59))-SUMIFS('inventory ledger'!$I:$I,'inventory ledger'!$C:$C,C3357,'inventory ledger'!$D:$D,D3357,'inventory ledger'!$E:$E,E3357,'inventory ledger'!$A:$A,"&lt;="&amp;B3357+TIME(23,59,59)))</f>
        <v/>
      </c>
      <c r="G3357" s="3">
        <f>IFERROR(__xludf.DUMMYFUNCTION("IF(F3357&lt;=0,0,IFERROR(ROUNDUP(F3357/INDEX(FILTER('warehouse config'!$D:$D,('warehouse config'!$B:$B=C3357)*('warehouse config'!$C:$C=D3357)*('warehouse config'!$G:$G&lt;=B3357)*(('warehouse config'!$H:$H&gt;=B3357)+ISBLANK('warehouse config'!$H:$H))),1)),0))"),0.0)</f>
        <v>0</v>
      </c>
      <c r="H3357" s="3">
        <f>IFERROR(__xludf.DUMMYFUNCTION("IFERROR(INDEX(FILTER('cost master'!$E:$E,('cost master'!$B:$B=C3357)*('cost master'!$D:$D=""Storage cost per pallet / week"")*('cost master'!$G:$G&lt;=B3357)*(('cost master'!$H:$H&gt;=B3357)+ISBLANK('cost master'!$H:$H))),1),0)"),0.0)</f>
        <v>0</v>
      </c>
      <c r="I3357" s="3">
        <f t="shared" si="4"/>
        <v>0</v>
      </c>
      <c r="J3357" s="27">
        <f t="shared" si="5"/>
        <v>693947</v>
      </c>
      <c r="K3357" s="27">
        <f t="shared" si="6"/>
        <v>693977</v>
      </c>
    </row>
    <row r="3358" hidden="1">
      <c r="A3358" s="3" t="str">
        <f t="shared" si="3"/>
        <v/>
      </c>
      <c r="B3358" s="2" t="str">
        <f t="array" ref="B3358">INDEX(helper!$A$3:$A3996,ROUNDUP((ROW()-1)/COUNTA(helper!$D$3:$D3996),0))</f>
        <v/>
      </c>
      <c r="C3358" s="5" t="str">
        <f t="array" ref="C3358">IF(B3358="","",INDEX(helper!$D$3:$D3996,MOD(ROW()-2,COUNTA(helper!$D$3:$D3996))+1))</f>
        <v/>
      </c>
      <c r="D3358" s="3" t="str">
        <f t="array" ref="D3358">IF(B3358="","",INDEX(helper!$E$3:$E3996,MOD(ROW()-2,COUNTA(helper!$D$3:$D3996))+1))</f>
        <v/>
      </c>
      <c r="E3358" s="3" t="str">
        <f t="array" ref="E3358">IF(B3358="","",INDEX(helper!$F$3:$F3996,MOD(ROW()-2,COUNTA(helper!$D$3:$D3996))+1))</f>
        <v/>
      </c>
      <c r="F3358" s="3" t="str">
        <f>IF(B3358="","",SUMIFS('inventory ledger'!$H:$H,'inventory ledger'!$C:$C,C3358,'inventory ledger'!$D:$D,D3358,'inventory ledger'!$E:$E,E3358,'inventory ledger'!$A:$A,"&lt;="&amp;B3358+TIME(23,59,59))-SUMIFS('inventory ledger'!$I:$I,'inventory ledger'!$C:$C,C3358,'inventory ledger'!$D:$D,D3358,'inventory ledger'!$E:$E,E3358,'inventory ledger'!$A:$A,"&lt;="&amp;B3358+TIME(23,59,59)))</f>
        <v/>
      </c>
      <c r="G3358" s="3">
        <f>IFERROR(__xludf.DUMMYFUNCTION("IF(F3358&lt;=0,0,IFERROR(ROUNDUP(F3358/INDEX(FILTER('warehouse config'!$D:$D,('warehouse config'!$B:$B=C3358)*('warehouse config'!$C:$C=D3358)*('warehouse config'!$G:$G&lt;=B3358)*(('warehouse config'!$H:$H&gt;=B3358)+ISBLANK('warehouse config'!$H:$H))),1)),0))"),0.0)</f>
        <v>0</v>
      </c>
      <c r="H3358" s="3">
        <f>IFERROR(__xludf.DUMMYFUNCTION("IFERROR(INDEX(FILTER('cost master'!$E:$E,('cost master'!$B:$B=C3358)*('cost master'!$D:$D=""Storage cost per pallet / week"")*('cost master'!$G:$G&lt;=B3358)*(('cost master'!$H:$H&gt;=B3358)+ISBLANK('cost master'!$H:$H))),1),0)"),0.0)</f>
        <v>0</v>
      </c>
      <c r="I3358" s="3">
        <f t="shared" si="4"/>
        <v>0</v>
      </c>
      <c r="J3358" s="27">
        <f t="shared" si="5"/>
        <v>693947</v>
      </c>
      <c r="K3358" s="27">
        <f t="shared" si="6"/>
        <v>693977</v>
      </c>
    </row>
    <row r="3359" hidden="1">
      <c r="A3359" s="3" t="str">
        <f t="shared" si="3"/>
        <v/>
      </c>
      <c r="B3359" s="2" t="str">
        <f t="array" ref="B3359">INDEX(helper!$A$3:$A3996,ROUNDUP((ROW()-1)/COUNTA(helper!$D$3:$D3996),0))</f>
        <v/>
      </c>
      <c r="C3359" s="5" t="str">
        <f t="array" ref="C3359">IF(B3359="","",INDEX(helper!$D$3:$D3996,MOD(ROW()-2,COUNTA(helper!$D$3:$D3996))+1))</f>
        <v/>
      </c>
      <c r="D3359" s="3" t="str">
        <f t="array" ref="D3359">IF(B3359="","",INDEX(helper!$E$3:$E3996,MOD(ROW()-2,COUNTA(helper!$D$3:$D3996))+1))</f>
        <v/>
      </c>
      <c r="E3359" s="3" t="str">
        <f t="array" ref="E3359">IF(B3359="","",INDEX(helper!$F$3:$F3996,MOD(ROW()-2,COUNTA(helper!$D$3:$D3996))+1))</f>
        <v/>
      </c>
      <c r="F3359" s="3" t="str">
        <f>IF(B3359="","",SUMIFS('inventory ledger'!$H:$H,'inventory ledger'!$C:$C,C3359,'inventory ledger'!$D:$D,D3359,'inventory ledger'!$E:$E,E3359,'inventory ledger'!$A:$A,"&lt;="&amp;B3359+TIME(23,59,59))-SUMIFS('inventory ledger'!$I:$I,'inventory ledger'!$C:$C,C3359,'inventory ledger'!$D:$D,D3359,'inventory ledger'!$E:$E,E3359,'inventory ledger'!$A:$A,"&lt;="&amp;B3359+TIME(23,59,59)))</f>
        <v/>
      </c>
      <c r="G3359" s="3">
        <f>IFERROR(__xludf.DUMMYFUNCTION("IF(F3359&lt;=0,0,IFERROR(ROUNDUP(F3359/INDEX(FILTER('warehouse config'!$D:$D,('warehouse config'!$B:$B=C3359)*('warehouse config'!$C:$C=D3359)*('warehouse config'!$G:$G&lt;=B3359)*(('warehouse config'!$H:$H&gt;=B3359)+ISBLANK('warehouse config'!$H:$H))),1)),0))"),0.0)</f>
        <v>0</v>
      </c>
      <c r="H3359" s="3">
        <f>IFERROR(__xludf.DUMMYFUNCTION("IFERROR(INDEX(FILTER('cost master'!$E:$E,('cost master'!$B:$B=C3359)*('cost master'!$D:$D=""Storage cost per pallet / week"")*('cost master'!$G:$G&lt;=B3359)*(('cost master'!$H:$H&gt;=B3359)+ISBLANK('cost master'!$H:$H))),1),0)"),0.0)</f>
        <v>0</v>
      </c>
      <c r="I3359" s="3">
        <f t="shared" si="4"/>
        <v>0</v>
      </c>
      <c r="J3359" s="27">
        <f t="shared" si="5"/>
        <v>693947</v>
      </c>
      <c r="K3359" s="27">
        <f t="shared" si="6"/>
        <v>693977</v>
      </c>
    </row>
    <row r="3360" hidden="1">
      <c r="A3360" s="3" t="str">
        <f t="shared" si="3"/>
        <v/>
      </c>
      <c r="B3360" s="2" t="str">
        <f t="array" ref="B3360">INDEX(helper!$A$3:$A3996,ROUNDUP((ROW()-1)/COUNTA(helper!$D$3:$D3996),0))</f>
        <v/>
      </c>
      <c r="C3360" s="5" t="str">
        <f t="array" ref="C3360">IF(B3360="","",INDEX(helper!$D$3:$D3996,MOD(ROW()-2,COUNTA(helper!$D$3:$D3996))+1))</f>
        <v/>
      </c>
      <c r="D3360" s="3" t="str">
        <f t="array" ref="D3360">IF(B3360="","",INDEX(helper!$E$3:$E3996,MOD(ROW()-2,COUNTA(helper!$D$3:$D3996))+1))</f>
        <v/>
      </c>
      <c r="E3360" s="3" t="str">
        <f t="array" ref="E3360">IF(B3360="","",INDEX(helper!$F$3:$F3996,MOD(ROW()-2,COUNTA(helper!$D$3:$D3996))+1))</f>
        <v/>
      </c>
      <c r="F3360" s="3" t="str">
        <f>IF(B3360="","",SUMIFS('inventory ledger'!$H:$H,'inventory ledger'!$C:$C,C3360,'inventory ledger'!$D:$D,D3360,'inventory ledger'!$E:$E,E3360,'inventory ledger'!$A:$A,"&lt;="&amp;B3360+TIME(23,59,59))-SUMIFS('inventory ledger'!$I:$I,'inventory ledger'!$C:$C,C3360,'inventory ledger'!$D:$D,D3360,'inventory ledger'!$E:$E,E3360,'inventory ledger'!$A:$A,"&lt;="&amp;B3360+TIME(23,59,59)))</f>
        <v/>
      </c>
      <c r="G3360" s="3">
        <f>IFERROR(__xludf.DUMMYFUNCTION("IF(F3360&lt;=0,0,IFERROR(ROUNDUP(F3360/INDEX(FILTER('warehouse config'!$D:$D,('warehouse config'!$B:$B=C3360)*('warehouse config'!$C:$C=D3360)*('warehouse config'!$G:$G&lt;=B3360)*(('warehouse config'!$H:$H&gt;=B3360)+ISBLANK('warehouse config'!$H:$H))),1)),0))"),0.0)</f>
        <v>0</v>
      </c>
      <c r="H3360" s="3">
        <f>IFERROR(__xludf.DUMMYFUNCTION("IFERROR(INDEX(FILTER('cost master'!$E:$E,('cost master'!$B:$B=C3360)*('cost master'!$D:$D=""Storage cost per pallet / week"")*('cost master'!$G:$G&lt;=B3360)*(('cost master'!$H:$H&gt;=B3360)+ISBLANK('cost master'!$H:$H))),1),0)"),0.0)</f>
        <v>0</v>
      </c>
      <c r="I3360" s="3">
        <f t="shared" si="4"/>
        <v>0</v>
      </c>
      <c r="J3360" s="27">
        <f t="shared" si="5"/>
        <v>693947</v>
      </c>
      <c r="K3360" s="27">
        <f t="shared" si="6"/>
        <v>693977</v>
      </c>
    </row>
    <row r="3361" hidden="1">
      <c r="A3361" s="3" t="str">
        <f t="shared" si="3"/>
        <v/>
      </c>
      <c r="B3361" s="2" t="str">
        <f t="array" ref="B3361">INDEX(helper!$A$3:$A3996,ROUNDUP((ROW()-1)/COUNTA(helper!$D$3:$D3996),0))</f>
        <v/>
      </c>
      <c r="C3361" s="5" t="str">
        <f t="array" ref="C3361">IF(B3361="","",INDEX(helper!$D$3:$D3996,MOD(ROW()-2,COUNTA(helper!$D$3:$D3996))+1))</f>
        <v/>
      </c>
      <c r="D3361" s="3" t="str">
        <f t="array" ref="D3361">IF(B3361="","",INDEX(helper!$E$3:$E3996,MOD(ROW()-2,COUNTA(helper!$D$3:$D3996))+1))</f>
        <v/>
      </c>
      <c r="E3361" s="3" t="str">
        <f t="array" ref="E3361">IF(B3361="","",INDEX(helper!$F$3:$F3996,MOD(ROW()-2,COUNTA(helper!$D$3:$D3996))+1))</f>
        <v/>
      </c>
      <c r="F3361" s="3" t="str">
        <f>IF(B3361="","",SUMIFS('inventory ledger'!$H:$H,'inventory ledger'!$C:$C,C3361,'inventory ledger'!$D:$D,D3361,'inventory ledger'!$E:$E,E3361,'inventory ledger'!$A:$A,"&lt;="&amp;B3361+TIME(23,59,59))-SUMIFS('inventory ledger'!$I:$I,'inventory ledger'!$C:$C,C3361,'inventory ledger'!$D:$D,D3361,'inventory ledger'!$E:$E,E3361,'inventory ledger'!$A:$A,"&lt;="&amp;B3361+TIME(23,59,59)))</f>
        <v/>
      </c>
      <c r="G3361" s="3">
        <f>IFERROR(__xludf.DUMMYFUNCTION("IF(F3361&lt;=0,0,IFERROR(ROUNDUP(F3361/INDEX(FILTER('warehouse config'!$D:$D,('warehouse config'!$B:$B=C3361)*('warehouse config'!$C:$C=D3361)*('warehouse config'!$G:$G&lt;=B3361)*(('warehouse config'!$H:$H&gt;=B3361)+ISBLANK('warehouse config'!$H:$H))),1)),0))"),0.0)</f>
        <v>0</v>
      </c>
      <c r="H3361" s="3">
        <f>IFERROR(__xludf.DUMMYFUNCTION("IFERROR(INDEX(FILTER('cost master'!$E:$E,('cost master'!$B:$B=C3361)*('cost master'!$D:$D=""Storage cost per pallet / week"")*('cost master'!$G:$G&lt;=B3361)*(('cost master'!$H:$H&gt;=B3361)+ISBLANK('cost master'!$H:$H))),1),0)"),0.0)</f>
        <v>0</v>
      </c>
      <c r="I3361" s="3">
        <f t="shared" si="4"/>
        <v>0</v>
      </c>
      <c r="J3361" s="27">
        <f t="shared" si="5"/>
        <v>693947</v>
      </c>
      <c r="K3361" s="27">
        <f t="shared" si="6"/>
        <v>693977</v>
      </c>
    </row>
    <row r="3362" hidden="1">
      <c r="A3362" s="3" t="str">
        <f t="shared" si="3"/>
        <v/>
      </c>
      <c r="B3362" s="2" t="str">
        <f t="array" ref="B3362">INDEX(helper!$A$3:$A3996,ROUNDUP((ROW()-1)/COUNTA(helper!$D$3:$D3996),0))</f>
        <v/>
      </c>
      <c r="C3362" s="5" t="str">
        <f t="array" ref="C3362">IF(B3362="","",INDEX(helper!$D$3:$D3996,MOD(ROW()-2,COUNTA(helper!$D$3:$D3996))+1))</f>
        <v/>
      </c>
      <c r="D3362" s="3" t="str">
        <f t="array" ref="D3362">IF(B3362="","",INDEX(helper!$E$3:$E3996,MOD(ROW()-2,COUNTA(helper!$D$3:$D3996))+1))</f>
        <v/>
      </c>
      <c r="E3362" s="3" t="str">
        <f t="array" ref="E3362">IF(B3362="","",INDEX(helper!$F$3:$F3996,MOD(ROW()-2,COUNTA(helper!$D$3:$D3996))+1))</f>
        <v/>
      </c>
      <c r="F3362" s="3" t="str">
        <f>IF(B3362="","",SUMIFS('inventory ledger'!$H:$H,'inventory ledger'!$C:$C,C3362,'inventory ledger'!$D:$D,D3362,'inventory ledger'!$E:$E,E3362,'inventory ledger'!$A:$A,"&lt;="&amp;B3362+TIME(23,59,59))-SUMIFS('inventory ledger'!$I:$I,'inventory ledger'!$C:$C,C3362,'inventory ledger'!$D:$D,D3362,'inventory ledger'!$E:$E,E3362,'inventory ledger'!$A:$A,"&lt;="&amp;B3362+TIME(23,59,59)))</f>
        <v/>
      </c>
      <c r="G3362" s="3">
        <f>IFERROR(__xludf.DUMMYFUNCTION("IF(F3362&lt;=0,0,IFERROR(ROUNDUP(F3362/INDEX(FILTER('warehouse config'!$D:$D,('warehouse config'!$B:$B=C3362)*('warehouse config'!$C:$C=D3362)*('warehouse config'!$G:$G&lt;=B3362)*(('warehouse config'!$H:$H&gt;=B3362)+ISBLANK('warehouse config'!$H:$H))),1)),0))"),0.0)</f>
        <v>0</v>
      </c>
      <c r="H3362" s="3">
        <f>IFERROR(__xludf.DUMMYFUNCTION("IFERROR(INDEX(FILTER('cost master'!$E:$E,('cost master'!$B:$B=C3362)*('cost master'!$D:$D=""Storage cost per pallet / week"")*('cost master'!$G:$G&lt;=B3362)*(('cost master'!$H:$H&gt;=B3362)+ISBLANK('cost master'!$H:$H))),1),0)"),0.0)</f>
        <v>0</v>
      </c>
      <c r="I3362" s="3">
        <f t="shared" si="4"/>
        <v>0</v>
      </c>
      <c r="J3362" s="27">
        <f t="shared" si="5"/>
        <v>693947</v>
      </c>
      <c r="K3362" s="27">
        <f t="shared" si="6"/>
        <v>693977</v>
      </c>
    </row>
    <row r="3363" hidden="1">
      <c r="A3363" s="3" t="str">
        <f t="shared" si="3"/>
        <v/>
      </c>
      <c r="B3363" s="2" t="str">
        <f t="array" ref="B3363">INDEX(helper!$A$3:$A3996,ROUNDUP((ROW()-1)/COUNTA(helper!$D$3:$D3996),0))</f>
        <v/>
      </c>
      <c r="C3363" s="5" t="str">
        <f t="array" ref="C3363">IF(B3363="","",INDEX(helper!$D$3:$D3996,MOD(ROW()-2,COUNTA(helper!$D$3:$D3996))+1))</f>
        <v/>
      </c>
      <c r="D3363" s="3" t="str">
        <f t="array" ref="D3363">IF(B3363="","",INDEX(helper!$E$3:$E3996,MOD(ROW()-2,COUNTA(helper!$D$3:$D3996))+1))</f>
        <v/>
      </c>
      <c r="E3363" s="3" t="str">
        <f t="array" ref="E3363">IF(B3363="","",INDEX(helper!$F$3:$F3996,MOD(ROW()-2,COUNTA(helper!$D$3:$D3996))+1))</f>
        <v/>
      </c>
      <c r="F3363" s="3" t="str">
        <f>IF(B3363="","",SUMIFS('inventory ledger'!$H:$H,'inventory ledger'!$C:$C,C3363,'inventory ledger'!$D:$D,D3363,'inventory ledger'!$E:$E,E3363,'inventory ledger'!$A:$A,"&lt;="&amp;B3363+TIME(23,59,59))-SUMIFS('inventory ledger'!$I:$I,'inventory ledger'!$C:$C,C3363,'inventory ledger'!$D:$D,D3363,'inventory ledger'!$E:$E,E3363,'inventory ledger'!$A:$A,"&lt;="&amp;B3363+TIME(23,59,59)))</f>
        <v/>
      </c>
      <c r="G3363" s="3">
        <f>IFERROR(__xludf.DUMMYFUNCTION("IF(F3363&lt;=0,0,IFERROR(ROUNDUP(F3363/INDEX(FILTER('warehouse config'!$D:$D,('warehouse config'!$B:$B=C3363)*('warehouse config'!$C:$C=D3363)*('warehouse config'!$G:$G&lt;=B3363)*(('warehouse config'!$H:$H&gt;=B3363)+ISBLANK('warehouse config'!$H:$H))),1)),0))"),0.0)</f>
        <v>0</v>
      </c>
      <c r="H3363" s="3">
        <f>IFERROR(__xludf.DUMMYFUNCTION("IFERROR(INDEX(FILTER('cost master'!$E:$E,('cost master'!$B:$B=C3363)*('cost master'!$D:$D=""Storage cost per pallet / week"")*('cost master'!$G:$G&lt;=B3363)*(('cost master'!$H:$H&gt;=B3363)+ISBLANK('cost master'!$H:$H))),1),0)"),0.0)</f>
        <v>0</v>
      </c>
      <c r="I3363" s="3">
        <f t="shared" si="4"/>
        <v>0</v>
      </c>
      <c r="J3363" s="27">
        <f t="shared" si="5"/>
        <v>693947</v>
      </c>
      <c r="K3363" s="27">
        <f t="shared" si="6"/>
        <v>693977</v>
      </c>
    </row>
    <row r="3364" hidden="1">
      <c r="A3364" s="3" t="str">
        <f t="shared" si="3"/>
        <v/>
      </c>
      <c r="B3364" s="2" t="str">
        <f t="array" ref="B3364">INDEX(helper!$A$3:$A3996,ROUNDUP((ROW()-1)/COUNTA(helper!$D$3:$D3996),0))</f>
        <v/>
      </c>
      <c r="C3364" s="5" t="str">
        <f t="array" ref="C3364">IF(B3364="","",INDEX(helper!$D$3:$D3996,MOD(ROW()-2,COUNTA(helper!$D$3:$D3996))+1))</f>
        <v/>
      </c>
      <c r="D3364" s="3" t="str">
        <f t="array" ref="D3364">IF(B3364="","",INDEX(helper!$E$3:$E3996,MOD(ROW()-2,COUNTA(helper!$D$3:$D3996))+1))</f>
        <v/>
      </c>
      <c r="E3364" s="3" t="str">
        <f t="array" ref="E3364">IF(B3364="","",INDEX(helper!$F$3:$F3996,MOD(ROW()-2,COUNTA(helper!$D$3:$D3996))+1))</f>
        <v/>
      </c>
      <c r="F3364" s="3" t="str">
        <f>IF(B3364="","",SUMIFS('inventory ledger'!$H:$H,'inventory ledger'!$C:$C,C3364,'inventory ledger'!$D:$D,D3364,'inventory ledger'!$E:$E,E3364,'inventory ledger'!$A:$A,"&lt;="&amp;B3364+TIME(23,59,59))-SUMIFS('inventory ledger'!$I:$I,'inventory ledger'!$C:$C,C3364,'inventory ledger'!$D:$D,D3364,'inventory ledger'!$E:$E,E3364,'inventory ledger'!$A:$A,"&lt;="&amp;B3364+TIME(23,59,59)))</f>
        <v/>
      </c>
      <c r="G3364" s="3">
        <f>IFERROR(__xludf.DUMMYFUNCTION("IF(F3364&lt;=0,0,IFERROR(ROUNDUP(F3364/INDEX(FILTER('warehouse config'!$D:$D,('warehouse config'!$B:$B=C3364)*('warehouse config'!$C:$C=D3364)*('warehouse config'!$G:$G&lt;=B3364)*(('warehouse config'!$H:$H&gt;=B3364)+ISBLANK('warehouse config'!$H:$H))),1)),0))"),0.0)</f>
        <v>0</v>
      </c>
      <c r="H3364" s="3">
        <f>IFERROR(__xludf.DUMMYFUNCTION("IFERROR(INDEX(FILTER('cost master'!$E:$E,('cost master'!$B:$B=C3364)*('cost master'!$D:$D=""Storage cost per pallet / week"")*('cost master'!$G:$G&lt;=B3364)*(('cost master'!$H:$H&gt;=B3364)+ISBLANK('cost master'!$H:$H))),1),0)"),0.0)</f>
        <v>0</v>
      </c>
      <c r="I3364" s="3">
        <f t="shared" si="4"/>
        <v>0</v>
      </c>
      <c r="J3364" s="27">
        <f t="shared" si="5"/>
        <v>693947</v>
      </c>
      <c r="K3364" s="27">
        <f t="shared" si="6"/>
        <v>693977</v>
      </c>
    </row>
    <row r="3365" hidden="1">
      <c r="A3365" s="3" t="str">
        <f t="shared" si="3"/>
        <v/>
      </c>
      <c r="B3365" s="2" t="str">
        <f t="array" ref="B3365">INDEX(helper!$A$3:$A3996,ROUNDUP((ROW()-1)/COUNTA(helper!$D$3:$D3996),0))</f>
        <v/>
      </c>
      <c r="C3365" s="5" t="str">
        <f t="array" ref="C3365">IF(B3365="","",INDEX(helper!$D$3:$D3996,MOD(ROW()-2,COUNTA(helper!$D$3:$D3996))+1))</f>
        <v/>
      </c>
      <c r="D3365" s="3" t="str">
        <f t="array" ref="D3365">IF(B3365="","",INDEX(helper!$E$3:$E3996,MOD(ROW()-2,COUNTA(helper!$D$3:$D3996))+1))</f>
        <v/>
      </c>
      <c r="E3365" s="3" t="str">
        <f t="array" ref="E3365">IF(B3365="","",INDEX(helper!$F$3:$F3996,MOD(ROW()-2,COUNTA(helper!$D$3:$D3996))+1))</f>
        <v/>
      </c>
      <c r="F3365" s="3" t="str">
        <f>IF(B3365="","",SUMIFS('inventory ledger'!$H:$H,'inventory ledger'!$C:$C,C3365,'inventory ledger'!$D:$D,D3365,'inventory ledger'!$E:$E,E3365,'inventory ledger'!$A:$A,"&lt;="&amp;B3365+TIME(23,59,59))-SUMIFS('inventory ledger'!$I:$I,'inventory ledger'!$C:$C,C3365,'inventory ledger'!$D:$D,D3365,'inventory ledger'!$E:$E,E3365,'inventory ledger'!$A:$A,"&lt;="&amp;B3365+TIME(23,59,59)))</f>
        <v/>
      </c>
      <c r="G3365" s="3">
        <f>IFERROR(__xludf.DUMMYFUNCTION("IF(F3365&lt;=0,0,IFERROR(ROUNDUP(F3365/INDEX(FILTER('warehouse config'!$D:$D,('warehouse config'!$B:$B=C3365)*('warehouse config'!$C:$C=D3365)*('warehouse config'!$G:$G&lt;=B3365)*(('warehouse config'!$H:$H&gt;=B3365)+ISBLANK('warehouse config'!$H:$H))),1)),0))"),0.0)</f>
        <v>0</v>
      </c>
      <c r="H3365" s="3">
        <f>IFERROR(__xludf.DUMMYFUNCTION("IFERROR(INDEX(FILTER('cost master'!$E:$E,('cost master'!$B:$B=C3365)*('cost master'!$D:$D=""Storage cost per pallet / week"")*('cost master'!$G:$G&lt;=B3365)*(('cost master'!$H:$H&gt;=B3365)+ISBLANK('cost master'!$H:$H))),1),0)"),0.0)</f>
        <v>0</v>
      </c>
      <c r="I3365" s="3">
        <f t="shared" si="4"/>
        <v>0</v>
      </c>
      <c r="J3365" s="27">
        <f t="shared" si="5"/>
        <v>693947</v>
      </c>
      <c r="K3365" s="27">
        <f t="shared" si="6"/>
        <v>693977</v>
      </c>
    </row>
    <row r="3366" hidden="1">
      <c r="A3366" s="3" t="str">
        <f t="shared" si="3"/>
        <v/>
      </c>
      <c r="B3366" s="2" t="str">
        <f t="array" ref="B3366">INDEX(helper!$A$3:$A3996,ROUNDUP((ROW()-1)/COUNTA(helper!$D$3:$D3996),0))</f>
        <v/>
      </c>
      <c r="C3366" s="5" t="str">
        <f t="array" ref="C3366">IF(B3366="","",INDEX(helper!$D$3:$D3996,MOD(ROW()-2,COUNTA(helper!$D$3:$D3996))+1))</f>
        <v/>
      </c>
      <c r="D3366" s="3" t="str">
        <f t="array" ref="D3366">IF(B3366="","",INDEX(helper!$E$3:$E3996,MOD(ROW()-2,COUNTA(helper!$D$3:$D3996))+1))</f>
        <v/>
      </c>
      <c r="E3366" s="3" t="str">
        <f t="array" ref="E3366">IF(B3366="","",INDEX(helper!$F$3:$F3996,MOD(ROW()-2,COUNTA(helper!$D$3:$D3996))+1))</f>
        <v/>
      </c>
      <c r="F3366" s="3" t="str">
        <f>IF(B3366="","",SUMIFS('inventory ledger'!$H:$H,'inventory ledger'!$C:$C,C3366,'inventory ledger'!$D:$D,D3366,'inventory ledger'!$E:$E,E3366,'inventory ledger'!$A:$A,"&lt;="&amp;B3366+TIME(23,59,59))-SUMIFS('inventory ledger'!$I:$I,'inventory ledger'!$C:$C,C3366,'inventory ledger'!$D:$D,D3366,'inventory ledger'!$E:$E,E3366,'inventory ledger'!$A:$A,"&lt;="&amp;B3366+TIME(23,59,59)))</f>
        <v/>
      </c>
      <c r="G3366" s="3">
        <f>IFERROR(__xludf.DUMMYFUNCTION("IF(F3366&lt;=0,0,IFERROR(ROUNDUP(F3366/INDEX(FILTER('warehouse config'!$D:$D,('warehouse config'!$B:$B=C3366)*('warehouse config'!$C:$C=D3366)*('warehouse config'!$G:$G&lt;=B3366)*(('warehouse config'!$H:$H&gt;=B3366)+ISBLANK('warehouse config'!$H:$H))),1)),0))"),0.0)</f>
        <v>0</v>
      </c>
      <c r="H3366" s="3">
        <f>IFERROR(__xludf.DUMMYFUNCTION("IFERROR(INDEX(FILTER('cost master'!$E:$E,('cost master'!$B:$B=C3366)*('cost master'!$D:$D=""Storage cost per pallet / week"")*('cost master'!$G:$G&lt;=B3366)*(('cost master'!$H:$H&gt;=B3366)+ISBLANK('cost master'!$H:$H))),1),0)"),0.0)</f>
        <v>0</v>
      </c>
      <c r="I3366" s="3">
        <f t="shared" si="4"/>
        <v>0</v>
      </c>
      <c r="J3366" s="27">
        <f t="shared" si="5"/>
        <v>693947</v>
      </c>
      <c r="K3366" s="27">
        <f t="shared" si="6"/>
        <v>693977</v>
      </c>
    </row>
    <row r="3367" hidden="1">
      <c r="A3367" s="3" t="str">
        <f t="shared" si="3"/>
        <v/>
      </c>
      <c r="B3367" s="2" t="str">
        <f t="array" ref="B3367">INDEX(helper!$A$3:$A3996,ROUNDUP((ROW()-1)/COUNTA(helper!$D$3:$D3996),0))</f>
        <v/>
      </c>
      <c r="C3367" s="5" t="str">
        <f t="array" ref="C3367">IF(B3367="","",INDEX(helper!$D$3:$D3996,MOD(ROW()-2,COUNTA(helper!$D$3:$D3996))+1))</f>
        <v/>
      </c>
      <c r="D3367" s="3" t="str">
        <f t="array" ref="D3367">IF(B3367="","",INDEX(helper!$E$3:$E3996,MOD(ROW()-2,COUNTA(helper!$D$3:$D3996))+1))</f>
        <v/>
      </c>
      <c r="E3367" s="3" t="str">
        <f t="array" ref="E3367">IF(B3367="","",INDEX(helper!$F$3:$F3996,MOD(ROW()-2,COUNTA(helper!$D$3:$D3996))+1))</f>
        <v/>
      </c>
      <c r="F3367" s="3" t="str">
        <f>IF(B3367="","",SUMIFS('inventory ledger'!$H:$H,'inventory ledger'!$C:$C,C3367,'inventory ledger'!$D:$D,D3367,'inventory ledger'!$E:$E,E3367,'inventory ledger'!$A:$A,"&lt;="&amp;B3367+TIME(23,59,59))-SUMIFS('inventory ledger'!$I:$I,'inventory ledger'!$C:$C,C3367,'inventory ledger'!$D:$D,D3367,'inventory ledger'!$E:$E,E3367,'inventory ledger'!$A:$A,"&lt;="&amp;B3367+TIME(23,59,59)))</f>
        <v/>
      </c>
      <c r="G3367" s="3">
        <f>IFERROR(__xludf.DUMMYFUNCTION("IF(F3367&lt;=0,0,IFERROR(ROUNDUP(F3367/INDEX(FILTER('warehouse config'!$D:$D,('warehouse config'!$B:$B=C3367)*('warehouse config'!$C:$C=D3367)*('warehouse config'!$G:$G&lt;=B3367)*(('warehouse config'!$H:$H&gt;=B3367)+ISBLANK('warehouse config'!$H:$H))),1)),0))"),0.0)</f>
        <v>0</v>
      </c>
      <c r="H3367" s="3">
        <f>IFERROR(__xludf.DUMMYFUNCTION("IFERROR(INDEX(FILTER('cost master'!$E:$E,('cost master'!$B:$B=C3367)*('cost master'!$D:$D=""Storage cost per pallet / week"")*('cost master'!$G:$G&lt;=B3367)*(('cost master'!$H:$H&gt;=B3367)+ISBLANK('cost master'!$H:$H))),1),0)"),0.0)</f>
        <v>0</v>
      </c>
      <c r="I3367" s="3">
        <f t="shared" si="4"/>
        <v>0</v>
      </c>
      <c r="J3367" s="27">
        <f t="shared" si="5"/>
        <v>693947</v>
      </c>
      <c r="K3367" s="27">
        <f t="shared" si="6"/>
        <v>693977</v>
      </c>
    </row>
    <row r="3368" hidden="1">
      <c r="A3368" s="3" t="str">
        <f t="shared" si="3"/>
        <v/>
      </c>
      <c r="B3368" s="2" t="str">
        <f t="array" ref="B3368">INDEX(helper!$A$3:$A3996,ROUNDUP((ROW()-1)/COUNTA(helper!$D$3:$D3996),0))</f>
        <v/>
      </c>
      <c r="C3368" s="5" t="str">
        <f t="array" ref="C3368">IF(B3368="","",INDEX(helper!$D$3:$D3996,MOD(ROW()-2,COUNTA(helper!$D$3:$D3996))+1))</f>
        <v/>
      </c>
      <c r="D3368" s="3" t="str">
        <f t="array" ref="D3368">IF(B3368="","",INDEX(helper!$E$3:$E3996,MOD(ROW()-2,COUNTA(helper!$D$3:$D3996))+1))</f>
        <v/>
      </c>
      <c r="E3368" s="3" t="str">
        <f t="array" ref="E3368">IF(B3368="","",INDEX(helper!$F$3:$F3996,MOD(ROW()-2,COUNTA(helper!$D$3:$D3996))+1))</f>
        <v/>
      </c>
      <c r="F3368" s="3" t="str">
        <f>IF(B3368="","",SUMIFS('inventory ledger'!$H:$H,'inventory ledger'!$C:$C,C3368,'inventory ledger'!$D:$D,D3368,'inventory ledger'!$E:$E,E3368,'inventory ledger'!$A:$A,"&lt;="&amp;B3368+TIME(23,59,59))-SUMIFS('inventory ledger'!$I:$I,'inventory ledger'!$C:$C,C3368,'inventory ledger'!$D:$D,D3368,'inventory ledger'!$E:$E,E3368,'inventory ledger'!$A:$A,"&lt;="&amp;B3368+TIME(23,59,59)))</f>
        <v/>
      </c>
      <c r="G3368" s="3">
        <f>IFERROR(__xludf.DUMMYFUNCTION("IF(F3368&lt;=0,0,IFERROR(ROUNDUP(F3368/INDEX(FILTER('warehouse config'!$D:$D,('warehouse config'!$B:$B=C3368)*('warehouse config'!$C:$C=D3368)*('warehouse config'!$G:$G&lt;=B3368)*(('warehouse config'!$H:$H&gt;=B3368)+ISBLANK('warehouse config'!$H:$H))),1)),0))"),0.0)</f>
        <v>0</v>
      </c>
      <c r="H3368" s="3">
        <f>IFERROR(__xludf.DUMMYFUNCTION("IFERROR(INDEX(FILTER('cost master'!$E:$E,('cost master'!$B:$B=C3368)*('cost master'!$D:$D=""Storage cost per pallet / week"")*('cost master'!$G:$G&lt;=B3368)*(('cost master'!$H:$H&gt;=B3368)+ISBLANK('cost master'!$H:$H))),1),0)"),0.0)</f>
        <v>0</v>
      </c>
      <c r="I3368" s="3">
        <f t="shared" si="4"/>
        <v>0</v>
      </c>
      <c r="J3368" s="27">
        <f t="shared" si="5"/>
        <v>693947</v>
      </c>
      <c r="K3368" s="27">
        <f t="shared" si="6"/>
        <v>693977</v>
      </c>
    </row>
    <row r="3369" hidden="1">
      <c r="A3369" s="3" t="str">
        <f t="shared" si="3"/>
        <v/>
      </c>
      <c r="B3369" s="2" t="str">
        <f t="array" ref="B3369">INDEX(helper!$A$3:$A3996,ROUNDUP((ROW()-1)/COUNTA(helper!$D$3:$D3996),0))</f>
        <v/>
      </c>
      <c r="C3369" s="5" t="str">
        <f t="array" ref="C3369">IF(B3369="","",INDEX(helper!$D$3:$D3996,MOD(ROW()-2,COUNTA(helper!$D$3:$D3996))+1))</f>
        <v/>
      </c>
      <c r="D3369" s="3" t="str">
        <f t="array" ref="D3369">IF(B3369="","",INDEX(helper!$E$3:$E3996,MOD(ROW()-2,COUNTA(helper!$D$3:$D3996))+1))</f>
        <v/>
      </c>
      <c r="E3369" s="3" t="str">
        <f t="array" ref="E3369">IF(B3369="","",INDEX(helper!$F$3:$F3996,MOD(ROW()-2,COUNTA(helper!$D$3:$D3996))+1))</f>
        <v/>
      </c>
      <c r="F3369" s="3" t="str">
        <f>IF(B3369="","",SUMIFS('inventory ledger'!$H:$H,'inventory ledger'!$C:$C,C3369,'inventory ledger'!$D:$D,D3369,'inventory ledger'!$E:$E,E3369,'inventory ledger'!$A:$A,"&lt;="&amp;B3369+TIME(23,59,59))-SUMIFS('inventory ledger'!$I:$I,'inventory ledger'!$C:$C,C3369,'inventory ledger'!$D:$D,D3369,'inventory ledger'!$E:$E,E3369,'inventory ledger'!$A:$A,"&lt;="&amp;B3369+TIME(23,59,59)))</f>
        <v/>
      </c>
      <c r="G3369" s="3">
        <f>IFERROR(__xludf.DUMMYFUNCTION("IF(F3369&lt;=0,0,IFERROR(ROUNDUP(F3369/INDEX(FILTER('warehouse config'!$D:$D,('warehouse config'!$B:$B=C3369)*('warehouse config'!$C:$C=D3369)*('warehouse config'!$G:$G&lt;=B3369)*(('warehouse config'!$H:$H&gt;=B3369)+ISBLANK('warehouse config'!$H:$H))),1)),0))"),0.0)</f>
        <v>0</v>
      </c>
      <c r="H3369" s="3">
        <f>IFERROR(__xludf.DUMMYFUNCTION("IFERROR(INDEX(FILTER('cost master'!$E:$E,('cost master'!$B:$B=C3369)*('cost master'!$D:$D=""Storage cost per pallet / week"")*('cost master'!$G:$G&lt;=B3369)*(('cost master'!$H:$H&gt;=B3369)+ISBLANK('cost master'!$H:$H))),1),0)"),0.0)</f>
        <v>0</v>
      </c>
      <c r="I3369" s="3">
        <f t="shared" si="4"/>
        <v>0</v>
      </c>
      <c r="J3369" s="27">
        <f t="shared" si="5"/>
        <v>693947</v>
      </c>
      <c r="K3369" s="27">
        <f t="shared" si="6"/>
        <v>693977</v>
      </c>
    </row>
    <row r="3370" hidden="1">
      <c r="A3370" s="3" t="str">
        <f t="shared" si="3"/>
        <v/>
      </c>
      <c r="B3370" s="2" t="str">
        <f t="array" ref="B3370">INDEX(helper!$A$3:$A3996,ROUNDUP((ROW()-1)/COUNTA(helper!$D$3:$D3996),0))</f>
        <v/>
      </c>
      <c r="C3370" s="5" t="str">
        <f t="array" ref="C3370">IF(B3370="","",INDEX(helper!$D$3:$D3996,MOD(ROW()-2,COUNTA(helper!$D$3:$D3996))+1))</f>
        <v/>
      </c>
      <c r="D3370" s="3" t="str">
        <f t="array" ref="D3370">IF(B3370="","",INDEX(helper!$E$3:$E3996,MOD(ROW()-2,COUNTA(helper!$D$3:$D3996))+1))</f>
        <v/>
      </c>
      <c r="E3370" s="3" t="str">
        <f t="array" ref="E3370">IF(B3370="","",INDEX(helper!$F$3:$F3996,MOD(ROW()-2,COUNTA(helper!$D$3:$D3996))+1))</f>
        <v/>
      </c>
      <c r="F3370" s="3" t="str">
        <f>IF(B3370="","",SUMIFS('inventory ledger'!$H:$H,'inventory ledger'!$C:$C,C3370,'inventory ledger'!$D:$D,D3370,'inventory ledger'!$E:$E,E3370,'inventory ledger'!$A:$A,"&lt;="&amp;B3370+TIME(23,59,59))-SUMIFS('inventory ledger'!$I:$I,'inventory ledger'!$C:$C,C3370,'inventory ledger'!$D:$D,D3370,'inventory ledger'!$E:$E,E3370,'inventory ledger'!$A:$A,"&lt;="&amp;B3370+TIME(23,59,59)))</f>
        <v/>
      </c>
      <c r="G3370" s="3">
        <f>IFERROR(__xludf.DUMMYFUNCTION("IF(F3370&lt;=0,0,IFERROR(ROUNDUP(F3370/INDEX(FILTER('warehouse config'!$D:$D,('warehouse config'!$B:$B=C3370)*('warehouse config'!$C:$C=D3370)*('warehouse config'!$G:$G&lt;=B3370)*(('warehouse config'!$H:$H&gt;=B3370)+ISBLANK('warehouse config'!$H:$H))),1)),0))"),0.0)</f>
        <v>0</v>
      </c>
      <c r="H3370" s="3">
        <f>IFERROR(__xludf.DUMMYFUNCTION("IFERROR(INDEX(FILTER('cost master'!$E:$E,('cost master'!$B:$B=C3370)*('cost master'!$D:$D=""Storage cost per pallet / week"")*('cost master'!$G:$G&lt;=B3370)*(('cost master'!$H:$H&gt;=B3370)+ISBLANK('cost master'!$H:$H))),1),0)"),0.0)</f>
        <v>0</v>
      </c>
      <c r="I3370" s="3">
        <f t="shared" si="4"/>
        <v>0</v>
      </c>
      <c r="J3370" s="27">
        <f t="shared" si="5"/>
        <v>693947</v>
      </c>
      <c r="K3370" s="27">
        <f t="shared" si="6"/>
        <v>693977</v>
      </c>
    </row>
    <row r="3371" hidden="1">
      <c r="A3371" s="3" t="str">
        <f t="shared" si="3"/>
        <v/>
      </c>
      <c r="B3371" s="2" t="str">
        <f t="array" ref="B3371">INDEX(helper!$A$3:$A3996,ROUNDUP((ROW()-1)/COUNTA(helper!$D$3:$D3996),0))</f>
        <v/>
      </c>
      <c r="C3371" s="5" t="str">
        <f t="array" ref="C3371">IF(B3371="","",INDEX(helper!$D$3:$D3996,MOD(ROW()-2,COUNTA(helper!$D$3:$D3996))+1))</f>
        <v/>
      </c>
      <c r="D3371" s="3" t="str">
        <f t="array" ref="D3371">IF(B3371="","",INDEX(helper!$E$3:$E3996,MOD(ROW()-2,COUNTA(helper!$D$3:$D3996))+1))</f>
        <v/>
      </c>
      <c r="E3371" s="3" t="str">
        <f t="array" ref="E3371">IF(B3371="","",INDEX(helper!$F$3:$F3996,MOD(ROW()-2,COUNTA(helper!$D$3:$D3996))+1))</f>
        <v/>
      </c>
      <c r="F3371" s="3" t="str">
        <f>IF(B3371="","",SUMIFS('inventory ledger'!$H:$H,'inventory ledger'!$C:$C,C3371,'inventory ledger'!$D:$D,D3371,'inventory ledger'!$E:$E,E3371,'inventory ledger'!$A:$A,"&lt;="&amp;B3371+TIME(23,59,59))-SUMIFS('inventory ledger'!$I:$I,'inventory ledger'!$C:$C,C3371,'inventory ledger'!$D:$D,D3371,'inventory ledger'!$E:$E,E3371,'inventory ledger'!$A:$A,"&lt;="&amp;B3371+TIME(23,59,59)))</f>
        <v/>
      </c>
      <c r="G3371" s="3">
        <f>IFERROR(__xludf.DUMMYFUNCTION("IF(F3371&lt;=0,0,IFERROR(ROUNDUP(F3371/INDEX(FILTER('warehouse config'!$D:$D,('warehouse config'!$B:$B=C3371)*('warehouse config'!$C:$C=D3371)*('warehouse config'!$G:$G&lt;=B3371)*(('warehouse config'!$H:$H&gt;=B3371)+ISBLANK('warehouse config'!$H:$H))),1)),0))"),0.0)</f>
        <v>0</v>
      </c>
      <c r="H3371" s="3">
        <f>IFERROR(__xludf.DUMMYFUNCTION("IFERROR(INDEX(FILTER('cost master'!$E:$E,('cost master'!$B:$B=C3371)*('cost master'!$D:$D=""Storage cost per pallet / week"")*('cost master'!$G:$G&lt;=B3371)*(('cost master'!$H:$H&gt;=B3371)+ISBLANK('cost master'!$H:$H))),1),0)"),0.0)</f>
        <v>0</v>
      </c>
      <c r="I3371" s="3">
        <f t="shared" si="4"/>
        <v>0</v>
      </c>
      <c r="J3371" s="27">
        <f t="shared" si="5"/>
        <v>693947</v>
      </c>
      <c r="K3371" s="27">
        <f t="shared" si="6"/>
        <v>693977</v>
      </c>
    </row>
    <row r="3372" hidden="1">
      <c r="A3372" s="3" t="str">
        <f t="shared" si="3"/>
        <v/>
      </c>
      <c r="B3372" s="2" t="str">
        <f t="array" ref="B3372">INDEX(helper!$A$3:$A3996,ROUNDUP((ROW()-1)/COUNTA(helper!$D$3:$D3996),0))</f>
        <v/>
      </c>
      <c r="C3372" s="5" t="str">
        <f t="array" ref="C3372">IF(B3372="","",INDEX(helper!$D$3:$D3996,MOD(ROW()-2,COUNTA(helper!$D$3:$D3996))+1))</f>
        <v/>
      </c>
      <c r="D3372" s="3" t="str">
        <f t="array" ref="D3372">IF(B3372="","",INDEX(helper!$E$3:$E3996,MOD(ROW()-2,COUNTA(helper!$D$3:$D3996))+1))</f>
        <v/>
      </c>
      <c r="E3372" s="3" t="str">
        <f t="array" ref="E3372">IF(B3372="","",INDEX(helper!$F$3:$F3996,MOD(ROW()-2,COUNTA(helper!$D$3:$D3996))+1))</f>
        <v/>
      </c>
      <c r="F3372" s="3" t="str">
        <f>IF(B3372="","",SUMIFS('inventory ledger'!$H:$H,'inventory ledger'!$C:$C,C3372,'inventory ledger'!$D:$D,D3372,'inventory ledger'!$E:$E,E3372,'inventory ledger'!$A:$A,"&lt;="&amp;B3372+TIME(23,59,59))-SUMIFS('inventory ledger'!$I:$I,'inventory ledger'!$C:$C,C3372,'inventory ledger'!$D:$D,D3372,'inventory ledger'!$E:$E,E3372,'inventory ledger'!$A:$A,"&lt;="&amp;B3372+TIME(23,59,59)))</f>
        <v/>
      </c>
      <c r="G3372" s="3">
        <f>IFERROR(__xludf.DUMMYFUNCTION("IF(F3372&lt;=0,0,IFERROR(ROUNDUP(F3372/INDEX(FILTER('warehouse config'!$D:$D,('warehouse config'!$B:$B=C3372)*('warehouse config'!$C:$C=D3372)*('warehouse config'!$G:$G&lt;=B3372)*(('warehouse config'!$H:$H&gt;=B3372)+ISBLANK('warehouse config'!$H:$H))),1)),0))"),0.0)</f>
        <v>0</v>
      </c>
      <c r="H3372" s="3">
        <f>IFERROR(__xludf.DUMMYFUNCTION("IFERROR(INDEX(FILTER('cost master'!$E:$E,('cost master'!$B:$B=C3372)*('cost master'!$D:$D=""Storage cost per pallet / week"")*('cost master'!$G:$G&lt;=B3372)*(('cost master'!$H:$H&gt;=B3372)+ISBLANK('cost master'!$H:$H))),1),0)"),0.0)</f>
        <v>0</v>
      </c>
      <c r="I3372" s="3">
        <f t="shared" si="4"/>
        <v>0</v>
      </c>
      <c r="J3372" s="27">
        <f t="shared" si="5"/>
        <v>693947</v>
      </c>
      <c r="K3372" s="27">
        <f t="shared" si="6"/>
        <v>693977</v>
      </c>
    </row>
    <row r="3373" hidden="1">
      <c r="A3373" s="3" t="str">
        <f t="shared" si="3"/>
        <v/>
      </c>
      <c r="B3373" s="2" t="str">
        <f t="array" ref="B3373">INDEX(helper!$A$3:$A3996,ROUNDUP((ROW()-1)/COUNTA(helper!$D$3:$D3996),0))</f>
        <v/>
      </c>
      <c r="C3373" s="5" t="str">
        <f t="array" ref="C3373">IF(B3373="","",INDEX(helper!$D$3:$D3996,MOD(ROW()-2,COUNTA(helper!$D$3:$D3996))+1))</f>
        <v/>
      </c>
      <c r="D3373" s="3" t="str">
        <f t="array" ref="D3373">IF(B3373="","",INDEX(helper!$E$3:$E3996,MOD(ROW()-2,COUNTA(helper!$D$3:$D3996))+1))</f>
        <v/>
      </c>
      <c r="E3373" s="3" t="str">
        <f t="array" ref="E3373">IF(B3373="","",INDEX(helper!$F$3:$F3996,MOD(ROW()-2,COUNTA(helper!$D$3:$D3996))+1))</f>
        <v/>
      </c>
      <c r="F3373" s="3" t="str">
        <f>IF(B3373="","",SUMIFS('inventory ledger'!$H:$H,'inventory ledger'!$C:$C,C3373,'inventory ledger'!$D:$D,D3373,'inventory ledger'!$E:$E,E3373,'inventory ledger'!$A:$A,"&lt;="&amp;B3373+TIME(23,59,59))-SUMIFS('inventory ledger'!$I:$I,'inventory ledger'!$C:$C,C3373,'inventory ledger'!$D:$D,D3373,'inventory ledger'!$E:$E,E3373,'inventory ledger'!$A:$A,"&lt;="&amp;B3373+TIME(23,59,59)))</f>
        <v/>
      </c>
      <c r="G3373" s="3">
        <f>IFERROR(__xludf.DUMMYFUNCTION("IF(F3373&lt;=0,0,IFERROR(ROUNDUP(F3373/INDEX(FILTER('warehouse config'!$D:$D,('warehouse config'!$B:$B=C3373)*('warehouse config'!$C:$C=D3373)*('warehouse config'!$G:$G&lt;=B3373)*(('warehouse config'!$H:$H&gt;=B3373)+ISBLANK('warehouse config'!$H:$H))),1)),0))"),0.0)</f>
        <v>0</v>
      </c>
      <c r="H3373" s="3">
        <f>IFERROR(__xludf.DUMMYFUNCTION("IFERROR(INDEX(FILTER('cost master'!$E:$E,('cost master'!$B:$B=C3373)*('cost master'!$D:$D=""Storage cost per pallet / week"")*('cost master'!$G:$G&lt;=B3373)*(('cost master'!$H:$H&gt;=B3373)+ISBLANK('cost master'!$H:$H))),1),0)"),0.0)</f>
        <v>0</v>
      </c>
      <c r="I3373" s="3">
        <f t="shared" si="4"/>
        <v>0</v>
      </c>
      <c r="J3373" s="27">
        <f t="shared" si="5"/>
        <v>693947</v>
      </c>
      <c r="K3373" s="27">
        <f t="shared" si="6"/>
        <v>693977</v>
      </c>
    </row>
    <row r="3374" hidden="1">
      <c r="A3374" s="3" t="str">
        <f t="shared" si="3"/>
        <v/>
      </c>
      <c r="B3374" s="2" t="str">
        <f t="array" ref="B3374">INDEX(helper!$A$3:$A3996,ROUNDUP((ROW()-1)/COUNTA(helper!$D$3:$D3996),0))</f>
        <v/>
      </c>
      <c r="C3374" s="5" t="str">
        <f t="array" ref="C3374">IF(B3374="","",INDEX(helper!$D$3:$D3996,MOD(ROW()-2,COUNTA(helper!$D$3:$D3996))+1))</f>
        <v/>
      </c>
      <c r="D3374" s="3" t="str">
        <f t="array" ref="D3374">IF(B3374="","",INDEX(helper!$E$3:$E3996,MOD(ROW()-2,COUNTA(helper!$D$3:$D3996))+1))</f>
        <v/>
      </c>
      <c r="E3374" s="3" t="str">
        <f t="array" ref="E3374">IF(B3374="","",INDEX(helper!$F$3:$F3996,MOD(ROW()-2,COUNTA(helper!$D$3:$D3996))+1))</f>
        <v/>
      </c>
      <c r="F3374" s="3" t="str">
        <f>IF(B3374="","",SUMIFS('inventory ledger'!$H:$H,'inventory ledger'!$C:$C,C3374,'inventory ledger'!$D:$D,D3374,'inventory ledger'!$E:$E,E3374,'inventory ledger'!$A:$A,"&lt;="&amp;B3374+TIME(23,59,59))-SUMIFS('inventory ledger'!$I:$I,'inventory ledger'!$C:$C,C3374,'inventory ledger'!$D:$D,D3374,'inventory ledger'!$E:$E,E3374,'inventory ledger'!$A:$A,"&lt;="&amp;B3374+TIME(23,59,59)))</f>
        <v/>
      </c>
      <c r="G3374" s="3">
        <f>IFERROR(__xludf.DUMMYFUNCTION("IF(F3374&lt;=0,0,IFERROR(ROUNDUP(F3374/INDEX(FILTER('warehouse config'!$D:$D,('warehouse config'!$B:$B=C3374)*('warehouse config'!$C:$C=D3374)*('warehouse config'!$G:$G&lt;=B3374)*(('warehouse config'!$H:$H&gt;=B3374)+ISBLANK('warehouse config'!$H:$H))),1)),0))"),0.0)</f>
        <v>0</v>
      </c>
      <c r="H3374" s="3">
        <f>IFERROR(__xludf.DUMMYFUNCTION("IFERROR(INDEX(FILTER('cost master'!$E:$E,('cost master'!$B:$B=C3374)*('cost master'!$D:$D=""Storage cost per pallet / week"")*('cost master'!$G:$G&lt;=B3374)*(('cost master'!$H:$H&gt;=B3374)+ISBLANK('cost master'!$H:$H))),1),0)"),0.0)</f>
        <v>0</v>
      </c>
      <c r="I3374" s="3">
        <f t="shared" si="4"/>
        <v>0</v>
      </c>
      <c r="J3374" s="27">
        <f t="shared" si="5"/>
        <v>693947</v>
      </c>
      <c r="K3374" s="27">
        <f t="shared" si="6"/>
        <v>693977</v>
      </c>
    </row>
    <row r="3375" hidden="1">
      <c r="A3375" s="3" t="str">
        <f t="shared" si="3"/>
        <v/>
      </c>
      <c r="B3375" s="2" t="str">
        <f t="array" ref="B3375">INDEX(helper!$A$3:$A3996,ROUNDUP((ROW()-1)/COUNTA(helper!$D$3:$D3996),0))</f>
        <v/>
      </c>
      <c r="C3375" s="5" t="str">
        <f t="array" ref="C3375">IF(B3375="","",INDEX(helper!$D$3:$D3996,MOD(ROW()-2,COUNTA(helper!$D$3:$D3996))+1))</f>
        <v/>
      </c>
      <c r="D3375" s="3" t="str">
        <f t="array" ref="D3375">IF(B3375="","",INDEX(helper!$E$3:$E3996,MOD(ROW()-2,COUNTA(helper!$D$3:$D3996))+1))</f>
        <v/>
      </c>
      <c r="E3375" s="3" t="str">
        <f t="array" ref="E3375">IF(B3375="","",INDEX(helper!$F$3:$F3996,MOD(ROW()-2,COUNTA(helper!$D$3:$D3996))+1))</f>
        <v/>
      </c>
      <c r="F3375" s="3" t="str">
        <f>IF(B3375="","",SUMIFS('inventory ledger'!$H:$H,'inventory ledger'!$C:$C,C3375,'inventory ledger'!$D:$D,D3375,'inventory ledger'!$E:$E,E3375,'inventory ledger'!$A:$A,"&lt;="&amp;B3375+TIME(23,59,59))-SUMIFS('inventory ledger'!$I:$I,'inventory ledger'!$C:$C,C3375,'inventory ledger'!$D:$D,D3375,'inventory ledger'!$E:$E,E3375,'inventory ledger'!$A:$A,"&lt;="&amp;B3375+TIME(23,59,59)))</f>
        <v/>
      </c>
      <c r="G3375" s="3">
        <f>IFERROR(__xludf.DUMMYFUNCTION("IF(F3375&lt;=0,0,IFERROR(ROUNDUP(F3375/INDEX(FILTER('warehouse config'!$D:$D,('warehouse config'!$B:$B=C3375)*('warehouse config'!$C:$C=D3375)*('warehouse config'!$G:$G&lt;=B3375)*(('warehouse config'!$H:$H&gt;=B3375)+ISBLANK('warehouse config'!$H:$H))),1)),0))"),0.0)</f>
        <v>0</v>
      </c>
      <c r="H3375" s="3">
        <f>IFERROR(__xludf.DUMMYFUNCTION("IFERROR(INDEX(FILTER('cost master'!$E:$E,('cost master'!$B:$B=C3375)*('cost master'!$D:$D=""Storage cost per pallet / week"")*('cost master'!$G:$G&lt;=B3375)*(('cost master'!$H:$H&gt;=B3375)+ISBLANK('cost master'!$H:$H))),1),0)"),0.0)</f>
        <v>0</v>
      </c>
      <c r="I3375" s="3">
        <f t="shared" si="4"/>
        <v>0</v>
      </c>
      <c r="J3375" s="27">
        <f t="shared" si="5"/>
        <v>693947</v>
      </c>
      <c r="K3375" s="27">
        <f t="shared" si="6"/>
        <v>693977</v>
      </c>
    </row>
    <row r="3376" hidden="1">
      <c r="A3376" s="3" t="str">
        <f t="shared" si="3"/>
        <v/>
      </c>
      <c r="B3376" s="2" t="str">
        <f t="array" ref="B3376">INDEX(helper!$A$3:$A3996,ROUNDUP((ROW()-1)/COUNTA(helper!$D$3:$D3996),0))</f>
        <v/>
      </c>
      <c r="C3376" s="5" t="str">
        <f t="array" ref="C3376">IF(B3376="","",INDEX(helper!$D$3:$D3996,MOD(ROW()-2,COUNTA(helper!$D$3:$D3996))+1))</f>
        <v/>
      </c>
      <c r="D3376" s="3" t="str">
        <f t="array" ref="D3376">IF(B3376="","",INDEX(helper!$E$3:$E3996,MOD(ROW()-2,COUNTA(helper!$D$3:$D3996))+1))</f>
        <v/>
      </c>
      <c r="E3376" s="3" t="str">
        <f t="array" ref="E3376">IF(B3376="","",INDEX(helper!$F$3:$F3996,MOD(ROW()-2,COUNTA(helper!$D$3:$D3996))+1))</f>
        <v/>
      </c>
      <c r="F3376" s="3" t="str">
        <f>IF(B3376="","",SUMIFS('inventory ledger'!$H:$H,'inventory ledger'!$C:$C,C3376,'inventory ledger'!$D:$D,D3376,'inventory ledger'!$E:$E,E3376,'inventory ledger'!$A:$A,"&lt;="&amp;B3376+TIME(23,59,59))-SUMIFS('inventory ledger'!$I:$I,'inventory ledger'!$C:$C,C3376,'inventory ledger'!$D:$D,D3376,'inventory ledger'!$E:$E,E3376,'inventory ledger'!$A:$A,"&lt;="&amp;B3376+TIME(23,59,59)))</f>
        <v/>
      </c>
      <c r="G3376" s="3">
        <f>IFERROR(__xludf.DUMMYFUNCTION("IF(F3376&lt;=0,0,IFERROR(ROUNDUP(F3376/INDEX(FILTER('warehouse config'!$D:$D,('warehouse config'!$B:$B=C3376)*('warehouse config'!$C:$C=D3376)*('warehouse config'!$G:$G&lt;=B3376)*(('warehouse config'!$H:$H&gt;=B3376)+ISBLANK('warehouse config'!$H:$H))),1)),0))"),0.0)</f>
        <v>0</v>
      </c>
      <c r="H3376" s="3">
        <f>IFERROR(__xludf.DUMMYFUNCTION("IFERROR(INDEX(FILTER('cost master'!$E:$E,('cost master'!$B:$B=C3376)*('cost master'!$D:$D=""Storage cost per pallet / week"")*('cost master'!$G:$G&lt;=B3376)*(('cost master'!$H:$H&gt;=B3376)+ISBLANK('cost master'!$H:$H))),1),0)"),0.0)</f>
        <v>0</v>
      </c>
      <c r="I3376" s="3">
        <f t="shared" si="4"/>
        <v>0</v>
      </c>
      <c r="J3376" s="27">
        <f t="shared" si="5"/>
        <v>693947</v>
      </c>
      <c r="K3376" s="27">
        <f t="shared" si="6"/>
        <v>693977</v>
      </c>
    </row>
    <row r="3377" hidden="1">
      <c r="A3377" s="3" t="str">
        <f t="shared" si="3"/>
        <v/>
      </c>
      <c r="B3377" s="2" t="str">
        <f t="array" ref="B3377">INDEX(helper!$A$3:$A3996,ROUNDUP((ROW()-1)/COUNTA(helper!$D$3:$D3996),0))</f>
        <v/>
      </c>
      <c r="C3377" s="5" t="str">
        <f t="array" ref="C3377">IF(B3377="","",INDEX(helper!$D$3:$D3996,MOD(ROW()-2,COUNTA(helper!$D$3:$D3996))+1))</f>
        <v/>
      </c>
      <c r="D3377" s="3" t="str">
        <f t="array" ref="D3377">IF(B3377="","",INDEX(helper!$E$3:$E3996,MOD(ROW()-2,COUNTA(helper!$D$3:$D3996))+1))</f>
        <v/>
      </c>
      <c r="E3377" s="3" t="str">
        <f t="array" ref="E3377">IF(B3377="","",INDEX(helper!$F$3:$F3996,MOD(ROW()-2,COUNTA(helper!$D$3:$D3996))+1))</f>
        <v/>
      </c>
      <c r="F3377" s="3" t="str">
        <f>IF(B3377="","",SUMIFS('inventory ledger'!$H:$H,'inventory ledger'!$C:$C,C3377,'inventory ledger'!$D:$D,D3377,'inventory ledger'!$E:$E,E3377,'inventory ledger'!$A:$A,"&lt;="&amp;B3377+TIME(23,59,59))-SUMIFS('inventory ledger'!$I:$I,'inventory ledger'!$C:$C,C3377,'inventory ledger'!$D:$D,D3377,'inventory ledger'!$E:$E,E3377,'inventory ledger'!$A:$A,"&lt;="&amp;B3377+TIME(23,59,59)))</f>
        <v/>
      </c>
      <c r="G3377" s="3">
        <f>IFERROR(__xludf.DUMMYFUNCTION("IF(F3377&lt;=0,0,IFERROR(ROUNDUP(F3377/INDEX(FILTER('warehouse config'!$D:$D,('warehouse config'!$B:$B=C3377)*('warehouse config'!$C:$C=D3377)*('warehouse config'!$G:$G&lt;=B3377)*(('warehouse config'!$H:$H&gt;=B3377)+ISBLANK('warehouse config'!$H:$H))),1)),0))"),0.0)</f>
        <v>0</v>
      </c>
      <c r="H3377" s="3">
        <f>IFERROR(__xludf.DUMMYFUNCTION("IFERROR(INDEX(FILTER('cost master'!$E:$E,('cost master'!$B:$B=C3377)*('cost master'!$D:$D=""Storage cost per pallet / week"")*('cost master'!$G:$G&lt;=B3377)*(('cost master'!$H:$H&gt;=B3377)+ISBLANK('cost master'!$H:$H))),1),0)"),0.0)</f>
        <v>0</v>
      </c>
      <c r="I3377" s="3">
        <f t="shared" si="4"/>
        <v>0</v>
      </c>
      <c r="J3377" s="27">
        <f t="shared" si="5"/>
        <v>693947</v>
      </c>
      <c r="K3377" s="27">
        <f t="shared" si="6"/>
        <v>693977</v>
      </c>
    </row>
    <row r="3378" hidden="1">
      <c r="A3378" s="3" t="str">
        <f t="shared" si="3"/>
        <v/>
      </c>
      <c r="B3378" s="2" t="str">
        <f t="array" ref="B3378">INDEX(helper!$A$3:$A3996,ROUNDUP((ROW()-1)/COUNTA(helper!$D$3:$D3996),0))</f>
        <v/>
      </c>
      <c r="C3378" s="5" t="str">
        <f t="array" ref="C3378">IF(B3378="","",INDEX(helper!$D$3:$D3996,MOD(ROW()-2,COUNTA(helper!$D$3:$D3996))+1))</f>
        <v/>
      </c>
      <c r="D3378" s="3" t="str">
        <f t="array" ref="D3378">IF(B3378="","",INDEX(helper!$E$3:$E3996,MOD(ROW()-2,COUNTA(helper!$D$3:$D3996))+1))</f>
        <v/>
      </c>
      <c r="E3378" s="3" t="str">
        <f t="array" ref="E3378">IF(B3378="","",INDEX(helper!$F$3:$F3996,MOD(ROW()-2,COUNTA(helper!$D$3:$D3996))+1))</f>
        <v/>
      </c>
      <c r="F3378" s="3" t="str">
        <f>IF(B3378="","",SUMIFS('inventory ledger'!$H:$H,'inventory ledger'!$C:$C,C3378,'inventory ledger'!$D:$D,D3378,'inventory ledger'!$E:$E,E3378,'inventory ledger'!$A:$A,"&lt;="&amp;B3378+TIME(23,59,59))-SUMIFS('inventory ledger'!$I:$I,'inventory ledger'!$C:$C,C3378,'inventory ledger'!$D:$D,D3378,'inventory ledger'!$E:$E,E3378,'inventory ledger'!$A:$A,"&lt;="&amp;B3378+TIME(23,59,59)))</f>
        <v/>
      </c>
      <c r="G3378" s="3">
        <f>IFERROR(__xludf.DUMMYFUNCTION("IF(F3378&lt;=0,0,IFERROR(ROUNDUP(F3378/INDEX(FILTER('warehouse config'!$D:$D,('warehouse config'!$B:$B=C3378)*('warehouse config'!$C:$C=D3378)*('warehouse config'!$G:$G&lt;=B3378)*(('warehouse config'!$H:$H&gt;=B3378)+ISBLANK('warehouse config'!$H:$H))),1)),0))"),0.0)</f>
        <v>0</v>
      </c>
      <c r="H3378" s="3">
        <f>IFERROR(__xludf.DUMMYFUNCTION("IFERROR(INDEX(FILTER('cost master'!$E:$E,('cost master'!$B:$B=C3378)*('cost master'!$D:$D=""Storage cost per pallet / week"")*('cost master'!$G:$G&lt;=B3378)*(('cost master'!$H:$H&gt;=B3378)+ISBLANK('cost master'!$H:$H))),1),0)"),0.0)</f>
        <v>0</v>
      </c>
      <c r="I3378" s="3">
        <f t="shared" si="4"/>
        <v>0</v>
      </c>
      <c r="J3378" s="27">
        <f t="shared" si="5"/>
        <v>693947</v>
      </c>
      <c r="K3378" s="27">
        <f t="shared" si="6"/>
        <v>693977</v>
      </c>
    </row>
    <row r="3379" hidden="1">
      <c r="A3379" s="3" t="str">
        <f t="shared" si="3"/>
        <v/>
      </c>
      <c r="B3379" s="2" t="str">
        <f t="array" ref="B3379">INDEX(helper!$A$3:$A3996,ROUNDUP((ROW()-1)/COUNTA(helper!$D$3:$D3996),0))</f>
        <v/>
      </c>
      <c r="C3379" s="5" t="str">
        <f t="array" ref="C3379">IF(B3379="","",INDEX(helper!$D$3:$D3996,MOD(ROW()-2,COUNTA(helper!$D$3:$D3996))+1))</f>
        <v/>
      </c>
      <c r="D3379" s="3" t="str">
        <f t="array" ref="D3379">IF(B3379="","",INDEX(helper!$E$3:$E3996,MOD(ROW()-2,COUNTA(helper!$D$3:$D3996))+1))</f>
        <v/>
      </c>
      <c r="E3379" s="3" t="str">
        <f t="array" ref="E3379">IF(B3379="","",INDEX(helper!$F$3:$F3996,MOD(ROW()-2,COUNTA(helper!$D$3:$D3996))+1))</f>
        <v/>
      </c>
      <c r="F3379" s="3" t="str">
        <f>IF(B3379="","",SUMIFS('inventory ledger'!$H:$H,'inventory ledger'!$C:$C,C3379,'inventory ledger'!$D:$D,D3379,'inventory ledger'!$E:$E,E3379,'inventory ledger'!$A:$A,"&lt;="&amp;B3379+TIME(23,59,59))-SUMIFS('inventory ledger'!$I:$I,'inventory ledger'!$C:$C,C3379,'inventory ledger'!$D:$D,D3379,'inventory ledger'!$E:$E,E3379,'inventory ledger'!$A:$A,"&lt;="&amp;B3379+TIME(23,59,59)))</f>
        <v/>
      </c>
      <c r="G3379" s="3">
        <f>IFERROR(__xludf.DUMMYFUNCTION("IF(F3379&lt;=0,0,IFERROR(ROUNDUP(F3379/INDEX(FILTER('warehouse config'!$D:$D,('warehouse config'!$B:$B=C3379)*('warehouse config'!$C:$C=D3379)*('warehouse config'!$G:$G&lt;=B3379)*(('warehouse config'!$H:$H&gt;=B3379)+ISBLANK('warehouse config'!$H:$H))),1)),0))"),0.0)</f>
        <v>0</v>
      </c>
      <c r="H3379" s="3">
        <f>IFERROR(__xludf.DUMMYFUNCTION("IFERROR(INDEX(FILTER('cost master'!$E:$E,('cost master'!$B:$B=C3379)*('cost master'!$D:$D=""Storage cost per pallet / week"")*('cost master'!$G:$G&lt;=B3379)*(('cost master'!$H:$H&gt;=B3379)+ISBLANK('cost master'!$H:$H))),1),0)"),0.0)</f>
        <v>0</v>
      </c>
      <c r="I3379" s="3">
        <f t="shared" si="4"/>
        <v>0</v>
      </c>
      <c r="J3379" s="27">
        <f t="shared" si="5"/>
        <v>693947</v>
      </c>
      <c r="K3379" s="27">
        <f t="shared" si="6"/>
        <v>693977</v>
      </c>
    </row>
    <row r="3380" hidden="1">
      <c r="A3380" s="3" t="str">
        <f t="shared" si="3"/>
        <v/>
      </c>
      <c r="B3380" s="2" t="str">
        <f t="array" ref="B3380">INDEX(helper!$A$3:$A3996,ROUNDUP((ROW()-1)/COUNTA(helper!$D$3:$D3996),0))</f>
        <v/>
      </c>
      <c r="C3380" s="5" t="str">
        <f t="array" ref="C3380">IF(B3380="","",INDEX(helper!$D$3:$D3996,MOD(ROW()-2,COUNTA(helper!$D$3:$D3996))+1))</f>
        <v/>
      </c>
      <c r="D3380" s="3" t="str">
        <f t="array" ref="D3380">IF(B3380="","",INDEX(helper!$E$3:$E3996,MOD(ROW()-2,COUNTA(helper!$D$3:$D3996))+1))</f>
        <v/>
      </c>
      <c r="E3380" s="3" t="str">
        <f t="array" ref="E3380">IF(B3380="","",INDEX(helper!$F$3:$F3996,MOD(ROW()-2,COUNTA(helper!$D$3:$D3996))+1))</f>
        <v/>
      </c>
      <c r="F3380" s="3" t="str">
        <f>IF(B3380="","",SUMIFS('inventory ledger'!$H:$H,'inventory ledger'!$C:$C,C3380,'inventory ledger'!$D:$D,D3380,'inventory ledger'!$E:$E,E3380,'inventory ledger'!$A:$A,"&lt;="&amp;B3380+TIME(23,59,59))-SUMIFS('inventory ledger'!$I:$I,'inventory ledger'!$C:$C,C3380,'inventory ledger'!$D:$D,D3380,'inventory ledger'!$E:$E,E3380,'inventory ledger'!$A:$A,"&lt;="&amp;B3380+TIME(23,59,59)))</f>
        <v/>
      </c>
      <c r="G3380" s="3">
        <f>IFERROR(__xludf.DUMMYFUNCTION("IF(F3380&lt;=0,0,IFERROR(ROUNDUP(F3380/INDEX(FILTER('warehouse config'!$D:$D,('warehouse config'!$B:$B=C3380)*('warehouse config'!$C:$C=D3380)*('warehouse config'!$G:$G&lt;=B3380)*(('warehouse config'!$H:$H&gt;=B3380)+ISBLANK('warehouse config'!$H:$H))),1)),0))"),0.0)</f>
        <v>0</v>
      </c>
      <c r="H3380" s="3">
        <f>IFERROR(__xludf.DUMMYFUNCTION("IFERROR(INDEX(FILTER('cost master'!$E:$E,('cost master'!$B:$B=C3380)*('cost master'!$D:$D=""Storage cost per pallet / week"")*('cost master'!$G:$G&lt;=B3380)*(('cost master'!$H:$H&gt;=B3380)+ISBLANK('cost master'!$H:$H))),1),0)"),0.0)</f>
        <v>0</v>
      </c>
      <c r="I3380" s="3">
        <f t="shared" si="4"/>
        <v>0</v>
      </c>
      <c r="J3380" s="27">
        <f t="shared" si="5"/>
        <v>693947</v>
      </c>
      <c r="K3380" s="27">
        <f t="shared" si="6"/>
        <v>693977</v>
      </c>
    </row>
    <row r="3381" hidden="1">
      <c r="A3381" s="3" t="str">
        <f t="shared" si="3"/>
        <v/>
      </c>
      <c r="B3381" s="2" t="str">
        <f t="array" ref="B3381">INDEX(helper!$A$3:$A3996,ROUNDUP((ROW()-1)/COUNTA(helper!$D$3:$D3996),0))</f>
        <v/>
      </c>
      <c r="C3381" s="5" t="str">
        <f t="array" ref="C3381">IF(B3381="","",INDEX(helper!$D$3:$D3996,MOD(ROW()-2,COUNTA(helper!$D$3:$D3996))+1))</f>
        <v/>
      </c>
      <c r="D3381" s="3" t="str">
        <f t="array" ref="D3381">IF(B3381="","",INDEX(helper!$E$3:$E3996,MOD(ROW()-2,COUNTA(helper!$D$3:$D3996))+1))</f>
        <v/>
      </c>
      <c r="E3381" s="3" t="str">
        <f t="array" ref="E3381">IF(B3381="","",INDEX(helper!$F$3:$F3996,MOD(ROW()-2,COUNTA(helper!$D$3:$D3996))+1))</f>
        <v/>
      </c>
      <c r="F3381" s="3" t="str">
        <f>IF(B3381="","",SUMIFS('inventory ledger'!$H:$H,'inventory ledger'!$C:$C,C3381,'inventory ledger'!$D:$D,D3381,'inventory ledger'!$E:$E,E3381,'inventory ledger'!$A:$A,"&lt;="&amp;B3381+TIME(23,59,59))-SUMIFS('inventory ledger'!$I:$I,'inventory ledger'!$C:$C,C3381,'inventory ledger'!$D:$D,D3381,'inventory ledger'!$E:$E,E3381,'inventory ledger'!$A:$A,"&lt;="&amp;B3381+TIME(23,59,59)))</f>
        <v/>
      </c>
      <c r="G3381" s="3">
        <f>IFERROR(__xludf.DUMMYFUNCTION("IF(F3381&lt;=0,0,IFERROR(ROUNDUP(F3381/INDEX(FILTER('warehouse config'!$D:$D,('warehouse config'!$B:$B=C3381)*('warehouse config'!$C:$C=D3381)*('warehouse config'!$G:$G&lt;=B3381)*(('warehouse config'!$H:$H&gt;=B3381)+ISBLANK('warehouse config'!$H:$H))),1)),0))"),0.0)</f>
        <v>0</v>
      </c>
      <c r="H3381" s="3">
        <f>IFERROR(__xludf.DUMMYFUNCTION("IFERROR(INDEX(FILTER('cost master'!$E:$E,('cost master'!$B:$B=C3381)*('cost master'!$D:$D=""Storage cost per pallet / week"")*('cost master'!$G:$G&lt;=B3381)*(('cost master'!$H:$H&gt;=B3381)+ISBLANK('cost master'!$H:$H))),1),0)"),0.0)</f>
        <v>0</v>
      </c>
      <c r="I3381" s="3">
        <f t="shared" si="4"/>
        <v>0</v>
      </c>
      <c r="J3381" s="27">
        <f t="shared" si="5"/>
        <v>693947</v>
      </c>
      <c r="K3381" s="27">
        <f t="shared" si="6"/>
        <v>693977</v>
      </c>
    </row>
    <row r="3382" hidden="1">
      <c r="A3382" s="3" t="str">
        <f t="shared" si="3"/>
        <v/>
      </c>
      <c r="B3382" s="2" t="str">
        <f t="array" ref="B3382">INDEX(helper!$A$3:$A3996,ROUNDUP((ROW()-1)/COUNTA(helper!$D$3:$D3996),0))</f>
        <v/>
      </c>
      <c r="C3382" s="5" t="str">
        <f t="array" ref="C3382">IF(B3382="","",INDEX(helper!$D$3:$D3996,MOD(ROW()-2,COUNTA(helper!$D$3:$D3996))+1))</f>
        <v/>
      </c>
      <c r="D3382" s="3" t="str">
        <f t="array" ref="D3382">IF(B3382="","",INDEX(helper!$E$3:$E3996,MOD(ROW()-2,COUNTA(helper!$D$3:$D3996))+1))</f>
        <v/>
      </c>
      <c r="E3382" s="3" t="str">
        <f t="array" ref="E3382">IF(B3382="","",INDEX(helper!$F$3:$F3996,MOD(ROW()-2,COUNTA(helper!$D$3:$D3996))+1))</f>
        <v/>
      </c>
      <c r="F3382" s="3" t="str">
        <f>IF(B3382="","",SUMIFS('inventory ledger'!$H:$H,'inventory ledger'!$C:$C,C3382,'inventory ledger'!$D:$D,D3382,'inventory ledger'!$E:$E,E3382,'inventory ledger'!$A:$A,"&lt;="&amp;B3382+TIME(23,59,59))-SUMIFS('inventory ledger'!$I:$I,'inventory ledger'!$C:$C,C3382,'inventory ledger'!$D:$D,D3382,'inventory ledger'!$E:$E,E3382,'inventory ledger'!$A:$A,"&lt;="&amp;B3382+TIME(23,59,59)))</f>
        <v/>
      </c>
      <c r="G3382" s="3">
        <f>IFERROR(__xludf.DUMMYFUNCTION("IF(F3382&lt;=0,0,IFERROR(ROUNDUP(F3382/INDEX(FILTER('warehouse config'!$D:$D,('warehouse config'!$B:$B=C3382)*('warehouse config'!$C:$C=D3382)*('warehouse config'!$G:$G&lt;=B3382)*(('warehouse config'!$H:$H&gt;=B3382)+ISBLANK('warehouse config'!$H:$H))),1)),0))"),0.0)</f>
        <v>0</v>
      </c>
      <c r="H3382" s="3">
        <f>IFERROR(__xludf.DUMMYFUNCTION("IFERROR(INDEX(FILTER('cost master'!$E:$E,('cost master'!$B:$B=C3382)*('cost master'!$D:$D=""Storage cost per pallet / week"")*('cost master'!$G:$G&lt;=B3382)*(('cost master'!$H:$H&gt;=B3382)+ISBLANK('cost master'!$H:$H))),1),0)"),0.0)</f>
        <v>0</v>
      </c>
      <c r="I3382" s="3">
        <f t="shared" si="4"/>
        <v>0</v>
      </c>
      <c r="J3382" s="27">
        <f t="shared" si="5"/>
        <v>693947</v>
      </c>
      <c r="K3382" s="27">
        <f t="shared" si="6"/>
        <v>693977</v>
      </c>
    </row>
    <row r="3383" hidden="1">
      <c r="A3383" s="3" t="str">
        <f t="shared" si="3"/>
        <v/>
      </c>
      <c r="B3383" s="2" t="str">
        <f t="array" ref="B3383">INDEX(helper!$A$3:$A3996,ROUNDUP((ROW()-1)/COUNTA(helper!$D$3:$D3996),0))</f>
        <v/>
      </c>
      <c r="C3383" s="5" t="str">
        <f t="array" ref="C3383">IF(B3383="","",INDEX(helper!$D$3:$D3996,MOD(ROW()-2,COUNTA(helper!$D$3:$D3996))+1))</f>
        <v/>
      </c>
      <c r="D3383" s="3" t="str">
        <f t="array" ref="D3383">IF(B3383="","",INDEX(helper!$E$3:$E3996,MOD(ROW()-2,COUNTA(helper!$D$3:$D3996))+1))</f>
        <v/>
      </c>
      <c r="E3383" s="3" t="str">
        <f t="array" ref="E3383">IF(B3383="","",INDEX(helper!$F$3:$F3996,MOD(ROW()-2,COUNTA(helper!$D$3:$D3996))+1))</f>
        <v/>
      </c>
      <c r="F3383" s="3" t="str">
        <f>IF(B3383="","",SUMIFS('inventory ledger'!$H:$H,'inventory ledger'!$C:$C,C3383,'inventory ledger'!$D:$D,D3383,'inventory ledger'!$E:$E,E3383,'inventory ledger'!$A:$A,"&lt;="&amp;B3383+TIME(23,59,59))-SUMIFS('inventory ledger'!$I:$I,'inventory ledger'!$C:$C,C3383,'inventory ledger'!$D:$D,D3383,'inventory ledger'!$E:$E,E3383,'inventory ledger'!$A:$A,"&lt;="&amp;B3383+TIME(23,59,59)))</f>
        <v/>
      </c>
      <c r="G3383" s="3">
        <f>IFERROR(__xludf.DUMMYFUNCTION("IF(F3383&lt;=0,0,IFERROR(ROUNDUP(F3383/INDEX(FILTER('warehouse config'!$D:$D,('warehouse config'!$B:$B=C3383)*('warehouse config'!$C:$C=D3383)*('warehouse config'!$G:$G&lt;=B3383)*(('warehouse config'!$H:$H&gt;=B3383)+ISBLANK('warehouse config'!$H:$H))),1)),0))"),0.0)</f>
        <v>0</v>
      </c>
      <c r="H3383" s="3">
        <f>IFERROR(__xludf.DUMMYFUNCTION("IFERROR(INDEX(FILTER('cost master'!$E:$E,('cost master'!$B:$B=C3383)*('cost master'!$D:$D=""Storage cost per pallet / week"")*('cost master'!$G:$G&lt;=B3383)*(('cost master'!$H:$H&gt;=B3383)+ISBLANK('cost master'!$H:$H))),1),0)"),0.0)</f>
        <v>0</v>
      </c>
      <c r="I3383" s="3">
        <f t="shared" si="4"/>
        <v>0</v>
      </c>
      <c r="J3383" s="27">
        <f t="shared" si="5"/>
        <v>693947</v>
      </c>
      <c r="K3383" s="27">
        <f t="shared" si="6"/>
        <v>693977</v>
      </c>
    </row>
    <row r="3384" hidden="1">
      <c r="A3384" s="3" t="str">
        <f t="shared" si="3"/>
        <v/>
      </c>
      <c r="B3384" s="2" t="str">
        <f t="array" ref="B3384">INDEX(helper!$A$3:$A3996,ROUNDUP((ROW()-1)/COUNTA(helper!$D$3:$D3996),0))</f>
        <v/>
      </c>
      <c r="C3384" s="5" t="str">
        <f t="array" ref="C3384">IF(B3384="","",INDEX(helper!$D$3:$D3996,MOD(ROW()-2,COUNTA(helper!$D$3:$D3996))+1))</f>
        <v/>
      </c>
      <c r="D3384" s="3" t="str">
        <f t="array" ref="D3384">IF(B3384="","",INDEX(helper!$E$3:$E3996,MOD(ROW()-2,COUNTA(helper!$D$3:$D3996))+1))</f>
        <v/>
      </c>
      <c r="E3384" s="3" t="str">
        <f t="array" ref="E3384">IF(B3384="","",INDEX(helper!$F$3:$F3996,MOD(ROW()-2,COUNTA(helper!$D$3:$D3996))+1))</f>
        <v/>
      </c>
      <c r="F3384" s="3" t="str">
        <f>IF(B3384="","",SUMIFS('inventory ledger'!$H:$H,'inventory ledger'!$C:$C,C3384,'inventory ledger'!$D:$D,D3384,'inventory ledger'!$E:$E,E3384,'inventory ledger'!$A:$A,"&lt;="&amp;B3384+TIME(23,59,59))-SUMIFS('inventory ledger'!$I:$I,'inventory ledger'!$C:$C,C3384,'inventory ledger'!$D:$D,D3384,'inventory ledger'!$E:$E,E3384,'inventory ledger'!$A:$A,"&lt;="&amp;B3384+TIME(23,59,59)))</f>
        <v/>
      </c>
      <c r="G3384" s="3">
        <f>IFERROR(__xludf.DUMMYFUNCTION("IF(F3384&lt;=0,0,IFERROR(ROUNDUP(F3384/INDEX(FILTER('warehouse config'!$D:$D,('warehouse config'!$B:$B=C3384)*('warehouse config'!$C:$C=D3384)*('warehouse config'!$G:$G&lt;=B3384)*(('warehouse config'!$H:$H&gt;=B3384)+ISBLANK('warehouse config'!$H:$H))),1)),0))"),0.0)</f>
        <v>0</v>
      </c>
      <c r="H3384" s="3">
        <f>IFERROR(__xludf.DUMMYFUNCTION("IFERROR(INDEX(FILTER('cost master'!$E:$E,('cost master'!$B:$B=C3384)*('cost master'!$D:$D=""Storage cost per pallet / week"")*('cost master'!$G:$G&lt;=B3384)*(('cost master'!$H:$H&gt;=B3384)+ISBLANK('cost master'!$H:$H))),1),0)"),0.0)</f>
        <v>0</v>
      </c>
      <c r="I3384" s="3">
        <f t="shared" si="4"/>
        <v>0</v>
      </c>
      <c r="J3384" s="27">
        <f t="shared" si="5"/>
        <v>693947</v>
      </c>
      <c r="K3384" s="27">
        <f t="shared" si="6"/>
        <v>693977</v>
      </c>
    </row>
    <row r="3385" hidden="1">
      <c r="A3385" s="3" t="str">
        <f t="shared" si="3"/>
        <v/>
      </c>
      <c r="B3385" s="2" t="str">
        <f t="array" ref="B3385">INDEX(helper!$A$3:$A3996,ROUNDUP((ROW()-1)/COUNTA(helper!$D$3:$D3996),0))</f>
        <v/>
      </c>
      <c r="C3385" s="5" t="str">
        <f t="array" ref="C3385">IF(B3385="","",INDEX(helper!$D$3:$D3996,MOD(ROW()-2,COUNTA(helper!$D$3:$D3996))+1))</f>
        <v/>
      </c>
      <c r="D3385" s="3" t="str">
        <f t="array" ref="D3385">IF(B3385="","",INDEX(helper!$E$3:$E3996,MOD(ROW()-2,COUNTA(helper!$D$3:$D3996))+1))</f>
        <v/>
      </c>
      <c r="E3385" s="3" t="str">
        <f t="array" ref="E3385">IF(B3385="","",INDEX(helper!$F$3:$F3996,MOD(ROW()-2,COUNTA(helper!$D$3:$D3996))+1))</f>
        <v/>
      </c>
      <c r="F3385" s="3" t="str">
        <f>IF(B3385="","",SUMIFS('inventory ledger'!$H:$H,'inventory ledger'!$C:$C,C3385,'inventory ledger'!$D:$D,D3385,'inventory ledger'!$E:$E,E3385,'inventory ledger'!$A:$A,"&lt;="&amp;B3385+TIME(23,59,59))-SUMIFS('inventory ledger'!$I:$I,'inventory ledger'!$C:$C,C3385,'inventory ledger'!$D:$D,D3385,'inventory ledger'!$E:$E,E3385,'inventory ledger'!$A:$A,"&lt;="&amp;B3385+TIME(23,59,59)))</f>
        <v/>
      </c>
      <c r="G3385" s="3">
        <f>IFERROR(__xludf.DUMMYFUNCTION("IF(F3385&lt;=0,0,IFERROR(ROUNDUP(F3385/INDEX(FILTER('warehouse config'!$D:$D,('warehouse config'!$B:$B=C3385)*('warehouse config'!$C:$C=D3385)*('warehouse config'!$G:$G&lt;=B3385)*(('warehouse config'!$H:$H&gt;=B3385)+ISBLANK('warehouse config'!$H:$H))),1)),0))"),0.0)</f>
        <v>0</v>
      </c>
      <c r="H3385" s="3">
        <f>IFERROR(__xludf.DUMMYFUNCTION("IFERROR(INDEX(FILTER('cost master'!$E:$E,('cost master'!$B:$B=C3385)*('cost master'!$D:$D=""Storage cost per pallet / week"")*('cost master'!$G:$G&lt;=B3385)*(('cost master'!$H:$H&gt;=B3385)+ISBLANK('cost master'!$H:$H))),1),0)"),0.0)</f>
        <v>0</v>
      </c>
      <c r="I3385" s="3">
        <f t="shared" si="4"/>
        <v>0</v>
      </c>
      <c r="J3385" s="27">
        <f t="shared" si="5"/>
        <v>693947</v>
      </c>
      <c r="K3385" s="27">
        <f t="shared" si="6"/>
        <v>693977</v>
      </c>
    </row>
    <row r="3386" hidden="1">
      <c r="A3386" s="3" t="str">
        <f t="shared" si="3"/>
        <v/>
      </c>
      <c r="B3386" s="2" t="str">
        <f t="array" ref="B3386">INDEX(helper!$A$3:$A3996,ROUNDUP((ROW()-1)/COUNTA(helper!$D$3:$D3996),0))</f>
        <v/>
      </c>
      <c r="C3386" s="5" t="str">
        <f t="array" ref="C3386">IF(B3386="","",INDEX(helper!$D$3:$D3996,MOD(ROW()-2,COUNTA(helper!$D$3:$D3996))+1))</f>
        <v/>
      </c>
      <c r="D3386" s="3" t="str">
        <f t="array" ref="D3386">IF(B3386="","",INDEX(helper!$E$3:$E3996,MOD(ROW()-2,COUNTA(helper!$D$3:$D3996))+1))</f>
        <v/>
      </c>
      <c r="E3386" s="3" t="str">
        <f t="array" ref="E3386">IF(B3386="","",INDEX(helper!$F$3:$F3996,MOD(ROW()-2,COUNTA(helper!$D$3:$D3996))+1))</f>
        <v/>
      </c>
      <c r="F3386" s="3" t="str">
        <f>IF(B3386="","",SUMIFS('inventory ledger'!$H:$H,'inventory ledger'!$C:$C,C3386,'inventory ledger'!$D:$D,D3386,'inventory ledger'!$E:$E,E3386,'inventory ledger'!$A:$A,"&lt;="&amp;B3386+TIME(23,59,59))-SUMIFS('inventory ledger'!$I:$I,'inventory ledger'!$C:$C,C3386,'inventory ledger'!$D:$D,D3386,'inventory ledger'!$E:$E,E3386,'inventory ledger'!$A:$A,"&lt;="&amp;B3386+TIME(23,59,59)))</f>
        <v/>
      </c>
      <c r="G3386" s="3">
        <f>IFERROR(__xludf.DUMMYFUNCTION("IF(F3386&lt;=0,0,IFERROR(ROUNDUP(F3386/INDEX(FILTER('warehouse config'!$D:$D,('warehouse config'!$B:$B=C3386)*('warehouse config'!$C:$C=D3386)*('warehouse config'!$G:$G&lt;=B3386)*(('warehouse config'!$H:$H&gt;=B3386)+ISBLANK('warehouse config'!$H:$H))),1)),0))"),0.0)</f>
        <v>0</v>
      </c>
      <c r="H3386" s="3">
        <f>IFERROR(__xludf.DUMMYFUNCTION("IFERROR(INDEX(FILTER('cost master'!$E:$E,('cost master'!$B:$B=C3386)*('cost master'!$D:$D=""Storage cost per pallet / week"")*('cost master'!$G:$G&lt;=B3386)*(('cost master'!$H:$H&gt;=B3386)+ISBLANK('cost master'!$H:$H))),1),0)"),0.0)</f>
        <v>0</v>
      </c>
      <c r="I3386" s="3">
        <f t="shared" si="4"/>
        <v>0</v>
      </c>
      <c r="J3386" s="27">
        <f t="shared" si="5"/>
        <v>693947</v>
      </c>
      <c r="K3386" s="27">
        <f t="shared" si="6"/>
        <v>693977</v>
      </c>
    </row>
    <row r="3387" hidden="1">
      <c r="A3387" s="3" t="str">
        <f t="shared" si="3"/>
        <v/>
      </c>
      <c r="B3387" s="2" t="str">
        <f t="array" ref="B3387">INDEX(helper!$A$3:$A3996,ROUNDUP((ROW()-1)/COUNTA(helper!$D$3:$D3996),0))</f>
        <v/>
      </c>
      <c r="C3387" s="5" t="str">
        <f t="array" ref="C3387">IF(B3387="","",INDEX(helper!$D$3:$D3996,MOD(ROW()-2,COUNTA(helper!$D$3:$D3996))+1))</f>
        <v/>
      </c>
      <c r="D3387" s="3" t="str">
        <f t="array" ref="D3387">IF(B3387="","",INDEX(helper!$E$3:$E3996,MOD(ROW()-2,COUNTA(helper!$D$3:$D3996))+1))</f>
        <v/>
      </c>
      <c r="E3387" s="3" t="str">
        <f t="array" ref="E3387">IF(B3387="","",INDEX(helper!$F$3:$F3996,MOD(ROW()-2,COUNTA(helper!$D$3:$D3996))+1))</f>
        <v/>
      </c>
      <c r="F3387" s="3" t="str">
        <f>IF(B3387="","",SUMIFS('inventory ledger'!$H:$H,'inventory ledger'!$C:$C,C3387,'inventory ledger'!$D:$D,D3387,'inventory ledger'!$E:$E,E3387,'inventory ledger'!$A:$A,"&lt;="&amp;B3387+TIME(23,59,59))-SUMIFS('inventory ledger'!$I:$I,'inventory ledger'!$C:$C,C3387,'inventory ledger'!$D:$D,D3387,'inventory ledger'!$E:$E,E3387,'inventory ledger'!$A:$A,"&lt;="&amp;B3387+TIME(23,59,59)))</f>
        <v/>
      </c>
      <c r="G3387" s="3">
        <f>IFERROR(__xludf.DUMMYFUNCTION("IF(F3387&lt;=0,0,IFERROR(ROUNDUP(F3387/INDEX(FILTER('warehouse config'!$D:$D,('warehouse config'!$B:$B=C3387)*('warehouse config'!$C:$C=D3387)*('warehouse config'!$G:$G&lt;=B3387)*(('warehouse config'!$H:$H&gt;=B3387)+ISBLANK('warehouse config'!$H:$H))),1)),0))"),0.0)</f>
        <v>0</v>
      </c>
      <c r="H3387" s="3">
        <f>IFERROR(__xludf.DUMMYFUNCTION("IFERROR(INDEX(FILTER('cost master'!$E:$E,('cost master'!$B:$B=C3387)*('cost master'!$D:$D=""Storage cost per pallet / week"")*('cost master'!$G:$G&lt;=B3387)*(('cost master'!$H:$H&gt;=B3387)+ISBLANK('cost master'!$H:$H))),1),0)"),0.0)</f>
        <v>0</v>
      </c>
      <c r="I3387" s="3">
        <f t="shared" si="4"/>
        <v>0</v>
      </c>
      <c r="J3387" s="27">
        <f t="shared" si="5"/>
        <v>693947</v>
      </c>
      <c r="K3387" s="27">
        <f t="shared" si="6"/>
        <v>693977</v>
      </c>
    </row>
    <row r="3388" hidden="1">
      <c r="A3388" s="3" t="str">
        <f t="shared" si="3"/>
        <v/>
      </c>
      <c r="B3388" s="2" t="str">
        <f t="array" ref="B3388">INDEX(helper!$A$3:$A3996,ROUNDUP((ROW()-1)/COUNTA(helper!$D$3:$D3996),0))</f>
        <v/>
      </c>
      <c r="C3388" s="5" t="str">
        <f t="array" ref="C3388">IF(B3388="","",INDEX(helper!$D$3:$D3996,MOD(ROW()-2,COUNTA(helper!$D$3:$D3996))+1))</f>
        <v/>
      </c>
      <c r="D3388" s="3" t="str">
        <f t="array" ref="D3388">IF(B3388="","",INDEX(helper!$E$3:$E3996,MOD(ROW()-2,COUNTA(helper!$D$3:$D3996))+1))</f>
        <v/>
      </c>
      <c r="E3388" s="3" t="str">
        <f t="array" ref="E3388">IF(B3388="","",INDEX(helper!$F$3:$F3996,MOD(ROW()-2,COUNTA(helper!$D$3:$D3996))+1))</f>
        <v/>
      </c>
      <c r="F3388" s="3" t="str">
        <f>IF(B3388="","",SUMIFS('inventory ledger'!$H:$H,'inventory ledger'!$C:$C,C3388,'inventory ledger'!$D:$D,D3388,'inventory ledger'!$E:$E,E3388,'inventory ledger'!$A:$A,"&lt;="&amp;B3388+TIME(23,59,59))-SUMIFS('inventory ledger'!$I:$I,'inventory ledger'!$C:$C,C3388,'inventory ledger'!$D:$D,D3388,'inventory ledger'!$E:$E,E3388,'inventory ledger'!$A:$A,"&lt;="&amp;B3388+TIME(23,59,59)))</f>
        <v/>
      </c>
      <c r="G3388" s="3">
        <f>IFERROR(__xludf.DUMMYFUNCTION("IF(F3388&lt;=0,0,IFERROR(ROUNDUP(F3388/INDEX(FILTER('warehouse config'!$D:$D,('warehouse config'!$B:$B=C3388)*('warehouse config'!$C:$C=D3388)*('warehouse config'!$G:$G&lt;=B3388)*(('warehouse config'!$H:$H&gt;=B3388)+ISBLANK('warehouse config'!$H:$H))),1)),0))"),0.0)</f>
        <v>0</v>
      </c>
      <c r="H3388" s="3">
        <f>IFERROR(__xludf.DUMMYFUNCTION("IFERROR(INDEX(FILTER('cost master'!$E:$E,('cost master'!$B:$B=C3388)*('cost master'!$D:$D=""Storage cost per pallet / week"")*('cost master'!$G:$G&lt;=B3388)*(('cost master'!$H:$H&gt;=B3388)+ISBLANK('cost master'!$H:$H))),1),0)"),0.0)</f>
        <v>0</v>
      </c>
      <c r="I3388" s="3">
        <f t="shared" si="4"/>
        <v>0</v>
      </c>
      <c r="J3388" s="27">
        <f t="shared" si="5"/>
        <v>693947</v>
      </c>
      <c r="K3388" s="27">
        <f t="shared" si="6"/>
        <v>693977</v>
      </c>
    </row>
    <row r="3389" hidden="1">
      <c r="A3389" s="3" t="str">
        <f t="shared" si="3"/>
        <v/>
      </c>
      <c r="B3389" s="2" t="str">
        <f t="array" ref="B3389">INDEX(helper!$A$3:$A3996,ROUNDUP((ROW()-1)/COUNTA(helper!$D$3:$D3996),0))</f>
        <v/>
      </c>
      <c r="C3389" s="5" t="str">
        <f t="array" ref="C3389">IF(B3389="","",INDEX(helper!$D$3:$D3996,MOD(ROW()-2,COUNTA(helper!$D$3:$D3996))+1))</f>
        <v/>
      </c>
      <c r="D3389" s="3" t="str">
        <f t="array" ref="D3389">IF(B3389="","",INDEX(helper!$E$3:$E3996,MOD(ROW()-2,COUNTA(helper!$D$3:$D3996))+1))</f>
        <v/>
      </c>
      <c r="E3389" s="3" t="str">
        <f t="array" ref="E3389">IF(B3389="","",INDEX(helper!$F$3:$F3996,MOD(ROW()-2,COUNTA(helper!$D$3:$D3996))+1))</f>
        <v/>
      </c>
      <c r="F3389" s="3" t="str">
        <f>IF(B3389="","",SUMIFS('inventory ledger'!$H:$H,'inventory ledger'!$C:$C,C3389,'inventory ledger'!$D:$D,D3389,'inventory ledger'!$E:$E,E3389,'inventory ledger'!$A:$A,"&lt;="&amp;B3389+TIME(23,59,59))-SUMIFS('inventory ledger'!$I:$I,'inventory ledger'!$C:$C,C3389,'inventory ledger'!$D:$D,D3389,'inventory ledger'!$E:$E,E3389,'inventory ledger'!$A:$A,"&lt;="&amp;B3389+TIME(23,59,59)))</f>
        <v/>
      </c>
      <c r="G3389" s="3">
        <f>IFERROR(__xludf.DUMMYFUNCTION("IF(F3389&lt;=0,0,IFERROR(ROUNDUP(F3389/INDEX(FILTER('warehouse config'!$D:$D,('warehouse config'!$B:$B=C3389)*('warehouse config'!$C:$C=D3389)*('warehouse config'!$G:$G&lt;=B3389)*(('warehouse config'!$H:$H&gt;=B3389)+ISBLANK('warehouse config'!$H:$H))),1)),0))"),0.0)</f>
        <v>0</v>
      </c>
      <c r="H3389" s="3">
        <f>IFERROR(__xludf.DUMMYFUNCTION("IFERROR(INDEX(FILTER('cost master'!$E:$E,('cost master'!$B:$B=C3389)*('cost master'!$D:$D=""Storage cost per pallet / week"")*('cost master'!$G:$G&lt;=B3389)*(('cost master'!$H:$H&gt;=B3389)+ISBLANK('cost master'!$H:$H))),1),0)"),0.0)</f>
        <v>0</v>
      </c>
      <c r="I3389" s="3">
        <f t="shared" si="4"/>
        <v>0</v>
      </c>
      <c r="J3389" s="27">
        <f t="shared" si="5"/>
        <v>693947</v>
      </c>
      <c r="K3389" s="27">
        <f t="shared" si="6"/>
        <v>693977</v>
      </c>
    </row>
    <row r="3390" hidden="1">
      <c r="A3390" s="3" t="str">
        <f t="shared" si="3"/>
        <v/>
      </c>
      <c r="B3390" s="2" t="str">
        <f t="array" ref="B3390">INDEX(helper!$A$3:$A3996,ROUNDUP((ROW()-1)/COUNTA(helper!$D$3:$D3996),0))</f>
        <v/>
      </c>
      <c r="C3390" s="5" t="str">
        <f t="array" ref="C3390">IF(B3390="","",INDEX(helper!$D$3:$D3996,MOD(ROW()-2,COUNTA(helper!$D$3:$D3996))+1))</f>
        <v/>
      </c>
      <c r="D3390" s="3" t="str">
        <f t="array" ref="D3390">IF(B3390="","",INDEX(helper!$E$3:$E3996,MOD(ROW()-2,COUNTA(helper!$D$3:$D3996))+1))</f>
        <v/>
      </c>
      <c r="E3390" s="3" t="str">
        <f t="array" ref="E3390">IF(B3390="","",INDEX(helper!$F$3:$F3996,MOD(ROW()-2,COUNTA(helper!$D$3:$D3996))+1))</f>
        <v/>
      </c>
      <c r="F3390" s="3" t="str">
        <f>IF(B3390="","",SUMIFS('inventory ledger'!$H:$H,'inventory ledger'!$C:$C,C3390,'inventory ledger'!$D:$D,D3390,'inventory ledger'!$E:$E,E3390,'inventory ledger'!$A:$A,"&lt;="&amp;B3390+TIME(23,59,59))-SUMIFS('inventory ledger'!$I:$I,'inventory ledger'!$C:$C,C3390,'inventory ledger'!$D:$D,D3390,'inventory ledger'!$E:$E,E3390,'inventory ledger'!$A:$A,"&lt;="&amp;B3390+TIME(23,59,59)))</f>
        <v/>
      </c>
      <c r="G3390" s="3">
        <f>IFERROR(__xludf.DUMMYFUNCTION("IF(F3390&lt;=0,0,IFERROR(ROUNDUP(F3390/INDEX(FILTER('warehouse config'!$D:$D,('warehouse config'!$B:$B=C3390)*('warehouse config'!$C:$C=D3390)*('warehouse config'!$G:$G&lt;=B3390)*(('warehouse config'!$H:$H&gt;=B3390)+ISBLANK('warehouse config'!$H:$H))),1)),0))"),0.0)</f>
        <v>0</v>
      </c>
      <c r="H3390" s="3">
        <f>IFERROR(__xludf.DUMMYFUNCTION("IFERROR(INDEX(FILTER('cost master'!$E:$E,('cost master'!$B:$B=C3390)*('cost master'!$D:$D=""Storage cost per pallet / week"")*('cost master'!$G:$G&lt;=B3390)*(('cost master'!$H:$H&gt;=B3390)+ISBLANK('cost master'!$H:$H))),1),0)"),0.0)</f>
        <v>0</v>
      </c>
      <c r="I3390" s="3">
        <f t="shared" si="4"/>
        <v>0</v>
      </c>
      <c r="J3390" s="27">
        <f t="shared" si="5"/>
        <v>693947</v>
      </c>
      <c r="K3390" s="27">
        <f t="shared" si="6"/>
        <v>693977</v>
      </c>
    </row>
    <row r="3391" hidden="1">
      <c r="A3391" s="3" t="str">
        <f t="shared" si="3"/>
        <v/>
      </c>
      <c r="B3391" s="2" t="str">
        <f t="array" ref="B3391">INDEX(helper!$A$3:$A3996,ROUNDUP((ROW()-1)/COUNTA(helper!$D$3:$D3996),0))</f>
        <v/>
      </c>
      <c r="C3391" s="5" t="str">
        <f t="array" ref="C3391">IF(B3391="","",INDEX(helper!$D$3:$D3996,MOD(ROW()-2,COUNTA(helper!$D$3:$D3996))+1))</f>
        <v/>
      </c>
      <c r="D3391" s="3" t="str">
        <f t="array" ref="D3391">IF(B3391="","",INDEX(helper!$E$3:$E3996,MOD(ROW()-2,COUNTA(helper!$D$3:$D3996))+1))</f>
        <v/>
      </c>
      <c r="E3391" s="3" t="str">
        <f t="array" ref="E3391">IF(B3391="","",INDEX(helper!$F$3:$F3996,MOD(ROW()-2,COUNTA(helper!$D$3:$D3996))+1))</f>
        <v/>
      </c>
      <c r="F3391" s="3" t="str">
        <f>IF(B3391="","",SUMIFS('inventory ledger'!$H:$H,'inventory ledger'!$C:$C,C3391,'inventory ledger'!$D:$D,D3391,'inventory ledger'!$E:$E,E3391,'inventory ledger'!$A:$A,"&lt;="&amp;B3391+TIME(23,59,59))-SUMIFS('inventory ledger'!$I:$I,'inventory ledger'!$C:$C,C3391,'inventory ledger'!$D:$D,D3391,'inventory ledger'!$E:$E,E3391,'inventory ledger'!$A:$A,"&lt;="&amp;B3391+TIME(23,59,59)))</f>
        <v/>
      </c>
      <c r="G3391" s="3">
        <f>IFERROR(__xludf.DUMMYFUNCTION("IF(F3391&lt;=0,0,IFERROR(ROUNDUP(F3391/INDEX(FILTER('warehouse config'!$D:$D,('warehouse config'!$B:$B=C3391)*('warehouse config'!$C:$C=D3391)*('warehouse config'!$G:$G&lt;=B3391)*(('warehouse config'!$H:$H&gt;=B3391)+ISBLANK('warehouse config'!$H:$H))),1)),0))"),0.0)</f>
        <v>0</v>
      </c>
      <c r="H3391" s="3">
        <f>IFERROR(__xludf.DUMMYFUNCTION("IFERROR(INDEX(FILTER('cost master'!$E:$E,('cost master'!$B:$B=C3391)*('cost master'!$D:$D=""Storage cost per pallet / week"")*('cost master'!$G:$G&lt;=B3391)*(('cost master'!$H:$H&gt;=B3391)+ISBLANK('cost master'!$H:$H))),1),0)"),0.0)</f>
        <v>0</v>
      </c>
      <c r="I3391" s="3">
        <f t="shared" si="4"/>
        <v>0</v>
      </c>
      <c r="J3391" s="27">
        <f t="shared" si="5"/>
        <v>693947</v>
      </c>
      <c r="K3391" s="27">
        <f t="shared" si="6"/>
        <v>693977</v>
      </c>
    </row>
    <row r="3392" hidden="1">
      <c r="A3392" s="3" t="str">
        <f t="shared" si="3"/>
        <v/>
      </c>
      <c r="B3392" s="2" t="str">
        <f t="array" ref="B3392">INDEX(helper!$A$3:$A3996,ROUNDUP((ROW()-1)/COUNTA(helper!$D$3:$D3996),0))</f>
        <v/>
      </c>
      <c r="C3392" s="5" t="str">
        <f t="array" ref="C3392">IF(B3392="","",INDEX(helper!$D$3:$D3996,MOD(ROW()-2,COUNTA(helper!$D$3:$D3996))+1))</f>
        <v/>
      </c>
      <c r="D3392" s="3" t="str">
        <f t="array" ref="D3392">IF(B3392="","",INDEX(helper!$E$3:$E3996,MOD(ROW()-2,COUNTA(helper!$D$3:$D3996))+1))</f>
        <v/>
      </c>
      <c r="E3392" s="3" t="str">
        <f t="array" ref="E3392">IF(B3392="","",INDEX(helper!$F$3:$F3996,MOD(ROW()-2,COUNTA(helper!$D$3:$D3996))+1))</f>
        <v/>
      </c>
      <c r="F3392" s="3" t="str">
        <f>IF(B3392="","",SUMIFS('inventory ledger'!$H:$H,'inventory ledger'!$C:$C,C3392,'inventory ledger'!$D:$D,D3392,'inventory ledger'!$E:$E,E3392,'inventory ledger'!$A:$A,"&lt;="&amp;B3392+TIME(23,59,59))-SUMIFS('inventory ledger'!$I:$I,'inventory ledger'!$C:$C,C3392,'inventory ledger'!$D:$D,D3392,'inventory ledger'!$E:$E,E3392,'inventory ledger'!$A:$A,"&lt;="&amp;B3392+TIME(23,59,59)))</f>
        <v/>
      </c>
      <c r="G3392" s="3">
        <f>IFERROR(__xludf.DUMMYFUNCTION("IF(F3392&lt;=0,0,IFERROR(ROUNDUP(F3392/INDEX(FILTER('warehouse config'!$D:$D,('warehouse config'!$B:$B=C3392)*('warehouse config'!$C:$C=D3392)*('warehouse config'!$G:$G&lt;=B3392)*(('warehouse config'!$H:$H&gt;=B3392)+ISBLANK('warehouse config'!$H:$H))),1)),0))"),0.0)</f>
        <v>0</v>
      </c>
      <c r="H3392" s="3">
        <f>IFERROR(__xludf.DUMMYFUNCTION("IFERROR(INDEX(FILTER('cost master'!$E:$E,('cost master'!$B:$B=C3392)*('cost master'!$D:$D=""Storage cost per pallet / week"")*('cost master'!$G:$G&lt;=B3392)*(('cost master'!$H:$H&gt;=B3392)+ISBLANK('cost master'!$H:$H))),1),0)"),0.0)</f>
        <v>0</v>
      </c>
      <c r="I3392" s="3">
        <f t="shared" si="4"/>
        <v>0</v>
      </c>
      <c r="J3392" s="27">
        <f t="shared" si="5"/>
        <v>693947</v>
      </c>
      <c r="K3392" s="27">
        <f t="shared" si="6"/>
        <v>693977</v>
      </c>
    </row>
    <row r="3393" hidden="1">
      <c r="A3393" s="3" t="str">
        <f t="shared" si="3"/>
        <v/>
      </c>
      <c r="B3393" s="2" t="str">
        <f t="array" ref="B3393">INDEX(helper!$A$3:$A3996,ROUNDUP((ROW()-1)/COUNTA(helper!$D$3:$D3996),0))</f>
        <v/>
      </c>
      <c r="C3393" s="5" t="str">
        <f t="array" ref="C3393">IF(B3393="","",INDEX(helper!$D$3:$D3996,MOD(ROW()-2,COUNTA(helper!$D$3:$D3996))+1))</f>
        <v/>
      </c>
      <c r="D3393" s="3" t="str">
        <f t="array" ref="D3393">IF(B3393="","",INDEX(helper!$E$3:$E3996,MOD(ROW()-2,COUNTA(helper!$D$3:$D3996))+1))</f>
        <v/>
      </c>
      <c r="E3393" s="3" t="str">
        <f t="array" ref="E3393">IF(B3393="","",INDEX(helper!$F$3:$F3996,MOD(ROW()-2,COUNTA(helper!$D$3:$D3996))+1))</f>
        <v/>
      </c>
      <c r="F3393" s="3" t="str">
        <f>IF(B3393="","",SUMIFS('inventory ledger'!$H:$H,'inventory ledger'!$C:$C,C3393,'inventory ledger'!$D:$D,D3393,'inventory ledger'!$E:$E,E3393,'inventory ledger'!$A:$A,"&lt;="&amp;B3393+TIME(23,59,59))-SUMIFS('inventory ledger'!$I:$I,'inventory ledger'!$C:$C,C3393,'inventory ledger'!$D:$D,D3393,'inventory ledger'!$E:$E,E3393,'inventory ledger'!$A:$A,"&lt;="&amp;B3393+TIME(23,59,59)))</f>
        <v/>
      </c>
      <c r="G3393" s="3">
        <f>IFERROR(__xludf.DUMMYFUNCTION("IF(F3393&lt;=0,0,IFERROR(ROUNDUP(F3393/INDEX(FILTER('warehouse config'!$D:$D,('warehouse config'!$B:$B=C3393)*('warehouse config'!$C:$C=D3393)*('warehouse config'!$G:$G&lt;=B3393)*(('warehouse config'!$H:$H&gt;=B3393)+ISBLANK('warehouse config'!$H:$H))),1)),0))"),0.0)</f>
        <v>0</v>
      </c>
      <c r="H3393" s="3">
        <f>IFERROR(__xludf.DUMMYFUNCTION("IFERROR(INDEX(FILTER('cost master'!$E:$E,('cost master'!$B:$B=C3393)*('cost master'!$D:$D=""Storage cost per pallet / week"")*('cost master'!$G:$G&lt;=B3393)*(('cost master'!$H:$H&gt;=B3393)+ISBLANK('cost master'!$H:$H))),1),0)"),0.0)</f>
        <v>0</v>
      </c>
      <c r="I3393" s="3">
        <f t="shared" si="4"/>
        <v>0</v>
      </c>
      <c r="J3393" s="27">
        <f t="shared" si="5"/>
        <v>693947</v>
      </c>
      <c r="K3393" s="27">
        <f t="shared" si="6"/>
        <v>693977</v>
      </c>
    </row>
    <row r="3394" hidden="1">
      <c r="A3394" s="3" t="str">
        <f t="shared" si="3"/>
        <v/>
      </c>
      <c r="B3394" s="2" t="str">
        <f t="array" ref="B3394">INDEX(helper!$A$3:$A3996,ROUNDUP((ROW()-1)/COUNTA(helper!$D$3:$D3996),0))</f>
        <v/>
      </c>
      <c r="C3394" s="5" t="str">
        <f t="array" ref="C3394">IF(B3394="","",INDEX(helper!$D$3:$D3996,MOD(ROW()-2,COUNTA(helper!$D$3:$D3996))+1))</f>
        <v/>
      </c>
      <c r="D3394" s="3" t="str">
        <f t="array" ref="D3394">IF(B3394="","",INDEX(helper!$E$3:$E3996,MOD(ROW()-2,COUNTA(helper!$D$3:$D3996))+1))</f>
        <v/>
      </c>
      <c r="E3394" s="3" t="str">
        <f t="array" ref="E3394">IF(B3394="","",INDEX(helper!$F$3:$F3996,MOD(ROW()-2,COUNTA(helper!$D$3:$D3996))+1))</f>
        <v/>
      </c>
      <c r="F3394" s="3" t="str">
        <f>IF(B3394="","",SUMIFS('inventory ledger'!$H:$H,'inventory ledger'!$C:$C,C3394,'inventory ledger'!$D:$D,D3394,'inventory ledger'!$E:$E,E3394,'inventory ledger'!$A:$A,"&lt;="&amp;B3394+TIME(23,59,59))-SUMIFS('inventory ledger'!$I:$I,'inventory ledger'!$C:$C,C3394,'inventory ledger'!$D:$D,D3394,'inventory ledger'!$E:$E,E3394,'inventory ledger'!$A:$A,"&lt;="&amp;B3394+TIME(23,59,59)))</f>
        <v/>
      </c>
      <c r="G3394" s="3">
        <f>IFERROR(__xludf.DUMMYFUNCTION("IF(F3394&lt;=0,0,IFERROR(ROUNDUP(F3394/INDEX(FILTER('warehouse config'!$D:$D,('warehouse config'!$B:$B=C3394)*('warehouse config'!$C:$C=D3394)*('warehouse config'!$G:$G&lt;=B3394)*(('warehouse config'!$H:$H&gt;=B3394)+ISBLANK('warehouse config'!$H:$H))),1)),0))"),0.0)</f>
        <v>0</v>
      </c>
      <c r="H3394" s="3">
        <f>IFERROR(__xludf.DUMMYFUNCTION("IFERROR(INDEX(FILTER('cost master'!$E:$E,('cost master'!$B:$B=C3394)*('cost master'!$D:$D=""Storage cost per pallet / week"")*('cost master'!$G:$G&lt;=B3394)*(('cost master'!$H:$H&gt;=B3394)+ISBLANK('cost master'!$H:$H))),1),0)"),0.0)</f>
        <v>0</v>
      </c>
      <c r="I3394" s="3">
        <f t="shared" si="4"/>
        <v>0</v>
      </c>
      <c r="J3394" s="27">
        <f t="shared" si="5"/>
        <v>693947</v>
      </c>
      <c r="K3394" s="27">
        <f t="shared" si="6"/>
        <v>693977</v>
      </c>
    </row>
    <row r="3395" hidden="1">
      <c r="A3395" s="3" t="str">
        <f t="shared" si="3"/>
        <v/>
      </c>
      <c r="B3395" s="2" t="str">
        <f t="array" ref="B3395">INDEX(helper!$A$3:$A3996,ROUNDUP((ROW()-1)/COUNTA(helper!$D$3:$D3996),0))</f>
        <v/>
      </c>
      <c r="C3395" s="5" t="str">
        <f t="array" ref="C3395">IF(B3395="","",INDEX(helper!$D$3:$D3996,MOD(ROW()-2,COUNTA(helper!$D$3:$D3996))+1))</f>
        <v/>
      </c>
      <c r="D3395" s="3" t="str">
        <f t="array" ref="D3395">IF(B3395="","",INDEX(helper!$E$3:$E3996,MOD(ROW()-2,COUNTA(helper!$D$3:$D3996))+1))</f>
        <v/>
      </c>
      <c r="E3395" s="3" t="str">
        <f t="array" ref="E3395">IF(B3395="","",INDEX(helper!$F$3:$F3996,MOD(ROW()-2,COUNTA(helper!$D$3:$D3996))+1))</f>
        <v/>
      </c>
      <c r="F3395" s="3" t="str">
        <f>IF(B3395="","",SUMIFS('inventory ledger'!$H:$H,'inventory ledger'!$C:$C,C3395,'inventory ledger'!$D:$D,D3395,'inventory ledger'!$E:$E,E3395,'inventory ledger'!$A:$A,"&lt;="&amp;B3395+TIME(23,59,59))-SUMIFS('inventory ledger'!$I:$I,'inventory ledger'!$C:$C,C3395,'inventory ledger'!$D:$D,D3395,'inventory ledger'!$E:$E,E3395,'inventory ledger'!$A:$A,"&lt;="&amp;B3395+TIME(23,59,59)))</f>
        <v/>
      </c>
      <c r="G3395" s="3">
        <f>IFERROR(__xludf.DUMMYFUNCTION("IF(F3395&lt;=0,0,IFERROR(ROUNDUP(F3395/INDEX(FILTER('warehouse config'!$D:$D,('warehouse config'!$B:$B=C3395)*('warehouse config'!$C:$C=D3395)*('warehouse config'!$G:$G&lt;=B3395)*(('warehouse config'!$H:$H&gt;=B3395)+ISBLANK('warehouse config'!$H:$H))),1)),0))"),0.0)</f>
        <v>0</v>
      </c>
      <c r="H3395" s="3">
        <f>IFERROR(__xludf.DUMMYFUNCTION("IFERROR(INDEX(FILTER('cost master'!$E:$E,('cost master'!$B:$B=C3395)*('cost master'!$D:$D=""Storage cost per pallet / week"")*('cost master'!$G:$G&lt;=B3395)*(('cost master'!$H:$H&gt;=B3395)+ISBLANK('cost master'!$H:$H))),1),0)"),0.0)</f>
        <v>0</v>
      </c>
      <c r="I3395" s="3">
        <f t="shared" si="4"/>
        <v>0</v>
      </c>
      <c r="J3395" s="27">
        <f t="shared" si="5"/>
        <v>693947</v>
      </c>
      <c r="K3395" s="27">
        <f t="shared" si="6"/>
        <v>693977</v>
      </c>
    </row>
    <row r="3396" hidden="1">
      <c r="A3396" s="3" t="str">
        <f t="shared" si="3"/>
        <v/>
      </c>
      <c r="B3396" s="2" t="str">
        <f t="array" ref="B3396">INDEX(helper!$A$3:$A3996,ROUNDUP((ROW()-1)/COUNTA(helper!$D$3:$D3996),0))</f>
        <v/>
      </c>
      <c r="C3396" s="5" t="str">
        <f t="array" ref="C3396">IF(B3396="","",INDEX(helper!$D$3:$D3996,MOD(ROW()-2,COUNTA(helper!$D$3:$D3996))+1))</f>
        <v/>
      </c>
      <c r="D3396" s="3" t="str">
        <f t="array" ref="D3396">IF(B3396="","",INDEX(helper!$E$3:$E3996,MOD(ROW()-2,COUNTA(helper!$D$3:$D3996))+1))</f>
        <v/>
      </c>
      <c r="E3396" s="3" t="str">
        <f t="array" ref="E3396">IF(B3396="","",INDEX(helper!$F$3:$F3996,MOD(ROW()-2,COUNTA(helper!$D$3:$D3996))+1))</f>
        <v/>
      </c>
      <c r="F3396" s="3" t="str">
        <f>IF(B3396="","",SUMIFS('inventory ledger'!$H:$H,'inventory ledger'!$C:$C,C3396,'inventory ledger'!$D:$D,D3396,'inventory ledger'!$E:$E,E3396,'inventory ledger'!$A:$A,"&lt;="&amp;B3396+TIME(23,59,59))-SUMIFS('inventory ledger'!$I:$I,'inventory ledger'!$C:$C,C3396,'inventory ledger'!$D:$D,D3396,'inventory ledger'!$E:$E,E3396,'inventory ledger'!$A:$A,"&lt;="&amp;B3396+TIME(23,59,59)))</f>
        <v/>
      </c>
      <c r="G3396" s="3">
        <f>IFERROR(__xludf.DUMMYFUNCTION("IF(F3396&lt;=0,0,IFERROR(ROUNDUP(F3396/INDEX(FILTER('warehouse config'!$D:$D,('warehouse config'!$B:$B=C3396)*('warehouse config'!$C:$C=D3396)*('warehouse config'!$G:$G&lt;=B3396)*(('warehouse config'!$H:$H&gt;=B3396)+ISBLANK('warehouse config'!$H:$H))),1)),0))"),0.0)</f>
        <v>0</v>
      </c>
      <c r="H3396" s="3">
        <f>IFERROR(__xludf.DUMMYFUNCTION("IFERROR(INDEX(FILTER('cost master'!$E:$E,('cost master'!$B:$B=C3396)*('cost master'!$D:$D=""Storage cost per pallet / week"")*('cost master'!$G:$G&lt;=B3396)*(('cost master'!$H:$H&gt;=B3396)+ISBLANK('cost master'!$H:$H))),1),0)"),0.0)</f>
        <v>0</v>
      </c>
      <c r="I3396" s="3">
        <f t="shared" si="4"/>
        <v>0</v>
      </c>
      <c r="J3396" s="27">
        <f t="shared" si="5"/>
        <v>693947</v>
      </c>
      <c r="K3396" s="27">
        <f t="shared" si="6"/>
        <v>693977</v>
      </c>
    </row>
    <row r="3397" hidden="1">
      <c r="A3397" s="3" t="str">
        <f t="shared" si="3"/>
        <v/>
      </c>
      <c r="B3397" s="2" t="str">
        <f t="array" ref="B3397">INDEX(helper!$A$3:$A3996,ROUNDUP((ROW()-1)/COUNTA(helper!$D$3:$D3996),0))</f>
        <v/>
      </c>
      <c r="C3397" s="5" t="str">
        <f t="array" ref="C3397">IF(B3397="","",INDEX(helper!$D$3:$D3996,MOD(ROW()-2,COUNTA(helper!$D$3:$D3996))+1))</f>
        <v/>
      </c>
      <c r="D3397" s="3" t="str">
        <f t="array" ref="D3397">IF(B3397="","",INDEX(helper!$E$3:$E3996,MOD(ROW()-2,COUNTA(helper!$D$3:$D3996))+1))</f>
        <v/>
      </c>
      <c r="E3397" s="3" t="str">
        <f t="array" ref="E3397">IF(B3397="","",INDEX(helper!$F$3:$F3996,MOD(ROW()-2,COUNTA(helper!$D$3:$D3996))+1))</f>
        <v/>
      </c>
      <c r="F3397" s="3" t="str">
        <f>IF(B3397="","",SUMIFS('inventory ledger'!$H:$H,'inventory ledger'!$C:$C,C3397,'inventory ledger'!$D:$D,D3397,'inventory ledger'!$E:$E,E3397,'inventory ledger'!$A:$A,"&lt;="&amp;B3397+TIME(23,59,59))-SUMIFS('inventory ledger'!$I:$I,'inventory ledger'!$C:$C,C3397,'inventory ledger'!$D:$D,D3397,'inventory ledger'!$E:$E,E3397,'inventory ledger'!$A:$A,"&lt;="&amp;B3397+TIME(23,59,59)))</f>
        <v/>
      </c>
      <c r="G3397" s="3">
        <f>IFERROR(__xludf.DUMMYFUNCTION("IF(F3397&lt;=0,0,IFERROR(ROUNDUP(F3397/INDEX(FILTER('warehouse config'!$D:$D,('warehouse config'!$B:$B=C3397)*('warehouse config'!$C:$C=D3397)*('warehouse config'!$G:$G&lt;=B3397)*(('warehouse config'!$H:$H&gt;=B3397)+ISBLANK('warehouse config'!$H:$H))),1)),0))"),0.0)</f>
        <v>0</v>
      </c>
      <c r="H3397" s="3">
        <f>IFERROR(__xludf.DUMMYFUNCTION("IFERROR(INDEX(FILTER('cost master'!$E:$E,('cost master'!$B:$B=C3397)*('cost master'!$D:$D=""Storage cost per pallet / week"")*('cost master'!$G:$G&lt;=B3397)*(('cost master'!$H:$H&gt;=B3397)+ISBLANK('cost master'!$H:$H))),1),0)"),0.0)</f>
        <v>0</v>
      </c>
      <c r="I3397" s="3">
        <f t="shared" si="4"/>
        <v>0</v>
      </c>
      <c r="J3397" s="27">
        <f t="shared" si="5"/>
        <v>693947</v>
      </c>
      <c r="K3397" s="27">
        <f t="shared" si="6"/>
        <v>693977</v>
      </c>
    </row>
    <row r="3398" hidden="1">
      <c r="A3398" s="3" t="str">
        <f t="shared" si="3"/>
        <v/>
      </c>
      <c r="B3398" s="2" t="str">
        <f t="array" ref="B3398">INDEX(helper!$A$3:$A3996,ROUNDUP((ROW()-1)/COUNTA(helper!$D$3:$D3996),0))</f>
        <v/>
      </c>
      <c r="C3398" s="5" t="str">
        <f t="array" ref="C3398">IF(B3398="","",INDEX(helper!$D$3:$D3996,MOD(ROW()-2,COUNTA(helper!$D$3:$D3996))+1))</f>
        <v/>
      </c>
      <c r="D3398" s="3" t="str">
        <f t="array" ref="D3398">IF(B3398="","",INDEX(helper!$E$3:$E3996,MOD(ROW()-2,COUNTA(helper!$D$3:$D3996))+1))</f>
        <v/>
      </c>
      <c r="E3398" s="3" t="str">
        <f t="array" ref="E3398">IF(B3398="","",INDEX(helper!$F$3:$F3996,MOD(ROW()-2,COUNTA(helper!$D$3:$D3996))+1))</f>
        <v/>
      </c>
      <c r="F3398" s="3" t="str">
        <f>IF(B3398="","",SUMIFS('inventory ledger'!$H:$H,'inventory ledger'!$C:$C,C3398,'inventory ledger'!$D:$D,D3398,'inventory ledger'!$E:$E,E3398,'inventory ledger'!$A:$A,"&lt;="&amp;B3398+TIME(23,59,59))-SUMIFS('inventory ledger'!$I:$I,'inventory ledger'!$C:$C,C3398,'inventory ledger'!$D:$D,D3398,'inventory ledger'!$E:$E,E3398,'inventory ledger'!$A:$A,"&lt;="&amp;B3398+TIME(23,59,59)))</f>
        <v/>
      </c>
      <c r="G3398" s="3">
        <f>IFERROR(__xludf.DUMMYFUNCTION("IF(F3398&lt;=0,0,IFERROR(ROUNDUP(F3398/INDEX(FILTER('warehouse config'!$D:$D,('warehouse config'!$B:$B=C3398)*('warehouse config'!$C:$C=D3398)*('warehouse config'!$G:$G&lt;=B3398)*(('warehouse config'!$H:$H&gt;=B3398)+ISBLANK('warehouse config'!$H:$H))),1)),0))"),0.0)</f>
        <v>0</v>
      </c>
      <c r="H3398" s="3">
        <f>IFERROR(__xludf.DUMMYFUNCTION("IFERROR(INDEX(FILTER('cost master'!$E:$E,('cost master'!$B:$B=C3398)*('cost master'!$D:$D=""Storage cost per pallet / week"")*('cost master'!$G:$G&lt;=B3398)*(('cost master'!$H:$H&gt;=B3398)+ISBLANK('cost master'!$H:$H))),1),0)"),0.0)</f>
        <v>0</v>
      </c>
      <c r="I3398" s="3">
        <f t="shared" si="4"/>
        <v>0</v>
      </c>
      <c r="J3398" s="27">
        <f t="shared" si="5"/>
        <v>693947</v>
      </c>
      <c r="K3398" s="27">
        <f t="shared" si="6"/>
        <v>693977</v>
      </c>
    </row>
    <row r="3399" hidden="1">
      <c r="A3399" s="3" t="str">
        <f t="shared" si="3"/>
        <v/>
      </c>
      <c r="B3399" s="2" t="str">
        <f t="array" ref="B3399">INDEX(helper!$A$3:$A3996,ROUNDUP((ROW()-1)/COUNTA(helper!$D$3:$D3996),0))</f>
        <v/>
      </c>
      <c r="C3399" s="5" t="str">
        <f t="array" ref="C3399">IF(B3399="","",INDEX(helper!$D$3:$D3996,MOD(ROW()-2,COUNTA(helper!$D$3:$D3996))+1))</f>
        <v/>
      </c>
      <c r="D3399" s="3" t="str">
        <f t="array" ref="D3399">IF(B3399="","",INDEX(helper!$E$3:$E3996,MOD(ROW()-2,COUNTA(helper!$D$3:$D3996))+1))</f>
        <v/>
      </c>
      <c r="E3399" s="3" t="str">
        <f t="array" ref="E3399">IF(B3399="","",INDEX(helper!$F$3:$F3996,MOD(ROW()-2,COUNTA(helper!$D$3:$D3996))+1))</f>
        <v/>
      </c>
      <c r="F3399" s="3" t="str">
        <f>IF(B3399="","",SUMIFS('inventory ledger'!$H:$H,'inventory ledger'!$C:$C,C3399,'inventory ledger'!$D:$D,D3399,'inventory ledger'!$E:$E,E3399,'inventory ledger'!$A:$A,"&lt;="&amp;B3399+TIME(23,59,59))-SUMIFS('inventory ledger'!$I:$I,'inventory ledger'!$C:$C,C3399,'inventory ledger'!$D:$D,D3399,'inventory ledger'!$E:$E,E3399,'inventory ledger'!$A:$A,"&lt;="&amp;B3399+TIME(23,59,59)))</f>
        <v/>
      </c>
      <c r="G3399" s="3">
        <f>IFERROR(__xludf.DUMMYFUNCTION("IF(F3399&lt;=0,0,IFERROR(ROUNDUP(F3399/INDEX(FILTER('warehouse config'!$D:$D,('warehouse config'!$B:$B=C3399)*('warehouse config'!$C:$C=D3399)*('warehouse config'!$G:$G&lt;=B3399)*(('warehouse config'!$H:$H&gt;=B3399)+ISBLANK('warehouse config'!$H:$H))),1)),0))"),0.0)</f>
        <v>0</v>
      </c>
      <c r="H3399" s="3">
        <f>IFERROR(__xludf.DUMMYFUNCTION("IFERROR(INDEX(FILTER('cost master'!$E:$E,('cost master'!$B:$B=C3399)*('cost master'!$D:$D=""Storage cost per pallet / week"")*('cost master'!$G:$G&lt;=B3399)*(('cost master'!$H:$H&gt;=B3399)+ISBLANK('cost master'!$H:$H))),1),0)"),0.0)</f>
        <v>0</v>
      </c>
      <c r="I3399" s="3">
        <f t="shared" si="4"/>
        <v>0</v>
      </c>
      <c r="J3399" s="27">
        <f t="shared" si="5"/>
        <v>693947</v>
      </c>
      <c r="K3399" s="27">
        <f t="shared" si="6"/>
        <v>693977</v>
      </c>
    </row>
    <row r="3400" hidden="1">
      <c r="A3400" s="3" t="str">
        <f t="shared" si="3"/>
        <v/>
      </c>
      <c r="B3400" s="2" t="str">
        <f t="array" ref="B3400">INDEX(helper!$A$3:$A3996,ROUNDUP((ROW()-1)/COUNTA(helper!$D$3:$D3996),0))</f>
        <v/>
      </c>
      <c r="C3400" s="5" t="str">
        <f t="array" ref="C3400">IF(B3400="","",INDEX(helper!$D$3:$D3996,MOD(ROW()-2,COUNTA(helper!$D$3:$D3996))+1))</f>
        <v/>
      </c>
      <c r="D3400" s="3" t="str">
        <f t="array" ref="D3400">IF(B3400="","",INDEX(helper!$E$3:$E3996,MOD(ROW()-2,COUNTA(helper!$D$3:$D3996))+1))</f>
        <v/>
      </c>
      <c r="E3400" s="3" t="str">
        <f t="array" ref="E3400">IF(B3400="","",INDEX(helper!$F$3:$F3996,MOD(ROW()-2,COUNTA(helper!$D$3:$D3996))+1))</f>
        <v/>
      </c>
      <c r="F3400" s="3" t="str">
        <f>IF(B3400="","",SUMIFS('inventory ledger'!$H:$H,'inventory ledger'!$C:$C,C3400,'inventory ledger'!$D:$D,D3400,'inventory ledger'!$E:$E,E3400,'inventory ledger'!$A:$A,"&lt;="&amp;B3400+TIME(23,59,59))-SUMIFS('inventory ledger'!$I:$I,'inventory ledger'!$C:$C,C3400,'inventory ledger'!$D:$D,D3400,'inventory ledger'!$E:$E,E3400,'inventory ledger'!$A:$A,"&lt;="&amp;B3400+TIME(23,59,59)))</f>
        <v/>
      </c>
      <c r="G3400" s="3">
        <f>IFERROR(__xludf.DUMMYFUNCTION("IF(F3400&lt;=0,0,IFERROR(ROUNDUP(F3400/INDEX(FILTER('warehouse config'!$D:$D,('warehouse config'!$B:$B=C3400)*('warehouse config'!$C:$C=D3400)*('warehouse config'!$G:$G&lt;=B3400)*(('warehouse config'!$H:$H&gt;=B3400)+ISBLANK('warehouse config'!$H:$H))),1)),0))"),0.0)</f>
        <v>0</v>
      </c>
      <c r="H3400" s="3">
        <f>IFERROR(__xludf.DUMMYFUNCTION("IFERROR(INDEX(FILTER('cost master'!$E:$E,('cost master'!$B:$B=C3400)*('cost master'!$D:$D=""Storage cost per pallet / week"")*('cost master'!$G:$G&lt;=B3400)*(('cost master'!$H:$H&gt;=B3400)+ISBLANK('cost master'!$H:$H))),1),0)"),0.0)</f>
        <v>0</v>
      </c>
      <c r="I3400" s="3">
        <f t="shared" si="4"/>
        <v>0</v>
      </c>
      <c r="J3400" s="27">
        <f t="shared" si="5"/>
        <v>693947</v>
      </c>
      <c r="K3400" s="27">
        <f t="shared" si="6"/>
        <v>693977</v>
      </c>
    </row>
    <row r="3401" hidden="1">
      <c r="A3401" s="3" t="str">
        <f t="shared" si="3"/>
        <v/>
      </c>
      <c r="B3401" s="2" t="str">
        <f t="array" ref="B3401">INDEX(helper!$A$3:$A3996,ROUNDUP((ROW()-1)/COUNTA(helper!$D$3:$D3996),0))</f>
        <v/>
      </c>
      <c r="C3401" s="5" t="str">
        <f t="array" ref="C3401">IF(B3401="","",INDEX(helper!$D$3:$D3996,MOD(ROW()-2,COUNTA(helper!$D$3:$D3996))+1))</f>
        <v/>
      </c>
      <c r="D3401" s="3" t="str">
        <f t="array" ref="D3401">IF(B3401="","",INDEX(helper!$E$3:$E3996,MOD(ROW()-2,COUNTA(helper!$D$3:$D3996))+1))</f>
        <v/>
      </c>
      <c r="E3401" s="3" t="str">
        <f t="array" ref="E3401">IF(B3401="","",INDEX(helper!$F$3:$F3996,MOD(ROW()-2,COUNTA(helper!$D$3:$D3996))+1))</f>
        <v/>
      </c>
      <c r="F3401" s="3" t="str">
        <f>IF(B3401="","",SUMIFS('inventory ledger'!$H:$H,'inventory ledger'!$C:$C,C3401,'inventory ledger'!$D:$D,D3401,'inventory ledger'!$E:$E,E3401,'inventory ledger'!$A:$A,"&lt;="&amp;B3401+TIME(23,59,59))-SUMIFS('inventory ledger'!$I:$I,'inventory ledger'!$C:$C,C3401,'inventory ledger'!$D:$D,D3401,'inventory ledger'!$E:$E,E3401,'inventory ledger'!$A:$A,"&lt;="&amp;B3401+TIME(23,59,59)))</f>
        <v/>
      </c>
      <c r="G3401" s="3">
        <f>IFERROR(__xludf.DUMMYFUNCTION("IF(F3401&lt;=0,0,IFERROR(ROUNDUP(F3401/INDEX(FILTER('warehouse config'!$D:$D,('warehouse config'!$B:$B=C3401)*('warehouse config'!$C:$C=D3401)*('warehouse config'!$G:$G&lt;=B3401)*(('warehouse config'!$H:$H&gt;=B3401)+ISBLANK('warehouse config'!$H:$H))),1)),0))"),0.0)</f>
        <v>0</v>
      </c>
      <c r="H3401" s="3">
        <f>IFERROR(__xludf.DUMMYFUNCTION("IFERROR(INDEX(FILTER('cost master'!$E:$E,('cost master'!$B:$B=C3401)*('cost master'!$D:$D=""Storage cost per pallet / week"")*('cost master'!$G:$G&lt;=B3401)*(('cost master'!$H:$H&gt;=B3401)+ISBLANK('cost master'!$H:$H))),1),0)"),0.0)</f>
        <v>0</v>
      </c>
      <c r="I3401" s="3">
        <f t="shared" si="4"/>
        <v>0</v>
      </c>
      <c r="J3401" s="27">
        <f t="shared" si="5"/>
        <v>693947</v>
      </c>
      <c r="K3401" s="27">
        <f t="shared" si="6"/>
        <v>693977</v>
      </c>
    </row>
    <row r="3402" hidden="1">
      <c r="A3402" s="3" t="str">
        <f t="shared" si="3"/>
        <v/>
      </c>
      <c r="B3402" s="2" t="str">
        <f t="array" ref="B3402">INDEX(helper!$A$3:$A3996,ROUNDUP((ROW()-1)/COUNTA(helper!$D$3:$D3996),0))</f>
        <v/>
      </c>
      <c r="C3402" s="5" t="str">
        <f t="array" ref="C3402">IF(B3402="","",INDEX(helper!$D$3:$D3996,MOD(ROW()-2,COUNTA(helper!$D$3:$D3996))+1))</f>
        <v/>
      </c>
      <c r="D3402" s="3" t="str">
        <f t="array" ref="D3402">IF(B3402="","",INDEX(helper!$E$3:$E3996,MOD(ROW()-2,COUNTA(helper!$D$3:$D3996))+1))</f>
        <v/>
      </c>
      <c r="E3402" s="3" t="str">
        <f t="array" ref="E3402">IF(B3402="","",INDEX(helper!$F$3:$F3996,MOD(ROW()-2,COUNTA(helper!$D$3:$D3996))+1))</f>
        <v/>
      </c>
      <c r="F3402" s="3" t="str">
        <f>IF(B3402="","",SUMIFS('inventory ledger'!$H:$H,'inventory ledger'!$C:$C,C3402,'inventory ledger'!$D:$D,D3402,'inventory ledger'!$E:$E,E3402,'inventory ledger'!$A:$A,"&lt;="&amp;B3402+TIME(23,59,59))-SUMIFS('inventory ledger'!$I:$I,'inventory ledger'!$C:$C,C3402,'inventory ledger'!$D:$D,D3402,'inventory ledger'!$E:$E,E3402,'inventory ledger'!$A:$A,"&lt;="&amp;B3402+TIME(23,59,59)))</f>
        <v/>
      </c>
      <c r="G3402" s="3">
        <f>IFERROR(__xludf.DUMMYFUNCTION("IF(F3402&lt;=0,0,IFERROR(ROUNDUP(F3402/INDEX(FILTER('warehouse config'!$D:$D,('warehouse config'!$B:$B=C3402)*('warehouse config'!$C:$C=D3402)*('warehouse config'!$G:$G&lt;=B3402)*(('warehouse config'!$H:$H&gt;=B3402)+ISBLANK('warehouse config'!$H:$H))),1)),0))"),0.0)</f>
        <v>0</v>
      </c>
      <c r="H3402" s="3">
        <f>IFERROR(__xludf.DUMMYFUNCTION("IFERROR(INDEX(FILTER('cost master'!$E:$E,('cost master'!$B:$B=C3402)*('cost master'!$D:$D=""Storage cost per pallet / week"")*('cost master'!$G:$G&lt;=B3402)*(('cost master'!$H:$H&gt;=B3402)+ISBLANK('cost master'!$H:$H))),1),0)"),0.0)</f>
        <v>0</v>
      </c>
      <c r="I3402" s="3">
        <f t="shared" si="4"/>
        <v>0</v>
      </c>
      <c r="J3402" s="27">
        <f t="shared" si="5"/>
        <v>693947</v>
      </c>
      <c r="K3402" s="27">
        <f t="shared" si="6"/>
        <v>693977</v>
      </c>
    </row>
    <row r="3403" hidden="1">
      <c r="A3403" s="3" t="str">
        <f t="shared" si="3"/>
        <v/>
      </c>
      <c r="B3403" s="2" t="str">
        <f t="array" ref="B3403">INDEX(helper!$A$3:$A3996,ROUNDUP((ROW()-1)/COUNTA(helper!$D$3:$D3996),0))</f>
        <v/>
      </c>
      <c r="C3403" s="5" t="str">
        <f t="array" ref="C3403">IF(B3403="","",INDEX(helper!$D$3:$D3996,MOD(ROW()-2,COUNTA(helper!$D$3:$D3996))+1))</f>
        <v/>
      </c>
      <c r="D3403" s="3" t="str">
        <f t="array" ref="D3403">IF(B3403="","",INDEX(helper!$E$3:$E3996,MOD(ROW()-2,COUNTA(helper!$D$3:$D3996))+1))</f>
        <v/>
      </c>
      <c r="E3403" s="3" t="str">
        <f t="array" ref="E3403">IF(B3403="","",INDEX(helper!$F$3:$F3996,MOD(ROW()-2,COUNTA(helper!$D$3:$D3996))+1))</f>
        <v/>
      </c>
      <c r="F3403" s="3" t="str">
        <f>IF(B3403="","",SUMIFS('inventory ledger'!$H:$H,'inventory ledger'!$C:$C,C3403,'inventory ledger'!$D:$D,D3403,'inventory ledger'!$E:$E,E3403,'inventory ledger'!$A:$A,"&lt;="&amp;B3403+TIME(23,59,59))-SUMIFS('inventory ledger'!$I:$I,'inventory ledger'!$C:$C,C3403,'inventory ledger'!$D:$D,D3403,'inventory ledger'!$E:$E,E3403,'inventory ledger'!$A:$A,"&lt;="&amp;B3403+TIME(23,59,59)))</f>
        <v/>
      </c>
      <c r="G3403" s="3">
        <f>IFERROR(__xludf.DUMMYFUNCTION("IF(F3403&lt;=0,0,IFERROR(ROUNDUP(F3403/INDEX(FILTER('warehouse config'!$D:$D,('warehouse config'!$B:$B=C3403)*('warehouse config'!$C:$C=D3403)*('warehouse config'!$G:$G&lt;=B3403)*(('warehouse config'!$H:$H&gt;=B3403)+ISBLANK('warehouse config'!$H:$H))),1)),0))"),0.0)</f>
        <v>0</v>
      </c>
      <c r="H3403" s="3">
        <f>IFERROR(__xludf.DUMMYFUNCTION("IFERROR(INDEX(FILTER('cost master'!$E:$E,('cost master'!$B:$B=C3403)*('cost master'!$D:$D=""Storage cost per pallet / week"")*('cost master'!$G:$G&lt;=B3403)*(('cost master'!$H:$H&gt;=B3403)+ISBLANK('cost master'!$H:$H))),1),0)"),0.0)</f>
        <v>0</v>
      </c>
      <c r="I3403" s="3">
        <f t="shared" si="4"/>
        <v>0</v>
      </c>
      <c r="J3403" s="27">
        <f t="shared" si="5"/>
        <v>693947</v>
      </c>
      <c r="K3403" s="27">
        <f t="shared" si="6"/>
        <v>693977</v>
      </c>
    </row>
    <row r="3404" hidden="1">
      <c r="A3404" s="3" t="str">
        <f t="shared" si="3"/>
        <v/>
      </c>
      <c r="B3404" s="2" t="str">
        <f t="array" ref="B3404">INDEX(helper!$A$3:$A3996,ROUNDUP((ROW()-1)/COUNTA(helper!$D$3:$D3996),0))</f>
        <v/>
      </c>
      <c r="C3404" s="5" t="str">
        <f t="array" ref="C3404">IF(B3404="","",INDEX(helper!$D$3:$D3996,MOD(ROW()-2,COUNTA(helper!$D$3:$D3996))+1))</f>
        <v/>
      </c>
      <c r="D3404" s="3" t="str">
        <f t="array" ref="D3404">IF(B3404="","",INDEX(helper!$E$3:$E3996,MOD(ROW()-2,COUNTA(helper!$D$3:$D3996))+1))</f>
        <v/>
      </c>
      <c r="E3404" s="3" t="str">
        <f t="array" ref="E3404">IF(B3404="","",INDEX(helper!$F$3:$F3996,MOD(ROW()-2,COUNTA(helper!$D$3:$D3996))+1))</f>
        <v/>
      </c>
      <c r="F3404" s="3" t="str">
        <f>IF(B3404="","",SUMIFS('inventory ledger'!$H:$H,'inventory ledger'!$C:$C,C3404,'inventory ledger'!$D:$D,D3404,'inventory ledger'!$E:$E,E3404,'inventory ledger'!$A:$A,"&lt;="&amp;B3404+TIME(23,59,59))-SUMIFS('inventory ledger'!$I:$I,'inventory ledger'!$C:$C,C3404,'inventory ledger'!$D:$D,D3404,'inventory ledger'!$E:$E,E3404,'inventory ledger'!$A:$A,"&lt;="&amp;B3404+TIME(23,59,59)))</f>
        <v/>
      </c>
      <c r="G3404" s="3">
        <f>IFERROR(__xludf.DUMMYFUNCTION("IF(F3404&lt;=0,0,IFERROR(ROUNDUP(F3404/INDEX(FILTER('warehouse config'!$D:$D,('warehouse config'!$B:$B=C3404)*('warehouse config'!$C:$C=D3404)*('warehouse config'!$G:$G&lt;=B3404)*(('warehouse config'!$H:$H&gt;=B3404)+ISBLANK('warehouse config'!$H:$H))),1)),0))"),0.0)</f>
        <v>0</v>
      </c>
      <c r="H3404" s="3">
        <f>IFERROR(__xludf.DUMMYFUNCTION("IFERROR(INDEX(FILTER('cost master'!$E:$E,('cost master'!$B:$B=C3404)*('cost master'!$D:$D=""Storage cost per pallet / week"")*('cost master'!$G:$G&lt;=B3404)*(('cost master'!$H:$H&gt;=B3404)+ISBLANK('cost master'!$H:$H))),1),0)"),0.0)</f>
        <v>0</v>
      </c>
      <c r="I3404" s="3">
        <f t="shared" si="4"/>
        <v>0</v>
      </c>
      <c r="J3404" s="27">
        <f t="shared" si="5"/>
        <v>693947</v>
      </c>
      <c r="K3404" s="27">
        <f t="shared" si="6"/>
        <v>693977</v>
      </c>
    </row>
    <row r="3405" hidden="1">
      <c r="A3405" s="3" t="str">
        <f t="shared" si="3"/>
        <v/>
      </c>
      <c r="B3405" s="2" t="str">
        <f t="array" ref="B3405">INDEX(helper!$A$3:$A3996,ROUNDUP((ROW()-1)/COUNTA(helper!$D$3:$D3996),0))</f>
        <v/>
      </c>
      <c r="C3405" s="5" t="str">
        <f t="array" ref="C3405">IF(B3405="","",INDEX(helper!$D$3:$D3996,MOD(ROW()-2,COUNTA(helper!$D$3:$D3996))+1))</f>
        <v/>
      </c>
      <c r="D3405" s="3" t="str">
        <f t="array" ref="D3405">IF(B3405="","",INDEX(helper!$E$3:$E3996,MOD(ROW()-2,COUNTA(helper!$D$3:$D3996))+1))</f>
        <v/>
      </c>
      <c r="E3405" s="3" t="str">
        <f t="array" ref="E3405">IF(B3405="","",INDEX(helper!$F$3:$F3996,MOD(ROW()-2,COUNTA(helper!$D$3:$D3996))+1))</f>
        <v/>
      </c>
      <c r="F3405" s="3" t="str">
        <f>IF(B3405="","",SUMIFS('inventory ledger'!$H:$H,'inventory ledger'!$C:$C,C3405,'inventory ledger'!$D:$D,D3405,'inventory ledger'!$E:$E,E3405,'inventory ledger'!$A:$A,"&lt;="&amp;B3405+TIME(23,59,59))-SUMIFS('inventory ledger'!$I:$I,'inventory ledger'!$C:$C,C3405,'inventory ledger'!$D:$D,D3405,'inventory ledger'!$E:$E,E3405,'inventory ledger'!$A:$A,"&lt;="&amp;B3405+TIME(23,59,59)))</f>
        <v/>
      </c>
      <c r="G3405" s="3">
        <f>IFERROR(__xludf.DUMMYFUNCTION("IF(F3405&lt;=0,0,IFERROR(ROUNDUP(F3405/INDEX(FILTER('warehouse config'!$D:$D,('warehouse config'!$B:$B=C3405)*('warehouse config'!$C:$C=D3405)*('warehouse config'!$G:$G&lt;=B3405)*(('warehouse config'!$H:$H&gt;=B3405)+ISBLANK('warehouse config'!$H:$H))),1)),0))"),0.0)</f>
        <v>0</v>
      </c>
      <c r="H3405" s="3">
        <f>IFERROR(__xludf.DUMMYFUNCTION("IFERROR(INDEX(FILTER('cost master'!$E:$E,('cost master'!$B:$B=C3405)*('cost master'!$D:$D=""Storage cost per pallet / week"")*('cost master'!$G:$G&lt;=B3405)*(('cost master'!$H:$H&gt;=B3405)+ISBLANK('cost master'!$H:$H))),1),0)"),0.0)</f>
        <v>0</v>
      </c>
      <c r="I3405" s="3">
        <f t="shared" si="4"/>
        <v>0</v>
      </c>
      <c r="J3405" s="27">
        <f t="shared" si="5"/>
        <v>693947</v>
      </c>
      <c r="K3405" s="27">
        <f t="shared" si="6"/>
        <v>693977</v>
      </c>
    </row>
    <row r="3406" hidden="1">
      <c r="A3406" s="3" t="str">
        <f t="shared" si="3"/>
        <v/>
      </c>
      <c r="B3406" s="2" t="str">
        <f t="array" ref="B3406">INDEX(helper!$A$3:$A3996,ROUNDUP((ROW()-1)/COUNTA(helper!$D$3:$D3996),0))</f>
        <v/>
      </c>
      <c r="C3406" s="5" t="str">
        <f t="array" ref="C3406">IF(B3406="","",INDEX(helper!$D$3:$D3996,MOD(ROW()-2,COUNTA(helper!$D$3:$D3996))+1))</f>
        <v/>
      </c>
      <c r="D3406" s="3" t="str">
        <f t="array" ref="D3406">IF(B3406="","",INDEX(helper!$E$3:$E3996,MOD(ROW()-2,COUNTA(helper!$D$3:$D3996))+1))</f>
        <v/>
      </c>
      <c r="E3406" s="3" t="str">
        <f t="array" ref="E3406">IF(B3406="","",INDEX(helper!$F$3:$F3996,MOD(ROW()-2,COUNTA(helper!$D$3:$D3996))+1))</f>
        <v/>
      </c>
      <c r="F3406" s="3" t="str">
        <f>IF(B3406="","",SUMIFS('inventory ledger'!$H:$H,'inventory ledger'!$C:$C,C3406,'inventory ledger'!$D:$D,D3406,'inventory ledger'!$E:$E,E3406,'inventory ledger'!$A:$A,"&lt;="&amp;B3406+TIME(23,59,59))-SUMIFS('inventory ledger'!$I:$I,'inventory ledger'!$C:$C,C3406,'inventory ledger'!$D:$D,D3406,'inventory ledger'!$E:$E,E3406,'inventory ledger'!$A:$A,"&lt;="&amp;B3406+TIME(23,59,59)))</f>
        <v/>
      </c>
      <c r="G3406" s="3">
        <f>IFERROR(__xludf.DUMMYFUNCTION("IF(F3406&lt;=0,0,IFERROR(ROUNDUP(F3406/INDEX(FILTER('warehouse config'!$D:$D,('warehouse config'!$B:$B=C3406)*('warehouse config'!$C:$C=D3406)*('warehouse config'!$G:$G&lt;=B3406)*(('warehouse config'!$H:$H&gt;=B3406)+ISBLANK('warehouse config'!$H:$H))),1)),0))"),0.0)</f>
        <v>0</v>
      </c>
      <c r="H3406" s="3">
        <f>IFERROR(__xludf.DUMMYFUNCTION("IFERROR(INDEX(FILTER('cost master'!$E:$E,('cost master'!$B:$B=C3406)*('cost master'!$D:$D=""Storage cost per pallet / week"")*('cost master'!$G:$G&lt;=B3406)*(('cost master'!$H:$H&gt;=B3406)+ISBLANK('cost master'!$H:$H))),1),0)"),0.0)</f>
        <v>0</v>
      </c>
      <c r="I3406" s="3">
        <f t="shared" si="4"/>
        <v>0</v>
      </c>
      <c r="J3406" s="27">
        <f t="shared" si="5"/>
        <v>693947</v>
      </c>
      <c r="K3406" s="27">
        <f t="shared" si="6"/>
        <v>693977</v>
      </c>
    </row>
    <row r="3407" hidden="1">
      <c r="A3407" s="3" t="str">
        <f t="shared" si="3"/>
        <v/>
      </c>
      <c r="B3407" s="2" t="str">
        <f t="array" ref="B3407">INDEX(helper!$A$3:$A3996,ROUNDUP((ROW()-1)/COUNTA(helper!$D$3:$D3996),0))</f>
        <v/>
      </c>
      <c r="C3407" s="5" t="str">
        <f t="array" ref="C3407">IF(B3407="","",INDEX(helper!$D$3:$D3996,MOD(ROW()-2,COUNTA(helper!$D$3:$D3996))+1))</f>
        <v/>
      </c>
      <c r="D3407" s="3" t="str">
        <f t="array" ref="D3407">IF(B3407="","",INDEX(helper!$E$3:$E3996,MOD(ROW()-2,COUNTA(helper!$D$3:$D3996))+1))</f>
        <v/>
      </c>
      <c r="E3407" s="3" t="str">
        <f t="array" ref="E3407">IF(B3407="","",INDEX(helper!$F$3:$F3996,MOD(ROW()-2,COUNTA(helper!$D$3:$D3996))+1))</f>
        <v/>
      </c>
      <c r="F3407" s="3" t="str">
        <f>IF(B3407="","",SUMIFS('inventory ledger'!$H:$H,'inventory ledger'!$C:$C,C3407,'inventory ledger'!$D:$D,D3407,'inventory ledger'!$E:$E,E3407,'inventory ledger'!$A:$A,"&lt;="&amp;B3407+TIME(23,59,59))-SUMIFS('inventory ledger'!$I:$I,'inventory ledger'!$C:$C,C3407,'inventory ledger'!$D:$D,D3407,'inventory ledger'!$E:$E,E3407,'inventory ledger'!$A:$A,"&lt;="&amp;B3407+TIME(23,59,59)))</f>
        <v/>
      </c>
      <c r="G3407" s="3">
        <f>IFERROR(__xludf.DUMMYFUNCTION("IF(F3407&lt;=0,0,IFERROR(ROUNDUP(F3407/INDEX(FILTER('warehouse config'!$D:$D,('warehouse config'!$B:$B=C3407)*('warehouse config'!$C:$C=D3407)*('warehouse config'!$G:$G&lt;=B3407)*(('warehouse config'!$H:$H&gt;=B3407)+ISBLANK('warehouse config'!$H:$H))),1)),0))"),0.0)</f>
        <v>0</v>
      </c>
      <c r="H3407" s="3">
        <f>IFERROR(__xludf.DUMMYFUNCTION("IFERROR(INDEX(FILTER('cost master'!$E:$E,('cost master'!$B:$B=C3407)*('cost master'!$D:$D=""Storage cost per pallet / week"")*('cost master'!$G:$G&lt;=B3407)*(('cost master'!$H:$H&gt;=B3407)+ISBLANK('cost master'!$H:$H))),1),0)"),0.0)</f>
        <v>0</v>
      </c>
      <c r="I3407" s="3">
        <f t="shared" si="4"/>
        <v>0</v>
      </c>
      <c r="J3407" s="27">
        <f t="shared" si="5"/>
        <v>693947</v>
      </c>
      <c r="K3407" s="27">
        <f t="shared" si="6"/>
        <v>693977</v>
      </c>
    </row>
    <row r="3408" hidden="1">
      <c r="A3408" s="3" t="str">
        <f t="shared" si="3"/>
        <v/>
      </c>
      <c r="B3408" s="2" t="str">
        <f t="array" ref="B3408">INDEX(helper!$A$3:$A3996,ROUNDUP((ROW()-1)/COUNTA(helper!$D$3:$D3996),0))</f>
        <v/>
      </c>
      <c r="C3408" s="5" t="str">
        <f t="array" ref="C3408">IF(B3408="","",INDEX(helper!$D$3:$D3996,MOD(ROW()-2,COUNTA(helper!$D$3:$D3996))+1))</f>
        <v/>
      </c>
      <c r="D3408" s="3" t="str">
        <f t="array" ref="D3408">IF(B3408="","",INDEX(helper!$E$3:$E3996,MOD(ROW()-2,COUNTA(helper!$D$3:$D3996))+1))</f>
        <v/>
      </c>
      <c r="E3408" s="3" t="str">
        <f t="array" ref="E3408">IF(B3408="","",INDEX(helper!$F$3:$F3996,MOD(ROW()-2,COUNTA(helper!$D$3:$D3996))+1))</f>
        <v/>
      </c>
      <c r="F3408" s="3" t="str">
        <f>IF(B3408="","",SUMIFS('inventory ledger'!$H:$H,'inventory ledger'!$C:$C,C3408,'inventory ledger'!$D:$D,D3408,'inventory ledger'!$E:$E,E3408,'inventory ledger'!$A:$A,"&lt;="&amp;B3408+TIME(23,59,59))-SUMIFS('inventory ledger'!$I:$I,'inventory ledger'!$C:$C,C3408,'inventory ledger'!$D:$D,D3408,'inventory ledger'!$E:$E,E3408,'inventory ledger'!$A:$A,"&lt;="&amp;B3408+TIME(23,59,59)))</f>
        <v/>
      </c>
      <c r="G3408" s="3">
        <f>IFERROR(__xludf.DUMMYFUNCTION("IF(F3408&lt;=0,0,IFERROR(ROUNDUP(F3408/INDEX(FILTER('warehouse config'!$D:$D,('warehouse config'!$B:$B=C3408)*('warehouse config'!$C:$C=D3408)*('warehouse config'!$G:$G&lt;=B3408)*(('warehouse config'!$H:$H&gt;=B3408)+ISBLANK('warehouse config'!$H:$H))),1)),0))"),0.0)</f>
        <v>0</v>
      </c>
      <c r="H3408" s="3">
        <f>IFERROR(__xludf.DUMMYFUNCTION("IFERROR(INDEX(FILTER('cost master'!$E:$E,('cost master'!$B:$B=C3408)*('cost master'!$D:$D=""Storage cost per pallet / week"")*('cost master'!$G:$G&lt;=B3408)*(('cost master'!$H:$H&gt;=B3408)+ISBLANK('cost master'!$H:$H))),1),0)"),0.0)</f>
        <v>0</v>
      </c>
      <c r="I3408" s="3">
        <f t="shared" si="4"/>
        <v>0</v>
      </c>
      <c r="J3408" s="27">
        <f t="shared" si="5"/>
        <v>693947</v>
      </c>
      <c r="K3408" s="27">
        <f t="shared" si="6"/>
        <v>693977</v>
      </c>
    </row>
    <row r="3409" hidden="1">
      <c r="A3409" s="3" t="str">
        <f t="shared" si="3"/>
        <v/>
      </c>
      <c r="B3409" s="2" t="str">
        <f t="array" ref="B3409">INDEX(helper!$A$3:$A3996,ROUNDUP((ROW()-1)/COUNTA(helper!$D$3:$D3996),0))</f>
        <v/>
      </c>
      <c r="C3409" s="5" t="str">
        <f t="array" ref="C3409">IF(B3409="","",INDEX(helper!$D$3:$D3996,MOD(ROW()-2,COUNTA(helper!$D$3:$D3996))+1))</f>
        <v/>
      </c>
      <c r="D3409" s="3" t="str">
        <f t="array" ref="D3409">IF(B3409="","",INDEX(helper!$E$3:$E3996,MOD(ROW()-2,COUNTA(helper!$D$3:$D3996))+1))</f>
        <v/>
      </c>
      <c r="E3409" s="3" t="str">
        <f t="array" ref="E3409">IF(B3409="","",INDEX(helper!$F$3:$F3996,MOD(ROW()-2,COUNTA(helper!$D$3:$D3996))+1))</f>
        <v/>
      </c>
      <c r="F3409" s="3" t="str">
        <f>IF(B3409="","",SUMIFS('inventory ledger'!$H:$H,'inventory ledger'!$C:$C,C3409,'inventory ledger'!$D:$D,D3409,'inventory ledger'!$E:$E,E3409,'inventory ledger'!$A:$A,"&lt;="&amp;B3409+TIME(23,59,59))-SUMIFS('inventory ledger'!$I:$I,'inventory ledger'!$C:$C,C3409,'inventory ledger'!$D:$D,D3409,'inventory ledger'!$E:$E,E3409,'inventory ledger'!$A:$A,"&lt;="&amp;B3409+TIME(23,59,59)))</f>
        <v/>
      </c>
      <c r="G3409" s="3">
        <f>IFERROR(__xludf.DUMMYFUNCTION("IF(F3409&lt;=0,0,IFERROR(ROUNDUP(F3409/INDEX(FILTER('warehouse config'!$D:$D,('warehouse config'!$B:$B=C3409)*('warehouse config'!$C:$C=D3409)*('warehouse config'!$G:$G&lt;=B3409)*(('warehouse config'!$H:$H&gt;=B3409)+ISBLANK('warehouse config'!$H:$H))),1)),0))"),0.0)</f>
        <v>0</v>
      </c>
      <c r="H3409" s="3">
        <f>IFERROR(__xludf.DUMMYFUNCTION("IFERROR(INDEX(FILTER('cost master'!$E:$E,('cost master'!$B:$B=C3409)*('cost master'!$D:$D=""Storage cost per pallet / week"")*('cost master'!$G:$G&lt;=B3409)*(('cost master'!$H:$H&gt;=B3409)+ISBLANK('cost master'!$H:$H))),1),0)"),0.0)</f>
        <v>0</v>
      </c>
      <c r="I3409" s="3">
        <f t="shared" si="4"/>
        <v>0</v>
      </c>
      <c r="J3409" s="27">
        <f t="shared" si="5"/>
        <v>693947</v>
      </c>
      <c r="K3409" s="27">
        <f t="shared" si="6"/>
        <v>693977</v>
      </c>
    </row>
    <row r="3410" hidden="1">
      <c r="A3410" s="3" t="str">
        <f t="shared" si="3"/>
        <v/>
      </c>
      <c r="B3410" s="2" t="str">
        <f t="array" ref="B3410">INDEX(helper!$A$3:$A3996,ROUNDUP((ROW()-1)/COUNTA(helper!$D$3:$D3996),0))</f>
        <v/>
      </c>
      <c r="C3410" s="5" t="str">
        <f t="array" ref="C3410">IF(B3410="","",INDEX(helper!$D$3:$D3996,MOD(ROW()-2,COUNTA(helper!$D$3:$D3996))+1))</f>
        <v/>
      </c>
      <c r="D3410" s="3" t="str">
        <f t="array" ref="D3410">IF(B3410="","",INDEX(helper!$E$3:$E3996,MOD(ROW()-2,COUNTA(helper!$D$3:$D3996))+1))</f>
        <v/>
      </c>
      <c r="E3410" s="3" t="str">
        <f t="array" ref="E3410">IF(B3410="","",INDEX(helper!$F$3:$F3996,MOD(ROW()-2,COUNTA(helper!$D$3:$D3996))+1))</f>
        <v/>
      </c>
      <c r="F3410" s="3" t="str">
        <f>IF(B3410="","",SUMIFS('inventory ledger'!$H:$H,'inventory ledger'!$C:$C,C3410,'inventory ledger'!$D:$D,D3410,'inventory ledger'!$E:$E,E3410,'inventory ledger'!$A:$A,"&lt;="&amp;B3410+TIME(23,59,59))-SUMIFS('inventory ledger'!$I:$I,'inventory ledger'!$C:$C,C3410,'inventory ledger'!$D:$D,D3410,'inventory ledger'!$E:$E,E3410,'inventory ledger'!$A:$A,"&lt;="&amp;B3410+TIME(23,59,59)))</f>
        <v/>
      </c>
      <c r="G3410" s="3">
        <f>IFERROR(__xludf.DUMMYFUNCTION("IF(F3410&lt;=0,0,IFERROR(ROUNDUP(F3410/INDEX(FILTER('warehouse config'!$D:$D,('warehouse config'!$B:$B=C3410)*('warehouse config'!$C:$C=D3410)*('warehouse config'!$G:$G&lt;=B3410)*(('warehouse config'!$H:$H&gt;=B3410)+ISBLANK('warehouse config'!$H:$H))),1)),0))"),0.0)</f>
        <v>0</v>
      </c>
      <c r="H3410" s="3">
        <f>IFERROR(__xludf.DUMMYFUNCTION("IFERROR(INDEX(FILTER('cost master'!$E:$E,('cost master'!$B:$B=C3410)*('cost master'!$D:$D=""Storage cost per pallet / week"")*('cost master'!$G:$G&lt;=B3410)*(('cost master'!$H:$H&gt;=B3410)+ISBLANK('cost master'!$H:$H))),1),0)"),0.0)</f>
        <v>0</v>
      </c>
      <c r="I3410" s="3">
        <f t="shared" si="4"/>
        <v>0</v>
      </c>
      <c r="J3410" s="27">
        <f t="shared" si="5"/>
        <v>693947</v>
      </c>
      <c r="K3410" s="27">
        <f t="shared" si="6"/>
        <v>693977</v>
      </c>
    </row>
    <row r="3411" hidden="1">
      <c r="A3411" s="3" t="str">
        <f t="shared" si="3"/>
        <v/>
      </c>
      <c r="B3411" s="2" t="str">
        <f t="array" ref="B3411">INDEX(helper!$A$3:$A3996,ROUNDUP((ROW()-1)/COUNTA(helper!$D$3:$D3996),0))</f>
        <v/>
      </c>
      <c r="C3411" s="5" t="str">
        <f t="array" ref="C3411">IF(B3411="","",INDEX(helper!$D$3:$D3996,MOD(ROW()-2,COUNTA(helper!$D$3:$D3996))+1))</f>
        <v/>
      </c>
      <c r="D3411" s="3" t="str">
        <f t="array" ref="D3411">IF(B3411="","",INDEX(helper!$E$3:$E3996,MOD(ROW()-2,COUNTA(helper!$D$3:$D3996))+1))</f>
        <v/>
      </c>
      <c r="E3411" s="3" t="str">
        <f t="array" ref="E3411">IF(B3411="","",INDEX(helper!$F$3:$F3996,MOD(ROW()-2,COUNTA(helper!$D$3:$D3996))+1))</f>
        <v/>
      </c>
      <c r="F3411" s="3" t="str">
        <f>IF(B3411="","",SUMIFS('inventory ledger'!$H:$H,'inventory ledger'!$C:$C,C3411,'inventory ledger'!$D:$D,D3411,'inventory ledger'!$E:$E,E3411,'inventory ledger'!$A:$A,"&lt;="&amp;B3411+TIME(23,59,59))-SUMIFS('inventory ledger'!$I:$I,'inventory ledger'!$C:$C,C3411,'inventory ledger'!$D:$D,D3411,'inventory ledger'!$E:$E,E3411,'inventory ledger'!$A:$A,"&lt;="&amp;B3411+TIME(23,59,59)))</f>
        <v/>
      </c>
      <c r="G3411" s="3">
        <f>IFERROR(__xludf.DUMMYFUNCTION("IF(F3411&lt;=0,0,IFERROR(ROUNDUP(F3411/INDEX(FILTER('warehouse config'!$D:$D,('warehouse config'!$B:$B=C3411)*('warehouse config'!$C:$C=D3411)*('warehouse config'!$G:$G&lt;=B3411)*(('warehouse config'!$H:$H&gt;=B3411)+ISBLANK('warehouse config'!$H:$H))),1)),0))"),0.0)</f>
        <v>0</v>
      </c>
      <c r="H3411" s="3">
        <f>IFERROR(__xludf.DUMMYFUNCTION("IFERROR(INDEX(FILTER('cost master'!$E:$E,('cost master'!$B:$B=C3411)*('cost master'!$D:$D=""Storage cost per pallet / week"")*('cost master'!$G:$G&lt;=B3411)*(('cost master'!$H:$H&gt;=B3411)+ISBLANK('cost master'!$H:$H))),1),0)"),0.0)</f>
        <v>0</v>
      </c>
      <c r="I3411" s="3">
        <f t="shared" si="4"/>
        <v>0</v>
      </c>
      <c r="J3411" s="27">
        <f t="shared" si="5"/>
        <v>693947</v>
      </c>
      <c r="K3411" s="27">
        <f t="shared" si="6"/>
        <v>693977</v>
      </c>
    </row>
    <row r="3412" hidden="1">
      <c r="A3412" s="3" t="str">
        <f t="shared" si="3"/>
        <v/>
      </c>
      <c r="B3412" s="2" t="str">
        <f t="array" ref="B3412">INDEX(helper!$A$3:$A3996,ROUNDUP((ROW()-1)/COUNTA(helper!$D$3:$D3996),0))</f>
        <v/>
      </c>
      <c r="C3412" s="5" t="str">
        <f t="array" ref="C3412">IF(B3412="","",INDEX(helper!$D$3:$D3996,MOD(ROW()-2,COUNTA(helper!$D$3:$D3996))+1))</f>
        <v/>
      </c>
      <c r="D3412" s="3" t="str">
        <f t="array" ref="D3412">IF(B3412="","",INDEX(helper!$E$3:$E3996,MOD(ROW()-2,COUNTA(helper!$D$3:$D3996))+1))</f>
        <v/>
      </c>
      <c r="E3412" s="3" t="str">
        <f t="array" ref="E3412">IF(B3412="","",INDEX(helper!$F$3:$F3996,MOD(ROW()-2,COUNTA(helper!$D$3:$D3996))+1))</f>
        <v/>
      </c>
      <c r="F3412" s="3" t="str">
        <f>IF(B3412="","",SUMIFS('inventory ledger'!$H:$H,'inventory ledger'!$C:$C,C3412,'inventory ledger'!$D:$D,D3412,'inventory ledger'!$E:$E,E3412,'inventory ledger'!$A:$A,"&lt;="&amp;B3412+TIME(23,59,59))-SUMIFS('inventory ledger'!$I:$I,'inventory ledger'!$C:$C,C3412,'inventory ledger'!$D:$D,D3412,'inventory ledger'!$E:$E,E3412,'inventory ledger'!$A:$A,"&lt;="&amp;B3412+TIME(23,59,59)))</f>
        <v/>
      </c>
      <c r="G3412" s="3">
        <f>IFERROR(__xludf.DUMMYFUNCTION("IF(F3412&lt;=0,0,IFERROR(ROUNDUP(F3412/INDEX(FILTER('warehouse config'!$D:$D,('warehouse config'!$B:$B=C3412)*('warehouse config'!$C:$C=D3412)*('warehouse config'!$G:$G&lt;=B3412)*(('warehouse config'!$H:$H&gt;=B3412)+ISBLANK('warehouse config'!$H:$H))),1)),0))"),0.0)</f>
        <v>0</v>
      </c>
      <c r="H3412" s="3">
        <f>IFERROR(__xludf.DUMMYFUNCTION("IFERROR(INDEX(FILTER('cost master'!$E:$E,('cost master'!$B:$B=C3412)*('cost master'!$D:$D=""Storage cost per pallet / week"")*('cost master'!$G:$G&lt;=B3412)*(('cost master'!$H:$H&gt;=B3412)+ISBLANK('cost master'!$H:$H))),1),0)"),0.0)</f>
        <v>0</v>
      </c>
      <c r="I3412" s="3">
        <f t="shared" si="4"/>
        <v>0</v>
      </c>
      <c r="J3412" s="27">
        <f t="shared" si="5"/>
        <v>693947</v>
      </c>
      <c r="K3412" s="27">
        <f t="shared" si="6"/>
        <v>693977</v>
      </c>
    </row>
    <row r="3413" hidden="1">
      <c r="A3413" s="3" t="str">
        <f t="shared" si="3"/>
        <v/>
      </c>
      <c r="B3413" s="2" t="str">
        <f t="array" ref="B3413">INDEX(helper!$A$3:$A3996,ROUNDUP((ROW()-1)/COUNTA(helper!$D$3:$D3996),0))</f>
        <v/>
      </c>
      <c r="C3413" s="5" t="str">
        <f t="array" ref="C3413">IF(B3413="","",INDEX(helper!$D$3:$D3996,MOD(ROW()-2,COUNTA(helper!$D$3:$D3996))+1))</f>
        <v/>
      </c>
      <c r="D3413" s="3" t="str">
        <f t="array" ref="D3413">IF(B3413="","",INDEX(helper!$E$3:$E3996,MOD(ROW()-2,COUNTA(helper!$D$3:$D3996))+1))</f>
        <v/>
      </c>
      <c r="E3413" s="3" t="str">
        <f t="array" ref="E3413">IF(B3413="","",INDEX(helper!$F$3:$F3996,MOD(ROW()-2,COUNTA(helper!$D$3:$D3996))+1))</f>
        <v/>
      </c>
      <c r="F3413" s="3" t="str">
        <f>IF(B3413="","",SUMIFS('inventory ledger'!$H:$H,'inventory ledger'!$C:$C,C3413,'inventory ledger'!$D:$D,D3413,'inventory ledger'!$E:$E,E3413,'inventory ledger'!$A:$A,"&lt;="&amp;B3413+TIME(23,59,59))-SUMIFS('inventory ledger'!$I:$I,'inventory ledger'!$C:$C,C3413,'inventory ledger'!$D:$D,D3413,'inventory ledger'!$E:$E,E3413,'inventory ledger'!$A:$A,"&lt;="&amp;B3413+TIME(23,59,59)))</f>
        <v/>
      </c>
      <c r="G3413" s="3">
        <f>IFERROR(__xludf.DUMMYFUNCTION("IF(F3413&lt;=0,0,IFERROR(ROUNDUP(F3413/INDEX(FILTER('warehouse config'!$D:$D,('warehouse config'!$B:$B=C3413)*('warehouse config'!$C:$C=D3413)*('warehouse config'!$G:$G&lt;=B3413)*(('warehouse config'!$H:$H&gt;=B3413)+ISBLANK('warehouse config'!$H:$H))),1)),0))"),0.0)</f>
        <v>0</v>
      </c>
      <c r="H3413" s="3">
        <f>IFERROR(__xludf.DUMMYFUNCTION("IFERROR(INDEX(FILTER('cost master'!$E:$E,('cost master'!$B:$B=C3413)*('cost master'!$D:$D=""Storage cost per pallet / week"")*('cost master'!$G:$G&lt;=B3413)*(('cost master'!$H:$H&gt;=B3413)+ISBLANK('cost master'!$H:$H))),1),0)"),0.0)</f>
        <v>0</v>
      </c>
      <c r="I3413" s="3">
        <f t="shared" si="4"/>
        <v>0</v>
      </c>
      <c r="J3413" s="27">
        <f t="shared" si="5"/>
        <v>693947</v>
      </c>
      <c r="K3413" s="27">
        <f t="shared" si="6"/>
        <v>693977</v>
      </c>
    </row>
    <row r="3414" hidden="1">
      <c r="A3414" s="3" t="str">
        <f t="shared" si="3"/>
        <v/>
      </c>
      <c r="B3414" s="2" t="str">
        <f t="array" ref="B3414">INDEX(helper!$A$3:$A3996,ROUNDUP((ROW()-1)/COUNTA(helper!$D$3:$D3996),0))</f>
        <v/>
      </c>
      <c r="C3414" s="5" t="str">
        <f t="array" ref="C3414">IF(B3414="","",INDEX(helper!$D$3:$D3996,MOD(ROW()-2,COUNTA(helper!$D$3:$D3996))+1))</f>
        <v/>
      </c>
      <c r="D3414" s="3" t="str">
        <f t="array" ref="D3414">IF(B3414="","",INDEX(helper!$E$3:$E3996,MOD(ROW()-2,COUNTA(helper!$D$3:$D3996))+1))</f>
        <v/>
      </c>
      <c r="E3414" s="3" t="str">
        <f t="array" ref="E3414">IF(B3414="","",INDEX(helper!$F$3:$F3996,MOD(ROW()-2,COUNTA(helper!$D$3:$D3996))+1))</f>
        <v/>
      </c>
      <c r="F3414" s="3" t="str">
        <f>IF(B3414="","",SUMIFS('inventory ledger'!$H:$H,'inventory ledger'!$C:$C,C3414,'inventory ledger'!$D:$D,D3414,'inventory ledger'!$E:$E,E3414,'inventory ledger'!$A:$A,"&lt;="&amp;B3414+TIME(23,59,59))-SUMIFS('inventory ledger'!$I:$I,'inventory ledger'!$C:$C,C3414,'inventory ledger'!$D:$D,D3414,'inventory ledger'!$E:$E,E3414,'inventory ledger'!$A:$A,"&lt;="&amp;B3414+TIME(23,59,59)))</f>
        <v/>
      </c>
      <c r="G3414" s="3">
        <f>IFERROR(__xludf.DUMMYFUNCTION("IF(F3414&lt;=0,0,IFERROR(ROUNDUP(F3414/INDEX(FILTER('warehouse config'!$D:$D,('warehouse config'!$B:$B=C3414)*('warehouse config'!$C:$C=D3414)*('warehouse config'!$G:$G&lt;=B3414)*(('warehouse config'!$H:$H&gt;=B3414)+ISBLANK('warehouse config'!$H:$H))),1)),0))"),0.0)</f>
        <v>0</v>
      </c>
      <c r="H3414" s="3">
        <f>IFERROR(__xludf.DUMMYFUNCTION("IFERROR(INDEX(FILTER('cost master'!$E:$E,('cost master'!$B:$B=C3414)*('cost master'!$D:$D=""Storage cost per pallet / week"")*('cost master'!$G:$G&lt;=B3414)*(('cost master'!$H:$H&gt;=B3414)+ISBLANK('cost master'!$H:$H))),1),0)"),0.0)</f>
        <v>0</v>
      </c>
      <c r="I3414" s="3">
        <f t="shared" si="4"/>
        <v>0</v>
      </c>
      <c r="J3414" s="27">
        <f t="shared" si="5"/>
        <v>693947</v>
      </c>
      <c r="K3414" s="27">
        <f t="shared" si="6"/>
        <v>693977</v>
      </c>
    </row>
    <row r="3415" hidden="1">
      <c r="A3415" s="3" t="str">
        <f t="shared" si="3"/>
        <v/>
      </c>
      <c r="B3415" s="2" t="str">
        <f t="array" ref="B3415">INDEX(helper!$A$3:$A3996,ROUNDUP((ROW()-1)/COUNTA(helper!$D$3:$D3996),0))</f>
        <v/>
      </c>
      <c r="C3415" s="5" t="str">
        <f t="array" ref="C3415">IF(B3415="","",INDEX(helper!$D$3:$D3996,MOD(ROW()-2,COUNTA(helper!$D$3:$D3996))+1))</f>
        <v/>
      </c>
      <c r="D3415" s="3" t="str">
        <f t="array" ref="D3415">IF(B3415="","",INDEX(helper!$E$3:$E3996,MOD(ROW()-2,COUNTA(helper!$D$3:$D3996))+1))</f>
        <v/>
      </c>
      <c r="E3415" s="3" t="str">
        <f t="array" ref="E3415">IF(B3415="","",INDEX(helper!$F$3:$F3996,MOD(ROW()-2,COUNTA(helper!$D$3:$D3996))+1))</f>
        <v/>
      </c>
      <c r="F3415" s="3" t="str">
        <f>IF(B3415="","",SUMIFS('inventory ledger'!$H:$H,'inventory ledger'!$C:$C,C3415,'inventory ledger'!$D:$D,D3415,'inventory ledger'!$E:$E,E3415,'inventory ledger'!$A:$A,"&lt;="&amp;B3415+TIME(23,59,59))-SUMIFS('inventory ledger'!$I:$I,'inventory ledger'!$C:$C,C3415,'inventory ledger'!$D:$D,D3415,'inventory ledger'!$E:$E,E3415,'inventory ledger'!$A:$A,"&lt;="&amp;B3415+TIME(23,59,59)))</f>
        <v/>
      </c>
      <c r="G3415" s="3">
        <f>IFERROR(__xludf.DUMMYFUNCTION("IF(F3415&lt;=0,0,IFERROR(ROUNDUP(F3415/INDEX(FILTER('warehouse config'!$D:$D,('warehouse config'!$B:$B=C3415)*('warehouse config'!$C:$C=D3415)*('warehouse config'!$G:$G&lt;=B3415)*(('warehouse config'!$H:$H&gt;=B3415)+ISBLANK('warehouse config'!$H:$H))),1)),0))"),0.0)</f>
        <v>0</v>
      </c>
      <c r="H3415" s="3">
        <f>IFERROR(__xludf.DUMMYFUNCTION("IFERROR(INDEX(FILTER('cost master'!$E:$E,('cost master'!$B:$B=C3415)*('cost master'!$D:$D=""Storage cost per pallet / week"")*('cost master'!$G:$G&lt;=B3415)*(('cost master'!$H:$H&gt;=B3415)+ISBLANK('cost master'!$H:$H))),1),0)"),0.0)</f>
        <v>0</v>
      </c>
      <c r="I3415" s="3">
        <f t="shared" si="4"/>
        <v>0</v>
      </c>
      <c r="J3415" s="27">
        <f t="shared" si="5"/>
        <v>693947</v>
      </c>
      <c r="K3415" s="27">
        <f t="shared" si="6"/>
        <v>693977</v>
      </c>
    </row>
    <row r="3416" hidden="1">
      <c r="A3416" s="3" t="str">
        <f t="shared" si="3"/>
        <v/>
      </c>
      <c r="B3416" s="2" t="str">
        <f t="array" ref="B3416">INDEX(helper!$A$3:$A3996,ROUNDUP((ROW()-1)/COUNTA(helper!$D$3:$D3996),0))</f>
        <v/>
      </c>
      <c r="C3416" s="5" t="str">
        <f t="array" ref="C3416">IF(B3416="","",INDEX(helper!$D$3:$D3996,MOD(ROW()-2,COUNTA(helper!$D$3:$D3996))+1))</f>
        <v/>
      </c>
      <c r="D3416" s="3" t="str">
        <f t="array" ref="D3416">IF(B3416="","",INDEX(helper!$E$3:$E3996,MOD(ROW()-2,COUNTA(helper!$D$3:$D3996))+1))</f>
        <v/>
      </c>
      <c r="E3416" s="3" t="str">
        <f t="array" ref="E3416">IF(B3416="","",INDEX(helper!$F$3:$F3996,MOD(ROW()-2,COUNTA(helper!$D$3:$D3996))+1))</f>
        <v/>
      </c>
      <c r="F3416" s="3" t="str">
        <f>IF(B3416="","",SUMIFS('inventory ledger'!$H:$H,'inventory ledger'!$C:$C,C3416,'inventory ledger'!$D:$D,D3416,'inventory ledger'!$E:$E,E3416,'inventory ledger'!$A:$A,"&lt;="&amp;B3416+TIME(23,59,59))-SUMIFS('inventory ledger'!$I:$I,'inventory ledger'!$C:$C,C3416,'inventory ledger'!$D:$D,D3416,'inventory ledger'!$E:$E,E3416,'inventory ledger'!$A:$A,"&lt;="&amp;B3416+TIME(23,59,59)))</f>
        <v/>
      </c>
      <c r="G3416" s="3">
        <f>IFERROR(__xludf.DUMMYFUNCTION("IF(F3416&lt;=0,0,IFERROR(ROUNDUP(F3416/INDEX(FILTER('warehouse config'!$D:$D,('warehouse config'!$B:$B=C3416)*('warehouse config'!$C:$C=D3416)*('warehouse config'!$G:$G&lt;=B3416)*(('warehouse config'!$H:$H&gt;=B3416)+ISBLANK('warehouse config'!$H:$H))),1)),0))"),0.0)</f>
        <v>0</v>
      </c>
      <c r="H3416" s="3">
        <f>IFERROR(__xludf.DUMMYFUNCTION("IFERROR(INDEX(FILTER('cost master'!$E:$E,('cost master'!$B:$B=C3416)*('cost master'!$D:$D=""Storage cost per pallet / week"")*('cost master'!$G:$G&lt;=B3416)*(('cost master'!$H:$H&gt;=B3416)+ISBLANK('cost master'!$H:$H))),1),0)"),0.0)</f>
        <v>0</v>
      </c>
      <c r="I3416" s="3">
        <f t="shared" si="4"/>
        <v>0</v>
      </c>
      <c r="J3416" s="27">
        <f t="shared" si="5"/>
        <v>693947</v>
      </c>
      <c r="K3416" s="27">
        <f t="shared" si="6"/>
        <v>693977</v>
      </c>
    </row>
    <row r="3417" hidden="1">
      <c r="A3417" s="3" t="str">
        <f t="shared" si="3"/>
        <v/>
      </c>
      <c r="B3417" s="2" t="str">
        <f t="array" ref="B3417">INDEX(helper!$A$3:$A3996,ROUNDUP((ROW()-1)/COUNTA(helper!$D$3:$D3996),0))</f>
        <v/>
      </c>
      <c r="C3417" s="5" t="str">
        <f t="array" ref="C3417">IF(B3417="","",INDEX(helper!$D$3:$D3996,MOD(ROW()-2,COUNTA(helper!$D$3:$D3996))+1))</f>
        <v/>
      </c>
      <c r="D3417" s="3" t="str">
        <f t="array" ref="D3417">IF(B3417="","",INDEX(helper!$E$3:$E3996,MOD(ROW()-2,COUNTA(helper!$D$3:$D3996))+1))</f>
        <v/>
      </c>
      <c r="E3417" s="3" t="str">
        <f t="array" ref="E3417">IF(B3417="","",INDEX(helper!$F$3:$F3996,MOD(ROW()-2,COUNTA(helper!$D$3:$D3996))+1))</f>
        <v/>
      </c>
      <c r="F3417" s="3" t="str">
        <f>IF(B3417="","",SUMIFS('inventory ledger'!$H:$H,'inventory ledger'!$C:$C,C3417,'inventory ledger'!$D:$D,D3417,'inventory ledger'!$E:$E,E3417,'inventory ledger'!$A:$A,"&lt;="&amp;B3417+TIME(23,59,59))-SUMIFS('inventory ledger'!$I:$I,'inventory ledger'!$C:$C,C3417,'inventory ledger'!$D:$D,D3417,'inventory ledger'!$E:$E,E3417,'inventory ledger'!$A:$A,"&lt;="&amp;B3417+TIME(23,59,59)))</f>
        <v/>
      </c>
      <c r="G3417" s="3">
        <f>IFERROR(__xludf.DUMMYFUNCTION("IF(F3417&lt;=0,0,IFERROR(ROUNDUP(F3417/INDEX(FILTER('warehouse config'!$D:$D,('warehouse config'!$B:$B=C3417)*('warehouse config'!$C:$C=D3417)*('warehouse config'!$G:$G&lt;=B3417)*(('warehouse config'!$H:$H&gt;=B3417)+ISBLANK('warehouse config'!$H:$H))),1)),0))"),0.0)</f>
        <v>0</v>
      </c>
      <c r="H3417" s="3">
        <f>IFERROR(__xludf.DUMMYFUNCTION("IFERROR(INDEX(FILTER('cost master'!$E:$E,('cost master'!$B:$B=C3417)*('cost master'!$D:$D=""Storage cost per pallet / week"")*('cost master'!$G:$G&lt;=B3417)*(('cost master'!$H:$H&gt;=B3417)+ISBLANK('cost master'!$H:$H))),1),0)"),0.0)</f>
        <v>0</v>
      </c>
      <c r="I3417" s="3">
        <f t="shared" si="4"/>
        <v>0</v>
      </c>
      <c r="J3417" s="27">
        <f t="shared" si="5"/>
        <v>693947</v>
      </c>
      <c r="K3417" s="27">
        <f t="shared" si="6"/>
        <v>693977</v>
      </c>
    </row>
    <row r="3418" hidden="1">
      <c r="A3418" s="3" t="str">
        <f t="shared" si="3"/>
        <v/>
      </c>
      <c r="B3418" s="2" t="str">
        <f t="array" ref="B3418">INDEX(helper!$A$3:$A3996,ROUNDUP((ROW()-1)/COUNTA(helper!$D$3:$D3996),0))</f>
        <v/>
      </c>
      <c r="C3418" s="5" t="str">
        <f t="array" ref="C3418">IF(B3418="","",INDEX(helper!$D$3:$D3996,MOD(ROW()-2,COUNTA(helper!$D$3:$D3996))+1))</f>
        <v/>
      </c>
      <c r="D3418" s="3" t="str">
        <f t="array" ref="D3418">IF(B3418="","",INDEX(helper!$E$3:$E3996,MOD(ROW()-2,COUNTA(helper!$D$3:$D3996))+1))</f>
        <v/>
      </c>
      <c r="E3418" s="3" t="str">
        <f t="array" ref="E3418">IF(B3418="","",INDEX(helper!$F$3:$F3996,MOD(ROW()-2,COUNTA(helper!$D$3:$D3996))+1))</f>
        <v/>
      </c>
      <c r="F3418" s="3" t="str">
        <f>IF(B3418="","",SUMIFS('inventory ledger'!$H:$H,'inventory ledger'!$C:$C,C3418,'inventory ledger'!$D:$D,D3418,'inventory ledger'!$E:$E,E3418,'inventory ledger'!$A:$A,"&lt;="&amp;B3418+TIME(23,59,59))-SUMIFS('inventory ledger'!$I:$I,'inventory ledger'!$C:$C,C3418,'inventory ledger'!$D:$D,D3418,'inventory ledger'!$E:$E,E3418,'inventory ledger'!$A:$A,"&lt;="&amp;B3418+TIME(23,59,59)))</f>
        <v/>
      </c>
      <c r="G3418" s="3">
        <f>IFERROR(__xludf.DUMMYFUNCTION("IF(F3418&lt;=0,0,IFERROR(ROUNDUP(F3418/INDEX(FILTER('warehouse config'!$D:$D,('warehouse config'!$B:$B=C3418)*('warehouse config'!$C:$C=D3418)*('warehouse config'!$G:$G&lt;=B3418)*(('warehouse config'!$H:$H&gt;=B3418)+ISBLANK('warehouse config'!$H:$H))),1)),0))"),0.0)</f>
        <v>0</v>
      </c>
      <c r="H3418" s="3">
        <f>IFERROR(__xludf.DUMMYFUNCTION("IFERROR(INDEX(FILTER('cost master'!$E:$E,('cost master'!$B:$B=C3418)*('cost master'!$D:$D=""Storage cost per pallet / week"")*('cost master'!$G:$G&lt;=B3418)*(('cost master'!$H:$H&gt;=B3418)+ISBLANK('cost master'!$H:$H))),1),0)"),0.0)</f>
        <v>0</v>
      </c>
      <c r="I3418" s="3">
        <f t="shared" si="4"/>
        <v>0</v>
      </c>
      <c r="J3418" s="27">
        <f t="shared" si="5"/>
        <v>693947</v>
      </c>
      <c r="K3418" s="27">
        <f t="shared" si="6"/>
        <v>693977</v>
      </c>
    </row>
    <row r="3419" hidden="1">
      <c r="A3419" s="3" t="str">
        <f t="shared" si="3"/>
        <v/>
      </c>
      <c r="B3419" s="2" t="str">
        <f t="array" ref="B3419">INDEX(helper!$A$3:$A3996,ROUNDUP((ROW()-1)/COUNTA(helper!$D$3:$D3996),0))</f>
        <v/>
      </c>
      <c r="C3419" s="5" t="str">
        <f t="array" ref="C3419">IF(B3419="","",INDEX(helper!$D$3:$D3996,MOD(ROW()-2,COUNTA(helper!$D$3:$D3996))+1))</f>
        <v/>
      </c>
      <c r="D3419" s="3" t="str">
        <f t="array" ref="D3419">IF(B3419="","",INDEX(helper!$E$3:$E3996,MOD(ROW()-2,COUNTA(helper!$D$3:$D3996))+1))</f>
        <v/>
      </c>
      <c r="E3419" s="3" t="str">
        <f t="array" ref="E3419">IF(B3419="","",INDEX(helper!$F$3:$F3996,MOD(ROW()-2,COUNTA(helper!$D$3:$D3996))+1))</f>
        <v/>
      </c>
      <c r="F3419" s="3" t="str">
        <f>IF(B3419="","",SUMIFS('inventory ledger'!$H:$H,'inventory ledger'!$C:$C,C3419,'inventory ledger'!$D:$D,D3419,'inventory ledger'!$E:$E,E3419,'inventory ledger'!$A:$A,"&lt;="&amp;B3419+TIME(23,59,59))-SUMIFS('inventory ledger'!$I:$I,'inventory ledger'!$C:$C,C3419,'inventory ledger'!$D:$D,D3419,'inventory ledger'!$E:$E,E3419,'inventory ledger'!$A:$A,"&lt;="&amp;B3419+TIME(23,59,59)))</f>
        <v/>
      </c>
      <c r="G3419" s="3">
        <f>IFERROR(__xludf.DUMMYFUNCTION("IF(F3419&lt;=0,0,IFERROR(ROUNDUP(F3419/INDEX(FILTER('warehouse config'!$D:$D,('warehouse config'!$B:$B=C3419)*('warehouse config'!$C:$C=D3419)*('warehouse config'!$G:$G&lt;=B3419)*(('warehouse config'!$H:$H&gt;=B3419)+ISBLANK('warehouse config'!$H:$H))),1)),0))"),0.0)</f>
        <v>0</v>
      </c>
      <c r="H3419" s="3">
        <f>IFERROR(__xludf.DUMMYFUNCTION("IFERROR(INDEX(FILTER('cost master'!$E:$E,('cost master'!$B:$B=C3419)*('cost master'!$D:$D=""Storage cost per pallet / week"")*('cost master'!$G:$G&lt;=B3419)*(('cost master'!$H:$H&gt;=B3419)+ISBLANK('cost master'!$H:$H))),1),0)"),0.0)</f>
        <v>0</v>
      </c>
      <c r="I3419" s="3">
        <f t="shared" si="4"/>
        <v>0</v>
      </c>
      <c r="J3419" s="27">
        <f t="shared" si="5"/>
        <v>693947</v>
      </c>
      <c r="K3419" s="27">
        <f t="shared" si="6"/>
        <v>693977</v>
      </c>
    </row>
    <row r="3420" hidden="1">
      <c r="A3420" s="3" t="str">
        <f t="shared" si="3"/>
        <v/>
      </c>
      <c r="B3420" s="2" t="str">
        <f t="array" ref="B3420">INDEX(helper!$A$3:$A3996,ROUNDUP((ROW()-1)/COUNTA(helper!$D$3:$D3996),0))</f>
        <v/>
      </c>
      <c r="C3420" s="5" t="str">
        <f t="array" ref="C3420">IF(B3420="","",INDEX(helper!$D$3:$D3996,MOD(ROW()-2,COUNTA(helper!$D$3:$D3996))+1))</f>
        <v/>
      </c>
      <c r="D3420" s="3" t="str">
        <f t="array" ref="D3420">IF(B3420="","",INDEX(helper!$E$3:$E3996,MOD(ROW()-2,COUNTA(helper!$D$3:$D3996))+1))</f>
        <v/>
      </c>
      <c r="E3420" s="3" t="str">
        <f t="array" ref="E3420">IF(B3420="","",INDEX(helper!$F$3:$F3996,MOD(ROW()-2,COUNTA(helper!$D$3:$D3996))+1))</f>
        <v/>
      </c>
      <c r="F3420" s="3" t="str">
        <f>IF(B3420="","",SUMIFS('inventory ledger'!$H:$H,'inventory ledger'!$C:$C,C3420,'inventory ledger'!$D:$D,D3420,'inventory ledger'!$E:$E,E3420,'inventory ledger'!$A:$A,"&lt;="&amp;B3420+TIME(23,59,59))-SUMIFS('inventory ledger'!$I:$I,'inventory ledger'!$C:$C,C3420,'inventory ledger'!$D:$D,D3420,'inventory ledger'!$E:$E,E3420,'inventory ledger'!$A:$A,"&lt;="&amp;B3420+TIME(23,59,59)))</f>
        <v/>
      </c>
      <c r="G3420" s="3">
        <f>IFERROR(__xludf.DUMMYFUNCTION("IF(F3420&lt;=0,0,IFERROR(ROUNDUP(F3420/INDEX(FILTER('warehouse config'!$D:$D,('warehouse config'!$B:$B=C3420)*('warehouse config'!$C:$C=D3420)*('warehouse config'!$G:$G&lt;=B3420)*(('warehouse config'!$H:$H&gt;=B3420)+ISBLANK('warehouse config'!$H:$H))),1)),0))"),0.0)</f>
        <v>0</v>
      </c>
      <c r="H3420" s="3">
        <f>IFERROR(__xludf.DUMMYFUNCTION("IFERROR(INDEX(FILTER('cost master'!$E:$E,('cost master'!$B:$B=C3420)*('cost master'!$D:$D=""Storage cost per pallet / week"")*('cost master'!$G:$G&lt;=B3420)*(('cost master'!$H:$H&gt;=B3420)+ISBLANK('cost master'!$H:$H))),1),0)"),0.0)</f>
        <v>0</v>
      </c>
      <c r="I3420" s="3">
        <f t="shared" si="4"/>
        <v>0</v>
      </c>
      <c r="J3420" s="27">
        <f t="shared" si="5"/>
        <v>693947</v>
      </c>
      <c r="K3420" s="27">
        <f t="shared" si="6"/>
        <v>693977</v>
      </c>
    </row>
    <row r="3421" hidden="1">
      <c r="A3421" s="3" t="str">
        <f t="shared" si="3"/>
        <v/>
      </c>
      <c r="B3421" s="2" t="str">
        <f t="array" ref="B3421">INDEX(helper!$A$3:$A3996,ROUNDUP((ROW()-1)/COUNTA(helper!$D$3:$D3996),0))</f>
        <v/>
      </c>
      <c r="C3421" s="5" t="str">
        <f t="array" ref="C3421">IF(B3421="","",INDEX(helper!$D$3:$D3996,MOD(ROW()-2,COUNTA(helper!$D$3:$D3996))+1))</f>
        <v/>
      </c>
      <c r="D3421" s="3" t="str">
        <f t="array" ref="D3421">IF(B3421="","",INDEX(helper!$E$3:$E3996,MOD(ROW()-2,COUNTA(helper!$D$3:$D3996))+1))</f>
        <v/>
      </c>
      <c r="E3421" s="3" t="str">
        <f t="array" ref="E3421">IF(B3421="","",INDEX(helper!$F$3:$F3996,MOD(ROW()-2,COUNTA(helper!$D$3:$D3996))+1))</f>
        <v/>
      </c>
      <c r="F3421" s="3" t="str">
        <f>IF(B3421="","",SUMIFS('inventory ledger'!$H:$H,'inventory ledger'!$C:$C,C3421,'inventory ledger'!$D:$D,D3421,'inventory ledger'!$E:$E,E3421,'inventory ledger'!$A:$A,"&lt;="&amp;B3421+TIME(23,59,59))-SUMIFS('inventory ledger'!$I:$I,'inventory ledger'!$C:$C,C3421,'inventory ledger'!$D:$D,D3421,'inventory ledger'!$E:$E,E3421,'inventory ledger'!$A:$A,"&lt;="&amp;B3421+TIME(23,59,59)))</f>
        <v/>
      </c>
      <c r="G3421" s="3">
        <f>IFERROR(__xludf.DUMMYFUNCTION("IF(F3421&lt;=0,0,IFERROR(ROUNDUP(F3421/INDEX(FILTER('warehouse config'!$D:$D,('warehouse config'!$B:$B=C3421)*('warehouse config'!$C:$C=D3421)*('warehouse config'!$G:$G&lt;=B3421)*(('warehouse config'!$H:$H&gt;=B3421)+ISBLANK('warehouse config'!$H:$H))),1)),0))"),0.0)</f>
        <v>0</v>
      </c>
      <c r="H3421" s="3">
        <f>IFERROR(__xludf.DUMMYFUNCTION("IFERROR(INDEX(FILTER('cost master'!$E:$E,('cost master'!$B:$B=C3421)*('cost master'!$D:$D=""Storage cost per pallet / week"")*('cost master'!$G:$G&lt;=B3421)*(('cost master'!$H:$H&gt;=B3421)+ISBLANK('cost master'!$H:$H))),1),0)"),0.0)</f>
        <v>0</v>
      </c>
      <c r="I3421" s="3">
        <f t="shared" si="4"/>
        <v>0</v>
      </c>
      <c r="J3421" s="27">
        <f t="shared" si="5"/>
        <v>693947</v>
      </c>
      <c r="K3421" s="27">
        <f t="shared" si="6"/>
        <v>693977</v>
      </c>
    </row>
    <row r="3422" hidden="1">
      <c r="A3422" s="3" t="str">
        <f t="shared" si="3"/>
        <v/>
      </c>
      <c r="B3422" s="2" t="str">
        <f t="array" ref="B3422">INDEX(helper!$A$3:$A3996,ROUNDUP((ROW()-1)/COUNTA(helper!$D$3:$D3996),0))</f>
        <v/>
      </c>
      <c r="C3422" s="5" t="str">
        <f t="array" ref="C3422">IF(B3422="","",INDEX(helper!$D$3:$D3996,MOD(ROW()-2,COUNTA(helper!$D$3:$D3996))+1))</f>
        <v/>
      </c>
      <c r="D3422" s="3" t="str">
        <f t="array" ref="D3422">IF(B3422="","",INDEX(helper!$E$3:$E3996,MOD(ROW()-2,COUNTA(helper!$D$3:$D3996))+1))</f>
        <v/>
      </c>
      <c r="E3422" s="3" t="str">
        <f t="array" ref="E3422">IF(B3422="","",INDEX(helper!$F$3:$F3996,MOD(ROW()-2,COUNTA(helper!$D$3:$D3996))+1))</f>
        <v/>
      </c>
      <c r="F3422" s="3" t="str">
        <f>IF(B3422="","",SUMIFS('inventory ledger'!$H:$H,'inventory ledger'!$C:$C,C3422,'inventory ledger'!$D:$D,D3422,'inventory ledger'!$E:$E,E3422,'inventory ledger'!$A:$A,"&lt;="&amp;B3422+TIME(23,59,59))-SUMIFS('inventory ledger'!$I:$I,'inventory ledger'!$C:$C,C3422,'inventory ledger'!$D:$D,D3422,'inventory ledger'!$E:$E,E3422,'inventory ledger'!$A:$A,"&lt;="&amp;B3422+TIME(23,59,59)))</f>
        <v/>
      </c>
      <c r="G3422" s="3">
        <f>IFERROR(__xludf.DUMMYFUNCTION("IF(F3422&lt;=0,0,IFERROR(ROUNDUP(F3422/INDEX(FILTER('warehouse config'!$D:$D,('warehouse config'!$B:$B=C3422)*('warehouse config'!$C:$C=D3422)*('warehouse config'!$G:$G&lt;=B3422)*(('warehouse config'!$H:$H&gt;=B3422)+ISBLANK('warehouse config'!$H:$H))),1)),0))"),0.0)</f>
        <v>0</v>
      </c>
      <c r="H3422" s="3">
        <f>IFERROR(__xludf.DUMMYFUNCTION("IFERROR(INDEX(FILTER('cost master'!$E:$E,('cost master'!$B:$B=C3422)*('cost master'!$D:$D=""Storage cost per pallet / week"")*('cost master'!$G:$G&lt;=B3422)*(('cost master'!$H:$H&gt;=B3422)+ISBLANK('cost master'!$H:$H))),1),0)"),0.0)</f>
        <v>0</v>
      </c>
      <c r="I3422" s="3">
        <f t="shared" si="4"/>
        <v>0</v>
      </c>
      <c r="J3422" s="27">
        <f t="shared" si="5"/>
        <v>693947</v>
      </c>
      <c r="K3422" s="27">
        <f t="shared" si="6"/>
        <v>693977</v>
      </c>
    </row>
    <row r="3423" hidden="1">
      <c r="A3423" s="3" t="str">
        <f t="shared" si="3"/>
        <v/>
      </c>
      <c r="B3423" s="2" t="str">
        <f t="array" ref="B3423">INDEX(helper!$A$3:$A3996,ROUNDUP((ROW()-1)/COUNTA(helper!$D$3:$D3996),0))</f>
        <v/>
      </c>
      <c r="C3423" s="5" t="str">
        <f t="array" ref="C3423">IF(B3423="","",INDEX(helper!$D$3:$D3996,MOD(ROW()-2,COUNTA(helper!$D$3:$D3996))+1))</f>
        <v/>
      </c>
      <c r="D3423" s="3" t="str">
        <f t="array" ref="D3423">IF(B3423="","",INDEX(helper!$E$3:$E3996,MOD(ROW()-2,COUNTA(helper!$D$3:$D3996))+1))</f>
        <v/>
      </c>
      <c r="E3423" s="3" t="str">
        <f t="array" ref="E3423">IF(B3423="","",INDEX(helper!$F$3:$F3996,MOD(ROW()-2,COUNTA(helper!$D$3:$D3996))+1))</f>
        <v/>
      </c>
      <c r="F3423" s="3" t="str">
        <f>IF(B3423="","",SUMIFS('inventory ledger'!$H:$H,'inventory ledger'!$C:$C,C3423,'inventory ledger'!$D:$D,D3423,'inventory ledger'!$E:$E,E3423,'inventory ledger'!$A:$A,"&lt;="&amp;B3423+TIME(23,59,59))-SUMIFS('inventory ledger'!$I:$I,'inventory ledger'!$C:$C,C3423,'inventory ledger'!$D:$D,D3423,'inventory ledger'!$E:$E,E3423,'inventory ledger'!$A:$A,"&lt;="&amp;B3423+TIME(23,59,59)))</f>
        <v/>
      </c>
      <c r="G3423" s="3">
        <f>IFERROR(__xludf.DUMMYFUNCTION("IF(F3423&lt;=0,0,IFERROR(ROUNDUP(F3423/INDEX(FILTER('warehouse config'!$D:$D,('warehouse config'!$B:$B=C3423)*('warehouse config'!$C:$C=D3423)*('warehouse config'!$G:$G&lt;=B3423)*(('warehouse config'!$H:$H&gt;=B3423)+ISBLANK('warehouse config'!$H:$H))),1)),0))"),0.0)</f>
        <v>0</v>
      </c>
      <c r="H3423" s="3">
        <f>IFERROR(__xludf.DUMMYFUNCTION("IFERROR(INDEX(FILTER('cost master'!$E:$E,('cost master'!$B:$B=C3423)*('cost master'!$D:$D=""Storage cost per pallet / week"")*('cost master'!$G:$G&lt;=B3423)*(('cost master'!$H:$H&gt;=B3423)+ISBLANK('cost master'!$H:$H))),1),0)"),0.0)</f>
        <v>0</v>
      </c>
      <c r="I3423" s="3">
        <f t="shared" si="4"/>
        <v>0</v>
      </c>
      <c r="J3423" s="27">
        <f t="shared" si="5"/>
        <v>693947</v>
      </c>
      <c r="K3423" s="27">
        <f t="shared" si="6"/>
        <v>693977</v>
      </c>
    </row>
    <row r="3424" hidden="1">
      <c r="A3424" s="3" t="str">
        <f t="shared" si="3"/>
        <v/>
      </c>
      <c r="B3424" s="2" t="str">
        <f t="array" ref="B3424">INDEX(helper!$A$3:$A3996,ROUNDUP((ROW()-1)/COUNTA(helper!$D$3:$D3996),0))</f>
        <v/>
      </c>
      <c r="C3424" s="5" t="str">
        <f t="array" ref="C3424">IF(B3424="","",INDEX(helper!$D$3:$D3996,MOD(ROW()-2,COUNTA(helper!$D$3:$D3996))+1))</f>
        <v/>
      </c>
      <c r="D3424" s="3" t="str">
        <f t="array" ref="D3424">IF(B3424="","",INDEX(helper!$E$3:$E3996,MOD(ROW()-2,COUNTA(helper!$D$3:$D3996))+1))</f>
        <v/>
      </c>
      <c r="E3424" s="3" t="str">
        <f t="array" ref="E3424">IF(B3424="","",INDEX(helper!$F$3:$F3996,MOD(ROW()-2,COUNTA(helper!$D$3:$D3996))+1))</f>
        <v/>
      </c>
      <c r="F3424" s="3" t="str">
        <f>IF(B3424="","",SUMIFS('inventory ledger'!$H:$H,'inventory ledger'!$C:$C,C3424,'inventory ledger'!$D:$D,D3424,'inventory ledger'!$E:$E,E3424,'inventory ledger'!$A:$A,"&lt;="&amp;B3424+TIME(23,59,59))-SUMIFS('inventory ledger'!$I:$I,'inventory ledger'!$C:$C,C3424,'inventory ledger'!$D:$D,D3424,'inventory ledger'!$E:$E,E3424,'inventory ledger'!$A:$A,"&lt;="&amp;B3424+TIME(23,59,59)))</f>
        <v/>
      </c>
      <c r="G3424" s="3">
        <f>IFERROR(__xludf.DUMMYFUNCTION("IF(F3424&lt;=0,0,IFERROR(ROUNDUP(F3424/INDEX(FILTER('warehouse config'!$D:$D,('warehouse config'!$B:$B=C3424)*('warehouse config'!$C:$C=D3424)*('warehouse config'!$G:$G&lt;=B3424)*(('warehouse config'!$H:$H&gt;=B3424)+ISBLANK('warehouse config'!$H:$H))),1)),0))"),0.0)</f>
        <v>0</v>
      </c>
      <c r="H3424" s="3">
        <f>IFERROR(__xludf.DUMMYFUNCTION("IFERROR(INDEX(FILTER('cost master'!$E:$E,('cost master'!$B:$B=C3424)*('cost master'!$D:$D=""Storage cost per pallet / week"")*('cost master'!$G:$G&lt;=B3424)*(('cost master'!$H:$H&gt;=B3424)+ISBLANK('cost master'!$H:$H))),1),0)"),0.0)</f>
        <v>0</v>
      </c>
      <c r="I3424" s="3">
        <f t="shared" si="4"/>
        <v>0</v>
      </c>
      <c r="J3424" s="27">
        <f t="shared" si="5"/>
        <v>693947</v>
      </c>
      <c r="K3424" s="27">
        <f t="shared" si="6"/>
        <v>693977</v>
      </c>
    </row>
    <row r="3425" hidden="1">
      <c r="A3425" s="3" t="str">
        <f t="shared" si="3"/>
        <v/>
      </c>
      <c r="B3425" s="2" t="str">
        <f t="array" ref="B3425">INDEX(helper!$A$3:$A3996,ROUNDUP((ROW()-1)/COUNTA(helper!$D$3:$D3996),0))</f>
        <v/>
      </c>
      <c r="C3425" s="5" t="str">
        <f t="array" ref="C3425">IF(B3425="","",INDEX(helper!$D$3:$D3996,MOD(ROW()-2,COUNTA(helper!$D$3:$D3996))+1))</f>
        <v/>
      </c>
      <c r="D3425" s="3" t="str">
        <f t="array" ref="D3425">IF(B3425="","",INDEX(helper!$E$3:$E3996,MOD(ROW()-2,COUNTA(helper!$D$3:$D3996))+1))</f>
        <v/>
      </c>
      <c r="E3425" s="3" t="str">
        <f t="array" ref="E3425">IF(B3425="","",INDEX(helper!$F$3:$F3996,MOD(ROW()-2,COUNTA(helper!$D$3:$D3996))+1))</f>
        <v/>
      </c>
      <c r="F3425" s="3" t="str">
        <f>IF(B3425="","",SUMIFS('inventory ledger'!$H:$H,'inventory ledger'!$C:$C,C3425,'inventory ledger'!$D:$D,D3425,'inventory ledger'!$E:$E,E3425,'inventory ledger'!$A:$A,"&lt;="&amp;B3425+TIME(23,59,59))-SUMIFS('inventory ledger'!$I:$I,'inventory ledger'!$C:$C,C3425,'inventory ledger'!$D:$D,D3425,'inventory ledger'!$E:$E,E3425,'inventory ledger'!$A:$A,"&lt;="&amp;B3425+TIME(23,59,59)))</f>
        <v/>
      </c>
      <c r="G3425" s="3">
        <f>IFERROR(__xludf.DUMMYFUNCTION("IF(F3425&lt;=0,0,IFERROR(ROUNDUP(F3425/INDEX(FILTER('warehouse config'!$D:$D,('warehouse config'!$B:$B=C3425)*('warehouse config'!$C:$C=D3425)*('warehouse config'!$G:$G&lt;=B3425)*(('warehouse config'!$H:$H&gt;=B3425)+ISBLANK('warehouse config'!$H:$H))),1)),0))"),0.0)</f>
        <v>0</v>
      </c>
      <c r="H3425" s="3">
        <f>IFERROR(__xludf.DUMMYFUNCTION("IFERROR(INDEX(FILTER('cost master'!$E:$E,('cost master'!$B:$B=C3425)*('cost master'!$D:$D=""Storage cost per pallet / week"")*('cost master'!$G:$G&lt;=B3425)*(('cost master'!$H:$H&gt;=B3425)+ISBLANK('cost master'!$H:$H))),1),0)"),0.0)</f>
        <v>0</v>
      </c>
      <c r="I3425" s="3">
        <f t="shared" si="4"/>
        <v>0</v>
      </c>
      <c r="J3425" s="27">
        <f t="shared" si="5"/>
        <v>693947</v>
      </c>
      <c r="K3425" s="27">
        <f t="shared" si="6"/>
        <v>693977</v>
      </c>
    </row>
    <row r="3426" hidden="1">
      <c r="A3426" s="3" t="str">
        <f t="shared" si="3"/>
        <v/>
      </c>
      <c r="B3426" s="2" t="str">
        <f t="array" ref="B3426">INDEX(helper!$A$3:$A3996,ROUNDUP((ROW()-1)/COUNTA(helper!$D$3:$D3996),0))</f>
        <v/>
      </c>
      <c r="C3426" s="5" t="str">
        <f t="array" ref="C3426">IF(B3426="","",INDEX(helper!$D$3:$D3996,MOD(ROW()-2,COUNTA(helper!$D$3:$D3996))+1))</f>
        <v/>
      </c>
      <c r="D3426" s="3" t="str">
        <f t="array" ref="D3426">IF(B3426="","",INDEX(helper!$E$3:$E3996,MOD(ROW()-2,COUNTA(helper!$D$3:$D3996))+1))</f>
        <v/>
      </c>
      <c r="E3426" s="3" t="str">
        <f t="array" ref="E3426">IF(B3426="","",INDEX(helper!$F$3:$F3996,MOD(ROW()-2,COUNTA(helper!$D$3:$D3996))+1))</f>
        <v/>
      </c>
      <c r="F3426" s="3" t="str">
        <f>IF(B3426="","",SUMIFS('inventory ledger'!$H:$H,'inventory ledger'!$C:$C,C3426,'inventory ledger'!$D:$D,D3426,'inventory ledger'!$E:$E,E3426,'inventory ledger'!$A:$A,"&lt;="&amp;B3426+TIME(23,59,59))-SUMIFS('inventory ledger'!$I:$I,'inventory ledger'!$C:$C,C3426,'inventory ledger'!$D:$D,D3426,'inventory ledger'!$E:$E,E3426,'inventory ledger'!$A:$A,"&lt;="&amp;B3426+TIME(23,59,59)))</f>
        <v/>
      </c>
      <c r="G3426" s="3">
        <f>IFERROR(__xludf.DUMMYFUNCTION("IF(F3426&lt;=0,0,IFERROR(ROUNDUP(F3426/INDEX(FILTER('warehouse config'!$D:$D,('warehouse config'!$B:$B=C3426)*('warehouse config'!$C:$C=D3426)*('warehouse config'!$G:$G&lt;=B3426)*(('warehouse config'!$H:$H&gt;=B3426)+ISBLANK('warehouse config'!$H:$H))),1)),0))"),0.0)</f>
        <v>0</v>
      </c>
      <c r="H3426" s="3">
        <f>IFERROR(__xludf.DUMMYFUNCTION("IFERROR(INDEX(FILTER('cost master'!$E:$E,('cost master'!$B:$B=C3426)*('cost master'!$D:$D=""Storage cost per pallet / week"")*('cost master'!$G:$G&lt;=B3426)*(('cost master'!$H:$H&gt;=B3426)+ISBLANK('cost master'!$H:$H))),1),0)"),0.0)</f>
        <v>0</v>
      </c>
      <c r="I3426" s="3">
        <f t="shared" si="4"/>
        <v>0</v>
      </c>
      <c r="J3426" s="27">
        <f t="shared" si="5"/>
        <v>693947</v>
      </c>
      <c r="K3426" s="27">
        <f t="shared" si="6"/>
        <v>693977</v>
      </c>
    </row>
    <row r="3427" hidden="1">
      <c r="A3427" s="3" t="str">
        <f t="shared" si="3"/>
        <v/>
      </c>
      <c r="B3427" s="2" t="str">
        <f t="array" ref="B3427">INDEX(helper!$A$3:$A3996,ROUNDUP((ROW()-1)/COUNTA(helper!$D$3:$D3996),0))</f>
        <v/>
      </c>
      <c r="C3427" s="5" t="str">
        <f t="array" ref="C3427">IF(B3427="","",INDEX(helper!$D$3:$D3996,MOD(ROW()-2,COUNTA(helper!$D$3:$D3996))+1))</f>
        <v/>
      </c>
      <c r="D3427" s="3" t="str">
        <f t="array" ref="D3427">IF(B3427="","",INDEX(helper!$E$3:$E3996,MOD(ROW()-2,COUNTA(helper!$D$3:$D3996))+1))</f>
        <v/>
      </c>
      <c r="E3427" s="3" t="str">
        <f t="array" ref="E3427">IF(B3427="","",INDEX(helper!$F$3:$F3996,MOD(ROW()-2,COUNTA(helper!$D$3:$D3996))+1))</f>
        <v/>
      </c>
      <c r="F3427" s="3" t="str">
        <f>IF(B3427="","",SUMIFS('inventory ledger'!$H:$H,'inventory ledger'!$C:$C,C3427,'inventory ledger'!$D:$D,D3427,'inventory ledger'!$E:$E,E3427,'inventory ledger'!$A:$A,"&lt;="&amp;B3427+TIME(23,59,59))-SUMIFS('inventory ledger'!$I:$I,'inventory ledger'!$C:$C,C3427,'inventory ledger'!$D:$D,D3427,'inventory ledger'!$E:$E,E3427,'inventory ledger'!$A:$A,"&lt;="&amp;B3427+TIME(23,59,59)))</f>
        <v/>
      </c>
      <c r="G3427" s="3">
        <f>IFERROR(__xludf.DUMMYFUNCTION("IF(F3427&lt;=0,0,IFERROR(ROUNDUP(F3427/INDEX(FILTER('warehouse config'!$D:$D,('warehouse config'!$B:$B=C3427)*('warehouse config'!$C:$C=D3427)*('warehouse config'!$G:$G&lt;=B3427)*(('warehouse config'!$H:$H&gt;=B3427)+ISBLANK('warehouse config'!$H:$H))),1)),0))"),0.0)</f>
        <v>0</v>
      </c>
      <c r="H3427" s="3">
        <f>IFERROR(__xludf.DUMMYFUNCTION("IFERROR(INDEX(FILTER('cost master'!$E:$E,('cost master'!$B:$B=C3427)*('cost master'!$D:$D=""Storage cost per pallet / week"")*('cost master'!$G:$G&lt;=B3427)*(('cost master'!$H:$H&gt;=B3427)+ISBLANK('cost master'!$H:$H))),1),0)"),0.0)</f>
        <v>0</v>
      </c>
      <c r="I3427" s="3">
        <f t="shared" si="4"/>
        <v>0</v>
      </c>
      <c r="J3427" s="27">
        <f t="shared" si="5"/>
        <v>693947</v>
      </c>
      <c r="K3427" s="27">
        <f t="shared" si="6"/>
        <v>693977</v>
      </c>
    </row>
    <row r="3428" hidden="1">
      <c r="A3428" s="3" t="str">
        <f t="shared" si="3"/>
        <v/>
      </c>
      <c r="B3428" s="2" t="str">
        <f t="array" ref="B3428">INDEX(helper!$A$3:$A3996,ROUNDUP((ROW()-1)/COUNTA(helper!$D$3:$D3996),0))</f>
        <v/>
      </c>
      <c r="C3428" s="5" t="str">
        <f t="array" ref="C3428">IF(B3428="","",INDEX(helper!$D$3:$D3996,MOD(ROW()-2,COUNTA(helper!$D$3:$D3996))+1))</f>
        <v/>
      </c>
      <c r="D3428" s="3" t="str">
        <f t="array" ref="D3428">IF(B3428="","",INDEX(helper!$E$3:$E3996,MOD(ROW()-2,COUNTA(helper!$D$3:$D3996))+1))</f>
        <v/>
      </c>
      <c r="E3428" s="3" t="str">
        <f t="array" ref="E3428">IF(B3428="","",INDEX(helper!$F$3:$F3996,MOD(ROW()-2,COUNTA(helper!$D$3:$D3996))+1))</f>
        <v/>
      </c>
      <c r="F3428" s="3" t="str">
        <f>IF(B3428="","",SUMIFS('inventory ledger'!$H:$H,'inventory ledger'!$C:$C,C3428,'inventory ledger'!$D:$D,D3428,'inventory ledger'!$E:$E,E3428,'inventory ledger'!$A:$A,"&lt;="&amp;B3428+TIME(23,59,59))-SUMIFS('inventory ledger'!$I:$I,'inventory ledger'!$C:$C,C3428,'inventory ledger'!$D:$D,D3428,'inventory ledger'!$E:$E,E3428,'inventory ledger'!$A:$A,"&lt;="&amp;B3428+TIME(23,59,59)))</f>
        <v/>
      </c>
      <c r="G3428" s="3">
        <f>IFERROR(__xludf.DUMMYFUNCTION("IF(F3428&lt;=0,0,IFERROR(ROUNDUP(F3428/INDEX(FILTER('warehouse config'!$D:$D,('warehouse config'!$B:$B=C3428)*('warehouse config'!$C:$C=D3428)*('warehouse config'!$G:$G&lt;=B3428)*(('warehouse config'!$H:$H&gt;=B3428)+ISBLANK('warehouse config'!$H:$H))),1)),0))"),0.0)</f>
        <v>0</v>
      </c>
      <c r="H3428" s="3">
        <f>IFERROR(__xludf.DUMMYFUNCTION("IFERROR(INDEX(FILTER('cost master'!$E:$E,('cost master'!$B:$B=C3428)*('cost master'!$D:$D=""Storage cost per pallet / week"")*('cost master'!$G:$G&lt;=B3428)*(('cost master'!$H:$H&gt;=B3428)+ISBLANK('cost master'!$H:$H))),1),0)"),0.0)</f>
        <v>0</v>
      </c>
      <c r="I3428" s="3">
        <f t="shared" si="4"/>
        <v>0</v>
      </c>
      <c r="J3428" s="27">
        <f t="shared" si="5"/>
        <v>693947</v>
      </c>
      <c r="K3428" s="27">
        <f t="shared" si="6"/>
        <v>693977</v>
      </c>
    </row>
    <row r="3429" hidden="1">
      <c r="A3429" s="3" t="str">
        <f t="shared" si="3"/>
        <v/>
      </c>
      <c r="B3429" s="2" t="str">
        <f t="array" ref="B3429">INDEX(helper!$A$3:$A3996,ROUNDUP((ROW()-1)/COUNTA(helper!$D$3:$D3996),0))</f>
        <v/>
      </c>
      <c r="C3429" s="5" t="str">
        <f t="array" ref="C3429">IF(B3429="","",INDEX(helper!$D$3:$D3996,MOD(ROW()-2,COUNTA(helper!$D$3:$D3996))+1))</f>
        <v/>
      </c>
      <c r="D3429" s="3" t="str">
        <f t="array" ref="D3429">IF(B3429="","",INDEX(helper!$E$3:$E3996,MOD(ROW()-2,COUNTA(helper!$D$3:$D3996))+1))</f>
        <v/>
      </c>
      <c r="E3429" s="3" t="str">
        <f t="array" ref="E3429">IF(B3429="","",INDEX(helper!$F$3:$F3996,MOD(ROW()-2,COUNTA(helper!$D$3:$D3996))+1))</f>
        <v/>
      </c>
      <c r="F3429" s="3" t="str">
        <f>IF(B3429="","",SUMIFS('inventory ledger'!$H:$H,'inventory ledger'!$C:$C,C3429,'inventory ledger'!$D:$D,D3429,'inventory ledger'!$E:$E,E3429,'inventory ledger'!$A:$A,"&lt;="&amp;B3429+TIME(23,59,59))-SUMIFS('inventory ledger'!$I:$I,'inventory ledger'!$C:$C,C3429,'inventory ledger'!$D:$D,D3429,'inventory ledger'!$E:$E,E3429,'inventory ledger'!$A:$A,"&lt;="&amp;B3429+TIME(23,59,59)))</f>
        <v/>
      </c>
      <c r="G3429" s="3">
        <f>IFERROR(__xludf.DUMMYFUNCTION("IF(F3429&lt;=0,0,IFERROR(ROUNDUP(F3429/INDEX(FILTER('warehouse config'!$D:$D,('warehouse config'!$B:$B=C3429)*('warehouse config'!$C:$C=D3429)*('warehouse config'!$G:$G&lt;=B3429)*(('warehouse config'!$H:$H&gt;=B3429)+ISBLANK('warehouse config'!$H:$H))),1)),0))"),0.0)</f>
        <v>0</v>
      </c>
      <c r="H3429" s="3">
        <f>IFERROR(__xludf.DUMMYFUNCTION("IFERROR(INDEX(FILTER('cost master'!$E:$E,('cost master'!$B:$B=C3429)*('cost master'!$D:$D=""Storage cost per pallet / week"")*('cost master'!$G:$G&lt;=B3429)*(('cost master'!$H:$H&gt;=B3429)+ISBLANK('cost master'!$H:$H))),1),0)"),0.0)</f>
        <v>0</v>
      </c>
      <c r="I3429" s="3">
        <f t="shared" si="4"/>
        <v>0</v>
      </c>
      <c r="J3429" s="27">
        <f t="shared" si="5"/>
        <v>693947</v>
      </c>
      <c r="K3429" s="27">
        <f t="shared" si="6"/>
        <v>693977</v>
      </c>
    </row>
    <row r="3430" hidden="1">
      <c r="A3430" s="3" t="str">
        <f t="shared" si="3"/>
        <v/>
      </c>
      <c r="B3430" s="2" t="str">
        <f t="array" ref="B3430">INDEX(helper!$A$3:$A3996,ROUNDUP((ROW()-1)/COUNTA(helper!$D$3:$D3996),0))</f>
        <v/>
      </c>
      <c r="C3430" s="5" t="str">
        <f t="array" ref="C3430">IF(B3430="","",INDEX(helper!$D$3:$D3996,MOD(ROW()-2,COUNTA(helper!$D$3:$D3996))+1))</f>
        <v/>
      </c>
      <c r="D3430" s="3" t="str">
        <f t="array" ref="D3430">IF(B3430="","",INDEX(helper!$E$3:$E3996,MOD(ROW()-2,COUNTA(helper!$D$3:$D3996))+1))</f>
        <v/>
      </c>
      <c r="E3430" s="3" t="str">
        <f t="array" ref="E3430">IF(B3430="","",INDEX(helper!$F$3:$F3996,MOD(ROW()-2,COUNTA(helper!$D$3:$D3996))+1))</f>
        <v/>
      </c>
      <c r="F3430" s="3" t="str">
        <f>IF(B3430="","",SUMIFS('inventory ledger'!$H:$H,'inventory ledger'!$C:$C,C3430,'inventory ledger'!$D:$D,D3430,'inventory ledger'!$E:$E,E3430,'inventory ledger'!$A:$A,"&lt;="&amp;B3430+TIME(23,59,59))-SUMIFS('inventory ledger'!$I:$I,'inventory ledger'!$C:$C,C3430,'inventory ledger'!$D:$D,D3430,'inventory ledger'!$E:$E,E3430,'inventory ledger'!$A:$A,"&lt;="&amp;B3430+TIME(23,59,59)))</f>
        <v/>
      </c>
      <c r="G3430" s="3">
        <f>IFERROR(__xludf.DUMMYFUNCTION("IF(F3430&lt;=0,0,IFERROR(ROUNDUP(F3430/INDEX(FILTER('warehouse config'!$D:$D,('warehouse config'!$B:$B=C3430)*('warehouse config'!$C:$C=D3430)*('warehouse config'!$G:$G&lt;=B3430)*(('warehouse config'!$H:$H&gt;=B3430)+ISBLANK('warehouse config'!$H:$H))),1)),0))"),0.0)</f>
        <v>0</v>
      </c>
      <c r="H3430" s="3">
        <f>IFERROR(__xludf.DUMMYFUNCTION("IFERROR(INDEX(FILTER('cost master'!$E:$E,('cost master'!$B:$B=C3430)*('cost master'!$D:$D=""Storage cost per pallet / week"")*('cost master'!$G:$G&lt;=B3430)*(('cost master'!$H:$H&gt;=B3430)+ISBLANK('cost master'!$H:$H))),1),0)"),0.0)</f>
        <v>0</v>
      </c>
      <c r="I3430" s="3">
        <f t="shared" si="4"/>
        <v>0</v>
      </c>
      <c r="J3430" s="27">
        <f t="shared" si="5"/>
        <v>693947</v>
      </c>
      <c r="K3430" s="27">
        <f t="shared" si="6"/>
        <v>693977</v>
      </c>
    </row>
    <row r="3431" hidden="1">
      <c r="A3431" s="3" t="str">
        <f t="shared" si="3"/>
        <v/>
      </c>
      <c r="B3431" s="2" t="str">
        <f t="array" ref="B3431">INDEX(helper!$A$3:$A3996,ROUNDUP((ROW()-1)/COUNTA(helper!$D$3:$D3996),0))</f>
        <v/>
      </c>
      <c r="C3431" s="5" t="str">
        <f t="array" ref="C3431">IF(B3431="","",INDEX(helper!$D$3:$D3996,MOD(ROW()-2,COUNTA(helper!$D$3:$D3996))+1))</f>
        <v/>
      </c>
      <c r="D3431" s="3" t="str">
        <f t="array" ref="D3431">IF(B3431="","",INDEX(helper!$E$3:$E3996,MOD(ROW()-2,COUNTA(helper!$D$3:$D3996))+1))</f>
        <v/>
      </c>
      <c r="E3431" s="3" t="str">
        <f t="array" ref="E3431">IF(B3431="","",INDEX(helper!$F$3:$F3996,MOD(ROW()-2,COUNTA(helper!$D$3:$D3996))+1))</f>
        <v/>
      </c>
      <c r="F3431" s="3" t="str">
        <f>IF(B3431="","",SUMIFS('inventory ledger'!$H:$H,'inventory ledger'!$C:$C,C3431,'inventory ledger'!$D:$D,D3431,'inventory ledger'!$E:$E,E3431,'inventory ledger'!$A:$A,"&lt;="&amp;B3431+TIME(23,59,59))-SUMIFS('inventory ledger'!$I:$I,'inventory ledger'!$C:$C,C3431,'inventory ledger'!$D:$D,D3431,'inventory ledger'!$E:$E,E3431,'inventory ledger'!$A:$A,"&lt;="&amp;B3431+TIME(23,59,59)))</f>
        <v/>
      </c>
      <c r="G3431" s="3">
        <f>IFERROR(__xludf.DUMMYFUNCTION("IF(F3431&lt;=0,0,IFERROR(ROUNDUP(F3431/INDEX(FILTER('warehouse config'!$D:$D,('warehouse config'!$B:$B=C3431)*('warehouse config'!$C:$C=D3431)*('warehouse config'!$G:$G&lt;=B3431)*(('warehouse config'!$H:$H&gt;=B3431)+ISBLANK('warehouse config'!$H:$H))),1)),0))"),0.0)</f>
        <v>0</v>
      </c>
      <c r="H3431" s="3">
        <f>IFERROR(__xludf.DUMMYFUNCTION("IFERROR(INDEX(FILTER('cost master'!$E:$E,('cost master'!$B:$B=C3431)*('cost master'!$D:$D=""Storage cost per pallet / week"")*('cost master'!$G:$G&lt;=B3431)*(('cost master'!$H:$H&gt;=B3431)+ISBLANK('cost master'!$H:$H))),1),0)"),0.0)</f>
        <v>0</v>
      </c>
      <c r="I3431" s="3">
        <f t="shared" si="4"/>
        <v>0</v>
      </c>
      <c r="J3431" s="27">
        <f t="shared" si="5"/>
        <v>693947</v>
      </c>
      <c r="K3431" s="27">
        <f t="shared" si="6"/>
        <v>693977</v>
      </c>
    </row>
    <row r="3432" hidden="1">
      <c r="A3432" s="3" t="str">
        <f t="shared" si="3"/>
        <v/>
      </c>
      <c r="B3432" s="2" t="str">
        <f t="array" ref="B3432">INDEX(helper!$A$3:$A3996,ROUNDUP((ROW()-1)/COUNTA(helper!$D$3:$D3996),0))</f>
        <v/>
      </c>
      <c r="C3432" s="5" t="str">
        <f t="array" ref="C3432">IF(B3432="","",INDEX(helper!$D$3:$D3996,MOD(ROW()-2,COUNTA(helper!$D$3:$D3996))+1))</f>
        <v/>
      </c>
      <c r="D3432" s="3" t="str">
        <f t="array" ref="D3432">IF(B3432="","",INDEX(helper!$E$3:$E3996,MOD(ROW()-2,COUNTA(helper!$D$3:$D3996))+1))</f>
        <v/>
      </c>
      <c r="E3432" s="3" t="str">
        <f t="array" ref="E3432">IF(B3432="","",INDEX(helper!$F$3:$F3996,MOD(ROW()-2,COUNTA(helper!$D$3:$D3996))+1))</f>
        <v/>
      </c>
      <c r="F3432" s="3" t="str">
        <f>IF(B3432="","",SUMIFS('inventory ledger'!$H:$H,'inventory ledger'!$C:$C,C3432,'inventory ledger'!$D:$D,D3432,'inventory ledger'!$E:$E,E3432,'inventory ledger'!$A:$A,"&lt;="&amp;B3432+TIME(23,59,59))-SUMIFS('inventory ledger'!$I:$I,'inventory ledger'!$C:$C,C3432,'inventory ledger'!$D:$D,D3432,'inventory ledger'!$E:$E,E3432,'inventory ledger'!$A:$A,"&lt;="&amp;B3432+TIME(23,59,59)))</f>
        <v/>
      </c>
      <c r="G3432" s="3">
        <f>IFERROR(__xludf.DUMMYFUNCTION("IF(F3432&lt;=0,0,IFERROR(ROUNDUP(F3432/INDEX(FILTER('warehouse config'!$D:$D,('warehouse config'!$B:$B=C3432)*('warehouse config'!$C:$C=D3432)*('warehouse config'!$G:$G&lt;=B3432)*(('warehouse config'!$H:$H&gt;=B3432)+ISBLANK('warehouse config'!$H:$H))),1)),0))"),0.0)</f>
        <v>0</v>
      </c>
      <c r="H3432" s="3">
        <f>IFERROR(__xludf.DUMMYFUNCTION("IFERROR(INDEX(FILTER('cost master'!$E:$E,('cost master'!$B:$B=C3432)*('cost master'!$D:$D=""Storage cost per pallet / week"")*('cost master'!$G:$G&lt;=B3432)*(('cost master'!$H:$H&gt;=B3432)+ISBLANK('cost master'!$H:$H))),1),0)"),0.0)</f>
        <v>0</v>
      </c>
      <c r="I3432" s="3">
        <f t="shared" si="4"/>
        <v>0</v>
      </c>
      <c r="J3432" s="27">
        <f t="shared" si="5"/>
        <v>693947</v>
      </c>
      <c r="K3432" s="27">
        <f t="shared" si="6"/>
        <v>693977</v>
      </c>
    </row>
    <row r="3433" hidden="1">
      <c r="A3433" s="3" t="str">
        <f t="shared" si="3"/>
        <v/>
      </c>
      <c r="B3433" s="2" t="str">
        <f t="array" ref="B3433">INDEX(helper!$A$3:$A3996,ROUNDUP((ROW()-1)/COUNTA(helper!$D$3:$D3996),0))</f>
        <v/>
      </c>
      <c r="C3433" s="5" t="str">
        <f t="array" ref="C3433">IF(B3433="","",INDEX(helper!$D$3:$D3996,MOD(ROW()-2,COUNTA(helper!$D$3:$D3996))+1))</f>
        <v/>
      </c>
      <c r="D3433" s="3" t="str">
        <f t="array" ref="D3433">IF(B3433="","",INDEX(helper!$E$3:$E3996,MOD(ROW()-2,COUNTA(helper!$D$3:$D3996))+1))</f>
        <v/>
      </c>
      <c r="E3433" s="3" t="str">
        <f t="array" ref="E3433">IF(B3433="","",INDEX(helper!$F$3:$F3996,MOD(ROW()-2,COUNTA(helper!$D$3:$D3996))+1))</f>
        <v/>
      </c>
      <c r="F3433" s="3" t="str">
        <f>IF(B3433="","",SUMIFS('inventory ledger'!$H:$H,'inventory ledger'!$C:$C,C3433,'inventory ledger'!$D:$D,D3433,'inventory ledger'!$E:$E,E3433,'inventory ledger'!$A:$A,"&lt;="&amp;B3433+TIME(23,59,59))-SUMIFS('inventory ledger'!$I:$I,'inventory ledger'!$C:$C,C3433,'inventory ledger'!$D:$D,D3433,'inventory ledger'!$E:$E,E3433,'inventory ledger'!$A:$A,"&lt;="&amp;B3433+TIME(23,59,59)))</f>
        <v/>
      </c>
      <c r="G3433" s="3">
        <f>IFERROR(__xludf.DUMMYFUNCTION("IF(F3433&lt;=0,0,IFERROR(ROUNDUP(F3433/INDEX(FILTER('warehouse config'!$D:$D,('warehouse config'!$B:$B=C3433)*('warehouse config'!$C:$C=D3433)*('warehouse config'!$G:$G&lt;=B3433)*(('warehouse config'!$H:$H&gt;=B3433)+ISBLANK('warehouse config'!$H:$H))),1)),0))"),0.0)</f>
        <v>0</v>
      </c>
      <c r="H3433" s="3">
        <f>IFERROR(__xludf.DUMMYFUNCTION("IFERROR(INDEX(FILTER('cost master'!$E:$E,('cost master'!$B:$B=C3433)*('cost master'!$D:$D=""Storage cost per pallet / week"")*('cost master'!$G:$G&lt;=B3433)*(('cost master'!$H:$H&gt;=B3433)+ISBLANK('cost master'!$H:$H))),1),0)"),0.0)</f>
        <v>0</v>
      </c>
      <c r="I3433" s="3">
        <f t="shared" si="4"/>
        <v>0</v>
      </c>
      <c r="J3433" s="27">
        <f t="shared" si="5"/>
        <v>693947</v>
      </c>
      <c r="K3433" s="27">
        <f t="shared" si="6"/>
        <v>693977</v>
      </c>
    </row>
    <row r="3434" hidden="1">
      <c r="A3434" s="3" t="str">
        <f t="shared" si="3"/>
        <v/>
      </c>
      <c r="B3434" s="2" t="str">
        <f t="array" ref="B3434">INDEX(helper!$A$3:$A3996,ROUNDUP((ROW()-1)/COUNTA(helper!$D$3:$D3996),0))</f>
        <v/>
      </c>
      <c r="C3434" s="5" t="str">
        <f t="array" ref="C3434">IF(B3434="","",INDEX(helper!$D$3:$D3996,MOD(ROW()-2,COUNTA(helper!$D$3:$D3996))+1))</f>
        <v/>
      </c>
      <c r="D3434" s="3" t="str">
        <f t="array" ref="D3434">IF(B3434="","",INDEX(helper!$E$3:$E3996,MOD(ROW()-2,COUNTA(helper!$D$3:$D3996))+1))</f>
        <v/>
      </c>
      <c r="E3434" s="3" t="str">
        <f t="array" ref="E3434">IF(B3434="","",INDEX(helper!$F$3:$F3996,MOD(ROW()-2,COUNTA(helper!$D$3:$D3996))+1))</f>
        <v/>
      </c>
      <c r="F3434" s="3" t="str">
        <f>IF(B3434="","",SUMIFS('inventory ledger'!$H:$H,'inventory ledger'!$C:$C,C3434,'inventory ledger'!$D:$D,D3434,'inventory ledger'!$E:$E,E3434,'inventory ledger'!$A:$A,"&lt;="&amp;B3434+TIME(23,59,59))-SUMIFS('inventory ledger'!$I:$I,'inventory ledger'!$C:$C,C3434,'inventory ledger'!$D:$D,D3434,'inventory ledger'!$E:$E,E3434,'inventory ledger'!$A:$A,"&lt;="&amp;B3434+TIME(23,59,59)))</f>
        <v/>
      </c>
      <c r="G3434" s="3">
        <f>IFERROR(__xludf.DUMMYFUNCTION("IF(F3434&lt;=0,0,IFERROR(ROUNDUP(F3434/INDEX(FILTER('warehouse config'!$D:$D,('warehouse config'!$B:$B=C3434)*('warehouse config'!$C:$C=D3434)*('warehouse config'!$G:$G&lt;=B3434)*(('warehouse config'!$H:$H&gt;=B3434)+ISBLANK('warehouse config'!$H:$H))),1)),0))"),0.0)</f>
        <v>0</v>
      </c>
      <c r="H3434" s="3">
        <f>IFERROR(__xludf.DUMMYFUNCTION("IFERROR(INDEX(FILTER('cost master'!$E:$E,('cost master'!$B:$B=C3434)*('cost master'!$D:$D=""Storage cost per pallet / week"")*('cost master'!$G:$G&lt;=B3434)*(('cost master'!$H:$H&gt;=B3434)+ISBLANK('cost master'!$H:$H))),1),0)"),0.0)</f>
        <v>0</v>
      </c>
      <c r="I3434" s="3">
        <f t="shared" si="4"/>
        <v>0</v>
      </c>
      <c r="J3434" s="27">
        <f t="shared" si="5"/>
        <v>693947</v>
      </c>
      <c r="K3434" s="27">
        <f t="shared" si="6"/>
        <v>693977</v>
      </c>
    </row>
    <row r="3435" hidden="1">
      <c r="A3435" s="3" t="str">
        <f t="shared" si="3"/>
        <v/>
      </c>
      <c r="B3435" s="2" t="str">
        <f t="array" ref="B3435">INDEX(helper!$A$3:$A3996,ROUNDUP((ROW()-1)/COUNTA(helper!$D$3:$D3996),0))</f>
        <v/>
      </c>
      <c r="C3435" s="5" t="str">
        <f t="array" ref="C3435">IF(B3435="","",INDEX(helper!$D$3:$D3996,MOD(ROW()-2,COUNTA(helper!$D$3:$D3996))+1))</f>
        <v/>
      </c>
      <c r="D3435" s="3" t="str">
        <f t="array" ref="D3435">IF(B3435="","",INDEX(helper!$E$3:$E3996,MOD(ROW()-2,COUNTA(helper!$D$3:$D3996))+1))</f>
        <v/>
      </c>
      <c r="E3435" s="3" t="str">
        <f t="array" ref="E3435">IF(B3435="","",INDEX(helper!$F$3:$F3996,MOD(ROW()-2,COUNTA(helper!$D$3:$D3996))+1))</f>
        <v/>
      </c>
      <c r="F3435" s="3" t="str">
        <f>IF(B3435="","",SUMIFS('inventory ledger'!$H:$H,'inventory ledger'!$C:$C,C3435,'inventory ledger'!$D:$D,D3435,'inventory ledger'!$E:$E,E3435,'inventory ledger'!$A:$A,"&lt;="&amp;B3435+TIME(23,59,59))-SUMIFS('inventory ledger'!$I:$I,'inventory ledger'!$C:$C,C3435,'inventory ledger'!$D:$D,D3435,'inventory ledger'!$E:$E,E3435,'inventory ledger'!$A:$A,"&lt;="&amp;B3435+TIME(23,59,59)))</f>
        <v/>
      </c>
      <c r="G3435" s="3">
        <f>IFERROR(__xludf.DUMMYFUNCTION("IF(F3435&lt;=0,0,IFERROR(ROUNDUP(F3435/INDEX(FILTER('warehouse config'!$D:$D,('warehouse config'!$B:$B=C3435)*('warehouse config'!$C:$C=D3435)*('warehouse config'!$G:$G&lt;=B3435)*(('warehouse config'!$H:$H&gt;=B3435)+ISBLANK('warehouse config'!$H:$H))),1)),0))"),0.0)</f>
        <v>0</v>
      </c>
      <c r="H3435" s="3">
        <f>IFERROR(__xludf.DUMMYFUNCTION("IFERROR(INDEX(FILTER('cost master'!$E:$E,('cost master'!$B:$B=C3435)*('cost master'!$D:$D=""Storage cost per pallet / week"")*('cost master'!$G:$G&lt;=B3435)*(('cost master'!$H:$H&gt;=B3435)+ISBLANK('cost master'!$H:$H))),1),0)"),0.0)</f>
        <v>0</v>
      </c>
      <c r="I3435" s="3">
        <f t="shared" si="4"/>
        <v>0</v>
      </c>
      <c r="J3435" s="27">
        <f t="shared" si="5"/>
        <v>693947</v>
      </c>
      <c r="K3435" s="27">
        <f t="shared" si="6"/>
        <v>693977</v>
      </c>
    </row>
    <row r="3436" hidden="1">
      <c r="A3436" s="3" t="str">
        <f t="shared" si="3"/>
        <v/>
      </c>
      <c r="B3436" s="2" t="str">
        <f t="array" ref="B3436">INDEX(helper!$A$3:$A3996,ROUNDUP((ROW()-1)/COUNTA(helper!$D$3:$D3996),0))</f>
        <v/>
      </c>
      <c r="C3436" s="5" t="str">
        <f t="array" ref="C3436">IF(B3436="","",INDEX(helper!$D$3:$D3996,MOD(ROW()-2,COUNTA(helper!$D$3:$D3996))+1))</f>
        <v/>
      </c>
      <c r="D3436" s="3" t="str">
        <f t="array" ref="D3436">IF(B3436="","",INDEX(helper!$E$3:$E3996,MOD(ROW()-2,COUNTA(helper!$D$3:$D3996))+1))</f>
        <v/>
      </c>
      <c r="E3436" s="3" t="str">
        <f t="array" ref="E3436">IF(B3436="","",INDEX(helper!$F$3:$F3996,MOD(ROW()-2,COUNTA(helper!$D$3:$D3996))+1))</f>
        <v/>
      </c>
      <c r="F3436" s="3" t="str">
        <f>IF(B3436="","",SUMIFS('inventory ledger'!$H:$H,'inventory ledger'!$C:$C,C3436,'inventory ledger'!$D:$D,D3436,'inventory ledger'!$E:$E,E3436,'inventory ledger'!$A:$A,"&lt;="&amp;B3436+TIME(23,59,59))-SUMIFS('inventory ledger'!$I:$I,'inventory ledger'!$C:$C,C3436,'inventory ledger'!$D:$D,D3436,'inventory ledger'!$E:$E,E3436,'inventory ledger'!$A:$A,"&lt;="&amp;B3436+TIME(23,59,59)))</f>
        <v/>
      </c>
      <c r="G3436" s="3">
        <f>IFERROR(__xludf.DUMMYFUNCTION("IF(F3436&lt;=0,0,IFERROR(ROUNDUP(F3436/INDEX(FILTER('warehouse config'!$D:$D,('warehouse config'!$B:$B=C3436)*('warehouse config'!$C:$C=D3436)*('warehouse config'!$G:$G&lt;=B3436)*(('warehouse config'!$H:$H&gt;=B3436)+ISBLANK('warehouse config'!$H:$H))),1)),0))"),0.0)</f>
        <v>0</v>
      </c>
      <c r="H3436" s="3">
        <f>IFERROR(__xludf.DUMMYFUNCTION("IFERROR(INDEX(FILTER('cost master'!$E:$E,('cost master'!$B:$B=C3436)*('cost master'!$D:$D=""Storage cost per pallet / week"")*('cost master'!$G:$G&lt;=B3436)*(('cost master'!$H:$H&gt;=B3436)+ISBLANK('cost master'!$H:$H))),1),0)"),0.0)</f>
        <v>0</v>
      </c>
      <c r="I3436" s="3">
        <f t="shared" si="4"/>
        <v>0</v>
      </c>
      <c r="J3436" s="27">
        <f t="shared" si="5"/>
        <v>693947</v>
      </c>
      <c r="K3436" s="27">
        <f t="shared" si="6"/>
        <v>693977</v>
      </c>
    </row>
    <row r="3437" hidden="1">
      <c r="A3437" s="3" t="str">
        <f t="shared" si="3"/>
        <v/>
      </c>
      <c r="B3437" s="2" t="str">
        <f t="array" ref="B3437">INDEX(helper!$A$3:$A3996,ROUNDUP((ROW()-1)/COUNTA(helper!$D$3:$D3996),0))</f>
        <v/>
      </c>
      <c r="C3437" s="5" t="str">
        <f t="array" ref="C3437">IF(B3437="","",INDEX(helper!$D$3:$D3996,MOD(ROW()-2,COUNTA(helper!$D$3:$D3996))+1))</f>
        <v/>
      </c>
      <c r="D3437" s="3" t="str">
        <f t="array" ref="D3437">IF(B3437="","",INDEX(helper!$E$3:$E3996,MOD(ROW()-2,COUNTA(helper!$D$3:$D3996))+1))</f>
        <v/>
      </c>
      <c r="E3437" s="3" t="str">
        <f t="array" ref="E3437">IF(B3437="","",INDEX(helper!$F$3:$F3996,MOD(ROW()-2,COUNTA(helper!$D$3:$D3996))+1))</f>
        <v/>
      </c>
      <c r="F3437" s="3" t="str">
        <f>IF(B3437="","",SUMIFS('inventory ledger'!$H:$H,'inventory ledger'!$C:$C,C3437,'inventory ledger'!$D:$D,D3437,'inventory ledger'!$E:$E,E3437,'inventory ledger'!$A:$A,"&lt;="&amp;B3437+TIME(23,59,59))-SUMIFS('inventory ledger'!$I:$I,'inventory ledger'!$C:$C,C3437,'inventory ledger'!$D:$D,D3437,'inventory ledger'!$E:$E,E3437,'inventory ledger'!$A:$A,"&lt;="&amp;B3437+TIME(23,59,59)))</f>
        <v/>
      </c>
      <c r="G3437" s="3">
        <f>IFERROR(__xludf.DUMMYFUNCTION("IF(F3437&lt;=0,0,IFERROR(ROUNDUP(F3437/INDEX(FILTER('warehouse config'!$D:$D,('warehouse config'!$B:$B=C3437)*('warehouse config'!$C:$C=D3437)*('warehouse config'!$G:$G&lt;=B3437)*(('warehouse config'!$H:$H&gt;=B3437)+ISBLANK('warehouse config'!$H:$H))),1)),0))"),0.0)</f>
        <v>0</v>
      </c>
      <c r="H3437" s="3">
        <f>IFERROR(__xludf.DUMMYFUNCTION("IFERROR(INDEX(FILTER('cost master'!$E:$E,('cost master'!$B:$B=C3437)*('cost master'!$D:$D=""Storage cost per pallet / week"")*('cost master'!$G:$G&lt;=B3437)*(('cost master'!$H:$H&gt;=B3437)+ISBLANK('cost master'!$H:$H))),1),0)"),0.0)</f>
        <v>0</v>
      </c>
      <c r="I3437" s="3">
        <f t="shared" si="4"/>
        <v>0</v>
      </c>
      <c r="J3437" s="27">
        <f t="shared" si="5"/>
        <v>693947</v>
      </c>
      <c r="K3437" s="27">
        <f t="shared" si="6"/>
        <v>693977</v>
      </c>
    </row>
    <row r="3438" hidden="1">
      <c r="A3438" s="3" t="str">
        <f t="shared" si="3"/>
        <v/>
      </c>
      <c r="B3438" s="2" t="str">
        <f t="array" ref="B3438">INDEX(helper!$A$3:$A3996,ROUNDUP((ROW()-1)/COUNTA(helper!$D$3:$D3996),0))</f>
        <v/>
      </c>
      <c r="C3438" s="5" t="str">
        <f t="array" ref="C3438">IF(B3438="","",INDEX(helper!$D$3:$D3996,MOD(ROW()-2,COUNTA(helper!$D$3:$D3996))+1))</f>
        <v/>
      </c>
      <c r="D3438" s="3" t="str">
        <f t="array" ref="D3438">IF(B3438="","",INDEX(helper!$E$3:$E3996,MOD(ROW()-2,COUNTA(helper!$D$3:$D3996))+1))</f>
        <v/>
      </c>
      <c r="E3438" s="3" t="str">
        <f t="array" ref="E3438">IF(B3438="","",INDEX(helper!$F$3:$F3996,MOD(ROW()-2,COUNTA(helper!$D$3:$D3996))+1))</f>
        <v/>
      </c>
      <c r="F3438" s="3" t="str">
        <f>IF(B3438="","",SUMIFS('inventory ledger'!$H:$H,'inventory ledger'!$C:$C,C3438,'inventory ledger'!$D:$D,D3438,'inventory ledger'!$E:$E,E3438,'inventory ledger'!$A:$A,"&lt;="&amp;B3438+TIME(23,59,59))-SUMIFS('inventory ledger'!$I:$I,'inventory ledger'!$C:$C,C3438,'inventory ledger'!$D:$D,D3438,'inventory ledger'!$E:$E,E3438,'inventory ledger'!$A:$A,"&lt;="&amp;B3438+TIME(23,59,59)))</f>
        <v/>
      </c>
      <c r="G3438" s="3">
        <f>IFERROR(__xludf.DUMMYFUNCTION("IF(F3438&lt;=0,0,IFERROR(ROUNDUP(F3438/INDEX(FILTER('warehouse config'!$D:$D,('warehouse config'!$B:$B=C3438)*('warehouse config'!$C:$C=D3438)*('warehouse config'!$G:$G&lt;=B3438)*(('warehouse config'!$H:$H&gt;=B3438)+ISBLANK('warehouse config'!$H:$H))),1)),0))"),0.0)</f>
        <v>0</v>
      </c>
      <c r="H3438" s="3">
        <f>IFERROR(__xludf.DUMMYFUNCTION("IFERROR(INDEX(FILTER('cost master'!$E:$E,('cost master'!$B:$B=C3438)*('cost master'!$D:$D=""Storage cost per pallet / week"")*('cost master'!$G:$G&lt;=B3438)*(('cost master'!$H:$H&gt;=B3438)+ISBLANK('cost master'!$H:$H))),1),0)"),0.0)</f>
        <v>0</v>
      </c>
      <c r="I3438" s="3">
        <f t="shared" si="4"/>
        <v>0</v>
      </c>
      <c r="J3438" s="27">
        <f t="shared" si="5"/>
        <v>693947</v>
      </c>
      <c r="K3438" s="27">
        <f t="shared" si="6"/>
        <v>693977</v>
      </c>
    </row>
    <row r="3439" hidden="1">
      <c r="A3439" s="3" t="str">
        <f t="shared" si="3"/>
        <v/>
      </c>
      <c r="B3439" s="2" t="str">
        <f t="array" ref="B3439">INDEX(helper!$A$3:$A3996,ROUNDUP((ROW()-1)/COUNTA(helper!$D$3:$D3996),0))</f>
        <v/>
      </c>
      <c r="C3439" s="5" t="str">
        <f t="array" ref="C3439">IF(B3439="","",INDEX(helper!$D$3:$D3996,MOD(ROW()-2,COUNTA(helper!$D$3:$D3996))+1))</f>
        <v/>
      </c>
      <c r="D3439" s="3" t="str">
        <f t="array" ref="D3439">IF(B3439="","",INDEX(helper!$E$3:$E3996,MOD(ROW()-2,COUNTA(helper!$D$3:$D3996))+1))</f>
        <v/>
      </c>
      <c r="E3439" s="3" t="str">
        <f t="array" ref="E3439">IF(B3439="","",INDEX(helper!$F$3:$F3996,MOD(ROW()-2,COUNTA(helper!$D$3:$D3996))+1))</f>
        <v/>
      </c>
      <c r="F3439" s="3" t="str">
        <f>IF(B3439="","",SUMIFS('inventory ledger'!$H:$H,'inventory ledger'!$C:$C,C3439,'inventory ledger'!$D:$D,D3439,'inventory ledger'!$E:$E,E3439,'inventory ledger'!$A:$A,"&lt;="&amp;B3439+TIME(23,59,59))-SUMIFS('inventory ledger'!$I:$I,'inventory ledger'!$C:$C,C3439,'inventory ledger'!$D:$D,D3439,'inventory ledger'!$E:$E,E3439,'inventory ledger'!$A:$A,"&lt;="&amp;B3439+TIME(23,59,59)))</f>
        <v/>
      </c>
      <c r="G3439" s="3">
        <f>IFERROR(__xludf.DUMMYFUNCTION("IF(F3439&lt;=0,0,IFERROR(ROUNDUP(F3439/INDEX(FILTER('warehouse config'!$D:$D,('warehouse config'!$B:$B=C3439)*('warehouse config'!$C:$C=D3439)*('warehouse config'!$G:$G&lt;=B3439)*(('warehouse config'!$H:$H&gt;=B3439)+ISBLANK('warehouse config'!$H:$H))),1)),0))"),0.0)</f>
        <v>0</v>
      </c>
      <c r="H3439" s="3">
        <f>IFERROR(__xludf.DUMMYFUNCTION("IFERROR(INDEX(FILTER('cost master'!$E:$E,('cost master'!$B:$B=C3439)*('cost master'!$D:$D=""Storage cost per pallet / week"")*('cost master'!$G:$G&lt;=B3439)*(('cost master'!$H:$H&gt;=B3439)+ISBLANK('cost master'!$H:$H))),1),0)"),0.0)</f>
        <v>0</v>
      </c>
      <c r="I3439" s="3">
        <f t="shared" si="4"/>
        <v>0</v>
      </c>
      <c r="J3439" s="27">
        <f t="shared" si="5"/>
        <v>693947</v>
      </c>
      <c r="K3439" s="27">
        <f t="shared" si="6"/>
        <v>693977</v>
      </c>
    </row>
    <row r="3440" hidden="1">
      <c r="A3440" s="3" t="str">
        <f t="shared" si="3"/>
        <v/>
      </c>
      <c r="B3440" s="2" t="str">
        <f t="array" ref="B3440">INDEX(helper!$A$3:$A3996,ROUNDUP((ROW()-1)/COUNTA(helper!$D$3:$D3996),0))</f>
        <v/>
      </c>
      <c r="C3440" s="5" t="str">
        <f t="array" ref="C3440">IF(B3440="","",INDEX(helper!$D$3:$D3996,MOD(ROW()-2,COUNTA(helper!$D$3:$D3996))+1))</f>
        <v/>
      </c>
      <c r="D3440" s="3" t="str">
        <f t="array" ref="D3440">IF(B3440="","",INDEX(helper!$E$3:$E3996,MOD(ROW()-2,COUNTA(helper!$D$3:$D3996))+1))</f>
        <v/>
      </c>
      <c r="E3440" s="3" t="str">
        <f t="array" ref="E3440">IF(B3440="","",INDEX(helper!$F$3:$F3996,MOD(ROW()-2,COUNTA(helper!$D$3:$D3996))+1))</f>
        <v/>
      </c>
      <c r="F3440" s="3" t="str">
        <f>IF(B3440="","",SUMIFS('inventory ledger'!$H:$H,'inventory ledger'!$C:$C,C3440,'inventory ledger'!$D:$D,D3440,'inventory ledger'!$E:$E,E3440,'inventory ledger'!$A:$A,"&lt;="&amp;B3440+TIME(23,59,59))-SUMIFS('inventory ledger'!$I:$I,'inventory ledger'!$C:$C,C3440,'inventory ledger'!$D:$D,D3440,'inventory ledger'!$E:$E,E3440,'inventory ledger'!$A:$A,"&lt;="&amp;B3440+TIME(23,59,59)))</f>
        <v/>
      </c>
      <c r="G3440" s="3">
        <f>IFERROR(__xludf.DUMMYFUNCTION("IF(F3440&lt;=0,0,IFERROR(ROUNDUP(F3440/INDEX(FILTER('warehouse config'!$D:$D,('warehouse config'!$B:$B=C3440)*('warehouse config'!$C:$C=D3440)*('warehouse config'!$G:$G&lt;=B3440)*(('warehouse config'!$H:$H&gt;=B3440)+ISBLANK('warehouse config'!$H:$H))),1)),0))"),0.0)</f>
        <v>0</v>
      </c>
      <c r="H3440" s="3">
        <f>IFERROR(__xludf.DUMMYFUNCTION("IFERROR(INDEX(FILTER('cost master'!$E:$E,('cost master'!$B:$B=C3440)*('cost master'!$D:$D=""Storage cost per pallet / week"")*('cost master'!$G:$G&lt;=B3440)*(('cost master'!$H:$H&gt;=B3440)+ISBLANK('cost master'!$H:$H))),1),0)"),0.0)</f>
        <v>0</v>
      </c>
      <c r="I3440" s="3">
        <f t="shared" si="4"/>
        <v>0</v>
      </c>
      <c r="J3440" s="27">
        <f t="shared" si="5"/>
        <v>693947</v>
      </c>
      <c r="K3440" s="27">
        <f t="shared" si="6"/>
        <v>693977</v>
      </c>
    </row>
    <row r="3441" hidden="1">
      <c r="A3441" s="3" t="str">
        <f t="shared" si="3"/>
        <v/>
      </c>
      <c r="B3441" s="2" t="str">
        <f t="array" ref="B3441">INDEX(helper!$A$3:$A3996,ROUNDUP((ROW()-1)/COUNTA(helper!$D$3:$D3996),0))</f>
        <v/>
      </c>
      <c r="C3441" s="5" t="str">
        <f t="array" ref="C3441">IF(B3441="","",INDEX(helper!$D$3:$D3996,MOD(ROW()-2,COUNTA(helper!$D$3:$D3996))+1))</f>
        <v/>
      </c>
      <c r="D3441" s="3" t="str">
        <f t="array" ref="D3441">IF(B3441="","",INDEX(helper!$E$3:$E3996,MOD(ROW()-2,COUNTA(helper!$D$3:$D3996))+1))</f>
        <v/>
      </c>
      <c r="E3441" s="3" t="str">
        <f t="array" ref="E3441">IF(B3441="","",INDEX(helper!$F$3:$F3996,MOD(ROW()-2,COUNTA(helper!$D$3:$D3996))+1))</f>
        <v/>
      </c>
      <c r="F3441" s="3" t="str">
        <f>IF(B3441="","",SUMIFS('inventory ledger'!$H:$H,'inventory ledger'!$C:$C,C3441,'inventory ledger'!$D:$D,D3441,'inventory ledger'!$E:$E,E3441,'inventory ledger'!$A:$A,"&lt;="&amp;B3441+TIME(23,59,59))-SUMIFS('inventory ledger'!$I:$I,'inventory ledger'!$C:$C,C3441,'inventory ledger'!$D:$D,D3441,'inventory ledger'!$E:$E,E3441,'inventory ledger'!$A:$A,"&lt;="&amp;B3441+TIME(23,59,59)))</f>
        <v/>
      </c>
      <c r="G3441" s="3">
        <f>IFERROR(__xludf.DUMMYFUNCTION("IF(F3441&lt;=0,0,IFERROR(ROUNDUP(F3441/INDEX(FILTER('warehouse config'!$D:$D,('warehouse config'!$B:$B=C3441)*('warehouse config'!$C:$C=D3441)*('warehouse config'!$G:$G&lt;=B3441)*(('warehouse config'!$H:$H&gt;=B3441)+ISBLANK('warehouse config'!$H:$H))),1)),0))"),0.0)</f>
        <v>0</v>
      </c>
      <c r="H3441" s="3">
        <f>IFERROR(__xludf.DUMMYFUNCTION("IFERROR(INDEX(FILTER('cost master'!$E:$E,('cost master'!$B:$B=C3441)*('cost master'!$D:$D=""Storage cost per pallet / week"")*('cost master'!$G:$G&lt;=B3441)*(('cost master'!$H:$H&gt;=B3441)+ISBLANK('cost master'!$H:$H))),1),0)"),0.0)</f>
        <v>0</v>
      </c>
      <c r="I3441" s="3">
        <f t="shared" si="4"/>
        <v>0</v>
      </c>
      <c r="J3441" s="27">
        <f t="shared" si="5"/>
        <v>693947</v>
      </c>
      <c r="K3441" s="27">
        <f t="shared" si="6"/>
        <v>693977</v>
      </c>
    </row>
    <row r="3442" hidden="1">
      <c r="A3442" s="3" t="str">
        <f t="shared" si="3"/>
        <v/>
      </c>
      <c r="B3442" s="2" t="str">
        <f t="array" ref="B3442">INDEX(helper!$A$3:$A3996,ROUNDUP((ROW()-1)/COUNTA(helper!$D$3:$D3996),0))</f>
        <v/>
      </c>
      <c r="C3442" s="5" t="str">
        <f t="array" ref="C3442">IF(B3442="","",INDEX(helper!$D$3:$D3996,MOD(ROW()-2,COUNTA(helper!$D$3:$D3996))+1))</f>
        <v/>
      </c>
      <c r="D3442" s="3" t="str">
        <f t="array" ref="D3442">IF(B3442="","",INDEX(helper!$E$3:$E3996,MOD(ROW()-2,COUNTA(helper!$D$3:$D3996))+1))</f>
        <v/>
      </c>
      <c r="E3442" s="3" t="str">
        <f t="array" ref="E3442">IF(B3442="","",INDEX(helper!$F$3:$F3996,MOD(ROW()-2,COUNTA(helper!$D$3:$D3996))+1))</f>
        <v/>
      </c>
      <c r="F3442" s="3" t="str">
        <f>IF(B3442="","",SUMIFS('inventory ledger'!$H:$H,'inventory ledger'!$C:$C,C3442,'inventory ledger'!$D:$D,D3442,'inventory ledger'!$E:$E,E3442,'inventory ledger'!$A:$A,"&lt;="&amp;B3442+TIME(23,59,59))-SUMIFS('inventory ledger'!$I:$I,'inventory ledger'!$C:$C,C3442,'inventory ledger'!$D:$D,D3442,'inventory ledger'!$E:$E,E3442,'inventory ledger'!$A:$A,"&lt;="&amp;B3442+TIME(23,59,59)))</f>
        <v/>
      </c>
      <c r="G3442" s="3">
        <f>IFERROR(__xludf.DUMMYFUNCTION("IF(F3442&lt;=0,0,IFERROR(ROUNDUP(F3442/INDEX(FILTER('warehouse config'!$D:$D,('warehouse config'!$B:$B=C3442)*('warehouse config'!$C:$C=D3442)*('warehouse config'!$G:$G&lt;=B3442)*(('warehouse config'!$H:$H&gt;=B3442)+ISBLANK('warehouse config'!$H:$H))),1)),0))"),0.0)</f>
        <v>0</v>
      </c>
      <c r="H3442" s="3">
        <f>IFERROR(__xludf.DUMMYFUNCTION("IFERROR(INDEX(FILTER('cost master'!$E:$E,('cost master'!$B:$B=C3442)*('cost master'!$D:$D=""Storage cost per pallet / week"")*('cost master'!$G:$G&lt;=B3442)*(('cost master'!$H:$H&gt;=B3442)+ISBLANK('cost master'!$H:$H))),1),0)"),0.0)</f>
        <v>0</v>
      </c>
      <c r="I3442" s="3">
        <f t="shared" si="4"/>
        <v>0</v>
      </c>
      <c r="J3442" s="27">
        <f t="shared" si="5"/>
        <v>693947</v>
      </c>
      <c r="K3442" s="27">
        <f t="shared" si="6"/>
        <v>693977</v>
      </c>
    </row>
    <row r="3443" hidden="1">
      <c r="A3443" s="3" t="str">
        <f t="shared" si="3"/>
        <v/>
      </c>
      <c r="B3443" s="2" t="str">
        <f t="array" ref="B3443">INDEX(helper!$A$3:$A3996,ROUNDUP((ROW()-1)/COUNTA(helper!$D$3:$D3996),0))</f>
        <v/>
      </c>
      <c r="C3443" s="5" t="str">
        <f t="array" ref="C3443">IF(B3443="","",INDEX(helper!$D$3:$D3996,MOD(ROW()-2,COUNTA(helper!$D$3:$D3996))+1))</f>
        <v/>
      </c>
      <c r="D3443" s="3" t="str">
        <f t="array" ref="D3443">IF(B3443="","",INDEX(helper!$E$3:$E3996,MOD(ROW()-2,COUNTA(helper!$D$3:$D3996))+1))</f>
        <v/>
      </c>
      <c r="E3443" s="3" t="str">
        <f t="array" ref="E3443">IF(B3443="","",INDEX(helper!$F$3:$F3996,MOD(ROW()-2,COUNTA(helper!$D$3:$D3996))+1))</f>
        <v/>
      </c>
      <c r="F3443" s="3" t="str">
        <f>IF(B3443="","",SUMIFS('inventory ledger'!$H:$H,'inventory ledger'!$C:$C,C3443,'inventory ledger'!$D:$D,D3443,'inventory ledger'!$E:$E,E3443,'inventory ledger'!$A:$A,"&lt;="&amp;B3443+TIME(23,59,59))-SUMIFS('inventory ledger'!$I:$I,'inventory ledger'!$C:$C,C3443,'inventory ledger'!$D:$D,D3443,'inventory ledger'!$E:$E,E3443,'inventory ledger'!$A:$A,"&lt;="&amp;B3443+TIME(23,59,59)))</f>
        <v/>
      </c>
      <c r="G3443" s="3">
        <f>IFERROR(__xludf.DUMMYFUNCTION("IF(F3443&lt;=0,0,IFERROR(ROUNDUP(F3443/INDEX(FILTER('warehouse config'!$D:$D,('warehouse config'!$B:$B=C3443)*('warehouse config'!$C:$C=D3443)*('warehouse config'!$G:$G&lt;=B3443)*(('warehouse config'!$H:$H&gt;=B3443)+ISBLANK('warehouse config'!$H:$H))),1)),0))"),0.0)</f>
        <v>0</v>
      </c>
      <c r="H3443" s="3">
        <f>IFERROR(__xludf.DUMMYFUNCTION("IFERROR(INDEX(FILTER('cost master'!$E:$E,('cost master'!$B:$B=C3443)*('cost master'!$D:$D=""Storage cost per pallet / week"")*('cost master'!$G:$G&lt;=B3443)*(('cost master'!$H:$H&gt;=B3443)+ISBLANK('cost master'!$H:$H))),1),0)"),0.0)</f>
        <v>0</v>
      </c>
      <c r="I3443" s="3">
        <f t="shared" si="4"/>
        <v>0</v>
      </c>
      <c r="J3443" s="27">
        <f t="shared" si="5"/>
        <v>693947</v>
      </c>
      <c r="K3443" s="27">
        <f t="shared" si="6"/>
        <v>693977</v>
      </c>
    </row>
    <row r="3444" hidden="1">
      <c r="A3444" s="3" t="str">
        <f t="shared" si="3"/>
        <v/>
      </c>
      <c r="B3444" s="2" t="str">
        <f t="array" ref="B3444">INDEX(helper!$A$3:$A3996,ROUNDUP((ROW()-1)/COUNTA(helper!$D$3:$D3996),0))</f>
        <v/>
      </c>
      <c r="C3444" s="5" t="str">
        <f t="array" ref="C3444">IF(B3444="","",INDEX(helper!$D$3:$D3996,MOD(ROW()-2,COUNTA(helper!$D$3:$D3996))+1))</f>
        <v/>
      </c>
      <c r="D3444" s="3" t="str">
        <f t="array" ref="D3444">IF(B3444="","",INDEX(helper!$E$3:$E3996,MOD(ROW()-2,COUNTA(helper!$D$3:$D3996))+1))</f>
        <v/>
      </c>
      <c r="E3444" s="3" t="str">
        <f t="array" ref="E3444">IF(B3444="","",INDEX(helper!$F$3:$F3996,MOD(ROW()-2,COUNTA(helper!$D$3:$D3996))+1))</f>
        <v/>
      </c>
      <c r="F3444" s="3" t="str">
        <f>IF(B3444="","",SUMIFS('inventory ledger'!$H:$H,'inventory ledger'!$C:$C,C3444,'inventory ledger'!$D:$D,D3444,'inventory ledger'!$E:$E,E3444,'inventory ledger'!$A:$A,"&lt;="&amp;B3444+TIME(23,59,59))-SUMIFS('inventory ledger'!$I:$I,'inventory ledger'!$C:$C,C3444,'inventory ledger'!$D:$D,D3444,'inventory ledger'!$E:$E,E3444,'inventory ledger'!$A:$A,"&lt;="&amp;B3444+TIME(23,59,59)))</f>
        <v/>
      </c>
      <c r="G3444" s="3">
        <f>IFERROR(__xludf.DUMMYFUNCTION("IF(F3444&lt;=0,0,IFERROR(ROUNDUP(F3444/INDEX(FILTER('warehouse config'!$D:$D,('warehouse config'!$B:$B=C3444)*('warehouse config'!$C:$C=D3444)*('warehouse config'!$G:$G&lt;=B3444)*(('warehouse config'!$H:$H&gt;=B3444)+ISBLANK('warehouse config'!$H:$H))),1)),0))"),0.0)</f>
        <v>0</v>
      </c>
      <c r="H3444" s="3">
        <f>IFERROR(__xludf.DUMMYFUNCTION("IFERROR(INDEX(FILTER('cost master'!$E:$E,('cost master'!$B:$B=C3444)*('cost master'!$D:$D=""Storage cost per pallet / week"")*('cost master'!$G:$G&lt;=B3444)*(('cost master'!$H:$H&gt;=B3444)+ISBLANK('cost master'!$H:$H))),1),0)"),0.0)</f>
        <v>0</v>
      </c>
      <c r="I3444" s="3">
        <f t="shared" si="4"/>
        <v>0</v>
      </c>
      <c r="J3444" s="27">
        <f t="shared" si="5"/>
        <v>693947</v>
      </c>
      <c r="K3444" s="27">
        <f t="shared" si="6"/>
        <v>693977</v>
      </c>
    </row>
    <row r="3445" hidden="1">
      <c r="A3445" s="3" t="str">
        <f t="shared" si="3"/>
        <v/>
      </c>
      <c r="B3445" s="2" t="str">
        <f t="array" ref="B3445">INDEX(helper!$A$3:$A3996,ROUNDUP((ROW()-1)/COUNTA(helper!$D$3:$D3996),0))</f>
        <v/>
      </c>
      <c r="C3445" s="5" t="str">
        <f t="array" ref="C3445">IF(B3445="","",INDEX(helper!$D$3:$D3996,MOD(ROW()-2,COUNTA(helper!$D$3:$D3996))+1))</f>
        <v/>
      </c>
      <c r="D3445" s="3" t="str">
        <f t="array" ref="D3445">IF(B3445="","",INDEX(helper!$E$3:$E3996,MOD(ROW()-2,COUNTA(helper!$D$3:$D3996))+1))</f>
        <v/>
      </c>
      <c r="E3445" s="3" t="str">
        <f t="array" ref="E3445">IF(B3445="","",INDEX(helper!$F$3:$F3996,MOD(ROW()-2,COUNTA(helper!$D$3:$D3996))+1))</f>
        <v/>
      </c>
      <c r="F3445" s="3" t="str">
        <f>IF(B3445="","",SUMIFS('inventory ledger'!$H:$H,'inventory ledger'!$C:$C,C3445,'inventory ledger'!$D:$D,D3445,'inventory ledger'!$E:$E,E3445,'inventory ledger'!$A:$A,"&lt;="&amp;B3445+TIME(23,59,59))-SUMIFS('inventory ledger'!$I:$I,'inventory ledger'!$C:$C,C3445,'inventory ledger'!$D:$D,D3445,'inventory ledger'!$E:$E,E3445,'inventory ledger'!$A:$A,"&lt;="&amp;B3445+TIME(23,59,59)))</f>
        <v/>
      </c>
      <c r="G3445" s="3">
        <f>IFERROR(__xludf.DUMMYFUNCTION("IF(F3445&lt;=0,0,IFERROR(ROUNDUP(F3445/INDEX(FILTER('warehouse config'!$D:$D,('warehouse config'!$B:$B=C3445)*('warehouse config'!$C:$C=D3445)*('warehouse config'!$G:$G&lt;=B3445)*(('warehouse config'!$H:$H&gt;=B3445)+ISBLANK('warehouse config'!$H:$H))),1)),0))"),0.0)</f>
        <v>0</v>
      </c>
      <c r="H3445" s="3">
        <f>IFERROR(__xludf.DUMMYFUNCTION("IFERROR(INDEX(FILTER('cost master'!$E:$E,('cost master'!$B:$B=C3445)*('cost master'!$D:$D=""Storage cost per pallet / week"")*('cost master'!$G:$G&lt;=B3445)*(('cost master'!$H:$H&gt;=B3445)+ISBLANK('cost master'!$H:$H))),1),0)"),0.0)</f>
        <v>0</v>
      </c>
      <c r="I3445" s="3">
        <f t="shared" si="4"/>
        <v>0</v>
      </c>
      <c r="J3445" s="27">
        <f t="shared" si="5"/>
        <v>693947</v>
      </c>
      <c r="K3445" s="27">
        <f t="shared" si="6"/>
        <v>693977</v>
      </c>
    </row>
    <row r="3446" hidden="1">
      <c r="A3446" s="3" t="str">
        <f t="shared" si="3"/>
        <v/>
      </c>
      <c r="B3446" s="2" t="str">
        <f t="array" ref="B3446">INDEX(helper!$A$3:$A3996,ROUNDUP((ROW()-1)/COUNTA(helper!$D$3:$D3996),0))</f>
        <v/>
      </c>
      <c r="C3446" s="5" t="str">
        <f t="array" ref="C3446">IF(B3446="","",INDEX(helper!$D$3:$D3996,MOD(ROW()-2,COUNTA(helper!$D$3:$D3996))+1))</f>
        <v/>
      </c>
      <c r="D3446" s="3" t="str">
        <f t="array" ref="D3446">IF(B3446="","",INDEX(helper!$E$3:$E3996,MOD(ROW()-2,COUNTA(helper!$D$3:$D3996))+1))</f>
        <v/>
      </c>
      <c r="E3446" s="3" t="str">
        <f t="array" ref="E3446">IF(B3446="","",INDEX(helper!$F$3:$F3996,MOD(ROW()-2,COUNTA(helper!$D$3:$D3996))+1))</f>
        <v/>
      </c>
      <c r="F3446" s="3" t="str">
        <f>IF(B3446="","",SUMIFS('inventory ledger'!$H:$H,'inventory ledger'!$C:$C,C3446,'inventory ledger'!$D:$D,D3446,'inventory ledger'!$E:$E,E3446,'inventory ledger'!$A:$A,"&lt;="&amp;B3446+TIME(23,59,59))-SUMIFS('inventory ledger'!$I:$I,'inventory ledger'!$C:$C,C3446,'inventory ledger'!$D:$D,D3446,'inventory ledger'!$E:$E,E3446,'inventory ledger'!$A:$A,"&lt;="&amp;B3446+TIME(23,59,59)))</f>
        <v/>
      </c>
      <c r="G3446" s="3">
        <f>IFERROR(__xludf.DUMMYFUNCTION("IF(F3446&lt;=0,0,IFERROR(ROUNDUP(F3446/INDEX(FILTER('warehouse config'!$D:$D,('warehouse config'!$B:$B=C3446)*('warehouse config'!$C:$C=D3446)*('warehouse config'!$G:$G&lt;=B3446)*(('warehouse config'!$H:$H&gt;=B3446)+ISBLANK('warehouse config'!$H:$H))),1)),0))"),0.0)</f>
        <v>0</v>
      </c>
      <c r="H3446" s="3">
        <f>IFERROR(__xludf.DUMMYFUNCTION("IFERROR(INDEX(FILTER('cost master'!$E:$E,('cost master'!$B:$B=C3446)*('cost master'!$D:$D=""Storage cost per pallet / week"")*('cost master'!$G:$G&lt;=B3446)*(('cost master'!$H:$H&gt;=B3446)+ISBLANK('cost master'!$H:$H))),1),0)"),0.0)</f>
        <v>0</v>
      </c>
      <c r="I3446" s="3">
        <f t="shared" si="4"/>
        <v>0</v>
      </c>
      <c r="J3446" s="27">
        <f t="shared" si="5"/>
        <v>693947</v>
      </c>
      <c r="K3446" s="27">
        <f t="shared" si="6"/>
        <v>693977</v>
      </c>
    </row>
    <row r="3447" hidden="1">
      <c r="A3447" s="3" t="str">
        <f t="shared" si="3"/>
        <v/>
      </c>
      <c r="B3447" s="2" t="str">
        <f t="array" ref="B3447">INDEX(helper!$A$3:$A3996,ROUNDUP((ROW()-1)/COUNTA(helper!$D$3:$D3996),0))</f>
        <v/>
      </c>
      <c r="C3447" s="5" t="str">
        <f t="array" ref="C3447">IF(B3447="","",INDEX(helper!$D$3:$D3996,MOD(ROW()-2,COUNTA(helper!$D$3:$D3996))+1))</f>
        <v/>
      </c>
      <c r="D3447" s="3" t="str">
        <f t="array" ref="D3447">IF(B3447="","",INDEX(helper!$E$3:$E3996,MOD(ROW()-2,COUNTA(helper!$D$3:$D3996))+1))</f>
        <v/>
      </c>
      <c r="E3447" s="3" t="str">
        <f t="array" ref="E3447">IF(B3447="","",INDEX(helper!$F$3:$F3996,MOD(ROW()-2,COUNTA(helper!$D$3:$D3996))+1))</f>
        <v/>
      </c>
      <c r="F3447" s="3" t="str">
        <f>IF(B3447="","",SUMIFS('inventory ledger'!$H:$H,'inventory ledger'!$C:$C,C3447,'inventory ledger'!$D:$D,D3447,'inventory ledger'!$E:$E,E3447,'inventory ledger'!$A:$A,"&lt;="&amp;B3447+TIME(23,59,59))-SUMIFS('inventory ledger'!$I:$I,'inventory ledger'!$C:$C,C3447,'inventory ledger'!$D:$D,D3447,'inventory ledger'!$E:$E,E3447,'inventory ledger'!$A:$A,"&lt;="&amp;B3447+TIME(23,59,59)))</f>
        <v/>
      </c>
      <c r="G3447" s="3">
        <f>IFERROR(__xludf.DUMMYFUNCTION("IF(F3447&lt;=0,0,IFERROR(ROUNDUP(F3447/INDEX(FILTER('warehouse config'!$D:$D,('warehouse config'!$B:$B=C3447)*('warehouse config'!$C:$C=D3447)*('warehouse config'!$G:$G&lt;=B3447)*(('warehouse config'!$H:$H&gt;=B3447)+ISBLANK('warehouse config'!$H:$H))),1)),0))"),0.0)</f>
        <v>0</v>
      </c>
      <c r="H3447" s="3">
        <f>IFERROR(__xludf.DUMMYFUNCTION("IFERROR(INDEX(FILTER('cost master'!$E:$E,('cost master'!$B:$B=C3447)*('cost master'!$D:$D=""Storage cost per pallet / week"")*('cost master'!$G:$G&lt;=B3447)*(('cost master'!$H:$H&gt;=B3447)+ISBLANK('cost master'!$H:$H))),1),0)"),0.0)</f>
        <v>0</v>
      </c>
      <c r="I3447" s="3">
        <f t="shared" si="4"/>
        <v>0</v>
      </c>
      <c r="J3447" s="27">
        <f t="shared" si="5"/>
        <v>693947</v>
      </c>
      <c r="K3447" s="27">
        <f t="shared" si="6"/>
        <v>693977</v>
      </c>
    </row>
    <row r="3448" hidden="1">
      <c r="A3448" s="3" t="str">
        <f t="shared" si="3"/>
        <v/>
      </c>
      <c r="B3448" s="2" t="str">
        <f t="array" ref="B3448">INDEX(helper!$A$3:$A3996,ROUNDUP((ROW()-1)/COUNTA(helper!$D$3:$D3996),0))</f>
        <v/>
      </c>
      <c r="C3448" s="5" t="str">
        <f t="array" ref="C3448">IF(B3448="","",INDEX(helper!$D$3:$D3996,MOD(ROW()-2,COUNTA(helper!$D$3:$D3996))+1))</f>
        <v/>
      </c>
      <c r="D3448" s="3" t="str">
        <f t="array" ref="D3448">IF(B3448="","",INDEX(helper!$E$3:$E3996,MOD(ROW()-2,COUNTA(helper!$D$3:$D3996))+1))</f>
        <v/>
      </c>
      <c r="E3448" s="3" t="str">
        <f t="array" ref="E3448">IF(B3448="","",INDEX(helper!$F$3:$F3996,MOD(ROW()-2,COUNTA(helper!$D$3:$D3996))+1))</f>
        <v/>
      </c>
      <c r="F3448" s="3" t="str">
        <f>IF(B3448="","",SUMIFS('inventory ledger'!$H:$H,'inventory ledger'!$C:$C,C3448,'inventory ledger'!$D:$D,D3448,'inventory ledger'!$E:$E,E3448,'inventory ledger'!$A:$A,"&lt;="&amp;B3448+TIME(23,59,59))-SUMIFS('inventory ledger'!$I:$I,'inventory ledger'!$C:$C,C3448,'inventory ledger'!$D:$D,D3448,'inventory ledger'!$E:$E,E3448,'inventory ledger'!$A:$A,"&lt;="&amp;B3448+TIME(23,59,59)))</f>
        <v/>
      </c>
      <c r="G3448" s="3">
        <f>IFERROR(__xludf.DUMMYFUNCTION("IF(F3448&lt;=0,0,IFERROR(ROUNDUP(F3448/INDEX(FILTER('warehouse config'!$D:$D,('warehouse config'!$B:$B=C3448)*('warehouse config'!$C:$C=D3448)*('warehouse config'!$G:$G&lt;=B3448)*(('warehouse config'!$H:$H&gt;=B3448)+ISBLANK('warehouse config'!$H:$H))),1)),0))"),0.0)</f>
        <v>0</v>
      </c>
      <c r="H3448" s="3">
        <f>IFERROR(__xludf.DUMMYFUNCTION("IFERROR(INDEX(FILTER('cost master'!$E:$E,('cost master'!$B:$B=C3448)*('cost master'!$D:$D=""Storage cost per pallet / week"")*('cost master'!$G:$G&lt;=B3448)*(('cost master'!$H:$H&gt;=B3448)+ISBLANK('cost master'!$H:$H))),1),0)"),0.0)</f>
        <v>0</v>
      </c>
      <c r="I3448" s="3">
        <f t="shared" si="4"/>
        <v>0</v>
      </c>
      <c r="J3448" s="27">
        <f t="shared" si="5"/>
        <v>693947</v>
      </c>
      <c r="K3448" s="27">
        <f t="shared" si="6"/>
        <v>693977</v>
      </c>
    </row>
    <row r="3449" hidden="1">
      <c r="A3449" s="3" t="str">
        <f t="shared" si="3"/>
        <v/>
      </c>
      <c r="B3449" s="2" t="str">
        <f t="array" ref="B3449">INDEX(helper!$A$3:$A3996,ROUNDUP((ROW()-1)/COUNTA(helper!$D$3:$D3996),0))</f>
        <v/>
      </c>
      <c r="C3449" s="5" t="str">
        <f t="array" ref="C3449">IF(B3449="","",INDEX(helper!$D$3:$D3996,MOD(ROW()-2,COUNTA(helper!$D$3:$D3996))+1))</f>
        <v/>
      </c>
      <c r="D3449" s="3" t="str">
        <f t="array" ref="D3449">IF(B3449="","",INDEX(helper!$E$3:$E3996,MOD(ROW()-2,COUNTA(helper!$D$3:$D3996))+1))</f>
        <v/>
      </c>
      <c r="E3449" s="3" t="str">
        <f t="array" ref="E3449">IF(B3449="","",INDEX(helper!$F$3:$F3996,MOD(ROW()-2,COUNTA(helper!$D$3:$D3996))+1))</f>
        <v/>
      </c>
      <c r="F3449" s="3" t="str">
        <f>IF(B3449="","",SUMIFS('inventory ledger'!$H:$H,'inventory ledger'!$C:$C,C3449,'inventory ledger'!$D:$D,D3449,'inventory ledger'!$E:$E,E3449,'inventory ledger'!$A:$A,"&lt;="&amp;B3449+TIME(23,59,59))-SUMIFS('inventory ledger'!$I:$I,'inventory ledger'!$C:$C,C3449,'inventory ledger'!$D:$D,D3449,'inventory ledger'!$E:$E,E3449,'inventory ledger'!$A:$A,"&lt;="&amp;B3449+TIME(23,59,59)))</f>
        <v/>
      </c>
      <c r="G3449" s="3">
        <f>IFERROR(__xludf.DUMMYFUNCTION("IF(F3449&lt;=0,0,IFERROR(ROUNDUP(F3449/INDEX(FILTER('warehouse config'!$D:$D,('warehouse config'!$B:$B=C3449)*('warehouse config'!$C:$C=D3449)*('warehouse config'!$G:$G&lt;=B3449)*(('warehouse config'!$H:$H&gt;=B3449)+ISBLANK('warehouse config'!$H:$H))),1)),0))"),0.0)</f>
        <v>0</v>
      </c>
      <c r="H3449" s="3">
        <f>IFERROR(__xludf.DUMMYFUNCTION("IFERROR(INDEX(FILTER('cost master'!$E:$E,('cost master'!$B:$B=C3449)*('cost master'!$D:$D=""Storage cost per pallet / week"")*('cost master'!$G:$G&lt;=B3449)*(('cost master'!$H:$H&gt;=B3449)+ISBLANK('cost master'!$H:$H))),1),0)"),0.0)</f>
        <v>0</v>
      </c>
      <c r="I3449" s="3">
        <f t="shared" si="4"/>
        <v>0</v>
      </c>
      <c r="J3449" s="27">
        <f t="shared" si="5"/>
        <v>693947</v>
      </c>
      <c r="K3449" s="27">
        <f t="shared" si="6"/>
        <v>693977</v>
      </c>
    </row>
    <row r="3450" hidden="1">
      <c r="A3450" s="3" t="str">
        <f t="shared" si="3"/>
        <v/>
      </c>
      <c r="B3450" s="2" t="str">
        <f t="array" ref="B3450">INDEX(helper!$A$3:$A3996,ROUNDUP((ROW()-1)/COUNTA(helper!$D$3:$D3996),0))</f>
        <v/>
      </c>
      <c r="C3450" s="5" t="str">
        <f t="array" ref="C3450">IF(B3450="","",INDEX(helper!$D$3:$D3996,MOD(ROW()-2,COUNTA(helper!$D$3:$D3996))+1))</f>
        <v/>
      </c>
      <c r="D3450" s="3" t="str">
        <f t="array" ref="D3450">IF(B3450="","",INDEX(helper!$E$3:$E3996,MOD(ROW()-2,COUNTA(helper!$D$3:$D3996))+1))</f>
        <v/>
      </c>
      <c r="E3450" s="3" t="str">
        <f t="array" ref="E3450">IF(B3450="","",INDEX(helper!$F$3:$F3996,MOD(ROW()-2,COUNTA(helper!$D$3:$D3996))+1))</f>
        <v/>
      </c>
      <c r="F3450" s="3" t="str">
        <f>IF(B3450="","",SUMIFS('inventory ledger'!$H:$H,'inventory ledger'!$C:$C,C3450,'inventory ledger'!$D:$D,D3450,'inventory ledger'!$E:$E,E3450,'inventory ledger'!$A:$A,"&lt;="&amp;B3450+TIME(23,59,59))-SUMIFS('inventory ledger'!$I:$I,'inventory ledger'!$C:$C,C3450,'inventory ledger'!$D:$D,D3450,'inventory ledger'!$E:$E,E3450,'inventory ledger'!$A:$A,"&lt;="&amp;B3450+TIME(23,59,59)))</f>
        <v/>
      </c>
      <c r="G3450" s="3">
        <f>IFERROR(__xludf.DUMMYFUNCTION("IF(F3450&lt;=0,0,IFERROR(ROUNDUP(F3450/INDEX(FILTER('warehouse config'!$D:$D,('warehouse config'!$B:$B=C3450)*('warehouse config'!$C:$C=D3450)*('warehouse config'!$G:$G&lt;=B3450)*(('warehouse config'!$H:$H&gt;=B3450)+ISBLANK('warehouse config'!$H:$H))),1)),0))"),0.0)</f>
        <v>0</v>
      </c>
      <c r="H3450" s="3">
        <f>IFERROR(__xludf.DUMMYFUNCTION("IFERROR(INDEX(FILTER('cost master'!$E:$E,('cost master'!$B:$B=C3450)*('cost master'!$D:$D=""Storage cost per pallet / week"")*('cost master'!$G:$G&lt;=B3450)*(('cost master'!$H:$H&gt;=B3450)+ISBLANK('cost master'!$H:$H))),1),0)"),0.0)</f>
        <v>0</v>
      </c>
      <c r="I3450" s="3">
        <f t="shared" si="4"/>
        <v>0</v>
      </c>
      <c r="J3450" s="27">
        <f t="shared" si="5"/>
        <v>693947</v>
      </c>
      <c r="K3450" s="27">
        <f t="shared" si="6"/>
        <v>693977</v>
      </c>
    </row>
    <row r="3451" hidden="1">
      <c r="A3451" s="3" t="str">
        <f t="shared" si="3"/>
        <v/>
      </c>
      <c r="B3451" s="2" t="str">
        <f t="array" ref="B3451">INDEX(helper!$A$3:$A3996,ROUNDUP((ROW()-1)/COUNTA(helper!$D$3:$D3996),0))</f>
        <v/>
      </c>
      <c r="C3451" s="5" t="str">
        <f t="array" ref="C3451">IF(B3451="","",INDEX(helper!$D$3:$D3996,MOD(ROW()-2,COUNTA(helper!$D$3:$D3996))+1))</f>
        <v/>
      </c>
      <c r="D3451" s="3" t="str">
        <f t="array" ref="D3451">IF(B3451="","",INDEX(helper!$E$3:$E3996,MOD(ROW()-2,COUNTA(helper!$D$3:$D3996))+1))</f>
        <v/>
      </c>
      <c r="E3451" s="3" t="str">
        <f t="array" ref="E3451">IF(B3451="","",INDEX(helper!$F$3:$F3996,MOD(ROW()-2,COUNTA(helper!$D$3:$D3996))+1))</f>
        <v/>
      </c>
      <c r="F3451" s="3" t="str">
        <f>IF(B3451="","",SUMIFS('inventory ledger'!$H:$H,'inventory ledger'!$C:$C,C3451,'inventory ledger'!$D:$D,D3451,'inventory ledger'!$E:$E,E3451,'inventory ledger'!$A:$A,"&lt;="&amp;B3451+TIME(23,59,59))-SUMIFS('inventory ledger'!$I:$I,'inventory ledger'!$C:$C,C3451,'inventory ledger'!$D:$D,D3451,'inventory ledger'!$E:$E,E3451,'inventory ledger'!$A:$A,"&lt;="&amp;B3451+TIME(23,59,59)))</f>
        <v/>
      </c>
      <c r="G3451" s="3">
        <f>IFERROR(__xludf.DUMMYFUNCTION("IF(F3451&lt;=0,0,IFERROR(ROUNDUP(F3451/INDEX(FILTER('warehouse config'!$D:$D,('warehouse config'!$B:$B=C3451)*('warehouse config'!$C:$C=D3451)*('warehouse config'!$G:$G&lt;=B3451)*(('warehouse config'!$H:$H&gt;=B3451)+ISBLANK('warehouse config'!$H:$H))),1)),0))"),0.0)</f>
        <v>0</v>
      </c>
      <c r="H3451" s="3">
        <f>IFERROR(__xludf.DUMMYFUNCTION("IFERROR(INDEX(FILTER('cost master'!$E:$E,('cost master'!$B:$B=C3451)*('cost master'!$D:$D=""Storage cost per pallet / week"")*('cost master'!$G:$G&lt;=B3451)*(('cost master'!$H:$H&gt;=B3451)+ISBLANK('cost master'!$H:$H))),1),0)"),0.0)</f>
        <v>0</v>
      </c>
      <c r="I3451" s="3">
        <f t="shared" si="4"/>
        <v>0</v>
      </c>
      <c r="J3451" s="27">
        <f t="shared" si="5"/>
        <v>693947</v>
      </c>
      <c r="K3451" s="27">
        <f t="shared" si="6"/>
        <v>693977</v>
      </c>
    </row>
    <row r="3452" hidden="1">
      <c r="A3452" s="3" t="str">
        <f t="shared" si="3"/>
        <v/>
      </c>
      <c r="B3452" s="2" t="str">
        <f t="array" ref="B3452">INDEX(helper!$A$3:$A3996,ROUNDUP((ROW()-1)/COUNTA(helper!$D$3:$D3996),0))</f>
        <v/>
      </c>
      <c r="C3452" s="5" t="str">
        <f t="array" ref="C3452">IF(B3452="","",INDEX(helper!$D$3:$D3996,MOD(ROW()-2,COUNTA(helper!$D$3:$D3996))+1))</f>
        <v/>
      </c>
      <c r="D3452" s="3" t="str">
        <f t="array" ref="D3452">IF(B3452="","",INDEX(helper!$E$3:$E3996,MOD(ROW()-2,COUNTA(helper!$D$3:$D3996))+1))</f>
        <v/>
      </c>
      <c r="E3452" s="3" t="str">
        <f t="array" ref="E3452">IF(B3452="","",INDEX(helper!$F$3:$F3996,MOD(ROW()-2,COUNTA(helper!$D$3:$D3996))+1))</f>
        <v/>
      </c>
      <c r="F3452" s="3" t="str">
        <f>IF(B3452="","",SUMIFS('inventory ledger'!$H:$H,'inventory ledger'!$C:$C,C3452,'inventory ledger'!$D:$D,D3452,'inventory ledger'!$E:$E,E3452,'inventory ledger'!$A:$A,"&lt;="&amp;B3452+TIME(23,59,59))-SUMIFS('inventory ledger'!$I:$I,'inventory ledger'!$C:$C,C3452,'inventory ledger'!$D:$D,D3452,'inventory ledger'!$E:$E,E3452,'inventory ledger'!$A:$A,"&lt;="&amp;B3452+TIME(23,59,59)))</f>
        <v/>
      </c>
      <c r="G3452" s="3">
        <f>IFERROR(__xludf.DUMMYFUNCTION("IF(F3452&lt;=0,0,IFERROR(ROUNDUP(F3452/INDEX(FILTER('warehouse config'!$D:$D,('warehouse config'!$B:$B=C3452)*('warehouse config'!$C:$C=D3452)*('warehouse config'!$G:$G&lt;=B3452)*(('warehouse config'!$H:$H&gt;=B3452)+ISBLANK('warehouse config'!$H:$H))),1)),0))"),0.0)</f>
        <v>0</v>
      </c>
      <c r="H3452" s="3">
        <f>IFERROR(__xludf.DUMMYFUNCTION("IFERROR(INDEX(FILTER('cost master'!$E:$E,('cost master'!$B:$B=C3452)*('cost master'!$D:$D=""Storage cost per pallet / week"")*('cost master'!$G:$G&lt;=B3452)*(('cost master'!$H:$H&gt;=B3452)+ISBLANK('cost master'!$H:$H))),1),0)"),0.0)</f>
        <v>0</v>
      </c>
      <c r="I3452" s="3">
        <f t="shared" si="4"/>
        <v>0</v>
      </c>
      <c r="J3452" s="27">
        <f t="shared" si="5"/>
        <v>693947</v>
      </c>
      <c r="K3452" s="27">
        <f t="shared" si="6"/>
        <v>693977</v>
      </c>
    </row>
    <row r="3453" hidden="1">
      <c r="A3453" s="3" t="str">
        <f t="shared" si="3"/>
        <v/>
      </c>
      <c r="B3453" s="2" t="str">
        <f t="array" ref="B3453">INDEX(helper!$A$3:$A3996,ROUNDUP((ROW()-1)/COUNTA(helper!$D$3:$D3996),0))</f>
        <v/>
      </c>
      <c r="C3453" s="5" t="str">
        <f t="array" ref="C3453">IF(B3453="","",INDEX(helper!$D$3:$D3996,MOD(ROW()-2,COUNTA(helper!$D$3:$D3996))+1))</f>
        <v/>
      </c>
      <c r="D3453" s="3" t="str">
        <f t="array" ref="D3453">IF(B3453="","",INDEX(helper!$E$3:$E3996,MOD(ROW()-2,COUNTA(helper!$D$3:$D3996))+1))</f>
        <v/>
      </c>
      <c r="E3453" s="3" t="str">
        <f t="array" ref="E3453">IF(B3453="","",INDEX(helper!$F$3:$F3996,MOD(ROW()-2,COUNTA(helper!$D$3:$D3996))+1))</f>
        <v/>
      </c>
      <c r="F3453" s="3" t="str">
        <f>IF(B3453="","",SUMIFS('inventory ledger'!$H:$H,'inventory ledger'!$C:$C,C3453,'inventory ledger'!$D:$D,D3453,'inventory ledger'!$E:$E,E3453,'inventory ledger'!$A:$A,"&lt;="&amp;B3453+TIME(23,59,59))-SUMIFS('inventory ledger'!$I:$I,'inventory ledger'!$C:$C,C3453,'inventory ledger'!$D:$D,D3453,'inventory ledger'!$E:$E,E3453,'inventory ledger'!$A:$A,"&lt;="&amp;B3453+TIME(23,59,59)))</f>
        <v/>
      </c>
      <c r="G3453" s="3">
        <f>IFERROR(__xludf.DUMMYFUNCTION("IF(F3453&lt;=0,0,IFERROR(ROUNDUP(F3453/INDEX(FILTER('warehouse config'!$D:$D,('warehouse config'!$B:$B=C3453)*('warehouse config'!$C:$C=D3453)*('warehouse config'!$G:$G&lt;=B3453)*(('warehouse config'!$H:$H&gt;=B3453)+ISBLANK('warehouse config'!$H:$H))),1)),0))"),0.0)</f>
        <v>0</v>
      </c>
      <c r="H3453" s="3">
        <f>IFERROR(__xludf.DUMMYFUNCTION("IFERROR(INDEX(FILTER('cost master'!$E:$E,('cost master'!$B:$B=C3453)*('cost master'!$D:$D=""Storage cost per pallet / week"")*('cost master'!$G:$G&lt;=B3453)*(('cost master'!$H:$H&gt;=B3453)+ISBLANK('cost master'!$H:$H))),1),0)"),0.0)</f>
        <v>0</v>
      </c>
      <c r="I3453" s="3">
        <f t="shared" si="4"/>
        <v>0</v>
      </c>
      <c r="J3453" s="27">
        <f t="shared" si="5"/>
        <v>693947</v>
      </c>
      <c r="K3453" s="27">
        <f t="shared" si="6"/>
        <v>693977</v>
      </c>
    </row>
    <row r="3454" hidden="1">
      <c r="A3454" s="3" t="str">
        <f t="shared" si="3"/>
        <v/>
      </c>
      <c r="B3454" s="2" t="str">
        <f t="array" ref="B3454">INDEX(helper!$A$3:$A3996,ROUNDUP((ROW()-1)/COUNTA(helper!$D$3:$D3996),0))</f>
        <v/>
      </c>
      <c r="C3454" s="5" t="str">
        <f t="array" ref="C3454">IF(B3454="","",INDEX(helper!$D$3:$D3996,MOD(ROW()-2,COUNTA(helper!$D$3:$D3996))+1))</f>
        <v/>
      </c>
      <c r="D3454" s="3" t="str">
        <f t="array" ref="D3454">IF(B3454="","",INDEX(helper!$E$3:$E3996,MOD(ROW()-2,COUNTA(helper!$D$3:$D3996))+1))</f>
        <v/>
      </c>
      <c r="E3454" s="3" t="str">
        <f t="array" ref="E3454">IF(B3454="","",INDEX(helper!$F$3:$F3996,MOD(ROW()-2,COUNTA(helper!$D$3:$D3996))+1))</f>
        <v/>
      </c>
      <c r="F3454" s="3" t="str">
        <f>IF(B3454="","",SUMIFS('inventory ledger'!$H:$H,'inventory ledger'!$C:$C,C3454,'inventory ledger'!$D:$D,D3454,'inventory ledger'!$E:$E,E3454,'inventory ledger'!$A:$A,"&lt;="&amp;B3454+TIME(23,59,59))-SUMIFS('inventory ledger'!$I:$I,'inventory ledger'!$C:$C,C3454,'inventory ledger'!$D:$D,D3454,'inventory ledger'!$E:$E,E3454,'inventory ledger'!$A:$A,"&lt;="&amp;B3454+TIME(23,59,59)))</f>
        <v/>
      </c>
      <c r="G3454" s="3">
        <f>IFERROR(__xludf.DUMMYFUNCTION("IF(F3454&lt;=0,0,IFERROR(ROUNDUP(F3454/INDEX(FILTER('warehouse config'!$D:$D,('warehouse config'!$B:$B=C3454)*('warehouse config'!$C:$C=D3454)*('warehouse config'!$G:$G&lt;=B3454)*(('warehouse config'!$H:$H&gt;=B3454)+ISBLANK('warehouse config'!$H:$H))),1)),0))"),0.0)</f>
        <v>0</v>
      </c>
      <c r="H3454" s="3">
        <f>IFERROR(__xludf.DUMMYFUNCTION("IFERROR(INDEX(FILTER('cost master'!$E:$E,('cost master'!$B:$B=C3454)*('cost master'!$D:$D=""Storage cost per pallet / week"")*('cost master'!$G:$G&lt;=B3454)*(('cost master'!$H:$H&gt;=B3454)+ISBLANK('cost master'!$H:$H))),1),0)"),0.0)</f>
        <v>0</v>
      </c>
      <c r="I3454" s="3">
        <f t="shared" si="4"/>
        <v>0</v>
      </c>
      <c r="J3454" s="27">
        <f t="shared" si="5"/>
        <v>693947</v>
      </c>
      <c r="K3454" s="27">
        <f t="shared" si="6"/>
        <v>693977</v>
      </c>
    </row>
    <row r="3455" hidden="1">
      <c r="A3455" s="3" t="str">
        <f t="shared" si="3"/>
        <v/>
      </c>
      <c r="B3455" s="2" t="str">
        <f t="array" ref="B3455">INDEX(helper!$A$3:$A3996,ROUNDUP((ROW()-1)/COUNTA(helper!$D$3:$D3996),0))</f>
        <v/>
      </c>
      <c r="C3455" s="5" t="str">
        <f t="array" ref="C3455">IF(B3455="","",INDEX(helper!$D$3:$D3996,MOD(ROW()-2,COUNTA(helper!$D$3:$D3996))+1))</f>
        <v/>
      </c>
      <c r="D3455" s="3" t="str">
        <f t="array" ref="D3455">IF(B3455="","",INDEX(helper!$E$3:$E3996,MOD(ROW()-2,COUNTA(helper!$D$3:$D3996))+1))</f>
        <v/>
      </c>
      <c r="E3455" s="3" t="str">
        <f t="array" ref="E3455">IF(B3455="","",INDEX(helper!$F$3:$F3996,MOD(ROW()-2,COUNTA(helper!$D$3:$D3996))+1))</f>
        <v/>
      </c>
      <c r="F3455" s="3" t="str">
        <f>IF(B3455="","",SUMIFS('inventory ledger'!$H:$H,'inventory ledger'!$C:$C,C3455,'inventory ledger'!$D:$D,D3455,'inventory ledger'!$E:$E,E3455,'inventory ledger'!$A:$A,"&lt;="&amp;B3455+TIME(23,59,59))-SUMIFS('inventory ledger'!$I:$I,'inventory ledger'!$C:$C,C3455,'inventory ledger'!$D:$D,D3455,'inventory ledger'!$E:$E,E3455,'inventory ledger'!$A:$A,"&lt;="&amp;B3455+TIME(23,59,59)))</f>
        <v/>
      </c>
      <c r="G3455" s="3">
        <f>IFERROR(__xludf.DUMMYFUNCTION("IF(F3455&lt;=0,0,IFERROR(ROUNDUP(F3455/INDEX(FILTER('warehouse config'!$D:$D,('warehouse config'!$B:$B=C3455)*('warehouse config'!$C:$C=D3455)*('warehouse config'!$G:$G&lt;=B3455)*(('warehouse config'!$H:$H&gt;=B3455)+ISBLANK('warehouse config'!$H:$H))),1)),0))"),0.0)</f>
        <v>0</v>
      </c>
      <c r="H3455" s="3">
        <f>IFERROR(__xludf.DUMMYFUNCTION("IFERROR(INDEX(FILTER('cost master'!$E:$E,('cost master'!$B:$B=C3455)*('cost master'!$D:$D=""Storage cost per pallet / week"")*('cost master'!$G:$G&lt;=B3455)*(('cost master'!$H:$H&gt;=B3455)+ISBLANK('cost master'!$H:$H))),1),0)"),0.0)</f>
        <v>0</v>
      </c>
      <c r="I3455" s="3">
        <f t="shared" si="4"/>
        <v>0</v>
      </c>
      <c r="J3455" s="27">
        <f t="shared" si="5"/>
        <v>693947</v>
      </c>
      <c r="K3455" s="27">
        <f t="shared" si="6"/>
        <v>693977</v>
      </c>
    </row>
    <row r="3456" hidden="1">
      <c r="A3456" s="3" t="str">
        <f t="shared" si="3"/>
        <v/>
      </c>
      <c r="B3456" s="2" t="str">
        <f t="array" ref="B3456">INDEX(helper!$A$3:$A3996,ROUNDUP((ROW()-1)/COUNTA(helper!$D$3:$D3996),0))</f>
        <v/>
      </c>
      <c r="C3456" s="5" t="str">
        <f t="array" ref="C3456">IF(B3456="","",INDEX(helper!$D$3:$D3996,MOD(ROW()-2,COUNTA(helper!$D$3:$D3996))+1))</f>
        <v/>
      </c>
      <c r="D3456" s="3" t="str">
        <f t="array" ref="D3456">IF(B3456="","",INDEX(helper!$E$3:$E3996,MOD(ROW()-2,COUNTA(helper!$D$3:$D3996))+1))</f>
        <v/>
      </c>
      <c r="E3456" s="3" t="str">
        <f t="array" ref="E3456">IF(B3456="","",INDEX(helper!$F$3:$F3996,MOD(ROW()-2,COUNTA(helper!$D$3:$D3996))+1))</f>
        <v/>
      </c>
      <c r="F3456" s="3" t="str">
        <f>IF(B3456="","",SUMIFS('inventory ledger'!$H:$H,'inventory ledger'!$C:$C,C3456,'inventory ledger'!$D:$D,D3456,'inventory ledger'!$E:$E,E3456,'inventory ledger'!$A:$A,"&lt;="&amp;B3456+TIME(23,59,59))-SUMIFS('inventory ledger'!$I:$I,'inventory ledger'!$C:$C,C3456,'inventory ledger'!$D:$D,D3456,'inventory ledger'!$E:$E,E3456,'inventory ledger'!$A:$A,"&lt;="&amp;B3456+TIME(23,59,59)))</f>
        <v/>
      </c>
      <c r="G3456" s="3">
        <f>IFERROR(__xludf.DUMMYFUNCTION("IF(F3456&lt;=0,0,IFERROR(ROUNDUP(F3456/INDEX(FILTER('warehouse config'!$D:$D,('warehouse config'!$B:$B=C3456)*('warehouse config'!$C:$C=D3456)*('warehouse config'!$G:$G&lt;=B3456)*(('warehouse config'!$H:$H&gt;=B3456)+ISBLANK('warehouse config'!$H:$H))),1)),0))"),0.0)</f>
        <v>0</v>
      </c>
      <c r="H3456" s="3">
        <f>IFERROR(__xludf.DUMMYFUNCTION("IFERROR(INDEX(FILTER('cost master'!$E:$E,('cost master'!$B:$B=C3456)*('cost master'!$D:$D=""Storage cost per pallet / week"")*('cost master'!$G:$G&lt;=B3456)*(('cost master'!$H:$H&gt;=B3456)+ISBLANK('cost master'!$H:$H))),1),0)"),0.0)</f>
        <v>0</v>
      </c>
      <c r="I3456" s="3">
        <f t="shared" si="4"/>
        <v>0</v>
      </c>
      <c r="J3456" s="27">
        <f t="shared" si="5"/>
        <v>693947</v>
      </c>
      <c r="K3456" s="27">
        <f t="shared" si="6"/>
        <v>693977</v>
      </c>
    </row>
    <row r="3457" hidden="1">
      <c r="A3457" s="3" t="str">
        <f t="shared" si="3"/>
        <v/>
      </c>
      <c r="B3457" s="2" t="str">
        <f t="array" ref="B3457">INDEX(helper!$A$3:$A3996,ROUNDUP((ROW()-1)/COUNTA(helper!$D$3:$D3996),0))</f>
        <v/>
      </c>
      <c r="C3457" s="5" t="str">
        <f t="array" ref="C3457">IF(B3457="","",INDEX(helper!$D$3:$D3996,MOD(ROW()-2,COUNTA(helper!$D$3:$D3996))+1))</f>
        <v/>
      </c>
      <c r="D3457" s="3" t="str">
        <f t="array" ref="D3457">IF(B3457="","",INDEX(helper!$E$3:$E3996,MOD(ROW()-2,COUNTA(helper!$D$3:$D3996))+1))</f>
        <v/>
      </c>
      <c r="E3457" s="3" t="str">
        <f t="array" ref="E3457">IF(B3457="","",INDEX(helper!$F$3:$F3996,MOD(ROW()-2,COUNTA(helper!$D$3:$D3996))+1))</f>
        <v/>
      </c>
      <c r="F3457" s="3" t="str">
        <f>IF(B3457="","",SUMIFS('inventory ledger'!$H:$H,'inventory ledger'!$C:$C,C3457,'inventory ledger'!$D:$D,D3457,'inventory ledger'!$E:$E,E3457,'inventory ledger'!$A:$A,"&lt;="&amp;B3457+TIME(23,59,59))-SUMIFS('inventory ledger'!$I:$I,'inventory ledger'!$C:$C,C3457,'inventory ledger'!$D:$D,D3457,'inventory ledger'!$E:$E,E3457,'inventory ledger'!$A:$A,"&lt;="&amp;B3457+TIME(23,59,59)))</f>
        <v/>
      </c>
      <c r="G3457" s="3">
        <f>IFERROR(__xludf.DUMMYFUNCTION("IF(F3457&lt;=0,0,IFERROR(ROUNDUP(F3457/INDEX(FILTER('warehouse config'!$D:$D,('warehouse config'!$B:$B=C3457)*('warehouse config'!$C:$C=D3457)*('warehouse config'!$G:$G&lt;=B3457)*(('warehouse config'!$H:$H&gt;=B3457)+ISBLANK('warehouse config'!$H:$H))),1)),0))"),0.0)</f>
        <v>0</v>
      </c>
      <c r="H3457" s="3">
        <f>IFERROR(__xludf.DUMMYFUNCTION("IFERROR(INDEX(FILTER('cost master'!$E:$E,('cost master'!$B:$B=C3457)*('cost master'!$D:$D=""Storage cost per pallet / week"")*('cost master'!$G:$G&lt;=B3457)*(('cost master'!$H:$H&gt;=B3457)+ISBLANK('cost master'!$H:$H))),1),0)"),0.0)</f>
        <v>0</v>
      </c>
      <c r="I3457" s="3">
        <f t="shared" si="4"/>
        <v>0</v>
      </c>
      <c r="J3457" s="27">
        <f t="shared" si="5"/>
        <v>693947</v>
      </c>
      <c r="K3457" s="27">
        <f t="shared" si="6"/>
        <v>693977</v>
      </c>
    </row>
    <row r="3458" hidden="1">
      <c r="A3458" s="3" t="str">
        <f t="shared" si="3"/>
        <v/>
      </c>
      <c r="B3458" s="2" t="str">
        <f t="array" ref="B3458">INDEX(helper!$A$3:$A3996,ROUNDUP((ROW()-1)/COUNTA(helper!$D$3:$D3996),0))</f>
        <v/>
      </c>
      <c r="C3458" s="5" t="str">
        <f t="array" ref="C3458">IF(B3458="","",INDEX(helper!$D$3:$D3996,MOD(ROW()-2,COUNTA(helper!$D$3:$D3996))+1))</f>
        <v/>
      </c>
      <c r="D3458" s="3" t="str">
        <f t="array" ref="D3458">IF(B3458="","",INDEX(helper!$E$3:$E3996,MOD(ROW()-2,COUNTA(helper!$D$3:$D3996))+1))</f>
        <v/>
      </c>
      <c r="E3458" s="3" t="str">
        <f t="array" ref="E3458">IF(B3458="","",INDEX(helper!$F$3:$F3996,MOD(ROW()-2,COUNTA(helper!$D$3:$D3996))+1))</f>
        <v/>
      </c>
      <c r="F3458" s="3" t="str">
        <f>IF(B3458="","",SUMIFS('inventory ledger'!$H:$H,'inventory ledger'!$C:$C,C3458,'inventory ledger'!$D:$D,D3458,'inventory ledger'!$E:$E,E3458,'inventory ledger'!$A:$A,"&lt;="&amp;B3458+TIME(23,59,59))-SUMIFS('inventory ledger'!$I:$I,'inventory ledger'!$C:$C,C3458,'inventory ledger'!$D:$D,D3458,'inventory ledger'!$E:$E,E3458,'inventory ledger'!$A:$A,"&lt;="&amp;B3458+TIME(23,59,59)))</f>
        <v/>
      </c>
      <c r="G3458" s="3">
        <f>IFERROR(__xludf.DUMMYFUNCTION("IF(F3458&lt;=0,0,IFERROR(ROUNDUP(F3458/INDEX(FILTER('warehouse config'!$D:$D,('warehouse config'!$B:$B=C3458)*('warehouse config'!$C:$C=D3458)*('warehouse config'!$G:$G&lt;=B3458)*(('warehouse config'!$H:$H&gt;=B3458)+ISBLANK('warehouse config'!$H:$H))),1)),0))"),0.0)</f>
        <v>0</v>
      </c>
      <c r="H3458" s="3">
        <f>IFERROR(__xludf.DUMMYFUNCTION("IFERROR(INDEX(FILTER('cost master'!$E:$E,('cost master'!$B:$B=C3458)*('cost master'!$D:$D=""Storage cost per pallet / week"")*('cost master'!$G:$G&lt;=B3458)*(('cost master'!$H:$H&gt;=B3458)+ISBLANK('cost master'!$H:$H))),1),0)"),0.0)</f>
        <v>0</v>
      </c>
      <c r="I3458" s="3">
        <f t="shared" si="4"/>
        <v>0</v>
      </c>
      <c r="J3458" s="27">
        <f t="shared" si="5"/>
        <v>693947</v>
      </c>
      <c r="K3458" s="27">
        <f t="shared" si="6"/>
        <v>693977</v>
      </c>
    </row>
    <row r="3459" hidden="1">
      <c r="A3459" s="3" t="str">
        <f t="shared" si="3"/>
        <v/>
      </c>
      <c r="B3459" s="2" t="str">
        <f t="array" ref="B3459">INDEX(helper!$A$3:$A3996,ROUNDUP((ROW()-1)/COUNTA(helper!$D$3:$D3996),0))</f>
        <v/>
      </c>
      <c r="C3459" s="5" t="str">
        <f t="array" ref="C3459">IF(B3459="","",INDEX(helper!$D$3:$D3996,MOD(ROW()-2,COUNTA(helper!$D$3:$D3996))+1))</f>
        <v/>
      </c>
      <c r="D3459" s="3" t="str">
        <f t="array" ref="D3459">IF(B3459="","",INDEX(helper!$E$3:$E3996,MOD(ROW()-2,COUNTA(helper!$D$3:$D3996))+1))</f>
        <v/>
      </c>
      <c r="E3459" s="3" t="str">
        <f t="array" ref="E3459">IF(B3459="","",INDEX(helper!$F$3:$F3996,MOD(ROW()-2,COUNTA(helper!$D$3:$D3996))+1))</f>
        <v/>
      </c>
      <c r="F3459" s="3" t="str">
        <f>IF(B3459="","",SUMIFS('inventory ledger'!$H:$H,'inventory ledger'!$C:$C,C3459,'inventory ledger'!$D:$D,D3459,'inventory ledger'!$E:$E,E3459,'inventory ledger'!$A:$A,"&lt;="&amp;B3459+TIME(23,59,59))-SUMIFS('inventory ledger'!$I:$I,'inventory ledger'!$C:$C,C3459,'inventory ledger'!$D:$D,D3459,'inventory ledger'!$E:$E,E3459,'inventory ledger'!$A:$A,"&lt;="&amp;B3459+TIME(23,59,59)))</f>
        <v/>
      </c>
      <c r="G3459" s="3">
        <f>IFERROR(__xludf.DUMMYFUNCTION("IF(F3459&lt;=0,0,IFERROR(ROUNDUP(F3459/INDEX(FILTER('warehouse config'!$D:$D,('warehouse config'!$B:$B=C3459)*('warehouse config'!$C:$C=D3459)*('warehouse config'!$G:$G&lt;=B3459)*(('warehouse config'!$H:$H&gt;=B3459)+ISBLANK('warehouse config'!$H:$H))),1)),0))"),0.0)</f>
        <v>0</v>
      </c>
      <c r="H3459" s="3">
        <f>IFERROR(__xludf.DUMMYFUNCTION("IFERROR(INDEX(FILTER('cost master'!$E:$E,('cost master'!$B:$B=C3459)*('cost master'!$D:$D=""Storage cost per pallet / week"")*('cost master'!$G:$G&lt;=B3459)*(('cost master'!$H:$H&gt;=B3459)+ISBLANK('cost master'!$H:$H))),1),0)"),0.0)</f>
        <v>0</v>
      </c>
      <c r="I3459" s="3">
        <f t="shared" si="4"/>
        <v>0</v>
      </c>
      <c r="J3459" s="27">
        <f t="shared" si="5"/>
        <v>693947</v>
      </c>
      <c r="K3459" s="27">
        <f t="shared" si="6"/>
        <v>693977</v>
      </c>
    </row>
    <row r="3460" hidden="1">
      <c r="A3460" s="3" t="str">
        <f t="shared" si="3"/>
        <v/>
      </c>
      <c r="B3460" s="2" t="str">
        <f t="array" ref="B3460">INDEX(helper!$A$3:$A3996,ROUNDUP((ROW()-1)/COUNTA(helper!$D$3:$D3996),0))</f>
        <v/>
      </c>
      <c r="C3460" s="5" t="str">
        <f t="array" ref="C3460">IF(B3460="","",INDEX(helper!$D$3:$D3996,MOD(ROW()-2,COUNTA(helper!$D$3:$D3996))+1))</f>
        <v/>
      </c>
      <c r="D3460" s="3" t="str">
        <f t="array" ref="D3460">IF(B3460="","",INDEX(helper!$E$3:$E3996,MOD(ROW()-2,COUNTA(helper!$D$3:$D3996))+1))</f>
        <v/>
      </c>
      <c r="E3460" s="3" t="str">
        <f t="array" ref="E3460">IF(B3460="","",INDEX(helper!$F$3:$F3996,MOD(ROW()-2,COUNTA(helper!$D$3:$D3996))+1))</f>
        <v/>
      </c>
      <c r="F3460" s="3" t="str">
        <f>IF(B3460="","",SUMIFS('inventory ledger'!$H:$H,'inventory ledger'!$C:$C,C3460,'inventory ledger'!$D:$D,D3460,'inventory ledger'!$E:$E,E3460,'inventory ledger'!$A:$A,"&lt;="&amp;B3460+TIME(23,59,59))-SUMIFS('inventory ledger'!$I:$I,'inventory ledger'!$C:$C,C3460,'inventory ledger'!$D:$D,D3460,'inventory ledger'!$E:$E,E3460,'inventory ledger'!$A:$A,"&lt;="&amp;B3460+TIME(23,59,59)))</f>
        <v/>
      </c>
      <c r="G3460" s="3">
        <f>IFERROR(__xludf.DUMMYFUNCTION("IF(F3460&lt;=0,0,IFERROR(ROUNDUP(F3460/INDEX(FILTER('warehouse config'!$D:$D,('warehouse config'!$B:$B=C3460)*('warehouse config'!$C:$C=D3460)*('warehouse config'!$G:$G&lt;=B3460)*(('warehouse config'!$H:$H&gt;=B3460)+ISBLANK('warehouse config'!$H:$H))),1)),0))"),0.0)</f>
        <v>0</v>
      </c>
      <c r="H3460" s="3">
        <f>IFERROR(__xludf.DUMMYFUNCTION("IFERROR(INDEX(FILTER('cost master'!$E:$E,('cost master'!$B:$B=C3460)*('cost master'!$D:$D=""Storage cost per pallet / week"")*('cost master'!$G:$G&lt;=B3460)*(('cost master'!$H:$H&gt;=B3460)+ISBLANK('cost master'!$H:$H))),1),0)"),0.0)</f>
        <v>0</v>
      </c>
      <c r="I3460" s="3">
        <f t="shared" si="4"/>
        <v>0</v>
      </c>
      <c r="J3460" s="27">
        <f t="shared" si="5"/>
        <v>693947</v>
      </c>
      <c r="K3460" s="27">
        <f t="shared" si="6"/>
        <v>693977</v>
      </c>
    </row>
    <row r="3461" hidden="1">
      <c r="A3461" s="3" t="str">
        <f t="shared" si="3"/>
        <v/>
      </c>
      <c r="B3461" s="2" t="str">
        <f t="array" ref="B3461">INDEX(helper!$A$3:$A3996,ROUNDUP((ROW()-1)/COUNTA(helper!$D$3:$D3996),0))</f>
        <v/>
      </c>
      <c r="C3461" s="5" t="str">
        <f t="array" ref="C3461">IF(B3461="","",INDEX(helper!$D$3:$D3996,MOD(ROW()-2,COUNTA(helper!$D$3:$D3996))+1))</f>
        <v/>
      </c>
      <c r="D3461" s="3" t="str">
        <f t="array" ref="D3461">IF(B3461="","",INDEX(helper!$E$3:$E3996,MOD(ROW()-2,COUNTA(helper!$D$3:$D3996))+1))</f>
        <v/>
      </c>
      <c r="E3461" s="3" t="str">
        <f t="array" ref="E3461">IF(B3461="","",INDEX(helper!$F$3:$F3996,MOD(ROW()-2,COUNTA(helper!$D$3:$D3996))+1))</f>
        <v/>
      </c>
      <c r="F3461" s="3" t="str">
        <f>IF(B3461="","",SUMIFS('inventory ledger'!$H:$H,'inventory ledger'!$C:$C,C3461,'inventory ledger'!$D:$D,D3461,'inventory ledger'!$E:$E,E3461,'inventory ledger'!$A:$A,"&lt;="&amp;B3461+TIME(23,59,59))-SUMIFS('inventory ledger'!$I:$I,'inventory ledger'!$C:$C,C3461,'inventory ledger'!$D:$D,D3461,'inventory ledger'!$E:$E,E3461,'inventory ledger'!$A:$A,"&lt;="&amp;B3461+TIME(23,59,59)))</f>
        <v/>
      </c>
      <c r="G3461" s="3">
        <f>IFERROR(__xludf.DUMMYFUNCTION("IF(F3461&lt;=0,0,IFERROR(ROUNDUP(F3461/INDEX(FILTER('warehouse config'!$D:$D,('warehouse config'!$B:$B=C3461)*('warehouse config'!$C:$C=D3461)*('warehouse config'!$G:$G&lt;=B3461)*(('warehouse config'!$H:$H&gt;=B3461)+ISBLANK('warehouse config'!$H:$H))),1)),0))"),0.0)</f>
        <v>0</v>
      </c>
      <c r="H3461" s="3">
        <f>IFERROR(__xludf.DUMMYFUNCTION("IFERROR(INDEX(FILTER('cost master'!$E:$E,('cost master'!$B:$B=C3461)*('cost master'!$D:$D=""Storage cost per pallet / week"")*('cost master'!$G:$G&lt;=B3461)*(('cost master'!$H:$H&gt;=B3461)+ISBLANK('cost master'!$H:$H))),1),0)"),0.0)</f>
        <v>0</v>
      </c>
      <c r="I3461" s="3">
        <f t="shared" si="4"/>
        <v>0</v>
      </c>
      <c r="J3461" s="27">
        <f t="shared" si="5"/>
        <v>693947</v>
      </c>
      <c r="K3461" s="27">
        <f t="shared" si="6"/>
        <v>693977</v>
      </c>
    </row>
    <row r="3462" hidden="1">
      <c r="A3462" s="3" t="str">
        <f t="shared" si="3"/>
        <v/>
      </c>
      <c r="B3462" s="2" t="str">
        <f t="array" ref="B3462">INDEX(helper!$A$3:$A3996,ROUNDUP((ROW()-1)/COUNTA(helper!$D$3:$D3996),0))</f>
        <v/>
      </c>
      <c r="C3462" s="5" t="str">
        <f t="array" ref="C3462">IF(B3462="","",INDEX(helper!$D$3:$D3996,MOD(ROW()-2,COUNTA(helper!$D$3:$D3996))+1))</f>
        <v/>
      </c>
      <c r="D3462" s="3" t="str">
        <f t="array" ref="D3462">IF(B3462="","",INDEX(helper!$E$3:$E3996,MOD(ROW()-2,COUNTA(helper!$D$3:$D3996))+1))</f>
        <v/>
      </c>
      <c r="E3462" s="3" t="str">
        <f t="array" ref="E3462">IF(B3462="","",INDEX(helper!$F$3:$F3996,MOD(ROW()-2,COUNTA(helper!$D$3:$D3996))+1))</f>
        <v/>
      </c>
      <c r="F3462" s="3" t="str">
        <f>IF(B3462="","",SUMIFS('inventory ledger'!$H:$H,'inventory ledger'!$C:$C,C3462,'inventory ledger'!$D:$D,D3462,'inventory ledger'!$E:$E,E3462,'inventory ledger'!$A:$A,"&lt;="&amp;B3462+TIME(23,59,59))-SUMIFS('inventory ledger'!$I:$I,'inventory ledger'!$C:$C,C3462,'inventory ledger'!$D:$D,D3462,'inventory ledger'!$E:$E,E3462,'inventory ledger'!$A:$A,"&lt;="&amp;B3462+TIME(23,59,59)))</f>
        <v/>
      </c>
      <c r="G3462" s="3">
        <f>IFERROR(__xludf.DUMMYFUNCTION("IF(F3462&lt;=0,0,IFERROR(ROUNDUP(F3462/INDEX(FILTER('warehouse config'!$D:$D,('warehouse config'!$B:$B=C3462)*('warehouse config'!$C:$C=D3462)*('warehouse config'!$G:$G&lt;=B3462)*(('warehouse config'!$H:$H&gt;=B3462)+ISBLANK('warehouse config'!$H:$H))),1)),0))"),0.0)</f>
        <v>0</v>
      </c>
      <c r="H3462" s="3">
        <f>IFERROR(__xludf.DUMMYFUNCTION("IFERROR(INDEX(FILTER('cost master'!$E:$E,('cost master'!$B:$B=C3462)*('cost master'!$D:$D=""Storage cost per pallet / week"")*('cost master'!$G:$G&lt;=B3462)*(('cost master'!$H:$H&gt;=B3462)+ISBLANK('cost master'!$H:$H))),1),0)"),0.0)</f>
        <v>0</v>
      </c>
      <c r="I3462" s="3">
        <f t="shared" si="4"/>
        <v>0</v>
      </c>
      <c r="J3462" s="27">
        <f t="shared" si="5"/>
        <v>693947</v>
      </c>
      <c r="K3462" s="27">
        <f t="shared" si="6"/>
        <v>693977</v>
      </c>
    </row>
    <row r="3463" hidden="1">
      <c r="A3463" s="3" t="str">
        <f t="shared" si="3"/>
        <v/>
      </c>
      <c r="B3463" s="2" t="str">
        <f t="array" ref="B3463">INDEX(helper!$A$3:$A3996,ROUNDUP((ROW()-1)/COUNTA(helper!$D$3:$D3996),0))</f>
        <v/>
      </c>
      <c r="C3463" s="5" t="str">
        <f t="array" ref="C3463">IF(B3463="","",INDEX(helper!$D$3:$D3996,MOD(ROW()-2,COUNTA(helper!$D$3:$D3996))+1))</f>
        <v/>
      </c>
      <c r="D3463" s="3" t="str">
        <f t="array" ref="D3463">IF(B3463="","",INDEX(helper!$E$3:$E3996,MOD(ROW()-2,COUNTA(helper!$D$3:$D3996))+1))</f>
        <v/>
      </c>
      <c r="E3463" s="3" t="str">
        <f t="array" ref="E3463">IF(B3463="","",INDEX(helper!$F$3:$F3996,MOD(ROW()-2,COUNTA(helper!$D$3:$D3996))+1))</f>
        <v/>
      </c>
      <c r="F3463" s="3" t="str">
        <f>IF(B3463="","",SUMIFS('inventory ledger'!$H:$H,'inventory ledger'!$C:$C,C3463,'inventory ledger'!$D:$D,D3463,'inventory ledger'!$E:$E,E3463,'inventory ledger'!$A:$A,"&lt;="&amp;B3463+TIME(23,59,59))-SUMIFS('inventory ledger'!$I:$I,'inventory ledger'!$C:$C,C3463,'inventory ledger'!$D:$D,D3463,'inventory ledger'!$E:$E,E3463,'inventory ledger'!$A:$A,"&lt;="&amp;B3463+TIME(23,59,59)))</f>
        <v/>
      </c>
      <c r="G3463" s="3">
        <f>IFERROR(__xludf.DUMMYFUNCTION("IF(F3463&lt;=0,0,IFERROR(ROUNDUP(F3463/INDEX(FILTER('warehouse config'!$D:$D,('warehouse config'!$B:$B=C3463)*('warehouse config'!$C:$C=D3463)*('warehouse config'!$G:$G&lt;=B3463)*(('warehouse config'!$H:$H&gt;=B3463)+ISBLANK('warehouse config'!$H:$H))),1)),0))"),0.0)</f>
        <v>0</v>
      </c>
      <c r="H3463" s="3">
        <f>IFERROR(__xludf.DUMMYFUNCTION("IFERROR(INDEX(FILTER('cost master'!$E:$E,('cost master'!$B:$B=C3463)*('cost master'!$D:$D=""Storage cost per pallet / week"")*('cost master'!$G:$G&lt;=B3463)*(('cost master'!$H:$H&gt;=B3463)+ISBLANK('cost master'!$H:$H))),1),0)"),0.0)</f>
        <v>0</v>
      </c>
      <c r="I3463" s="3">
        <f t="shared" si="4"/>
        <v>0</v>
      </c>
      <c r="J3463" s="27">
        <f t="shared" si="5"/>
        <v>693947</v>
      </c>
      <c r="K3463" s="27">
        <f t="shared" si="6"/>
        <v>693977</v>
      </c>
    </row>
    <row r="3464" hidden="1">
      <c r="A3464" s="3" t="str">
        <f t="shared" si="3"/>
        <v/>
      </c>
      <c r="B3464" s="2" t="str">
        <f t="array" ref="B3464">INDEX(helper!$A$3:$A3996,ROUNDUP((ROW()-1)/COUNTA(helper!$D$3:$D3996),0))</f>
        <v/>
      </c>
      <c r="C3464" s="5" t="str">
        <f t="array" ref="C3464">IF(B3464="","",INDEX(helper!$D$3:$D3996,MOD(ROW()-2,COUNTA(helper!$D$3:$D3996))+1))</f>
        <v/>
      </c>
      <c r="D3464" s="3" t="str">
        <f t="array" ref="D3464">IF(B3464="","",INDEX(helper!$E$3:$E3996,MOD(ROW()-2,COUNTA(helper!$D$3:$D3996))+1))</f>
        <v/>
      </c>
      <c r="E3464" s="3" t="str">
        <f t="array" ref="E3464">IF(B3464="","",INDEX(helper!$F$3:$F3996,MOD(ROW()-2,COUNTA(helper!$D$3:$D3996))+1))</f>
        <v/>
      </c>
      <c r="F3464" s="3" t="str">
        <f>IF(B3464="","",SUMIFS('inventory ledger'!$H:$H,'inventory ledger'!$C:$C,C3464,'inventory ledger'!$D:$D,D3464,'inventory ledger'!$E:$E,E3464,'inventory ledger'!$A:$A,"&lt;="&amp;B3464+TIME(23,59,59))-SUMIFS('inventory ledger'!$I:$I,'inventory ledger'!$C:$C,C3464,'inventory ledger'!$D:$D,D3464,'inventory ledger'!$E:$E,E3464,'inventory ledger'!$A:$A,"&lt;="&amp;B3464+TIME(23,59,59)))</f>
        <v/>
      </c>
      <c r="G3464" s="3">
        <f>IFERROR(__xludf.DUMMYFUNCTION("IF(F3464&lt;=0,0,IFERROR(ROUNDUP(F3464/INDEX(FILTER('warehouse config'!$D:$D,('warehouse config'!$B:$B=C3464)*('warehouse config'!$C:$C=D3464)*('warehouse config'!$G:$G&lt;=B3464)*(('warehouse config'!$H:$H&gt;=B3464)+ISBLANK('warehouse config'!$H:$H))),1)),0))"),0.0)</f>
        <v>0</v>
      </c>
      <c r="H3464" s="3">
        <f>IFERROR(__xludf.DUMMYFUNCTION("IFERROR(INDEX(FILTER('cost master'!$E:$E,('cost master'!$B:$B=C3464)*('cost master'!$D:$D=""Storage cost per pallet / week"")*('cost master'!$G:$G&lt;=B3464)*(('cost master'!$H:$H&gt;=B3464)+ISBLANK('cost master'!$H:$H))),1),0)"),0.0)</f>
        <v>0</v>
      </c>
      <c r="I3464" s="3">
        <f t="shared" si="4"/>
        <v>0</v>
      </c>
      <c r="J3464" s="27">
        <f t="shared" si="5"/>
        <v>693947</v>
      </c>
      <c r="K3464" s="27">
        <f t="shared" si="6"/>
        <v>693977</v>
      </c>
    </row>
    <row r="3465" hidden="1">
      <c r="A3465" s="3" t="str">
        <f t="shared" si="3"/>
        <v/>
      </c>
      <c r="B3465" s="2" t="str">
        <f t="array" ref="B3465">INDEX(helper!$A$3:$A3996,ROUNDUP((ROW()-1)/COUNTA(helper!$D$3:$D3996),0))</f>
        <v/>
      </c>
      <c r="C3465" s="5" t="str">
        <f t="array" ref="C3465">IF(B3465="","",INDEX(helper!$D$3:$D3996,MOD(ROW()-2,COUNTA(helper!$D$3:$D3996))+1))</f>
        <v/>
      </c>
      <c r="D3465" s="3" t="str">
        <f t="array" ref="D3465">IF(B3465="","",INDEX(helper!$E$3:$E3996,MOD(ROW()-2,COUNTA(helper!$D$3:$D3996))+1))</f>
        <v/>
      </c>
      <c r="E3465" s="3" t="str">
        <f t="array" ref="E3465">IF(B3465="","",INDEX(helper!$F$3:$F3996,MOD(ROW()-2,COUNTA(helper!$D$3:$D3996))+1))</f>
        <v/>
      </c>
      <c r="F3465" s="3" t="str">
        <f>IF(B3465="","",SUMIFS('inventory ledger'!$H:$H,'inventory ledger'!$C:$C,C3465,'inventory ledger'!$D:$D,D3465,'inventory ledger'!$E:$E,E3465,'inventory ledger'!$A:$A,"&lt;="&amp;B3465+TIME(23,59,59))-SUMIFS('inventory ledger'!$I:$I,'inventory ledger'!$C:$C,C3465,'inventory ledger'!$D:$D,D3465,'inventory ledger'!$E:$E,E3465,'inventory ledger'!$A:$A,"&lt;="&amp;B3465+TIME(23,59,59)))</f>
        <v/>
      </c>
      <c r="G3465" s="3">
        <f>IFERROR(__xludf.DUMMYFUNCTION("IF(F3465&lt;=0,0,IFERROR(ROUNDUP(F3465/INDEX(FILTER('warehouse config'!$D:$D,('warehouse config'!$B:$B=C3465)*('warehouse config'!$C:$C=D3465)*('warehouse config'!$G:$G&lt;=B3465)*(('warehouse config'!$H:$H&gt;=B3465)+ISBLANK('warehouse config'!$H:$H))),1)),0))"),0.0)</f>
        <v>0</v>
      </c>
      <c r="H3465" s="3">
        <f>IFERROR(__xludf.DUMMYFUNCTION("IFERROR(INDEX(FILTER('cost master'!$E:$E,('cost master'!$B:$B=C3465)*('cost master'!$D:$D=""Storage cost per pallet / week"")*('cost master'!$G:$G&lt;=B3465)*(('cost master'!$H:$H&gt;=B3465)+ISBLANK('cost master'!$H:$H))),1),0)"),0.0)</f>
        <v>0</v>
      </c>
      <c r="I3465" s="3">
        <f t="shared" si="4"/>
        <v>0</v>
      </c>
      <c r="J3465" s="27">
        <f t="shared" si="5"/>
        <v>693947</v>
      </c>
      <c r="K3465" s="27">
        <f t="shared" si="6"/>
        <v>693977</v>
      </c>
    </row>
    <row r="3466" hidden="1">
      <c r="A3466" s="3" t="str">
        <f t="shared" si="3"/>
        <v/>
      </c>
      <c r="B3466" s="2" t="str">
        <f t="array" ref="B3466">INDEX(helper!$A$3:$A3996,ROUNDUP((ROW()-1)/COUNTA(helper!$D$3:$D3996),0))</f>
        <v/>
      </c>
      <c r="C3466" s="5" t="str">
        <f t="array" ref="C3466">IF(B3466="","",INDEX(helper!$D$3:$D3996,MOD(ROW()-2,COUNTA(helper!$D$3:$D3996))+1))</f>
        <v/>
      </c>
      <c r="D3466" s="3" t="str">
        <f t="array" ref="D3466">IF(B3466="","",INDEX(helper!$E$3:$E3996,MOD(ROW()-2,COUNTA(helper!$D$3:$D3996))+1))</f>
        <v/>
      </c>
      <c r="E3466" s="3" t="str">
        <f t="array" ref="E3466">IF(B3466="","",INDEX(helper!$F$3:$F3996,MOD(ROW()-2,COUNTA(helper!$D$3:$D3996))+1))</f>
        <v/>
      </c>
      <c r="F3466" s="3" t="str">
        <f>IF(B3466="","",SUMIFS('inventory ledger'!$H:$H,'inventory ledger'!$C:$C,C3466,'inventory ledger'!$D:$D,D3466,'inventory ledger'!$E:$E,E3466,'inventory ledger'!$A:$A,"&lt;="&amp;B3466+TIME(23,59,59))-SUMIFS('inventory ledger'!$I:$I,'inventory ledger'!$C:$C,C3466,'inventory ledger'!$D:$D,D3466,'inventory ledger'!$E:$E,E3466,'inventory ledger'!$A:$A,"&lt;="&amp;B3466+TIME(23,59,59)))</f>
        <v/>
      </c>
      <c r="G3466" s="3">
        <f>IFERROR(__xludf.DUMMYFUNCTION("IF(F3466&lt;=0,0,IFERROR(ROUNDUP(F3466/INDEX(FILTER('warehouse config'!$D:$D,('warehouse config'!$B:$B=C3466)*('warehouse config'!$C:$C=D3466)*('warehouse config'!$G:$G&lt;=B3466)*(('warehouse config'!$H:$H&gt;=B3466)+ISBLANK('warehouse config'!$H:$H))),1)),0))"),0.0)</f>
        <v>0</v>
      </c>
      <c r="H3466" s="3">
        <f>IFERROR(__xludf.DUMMYFUNCTION("IFERROR(INDEX(FILTER('cost master'!$E:$E,('cost master'!$B:$B=C3466)*('cost master'!$D:$D=""Storage cost per pallet / week"")*('cost master'!$G:$G&lt;=B3466)*(('cost master'!$H:$H&gt;=B3466)+ISBLANK('cost master'!$H:$H))),1),0)"),0.0)</f>
        <v>0</v>
      </c>
      <c r="I3466" s="3">
        <f t="shared" si="4"/>
        <v>0</v>
      </c>
      <c r="J3466" s="27">
        <f t="shared" si="5"/>
        <v>693947</v>
      </c>
      <c r="K3466" s="27">
        <f t="shared" si="6"/>
        <v>693977</v>
      </c>
    </row>
    <row r="3467" hidden="1">
      <c r="A3467" s="3" t="str">
        <f t="shared" si="3"/>
        <v/>
      </c>
      <c r="B3467" s="2" t="str">
        <f t="array" ref="B3467">INDEX(helper!$A$3:$A3996,ROUNDUP((ROW()-1)/COUNTA(helper!$D$3:$D3996),0))</f>
        <v/>
      </c>
      <c r="C3467" s="5" t="str">
        <f t="array" ref="C3467">IF(B3467="","",INDEX(helper!$D$3:$D3996,MOD(ROW()-2,COUNTA(helper!$D$3:$D3996))+1))</f>
        <v/>
      </c>
      <c r="D3467" s="3" t="str">
        <f t="array" ref="D3467">IF(B3467="","",INDEX(helper!$E$3:$E3996,MOD(ROW()-2,COUNTA(helper!$D$3:$D3996))+1))</f>
        <v/>
      </c>
      <c r="E3467" s="3" t="str">
        <f t="array" ref="E3467">IF(B3467="","",INDEX(helper!$F$3:$F3996,MOD(ROW()-2,COUNTA(helper!$D$3:$D3996))+1))</f>
        <v/>
      </c>
      <c r="F3467" s="3" t="str">
        <f>IF(B3467="","",SUMIFS('inventory ledger'!$H:$H,'inventory ledger'!$C:$C,C3467,'inventory ledger'!$D:$D,D3467,'inventory ledger'!$E:$E,E3467,'inventory ledger'!$A:$A,"&lt;="&amp;B3467+TIME(23,59,59))-SUMIFS('inventory ledger'!$I:$I,'inventory ledger'!$C:$C,C3467,'inventory ledger'!$D:$D,D3467,'inventory ledger'!$E:$E,E3467,'inventory ledger'!$A:$A,"&lt;="&amp;B3467+TIME(23,59,59)))</f>
        <v/>
      </c>
      <c r="G3467" s="3">
        <f>IFERROR(__xludf.DUMMYFUNCTION("IF(F3467&lt;=0,0,IFERROR(ROUNDUP(F3467/INDEX(FILTER('warehouse config'!$D:$D,('warehouse config'!$B:$B=C3467)*('warehouse config'!$C:$C=D3467)*('warehouse config'!$G:$G&lt;=B3467)*(('warehouse config'!$H:$H&gt;=B3467)+ISBLANK('warehouse config'!$H:$H))),1)),0))"),0.0)</f>
        <v>0</v>
      </c>
      <c r="H3467" s="3">
        <f>IFERROR(__xludf.DUMMYFUNCTION("IFERROR(INDEX(FILTER('cost master'!$E:$E,('cost master'!$B:$B=C3467)*('cost master'!$D:$D=""Storage cost per pallet / week"")*('cost master'!$G:$G&lt;=B3467)*(('cost master'!$H:$H&gt;=B3467)+ISBLANK('cost master'!$H:$H))),1),0)"),0.0)</f>
        <v>0</v>
      </c>
      <c r="I3467" s="3">
        <f t="shared" si="4"/>
        <v>0</v>
      </c>
      <c r="J3467" s="27">
        <f t="shared" si="5"/>
        <v>693947</v>
      </c>
      <c r="K3467" s="27">
        <f t="shared" si="6"/>
        <v>693977</v>
      </c>
    </row>
    <row r="3468" hidden="1">
      <c r="A3468" s="3" t="str">
        <f t="shared" si="3"/>
        <v/>
      </c>
      <c r="B3468" s="2" t="str">
        <f t="array" ref="B3468">INDEX(helper!$A$3:$A3996,ROUNDUP((ROW()-1)/COUNTA(helper!$D$3:$D3996),0))</f>
        <v/>
      </c>
      <c r="C3468" s="5" t="str">
        <f t="array" ref="C3468">IF(B3468="","",INDEX(helper!$D$3:$D3996,MOD(ROW()-2,COUNTA(helper!$D$3:$D3996))+1))</f>
        <v/>
      </c>
      <c r="D3468" s="3" t="str">
        <f t="array" ref="D3468">IF(B3468="","",INDEX(helper!$E$3:$E3996,MOD(ROW()-2,COUNTA(helper!$D$3:$D3996))+1))</f>
        <v/>
      </c>
      <c r="E3468" s="3" t="str">
        <f t="array" ref="E3468">IF(B3468="","",INDEX(helper!$F$3:$F3996,MOD(ROW()-2,COUNTA(helper!$D$3:$D3996))+1))</f>
        <v/>
      </c>
      <c r="F3468" s="3" t="str">
        <f>IF(B3468="","",SUMIFS('inventory ledger'!$H:$H,'inventory ledger'!$C:$C,C3468,'inventory ledger'!$D:$D,D3468,'inventory ledger'!$E:$E,E3468,'inventory ledger'!$A:$A,"&lt;="&amp;B3468+TIME(23,59,59))-SUMIFS('inventory ledger'!$I:$I,'inventory ledger'!$C:$C,C3468,'inventory ledger'!$D:$D,D3468,'inventory ledger'!$E:$E,E3468,'inventory ledger'!$A:$A,"&lt;="&amp;B3468+TIME(23,59,59)))</f>
        <v/>
      </c>
      <c r="G3468" s="3">
        <f>IFERROR(__xludf.DUMMYFUNCTION("IF(F3468&lt;=0,0,IFERROR(ROUNDUP(F3468/INDEX(FILTER('warehouse config'!$D:$D,('warehouse config'!$B:$B=C3468)*('warehouse config'!$C:$C=D3468)*('warehouse config'!$G:$G&lt;=B3468)*(('warehouse config'!$H:$H&gt;=B3468)+ISBLANK('warehouse config'!$H:$H))),1)),0))"),0.0)</f>
        <v>0</v>
      </c>
      <c r="H3468" s="3">
        <f>IFERROR(__xludf.DUMMYFUNCTION("IFERROR(INDEX(FILTER('cost master'!$E:$E,('cost master'!$B:$B=C3468)*('cost master'!$D:$D=""Storage cost per pallet / week"")*('cost master'!$G:$G&lt;=B3468)*(('cost master'!$H:$H&gt;=B3468)+ISBLANK('cost master'!$H:$H))),1),0)"),0.0)</f>
        <v>0</v>
      </c>
      <c r="I3468" s="3">
        <f t="shared" si="4"/>
        <v>0</v>
      </c>
      <c r="J3468" s="27">
        <f t="shared" si="5"/>
        <v>693947</v>
      </c>
      <c r="K3468" s="27">
        <f t="shared" si="6"/>
        <v>693977</v>
      </c>
    </row>
    <row r="3469" hidden="1">
      <c r="A3469" s="3" t="str">
        <f t="shared" si="3"/>
        <v/>
      </c>
      <c r="B3469" s="2" t="str">
        <f t="array" ref="B3469">INDEX(helper!$A$3:$A3996,ROUNDUP((ROW()-1)/COUNTA(helper!$D$3:$D3996),0))</f>
        <v/>
      </c>
      <c r="C3469" s="5" t="str">
        <f t="array" ref="C3469">IF(B3469="","",INDEX(helper!$D$3:$D3996,MOD(ROW()-2,COUNTA(helper!$D$3:$D3996))+1))</f>
        <v/>
      </c>
      <c r="D3469" s="3" t="str">
        <f t="array" ref="D3469">IF(B3469="","",INDEX(helper!$E$3:$E3996,MOD(ROW()-2,COUNTA(helper!$D$3:$D3996))+1))</f>
        <v/>
      </c>
      <c r="E3469" s="3" t="str">
        <f t="array" ref="E3469">IF(B3469="","",INDEX(helper!$F$3:$F3996,MOD(ROW()-2,COUNTA(helper!$D$3:$D3996))+1))</f>
        <v/>
      </c>
      <c r="F3469" s="3" t="str">
        <f>IF(B3469="","",SUMIFS('inventory ledger'!$H:$H,'inventory ledger'!$C:$C,C3469,'inventory ledger'!$D:$D,D3469,'inventory ledger'!$E:$E,E3469,'inventory ledger'!$A:$A,"&lt;="&amp;B3469+TIME(23,59,59))-SUMIFS('inventory ledger'!$I:$I,'inventory ledger'!$C:$C,C3469,'inventory ledger'!$D:$D,D3469,'inventory ledger'!$E:$E,E3469,'inventory ledger'!$A:$A,"&lt;="&amp;B3469+TIME(23,59,59)))</f>
        <v/>
      </c>
      <c r="G3469" s="3">
        <f>IFERROR(__xludf.DUMMYFUNCTION("IF(F3469&lt;=0,0,IFERROR(ROUNDUP(F3469/INDEX(FILTER('warehouse config'!$D:$D,('warehouse config'!$B:$B=C3469)*('warehouse config'!$C:$C=D3469)*('warehouse config'!$G:$G&lt;=B3469)*(('warehouse config'!$H:$H&gt;=B3469)+ISBLANK('warehouse config'!$H:$H))),1)),0))"),0.0)</f>
        <v>0</v>
      </c>
      <c r="H3469" s="3">
        <f>IFERROR(__xludf.DUMMYFUNCTION("IFERROR(INDEX(FILTER('cost master'!$E:$E,('cost master'!$B:$B=C3469)*('cost master'!$D:$D=""Storage cost per pallet / week"")*('cost master'!$G:$G&lt;=B3469)*(('cost master'!$H:$H&gt;=B3469)+ISBLANK('cost master'!$H:$H))),1),0)"),0.0)</f>
        <v>0</v>
      </c>
      <c r="I3469" s="3">
        <f t="shared" si="4"/>
        <v>0</v>
      </c>
      <c r="J3469" s="27">
        <f t="shared" si="5"/>
        <v>693947</v>
      </c>
      <c r="K3469" s="27">
        <f t="shared" si="6"/>
        <v>693977</v>
      </c>
    </row>
    <row r="3470" hidden="1">
      <c r="A3470" s="3" t="str">
        <f t="shared" si="3"/>
        <v/>
      </c>
      <c r="B3470" s="2" t="str">
        <f t="array" ref="B3470">INDEX(helper!$A$3:$A3996,ROUNDUP((ROW()-1)/COUNTA(helper!$D$3:$D3996),0))</f>
        <v/>
      </c>
      <c r="C3470" s="5" t="str">
        <f t="array" ref="C3470">IF(B3470="","",INDEX(helper!$D$3:$D3996,MOD(ROW()-2,COUNTA(helper!$D$3:$D3996))+1))</f>
        <v/>
      </c>
      <c r="D3470" s="3" t="str">
        <f t="array" ref="D3470">IF(B3470="","",INDEX(helper!$E$3:$E3996,MOD(ROW()-2,COUNTA(helper!$D$3:$D3996))+1))</f>
        <v/>
      </c>
      <c r="E3470" s="3" t="str">
        <f t="array" ref="E3470">IF(B3470="","",INDEX(helper!$F$3:$F3996,MOD(ROW()-2,COUNTA(helper!$D$3:$D3996))+1))</f>
        <v/>
      </c>
      <c r="F3470" s="3" t="str">
        <f>IF(B3470="","",SUMIFS('inventory ledger'!$H:$H,'inventory ledger'!$C:$C,C3470,'inventory ledger'!$D:$D,D3470,'inventory ledger'!$E:$E,E3470,'inventory ledger'!$A:$A,"&lt;="&amp;B3470+TIME(23,59,59))-SUMIFS('inventory ledger'!$I:$I,'inventory ledger'!$C:$C,C3470,'inventory ledger'!$D:$D,D3470,'inventory ledger'!$E:$E,E3470,'inventory ledger'!$A:$A,"&lt;="&amp;B3470+TIME(23,59,59)))</f>
        <v/>
      </c>
      <c r="G3470" s="3">
        <f>IFERROR(__xludf.DUMMYFUNCTION("IF(F3470&lt;=0,0,IFERROR(ROUNDUP(F3470/INDEX(FILTER('warehouse config'!$D:$D,('warehouse config'!$B:$B=C3470)*('warehouse config'!$C:$C=D3470)*('warehouse config'!$G:$G&lt;=B3470)*(('warehouse config'!$H:$H&gt;=B3470)+ISBLANK('warehouse config'!$H:$H))),1)),0))"),0.0)</f>
        <v>0</v>
      </c>
      <c r="H3470" s="3">
        <f>IFERROR(__xludf.DUMMYFUNCTION("IFERROR(INDEX(FILTER('cost master'!$E:$E,('cost master'!$B:$B=C3470)*('cost master'!$D:$D=""Storage cost per pallet / week"")*('cost master'!$G:$G&lt;=B3470)*(('cost master'!$H:$H&gt;=B3470)+ISBLANK('cost master'!$H:$H))),1),0)"),0.0)</f>
        <v>0</v>
      </c>
      <c r="I3470" s="3">
        <f t="shared" si="4"/>
        <v>0</v>
      </c>
      <c r="J3470" s="27">
        <f t="shared" si="5"/>
        <v>693947</v>
      </c>
      <c r="K3470" s="27">
        <f t="shared" si="6"/>
        <v>693977</v>
      </c>
    </row>
    <row r="3471" hidden="1">
      <c r="A3471" s="3" t="str">
        <f t="shared" si="3"/>
        <v/>
      </c>
      <c r="B3471" s="2" t="str">
        <f t="array" ref="B3471">INDEX(helper!$A$3:$A3996,ROUNDUP((ROW()-1)/COUNTA(helper!$D$3:$D3996),0))</f>
        <v/>
      </c>
      <c r="C3471" s="5" t="str">
        <f t="array" ref="C3471">IF(B3471="","",INDEX(helper!$D$3:$D3996,MOD(ROW()-2,COUNTA(helper!$D$3:$D3996))+1))</f>
        <v/>
      </c>
      <c r="D3471" s="3" t="str">
        <f t="array" ref="D3471">IF(B3471="","",INDEX(helper!$E$3:$E3996,MOD(ROW()-2,COUNTA(helper!$D$3:$D3996))+1))</f>
        <v/>
      </c>
      <c r="E3471" s="3" t="str">
        <f t="array" ref="E3471">IF(B3471="","",INDEX(helper!$F$3:$F3996,MOD(ROW()-2,COUNTA(helper!$D$3:$D3996))+1))</f>
        <v/>
      </c>
      <c r="F3471" s="3" t="str">
        <f>IF(B3471="","",SUMIFS('inventory ledger'!$H:$H,'inventory ledger'!$C:$C,C3471,'inventory ledger'!$D:$D,D3471,'inventory ledger'!$E:$E,E3471,'inventory ledger'!$A:$A,"&lt;="&amp;B3471+TIME(23,59,59))-SUMIFS('inventory ledger'!$I:$I,'inventory ledger'!$C:$C,C3471,'inventory ledger'!$D:$D,D3471,'inventory ledger'!$E:$E,E3471,'inventory ledger'!$A:$A,"&lt;="&amp;B3471+TIME(23,59,59)))</f>
        <v/>
      </c>
      <c r="G3471" s="3">
        <f>IFERROR(__xludf.DUMMYFUNCTION("IF(F3471&lt;=0,0,IFERROR(ROUNDUP(F3471/INDEX(FILTER('warehouse config'!$D:$D,('warehouse config'!$B:$B=C3471)*('warehouse config'!$C:$C=D3471)*('warehouse config'!$G:$G&lt;=B3471)*(('warehouse config'!$H:$H&gt;=B3471)+ISBLANK('warehouse config'!$H:$H))),1)),0))"),0.0)</f>
        <v>0</v>
      </c>
      <c r="H3471" s="3">
        <f>IFERROR(__xludf.DUMMYFUNCTION("IFERROR(INDEX(FILTER('cost master'!$E:$E,('cost master'!$B:$B=C3471)*('cost master'!$D:$D=""Storage cost per pallet / week"")*('cost master'!$G:$G&lt;=B3471)*(('cost master'!$H:$H&gt;=B3471)+ISBLANK('cost master'!$H:$H))),1),0)"),0.0)</f>
        <v>0</v>
      </c>
      <c r="I3471" s="3">
        <f t="shared" si="4"/>
        <v>0</v>
      </c>
      <c r="J3471" s="27">
        <f t="shared" si="5"/>
        <v>693947</v>
      </c>
      <c r="K3471" s="27">
        <f t="shared" si="6"/>
        <v>693977</v>
      </c>
    </row>
    <row r="3472" hidden="1">
      <c r="A3472" s="3" t="str">
        <f t="shared" si="3"/>
        <v/>
      </c>
      <c r="B3472" s="2" t="str">
        <f t="array" ref="B3472">INDEX(helper!$A$3:$A3996,ROUNDUP((ROW()-1)/COUNTA(helper!$D$3:$D3996),0))</f>
        <v/>
      </c>
      <c r="C3472" s="5" t="str">
        <f t="array" ref="C3472">IF(B3472="","",INDEX(helper!$D$3:$D3996,MOD(ROW()-2,COUNTA(helper!$D$3:$D3996))+1))</f>
        <v/>
      </c>
      <c r="D3472" s="3" t="str">
        <f t="array" ref="D3472">IF(B3472="","",INDEX(helper!$E$3:$E3996,MOD(ROW()-2,COUNTA(helper!$D$3:$D3996))+1))</f>
        <v/>
      </c>
      <c r="E3472" s="3" t="str">
        <f t="array" ref="E3472">IF(B3472="","",INDEX(helper!$F$3:$F3996,MOD(ROW()-2,COUNTA(helper!$D$3:$D3996))+1))</f>
        <v/>
      </c>
      <c r="F3472" s="3" t="str">
        <f>IF(B3472="","",SUMIFS('inventory ledger'!$H:$H,'inventory ledger'!$C:$C,C3472,'inventory ledger'!$D:$D,D3472,'inventory ledger'!$E:$E,E3472,'inventory ledger'!$A:$A,"&lt;="&amp;B3472+TIME(23,59,59))-SUMIFS('inventory ledger'!$I:$I,'inventory ledger'!$C:$C,C3472,'inventory ledger'!$D:$D,D3472,'inventory ledger'!$E:$E,E3472,'inventory ledger'!$A:$A,"&lt;="&amp;B3472+TIME(23,59,59)))</f>
        <v/>
      </c>
      <c r="G3472" s="3">
        <f>IFERROR(__xludf.DUMMYFUNCTION("IF(F3472&lt;=0,0,IFERROR(ROUNDUP(F3472/INDEX(FILTER('warehouse config'!$D:$D,('warehouse config'!$B:$B=C3472)*('warehouse config'!$C:$C=D3472)*('warehouse config'!$G:$G&lt;=B3472)*(('warehouse config'!$H:$H&gt;=B3472)+ISBLANK('warehouse config'!$H:$H))),1)),0))"),0.0)</f>
        <v>0</v>
      </c>
      <c r="H3472" s="3">
        <f>IFERROR(__xludf.DUMMYFUNCTION("IFERROR(INDEX(FILTER('cost master'!$E:$E,('cost master'!$B:$B=C3472)*('cost master'!$D:$D=""Storage cost per pallet / week"")*('cost master'!$G:$G&lt;=B3472)*(('cost master'!$H:$H&gt;=B3472)+ISBLANK('cost master'!$H:$H))),1),0)"),0.0)</f>
        <v>0</v>
      </c>
      <c r="I3472" s="3">
        <f t="shared" si="4"/>
        <v>0</v>
      </c>
      <c r="J3472" s="27">
        <f t="shared" si="5"/>
        <v>693947</v>
      </c>
      <c r="K3472" s="27">
        <f t="shared" si="6"/>
        <v>693977</v>
      </c>
    </row>
    <row r="3473" hidden="1">
      <c r="A3473" s="3" t="str">
        <f t="shared" si="3"/>
        <v/>
      </c>
      <c r="B3473" s="2" t="str">
        <f t="array" ref="B3473">INDEX(helper!$A$3:$A3996,ROUNDUP((ROW()-1)/COUNTA(helper!$D$3:$D3996),0))</f>
        <v/>
      </c>
      <c r="C3473" s="5" t="str">
        <f t="array" ref="C3473">IF(B3473="","",INDEX(helper!$D$3:$D3996,MOD(ROW()-2,COUNTA(helper!$D$3:$D3996))+1))</f>
        <v/>
      </c>
      <c r="D3473" s="3" t="str">
        <f t="array" ref="D3473">IF(B3473="","",INDEX(helper!$E$3:$E3996,MOD(ROW()-2,COUNTA(helper!$D$3:$D3996))+1))</f>
        <v/>
      </c>
      <c r="E3473" s="3" t="str">
        <f t="array" ref="E3473">IF(B3473="","",INDEX(helper!$F$3:$F3996,MOD(ROW()-2,COUNTA(helper!$D$3:$D3996))+1))</f>
        <v/>
      </c>
      <c r="F3473" s="3" t="str">
        <f>IF(B3473="","",SUMIFS('inventory ledger'!$H:$H,'inventory ledger'!$C:$C,C3473,'inventory ledger'!$D:$D,D3473,'inventory ledger'!$E:$E,E3473,'inventory ledger'!$A:$A,"&lt;="&amp;B3473+TIME(23,59,59))-SUMIFS('inventory ledger'!$I:$I,'inventory ledger'!$C:$C,C3473,'inventory ledger'!$D:$D,D3473,'inventory ledger'!$E:$E,E3473,'inventory ledger'!$A:$A,"&lt;="&amp;B3473+TIME(23,59,59)))</f>
        <v/>
      </c>
      <c r="G3473" s="3">
        <f>IFERROR(__xludf.DUMMYFUNCTION("IF(F3473&lt;=0,0,IFERROR(ROUNDUP(F3473/INDEX(FILTER('warehouse config'!$D:$D,('warehouse config'!$B:$B=C3473)*('warehouse config'!$C:$C=D3473)*('warehouse config'!$G:$G&lt;=B3473)*(('warehouse config'!$H:$H&gt;=B3473)+ISBLANK('warehouse config'!$H:$H))),1)),0))"),0.0)</f>
        <v>0</v>
      </c>
      <c r="H3473" s="3">
        <f>IFERROR(__xludf.DUMMYFUNCTION("IFERROR(INDEX(FILTER('cost master'!$E:$E,('cost master'!$B:$B=C3473)*('cost master'!$D:$D=""Storage cost per pallet / week"")*('cost master'!$G:$G&lt;=B3473)*(('cost master'!$H:$H&gt;=B3473)+ISBLANK('cost master'!$H:$H))),1),0)"),0.0)</f>
        <v>0</v>
      </c>
      <c r="I3473" s="3">
        <f t="shared" si="4"/>
        <v>0</v>
      </c>
      <c r="J3473" s="27">
        <f t="shared" si="5"/>
        <v>693947</v>
      </c>
      <c r="K3473" s="27">
        <f t="shared" si="6"/>
        <v>693977</v>
      </c>
    </row>
    <row r="3474" hidden="1">
      <c r="A3474" s="3" t="str">
        <f t="shared" si="3"/>
        <v/>
      </c>
      <c r="B3474" s="2" t="str">
        <f t="array" ref="B3474">INDEX(helper!$A$3:$A3996,ROUNDUP((ROW()-1)/COUNTA(helper!$D$3:$D3996),0))</f>
        <v/>
      </c>
      <c r="C3474" s="5" t="str">
        <f t="array" ref="C3474">IF(B3474="","",INDEX(helper!$D$3:$D3996,MOD(ROW()-2,COUNTA(helper!$D$3:$D3996))+1))</f>
        <v/>
      </c>
      <c r="D3474" s="3" t="str">
        <f t="array" ref="D3474">IF(B3474="","",INDEX(helper!$E$3:$E3996,MOD(ROW()-2,COUNTA(helper!$D$3:$D3996))+1))</f>
        <v/>
      </c>
      <c r="E3474" s="3" t="str">
        <f t="array" ref="E3474">IF(B3474="","",INDEX(helper!$F$3:$F3996,MOD(ROW()-2,COUNTA(helper!$D$3:$D3996))+1))</f>
        <v/>
      </c>
      <c r="F3474" s="3" t="str">
        <f>IF(B3474="","",SUMIFS('inventory ledger'!$H:$H,'inventory ledger'!$C:$C,C3474,'inventory ledger'!$D:$D,D3474,'inventory ledger'!$E:$E,E3474,'inventory ledger'!$A:$A,"&lt;="&amp;B3474+TIME(23,59,59))-SUMIFS('inventory ledger'!$I:$I,'inventory ledger'!$C:$C,C3474,'inventory ledger'!$D:$D,D3474,'inventory ledger'!$E:$E,E3474,'inventory ledger'!$A:$A,"&lt;="&amp;B3474+TIME(23,59,59)))</f>
        <v/>
      </c>
      <c r="G3474" s="3">
        <f>IFERROR(__xludf.DUMMYFUNCTION("IF(F3474&lt;=0,0,IFERROR(ROUNDUP(F3474/INDEX(FILTER('warehouse config'!$D:$D,('warehouse config'!$B:$B=C3474)*('warehouse config'!$C:$C=D3474)*('warehouse config'!$G:$G&lt;=B3474)*(('warehouse config'!$H:$H&gt;=B3474)+ISBLANK('warehouse config'!$H:$H))),1)),0))"),0.0)</f>
        <v>0</v>
      </c>
      <c r="H3474" s="3">
        <f>IFERROR(__xludf.DUMMYFUNCTION("IFERROR(INDEX(FILTER('cost master'!$E:$E,('cost master'!$B:$B=C3474)*('cost master'!$D:$D=""Storage cost per pallet / week"")*('cost master'!$G:$G&lt;=B3474)*(('cost master'!$H:$H&gt;=B3474)+ISBLANK('cost master'!$H:$H))),1),0)"),0.0)</f>
        <v>0</v>
      </c>
      <c r="I3474" s="3">
        <f t="shared" si="4"/>
        <v>0</v>
      </c>
      <c r="J3474" s="27">
        <f t="shared" si="5"/>
        <v>693947</v>
      </c>
      <c r="K3474" s="27">
        <f t="shared" si="6"/>
        <v>693977</v>
      </c>
    </row>
    <row r="3475" hidden="1">
      <c r="A3475" s="3" t="str">
        <f t="shared" si="3"/>
        <v/>
      </c>
      <c r="B3475" s="2" t="str">
        <f t="array" ref="B3475">INDEX(helper!$A$3:$A3996,ROUNDUP((ROW()-1)/COUNTA(helper!$D$3:$D3996),0))</f>
        <v/>
      </c>
      <c r="C3475" s="5" t="str">
        <f t="array" ref="C3475">IF(B3475="","",INDEX(helper!$D$3:$D3996,MOD(ROW()-2,COUNTA(helper!$D$3:$D3996))+1))</f>
        <v/>
      </c>
      <c r="D3475" s="3" t="str">
        <f t="array" ref="D3475">IF(B3475="","",INDEX(helper!$E$3:$E3996,MOD(ROW()-2,COUNTA(helper!$D$3:$D3996))+1))</f>
        <v/>
      </c>
      <c r="E3475" s="3" t="str">
        <f t="array" ref="E3475">IF(B3475="","",INDEX(helper!$F$3:$F3996,MOD(ROW()-2,COUNTA(helper!$D$3:$D3996))+1))</f>
        <v/>
      </c>
      <c r="F3475" s="3" t="str">
        <f>IF(B3475="","",SUMIFS('inventory ledger'!$H:$H,'inventory ledger'!$C:$C,C3475,'inventory ledger'!$D:$D,D3475,'inventory ledger'!$E:$E,E3475,'inventory ledger'!$A:$A,"&lt;="&amp;B3475+TIME(23,59,59))-SUMIFS('inventory ledger'!$I:$I,'inventory ledger'!$C:$C,C3475,'inventory ledger'!$D:$D,D3475,'inventory ledger'!$E:$E,E3475,'inventory ledger'!$A:$A,"&lt;="&amp;B3475+TIME(23,59,59)))</f>
        <v/>
      </c>
      <c r="G3475" s="3">
        <f>IFERROR(__xludf.DUMMYFUNCTION("IF(F3475&lt;=0,0,IFERROR(ROUNDUP(F3475/INDEX(FILTER('warehouse config'!$D:$D,('warehouse config'!$B:$B=C3475)*('warehouse config'!$C:$C=D3475)*('warehouse config'!$G:$G&lt;=B3475)*(('warehouse config'!$H:$H&gt;=B3475)+ISBLANK('warehouse config'!$H:$H))),1)),0))"),0.0)</f>
        <v>0</v>
      </c>
      <c r="H3475" s="3">
        <f>IFERROR(__xludf.DUMMYFUNCTION("IFERROR(INDEX(FILTER('cost master'!$E:$E,('cost master'!$B:$B=C3475)*('cost master'!$D:$D=""Storage cost per pallet / week"")*('cost master'!$G:$G&lt;=B3475)*(('cost master'!$H:$H&gt;=B3475)+ISBLANK('cost master'!$H:$H))),1),0)"),0.0)</f>
        <v>0</v>
      </c>
      <c r="I3475" s="3">
        <f t="shared" si="4"/>
        <v>0</v>
      </c>
      <c r="J3475" s="27">
        <f t="shared" si="5"/>
        <v>693947</v>
      </c>
      <c r="K3475" s="27">
        <f t="shared" si="6"/>
        <v>693977</v>
      </c>
    </row>
    <row r="3476" hidden="1">
      <c r="A3476" s="3" t="str">
        <f t="shared" si="3"/>
        <v/>
      </c>
      <c r="B3476" s="2" t="str">
        <f t="array" ref="B3476">INDEX(helper!$A$3:$A3996,ROUNDUP((ROW()-1)/COUNTA(helper!$D$3:$D3996),0))</f>
        <v/>
      </c>
      <c r="C3476" s="5" t="str">
        <f t="array" ref="C3476">IF(B3476="","",INDEX(helper!$D$3:$D3996,MOD(ROW()-2,COUNTA(helper!$D$3:$D3996))+1))</f>
        <v/>
      </c>
      <c r="D3476" s="3" t="str">
        <f t="array" ref="D3476">IF(B3476="","",INDEX(helper!$E$3:$E3996,MOD(ROW()-2,COUNTA(helper!$D$3:$D3996))+1))</f>
        <v/>
      </c>
      <c r="E3476" s="3" t="str">
        <f t="array" ref="E3476">IF(B3476="","",INDEX(helper!$F$3:$F3996,MOD(ROW()-2,COUNTA(helper!$D$3:$D3996))+1))</f>
        <v/>
      </c>
      <c r="F3476" s="3" t="str">
        <f>IF(B3476="","",SUMIFS('inventory ledger'!$H:$H,'inventory ledger'!$C:$C,C3476,'inventory ledger'!$D:$D,D3476,'inventory ledger'!$E:$E,E3476,'inventory ledger'!$A:$A,"&lt;="&amp;B3476+TIME(23,59,59))-SUMIFS('inventory ledger'!$I:$I,'inventory ledger'!$C:$C,C3476,'inventory ledger'!$D:$D,D3476,'inventory ledger'!$E:$E,E3476,'inventory ledger'!$A:$A,"&lt;="&amp;B3476+TIME(23,59,59)))</f>
        <v/>
      </c>
      <c r="G3476" s="3">
        <f>IFERROR(__xludf.DUMMYFUNCTION("IF(F3476&lt;=0,0,IFERROR(ROUNDUP(F3476/INDEX(FILTER('warehouse config'!$D:$D,('warehouse config'!$B:$B=C3476)*('warehouse config'!$C:$C=D3476)*('warehouse config'!$G:$G&lt;=B3476)*(('warehouse config'!$H:$H&gt;=B3476)+ISBLANK('warehouse config'!$H:$H))),1)),0))"),0.0)</f>
        <v>0</v>
      </c>
      <c r="H3476" s="3">
        <f>IFERROR(__xludf.DUMMYFUNCTION("IFERROR(INDEX(FILTER('cost master'!$E:$E,('cost master'!$B:$B=C3476)*('cost master'!$D:$D=""Storage cost per pallet / week"")*('cost master'!$G:$G&lt;=B3476)*(('cost master'!$H:$H&gt;=B3476)+ISBLANK('cost master'!$H:$H))),1),0)"),0.0)</f>
        <v>0</v>
      </c>
      <c r="I3476" s="3">
        <f t="shared" si="4"/>
        <v>0</v>
      </c>
      <c r="J3476" s="27">
        <f t="shared" si="5"/>
        <v>693947</v>
      </c>
      <c r="K3476" s="27">
        <f t="shared" si="6"/>
        <v>693977</v>
      </c>
    </row>
    <row r="3477" hidden="1">
      <c r="A3477" s="3" t="str">
        <f t="shared" si="3"/>
        <v/>
      </c>
      <c r="B3477" s="2" t="str">
        <f t="array" ref="B3477">INDEX(helper!$A$3:$A3996,ROUNDUP((ROW()-1)/COUNTA(helper!$D$3:$D3996),0))</f>
        <v/>
      </c>
      <c r="C3477" s="5" t="str">
        <f t="array" ref="C3477">IF(B3477="","",INDEX(helper!$D$3:$D3996,MOD(ROW()-2,COUNTA(helper!$D$3:$D3996))+1))</f>
        <v/>
      </c>
      <c r="D3477" s="3" t="str">
        <f t="array" ref="D3477">IF(B3477="","",INDEX(helper!$E$3:$E3996,MOD(ROW()-2,COUNTA(helper!$D$3:$D3996))+1))</f>
        <v/>
      </c>
      <c r="E3477" s="3" t="str">
        <f t="array" ref="E3477">IF(B3477="","",INDEX(helper!$F$3:$F3996,MOD(ROW()-2,COUNTA(helper!$D$3:$D3996))+1))</f>
        <v/>
      </c>
      <c r="F3477" s="3" t="str">
        <f>IF(B3477="","",SUMIFS('inventory ledger'!$H:$H,'inventory ledger'!$C:$C,C3477,'inventory ledger'!$D:$D,D3477,'inventory ledger'!$E:$E,E3477,'inventory ledger'!$A:$A,"&lt;="&amp;B3477+TIME(23,59,59))-SUMIFS('inventory ledger'!$I:$I,'inventory ledger'!$C:$C,C3477,'inventory ledger'!$D:$D,D3477,'inventory ledger'!$E:$E,E3477,'inventory ledger'!$A:$A,"&lt;="&amp;B3477+TIME(23,59,59)))</f>
        <v/>
      </c>
      <c r="G3477" s="3">
        <f>IFERROR(__xludf.DUMMYFUNCTION("IF(F3477&lt;=0,0,IFERROR(ROUNDUP(F3477/INDEX(FILTER('warehouse config'!$D:$D,('warehouse config'!$B:$B=C3477)*('warehouse config'!$C:$C=D3477)*('warehouse config'!$G:$G&lt;=B3477)*(('warehouse config'!$H:$H&gt;=B3477)+ISBLANK('warehouse config'!$H:$H))),1)),0))"),0.0)</f>
        <v>0</v>
      </c>
      <c r="H3477" s="3">
        <f>IFERROR(__xludf.DUMMYFUNCTION("IFERROR(INDEX(FILTER('cost master'!$E:$E,('cost master'!$B:$B=C3477)*('cost master'!$D:$D=""Storage cost per pallet / week"")*('cost master'!$G:$G&lt;=B3477)*(('cost master'!$H:$H&gt;=B3477)+ISBLANK('cost master'!$H:$H))),1),0)"),0.0)</f>
        <v>0</v>
      </c>
      <c r="I3477" s="3">
        <f t="shared" si="4"/>
        <v>0</v>
      </c>
      <c r="J3477" s="27">
        <f t="shared" si="5"/>
        <v>693947</v>
      </c>
      <c r="K3477" s="27">
        <f t="shared" si="6"/>
        <v>693977</v>
      </c>
    </row>
    <row r="3478" hidden="1">
      <c r="A3478" s="3" t="str">
        <f t="shared" si="3"/>
        <v/>
      </c>
      <c r="B3478" s="2" t="str">
        <f t="array" ref="B3478">INDEX(helper!$A$3:$A3996,ROUNDUP((ROW()-1)/COUNTA(helper!$D$3:$D3996),0))</f>
        <v/>
      </c>
      <c r="C3478" s="5" t="str">
        <f t="array" ref="C3478">IF(B3478="","",INDEX(helper!$D$3:$D3996,MOD(ROW()-2,COUNTA(helper!$D$3:$D3996))+1))</f>
        <v/>
      </c>
      <c r="D3478" s="3" t="str">
        <f t="array" ref="D3478">IF(B3478="","",INDEX(helper!$E$3:$E3996,MOD(ROW()-2,COUNTA(helper!$D$3:$D3996))+1))</f>
        <v/>
      </c>
      <c r="E3478" s="3" t="str">
        <f t="array" ref="E3478">IF(B3478="","",INDEX(helper!$F$3:$F3996,MOD(ROW()-2,COUNTA(helper!$D$3:$D3996))+1))</f>
        <v/>
      </c>
      <c r="F3478" s="3" t="str">
        <f>IF(B3478="","",SUMIFS('inventory ledger'!$H:$H,'inventory ledger'!$C:$C,C3478,'inventory ledger'!$D:$D,D3478,'inventory ledger'!$E:$E,E3478,'inventory ledger'!$A:$A,"&lt;="&amp;B3478+TIME(23,59,59))-SUMIFS('inventory ledger'!$I:$I,'inventory ledger'!$C:$C,C3478,'inventory ledger'!$D:$D,D3478,'inventory ledger'!$E:$E,E3478,'inventory ledger'!$A:$A,"&lt;="&amp;B3478+TIME(23,59,59)))</f>
        <v/>
      </c>
      <c r="G3478" s="3">
        <f>IFERROR(__xludf.DUMMYFUNCTION("IF(F3478&lt;=0,0,IFERROR(ROUNDUP(F3478/INDEX(FILTER('warehouse config'!$D:$D,('warehouse config'!$B:$B=C3478)*('warehouse config'!$C:$C=D3478)*('warehouse config'!$G:$G&lt;=B3478)*(('warehouse config'!$H:$H&gt;=B3478)+ISBLANK('warehouse config'!$H:$H))),1)),0))"),0.0)</f>
        <v>0</v>
      </c>
      <c r="H3478" s="3">
        <f>IFERROR(__xludf.DUMMYFUNCTION("IFERROR(INDEX(FILTER('cost master'!$E:$E,('cost master'!$B:$B=C3478)*('cost master'!$D:$D=""Storage cost per pallet / week"")*('cost master'!$G:$G&lt;=B3478)*(('cost master'!$H:$H&gt;=B3478)+ISBLANK('cost master'!$H:$H))),1),0)"),0.0)</f>
        <v>0</v>
      </c>
      <c r="I3478" s="3">
        <f t="shared" si="4"/>
        <v>0</v>
      </c>
      <c r="J3478" s="27">
        <f t="shared" si="5"/>
        <v>693947</v>
      </c>
      <c r="K3478" s="27">
        <f t="shared" si="6"/>
        <v>693977</v>
      </c>
    </row>
    <row r="3479" hidden="1">
      <c r="A3479" s="3" t="str">
        <f t="shared" si="3"/>
        <v/>
      </c>
      <c r="B3479" s="2" t="str">
        <f t="array" ref="B3479">INDEX(helper!$A$3:$A3996,ROUNDUP((ROW()-1)/COUNTA(helper!$D$3:$D3996),0))</f>
        <v/>
      </c>
      <c r="C3479" s="5" t="str">
        <f t="array" ref="C3479">IF(B3479="","",INDEX(helper!$D$3:$D3996,MOD(ROW()-2,COUNTA(helper!$D$3:$D3996))+1))</f>
        <v/>
      </c>
      <c r="D3479" s="3" t="str">
        <f t="array" ref="D3479">IF(B3479="","",INDEX(helper!$E$3:$E3996,MOD(ROW()-2,COUNTA(helper!$D$3:$D3996))+1))</f>
        <v/>
      </c>
      <c r="E3479" s="3" t="str">
        <f t="array" ref="E3479">IF(B3479="","",INDEX(helper!$F$3:$F3996,MOD(ROW()-2,COUNTA(helper!$D$3:$D3996))+1))</f>
        <v/>
      </c>
      <c r="F3479" s="3" t="str">
        <f>IF(B3479="","",SUMIFS('inventory ledger'!$H:$H,'inventory ledger'!$C:$C,C3479,'inventory ledger'!$D:$D,D3479,'inventory ledger'!$E:$E,E3479,'inventory ledger'!$A:$A,"&lt;="&amp;B3479+TIME(23,59,59))-SUMIFS('inventory ledger'!$I:$I,'inventory ledger'!$C:$C,C3479,'inventory ledger'!$D:$D,D3479,'inventory ledger'!$E:$E,E3479,'inventory ledger'!$A:$A,"&lt;="&amp;B3479+TIME(23,59,59)))</f>
        <v/>
      </c>
      <c r="G3479" s="3">
        <f>IFERROR(__xludf.DUMMYFUNCTION("IF(F3479&lt;=0,0,IFERROR(ROUNDUP(F3479/INDEX(FILTER('warehouse config'!$D:$D,('warehouse config'!$B:$B=C3479)*('warehouse config'!$C:$C=D3479)*('warehouse config'!$G:$G&lt;=B3479)*(('warehouse config'!$H:$H&gt;=B3479)+ISBLANK('warehouse config'!$H:$H))),1)),0))"),0.0)</f>
        <v>0</v>
      </c>
      <c r="H3479" s="3">
        <f>IFERROR(__xludf.DUMMYFUNCTION("IFERROR(INDEX(FILTER('cost master'!$E:$E,('cost master'!$B:$B=C3479)*('cost master'!$D:$D=""Storage cost per pallet / week"")*('cost master'!$G:$G&lt;=B3479)*(('cost master'!$H:$H&gt;=B3479)+ISBLANK('cost master'!$H:$H))),1),0)"),0.0)</f>
        <v>0</v>
      </c>
      <c r="I3479" s="3">
        <f t="shared" si="4"/>
        <v>0</v>
      </c>
      <c r="J3479" s="27">
        <f t="shared" si="5"/>
        <v>693947</v>
      </c>
      <c r="K3479" s="27">
        <f t="shared" si="6"/>
        <v>693977</v>
      </c>
    </row>
    <row r="3480" hidden="1">
      <c r="A3480" s="3" t="str">
        <f t="shared" si="3"/>
        <v/>
      </c>
      <c r="B3480" s="2" t="str">
        <f t="array" ref="B3480">INDEX(helper!$A$3:$A3996,ROUNDUP((ROW()-1)/COUNTA(helper!$D$3:$D3996),0))</f>
        <v/>
      </c>
      <c r="C3480" s="5" t="str">
        <f t="array" ref="C3480">IF(B3480="","",INDEX(helper!$D$3:$D3996,MOD(ROW()-2,COUNTA(helper!$D$3:$D3996))+1))</f>
        <v/>
      </c>
      <c r="D3480" s="3" t="str">
        <f t="array" ref="D3480">IF(B3480="","",INDEX(helper!$E$3:$E3996,MOD(ROW()-2,COUNTA(helper!$D$3:$D3996))+1))</f>
        <v/>
      </c>
      <c r="E3480" s="3" t="str">
        <f t="array" ref="E3480">IF(B3480="","",INDEX(helper!$F$3:$F3996,MOD(ROW()-2,COUNTA(helper!$D$3:$D3996))+1))</f>
        <v/>
      </c>
      <c r="F3480" s="3" t="str">
        <f>IF(B3480="","",SUMIFS('inventory ledger'!$H:$H,'inventory ledger'!$C:$C,C3480,'inventory ledger'!$D:$D,D3480,'inventory ledger'!$E:$E,E3480,'inventory ledger'!$A:$A,"&lt;="&amp;B3480+TIME(23,59,59))-SUMIFS('inventory ledger'!$I:$I,'inventory ledger'!$C:$C,C3480,'inventory ledger'!$D:$D,D3480,'inventory ledger'!$E:$E,E3480,'inventory ledger'!$A:$A,"&lt;="&amp;B3480+TIME(23,59,59)))</f>
        <v/>
      </c>
      <c r="G3480" s="3">
        <f>IFERROR(__xludf.DUMMYFUNCTION("IF(F3480&lt;=0,0,IFERROR(ROUNDUP(F3480/INDEX(FILTER('warehouse config'!$D:$D,('warehouse config'!$B:$B=C3480)*('warehouse config'!$C:$C=D3480)*('warehouse config'!$G:$G&lt;=B3480)*(('warehouse config'!$H:$H&gt;=B3480)+ISBLANK('warehouse config'!$H:$H))),1)),0))"),0.0)</f>
        <v>0</v>
      </c>
      <c r="H3480" s="3">
        <f>IFERROR(__xludf.DUMMYFUNCTION("IFERROR(INDEX(FILTER('cost master'!$E:$E,('cost master'!$B:$B=C3480)*('cost master'!$D:$D=""Storage cost per pallet / week"")*('cost master'!$G:$G&lt;=B3480)*(('cost master'!$H:$H&gt;=B3480)+ISBLANK('cost master'!$H:$H))),1),0)"),0.0)</f>
        <v>0</v>
      </c>
      <c r="I3480" s="3">
        <f t="shared" si="4"/>
        <v>0</v>
      </c>
      <c r="J3480" s="27">
        <f t="shared" si="5"/>
        <v>693947</v>
      </c>
      <c r="K3480" s="27">
        <f t="shared" si="6"/>
        <v>693977</v>
      </c>
    </row>
    <row r="3481" hidden="1">
      <c r="A3481" s="3" t="str">
        <f t="shared" si="3"/>
        <v/>
      </c>
      <c r="B3481" s="2" t="str">
        <f t="array" ref="B3481">INDEX(helper!$A$3:$A3996,ROUNDUP((ROW()-1)/COUNTA(helper!$D$3:$D3996),0))</f>
        <v/>
      </c>
      <c r="C3481" s="5" t="str">
        <f t="array" ref="C3481">IF(B3481="","",INDEX(helper!$D$3:$D3996,MOD(ROW()-2,COUNTA(helper!$D$3:$D3996))+1))</f>
        <v/>
      </c>
      <c r="D3481" s="3" t="str">
        <f t="array" ref="D3481">IF(B3481="","",INDEX(helper!$E$3:$E3996,MOD(ROW()-2,COUNTA(helper!$D$3:$D3996))+1))</f>
        <v/>
      </c>
      <c r="E3481" s="3" t="str">
        <f t="array" ref="E3481">IF(B3481="","",INDEX(helper!$F$3:$F3996,MOD(ROW()-2,COUNTA(helper!$D$3:$D3996))+1))</f>
        <v/>
      </c>
      <c r="F3481" s="3" t="str">
        <f>IF(B3481="","",SUMIFS('inventory ledger'!$H:$H,'inventory ledger'!$C:$C,C3481,'inventory ledger'!$D:$D,D3481,'inventory ledger'!$E:$E,E3481,'inventory ledger'!$A:$A,"&lt;="&amp;B3481+TIME(23,59,59))-SUMIFS('inventory ledger'!$I:$I,'inventory ledger'!$C:$C,C3481,'inventory ledger'!$D:$D,D3481,'inventory ledger'!$E:$E,E3481,'inventory ledger'!$A:$A,"&lt;="&amp;B3481+TIME(23,59,59)))</f>
        <v/>
      </c>
      <c r="G3481" s="3">
        <f>IFERROR(__xludf.DUMMYFUNCTION("IF(F3481&lt;=0,0,IFERROR(ROUNDUP(F3481/INDEX(FILTER('warehouse config'!$D:$D,('warehouse config'!$B:$B=C3481)*('warehouse config'!$C:$C=D3481)*('warehouse config'!$G:$G&lt;=B3481)*(('warehouse config'!$H:$H&gt;=B3481)+ISBLANK('warehouse config'!$H:$H))),1)),0))"),0.0)</f>
        <v>0</v>
      </c>
      <c r="H3481" s="3">
        <f>IFERROR(__xludf.DUMMYFUNCTION("IFERROR(INDEX(FILTER('cost master'!$E:$E,('cost master'!$B:$B=C3481)*('cost master'!$D:$D=""Storage cost per pallet / week"")*('cost master'!$G:$G&lt;=B3481)*(('cost master'!$H:$H&gt;=B3481)+ISBLANK('cost master'!$H:$H))),1),0)"),0.0)</f>
        <v>0</v>
      </c>
      <c r="I3481" s="3">
        <f t="shared" si="4"/>
        <v>0</v>
      </c>
      <c r="J3481" s="27">
        <f t="shared" si="5"/>
        <v>693947</v>
      </c>
      <c r="K3481" s="27">
        <f t="shared" si="6"/>
        <v>693977</v>
      </c>
    </row>
    <row r="3482" hidden="1">
      <c r="A3482" s="3" t="str">
        <f t="shared" si="3"/>
        <v/>
      </c>
      <c r="B3482" s="2" t="str">
        <f t="array" ref="B3482">INDEX(helper!$A$3:$A3996,ROUNDUP((ROW()-1)/COUNTA(helper!$D$3:$D3996),0))</f>
        <v/>
      </c>
      <c r="C3482" s="5" t="str">
        <f t="array" ref="C3482">IF(B3482="","",INDEX(helper!$D$3:$D3996,MOD(ROW()-2,COUNTA(helper!$D$3:$D3996))+1))</f>
        <v/>
      </c>
      <c r="D3482" s="3" t="str">
        <f t="array" ref="D3482">IF(B3482="","",INDEX(helper!$E$3:$E3996,MOD(ROW()-2,COUNTA(helper!$D$3:$D3996))+1))</f>
        <v/>
      </c>
      <c r="E3482" s="3" t="str">
        <f t="array" ref="E3482">IF(B3482="","",INDEX(helper!$F$3:$F3996,MOD(ROW()-2,COUNTA(helper!$D$3:$D3996))+1))</f>
        <v/>
      </c>
      <c r="F3482" s="3" t="str">
        <f>IF(B3482="","",SUMIFS('inventory ledger'!$H:$H,'inventory ledger'!$C:$C,C3482,'inventory ledger'!$D:$D,D3482,'inventory ledger'!$E:$E,E3482,'inventory ledger'!$A:$A,"&lt;="&amp;B3482+TIME(23,59,59))-SUMIFS('inventory ledger'!$I:$I,'inventory ledger'!$C:$C,C3482,'inventory ledger'!$D:$D,D3482,'inventory ledger'!$E:$E,E3482,'inventory ledger'!$A:$A,"&lt;="&amp;B3482+TIME(23,59,59)))</f>
        <v/>
      </c>
      <c r="G3482" s="3">
        <f>IFERROR(__xludf.DUMMYFUNCTION("IF(F3482&lt;=0,0,IFERROR(ROUNDUP(F3482/INDEX(FILTER('warehouse config'!$D:$D,('warehouse config'!$B:$B=C3482)*('warehouse config'!$C:$C=D3482)*('warehouse config'!$G:$G&lt;=B3482)*(('warehouse config'!$H:$H&gt;=B3482)+ISBLANK('warehouse config'!$H:$H))),1)),0))"),0.0)</f>
        <v>0</v>
      </c>
      <c r="H3482" s="3">
        <f>IFERROR(__xludf.DUMMYFUNCTION("IFERROR(INDEX(FILTER('cost master'!$E:$E,('cost master'!$B:$B=C3482)*('cost master'!$D:$D=""Storage cost per pallet / week"")*('cost master'!$G:$G&lt;=B3482)*(('cost master'!$H:$H&gt;=B3482)+ISBLANK('cost master'!$H:$H))),1),0)"),0.0)</f>
        <v>0</v>
      </c>
      <c r="I3482" s="3">
        <f t="shared" si="4"/>
        <v>0</v>
      </c>
      <c r="J3482" s="27">
        <f t="shared" si="5"/>
        <v>693947</v>
      </c>
      <c r="K3482" s="27">
        <f t="shared" si="6"/>
        <v>693977</v>
      </c>
    </row>
    <row r="3483" hidden="1">
      <c r="A3483" s="3" t="str">
        <f t="shared" si="3"/>
        <v/>
      </c>
      <c r="B3483" s="2" t="str">
        <f t="array" ref="B3483">INDEX(helper!$A$3:$A3996,ROUNDUP((ROW()-1)/COUNTA(helper!$D$3:$D3996),0))</f>
        <v/>
      </c>
      <c r="C3483" s="5" t="str">
        <f t="array" ref="C3483">IF(B3483="","",INDEX(helper!$D$3:$D3996,MOD(ROW()-2,COUNTA(helper!$D$3:$D3996))+1))</f>
        <v/>
      </c>
      <c r="D3483" s="3" t="str">
        <f t="array" ref="D3483">IF(B3483="","",INDEX(helper!$E$3:$E3996,MOD(ROW()-2,COUNTA(helper!$D$3:$D3996))+1))</f>
        <v/>
      </c>
      <c r="E3483" s="3" t="str">
        <f t="array" ref="E3483">IF(B3483="","",INDEX(helper!$F$3:$F3996,MOD(ROW()-2,COUNTA(helper!$D$3:$D3996))+1))</f>
        <v/>
      </c>
      <c r="F3483" s="3" t="str">
        <f>IF(B3483="","",SUMIFS('inventory ledger'!$H:$H,'inventory ledger'!$C:$C,C3483,'inventory ledger'!$D:$D,D3483,'inventory ledger'!$E:$E,E3483,'inventory ledger'!$A:$A,"&lt;="&amp;B3483+TIME(23,59,59))-SUMIFS('inventory ledger'!$I:$I,'inventory ledger'!$C:$C,C3483,'inventory ledger'!$D:$D,D3483,'inventory ledger'!$E:$E,E3483,'inventory ledger'!$A:$A,"&lt;="&amp;B3483+TIME(23,59,59)))</f>
        <v/>
      </c>
      <c r="G3483" s="3">
        <f>IFERROR(__xludf.DUMMYFUNCTION("IF(F3483&lt;=0,0,IFERROR(ROUNDUP(F3483/INDEX(FILTER('warehouse config'!$D:$D,('warehouse config'!$B:$B=C3483)*('warehouse config'!$C:$C=D3483)*('warehouse config'!$G:$G&lt;=B3483)*(('warehouse config'!$H:$H&gt;=B3483)+ISBLANK('warehouse config'!$H:$H))),1)),0))"),0.0)</f>
        <v>0</v>
      </c>
      <c r="H3483" s="3">
        <f>IFERROR(__xludf.DUMMYFUNCTION("IFERROR(INDEX(FILTER('cost master'!$E:$E,('cost master'!$B:$B=C3483)*('cost master'!$D:$D=""Storage cost per pallet / week"")*('cost master'!$G:$G&lt;=B3483)*(('cost master'!$H:$H&gt;=B3483)+ISBLANK('cost master'!$H:$H))),1),0)"),0.0)</f>
        <v>0</v>
      </c>
      <c r="I3483" s="3">
        <f t="shared" si="4"/>
        <v>0</v>
      </c>
      <c r="J3483" s="27">
        <f t="shared" si="5"/>
        <v>693947</v>
      </c>
      <c r="K3483" s="27">
        <f t="shared" si="6"/>
        <v>693977</v>
      </c>
    </row>
    <row r="3484" hidden="1">
      <c r="A3484" s="3" t="str">
        <f t="shared" si="3"/>
        <v/>
      </c>
      <c r="B3484" s="2" t="str">
        <f t="array" ref="B3484">INDEX(helper!$A$3:$A3996,ROUNDUP((ROW()-1)/COUNTA(helper!$D$3:$D3996),0))</f>
        <v/>
      </c>
      <c r="C3484" s="5" t="str">
        <f t="array" ref="C3484">IF(B3484="","",INDEX(helper!$D$3:$D3996,MOD(ROW()-2,COUNTA(helper!$D$3:$D3996))+1))</f>
        <v/>
      </c>
      <c r="D3484" s="3" t="str">
        <f t="array" ref="D3484">IF(B3484="","",INDEX(helper!$E$3:$E3996,MOD(ROW()-2,COUNTA(helper!$D$3:$D3996))+1))</f>
        <v/>
      </c>
      <c r="E3484" s="3" t="str">
        <f t="array" ref="E3484">IF(B3484="","",INDEX(helper!$F$3:$F3996,MOD(ROW()-2,COUNTA(helper!$D$3:$D3996))+1))</f>
        <v/>
      </c>
      <c r="F3484" s="3" t="str">
        <f>IF(B3484="","",SUMIFS('inventory ledger'!$H:$H,'inventory ledger'!$C:$C,C3484,'inventory ledger'!$D:$D,D3484,'inventory ledger'!$E:$E,E3484,'inventory ledger'!$A:$A,"&lt;="&amp;B3484+TIME(23,59,59))-SUMIFS('inventory ledger'!$I:$I,'inventory ledger'!$C:$C,C3484,'inventory ledger'!$D:$D,D3484,'inventory ledger'!$E:$E,E3484,'inventory ledger'!$A:$A,"&lt;="&amp;B3484+TIME(23,59,59)))</f>
        <v/>
      </c>
      <c r="G3484" s="3">
        <f>IFERROR(__xludf.DUMMYFUNCTION("IF(F3484&lt;=0,0,IFERROR(ROUNDUP(F3484/INDEX(FILTER('warehouse config'!$D:$D,('warehouse config'!$B:$B=C3484)*('warehouse config'!$C:$C=D3484)*('warehouse config'!$G:$G&lt;=B3484)*(('warehouse config'!$H:$H&gt;=B3484)+ISBLANK('warehouse config'!$H:$H))),1)),0))"),0.0)</f>
        <v>0</v>
      </c>
      <c r="H3484" s="3">
        <f>IFERROR(__xludf.DUMMYFUNCTION("IFERROR(INDEX(FILTER('cost master'!$E:$E,('cost master'!$B:$B=C3484)*('cost master'!$D:$D=""Storage cost per pallet / week"")*('cost master'!$G:$G&lt;=B3484)*(('cost master'!$H:$H&gt;=B3484)+ISBLANK('cost master'!$H:$H))),1),0)"),0.0)</f>
        <v>0</v>
      </c>
      <c r="I3484" s="3">
        <f t="shared" si="4"/>
        <v>0</v>
      </c>
      <c r="J3484" s="27">
        <f t="shared" si="5"/>
        <v>693947</v>
      </c>
      <c r="K3484" s="27">
        <f t="shared" si="6"/>
        <v>693977</v>
      </c>
    </row>
    <row r="3485" hidden="1">
      <c r="A3485" s="3" t="str">
        <f t="shared" si="3"/>
        <v/>
      </c>
      <c r="B3485" s="2" t="str">
        <f t="array" ref="B3485">INDEX(helper!$A$3:$A3996,ROUNDUP((ROW()-1)/COUNTA(helper!$D$3:$D3996),0))</f>
        <v/>
      </c>
      <c r="C3485" s="5" t="str">
        <f t="array" ref="C3485">IF(B3485="","",INDEX(helper!$D$3:$D3996,MOD(ROW()-2,COUNTA(helper!$D$3:$D3996))+1))</f>
        <v/>
      </c>
      <c r="D3485" s="3" t="str">
        <f t="array" ref="D3485">IF(B3485="","",INDEX(helper!$E$3:$E3996,MOD(ROW()-2,COUNTA(helper!$D$3:$D3996))+1))</f>
        <v/>
      </c>
      <c r="E3485" s="3" t="str">
        <f t="array" ref="E3485">IF(B3485="","",INDEX(helper!$F$3:$F3996,MOD(ROW()-2,COUNTA(helper!$D$3:$D3996))+1))</f>
        <v/>
      </c>
      <c r="F3485" s="3" t="str">
        <f>IF(B3485="","",SUMIFS('inventory ledger'!$H:$H,'inventory ledger'!$C:$C,C3485,'inventory ledger'!$D:$D,D3485,'inventory ledger'!$E:$E,E3485,'inventory ledger'!$A:$A,"&lt;="&amp;B3485+TIME(23,59,59))-SUMIFS('inventory ledger'!$I:$I,'inventory ledger'!$C:$C,C3485,'inventory ledger'!$D:$D,D3485,'inventory ledger'!$E:$E,E3485,'inventory ledger'!$A:$A,"&lt;="&amp;B3485+TIME(23,59,59)))</f>
        <v/>
      </c>
      <c r="G3485" s="3">
        <f>IFERROR(__xludf.DUMMYFUNCTION("IF(F3485&lt;=0,0,IFERROR(ROUNDUP(F3485/INDEX(FILTER('warehouse config'!$D:$D,('warehouse config'!$B:$B=C3485)*('warehouse config'!$C:$C=D3485)*('warehouse config'!$G:$G&lt;=B3485)*(('warehouse config'!$H:$H&gt;=B3485)+ISBLANK('warehouse config'!$H:$H))),1)),0))"),0.0)</f>
        <v>0</v>
      </c>
      <c r="H3485" s="3">
        <f>IFERROR(__xludf.DUMMYFUNCTION("IFERROR(INDEX(FILTER('cost master'!$E:$E,('cost master'!$B:$B=C3485)*('cost master'!$D:$D=""Storage cost per pallet / week"")*('cost master'!$G:$G&lt;=B3485)*(('cost master'!$H:$H&gt;=B3485)+ISBLANK('cost master'!$H:$H))),1),0)"),0.0)</f>
        <v>0</v>
      </c>
      <c r="I3485" s="3">
        <f t="shared" si="4"/>
        <v>0</v>
      </c>
      <c r="J3485" s="27">
        <f t="shared" si="5"/>
        <v>693947</v>
      </c>
      <c r="K3485" s="27">
        <f t="shared" si="6"/>
        <v>693977</v>
      </c>
    </row>
    <row r="3486" hidden="1">
      <c r="A3486" s="3" t="str">
        <f t="shared" si="3"/>
        <v/>
      </c>
      <c r="B3486" s="2" t="str">
        <f t="array" ref="B3486">INDEX(helper!$A$3:$A3996,ROUNDUP((ROW()-1)/COUNTA(helper!$D$3:$D3996),0))</f>
        <v/>
      </c>
      <c r="C3486" s="5" t="str">
        <f t="array" ref="C3486">IF(B3486="","",INDEX(helper!$D$3:$D3996,MOD(ROW()-2,COUNTA(helper!$D$3:$D3996))+1))</f>
        <v/>
      </c>
      <c r="D3486" s="3" t="str">
        <f t="array" ref="D3486">IF(B3486="","",INDEX(helper!$E$3:$E3996,MOD(ROW()-2,COUNTA(helper!$D$3:$D3996))+1))</f>
        <v/>
      </c>
      <c r="E3486" s="3" t="str">
        <f t="array" ref="E3486">IF(B3486="","",INDEX(helper!$F$3:$F3996,MOD(ROW()-2,COUNTA(helper!$D$3:$D3996))+1))</f>
        <v/>
      </c>
      <c r="F3486" s="3" t="str">
        <f>IF(B3486="","",SUMIFS('inventory ledger'!$H:$H,'inventory ledger'!$C:$C,C3486,'inventory ledger'!$D:$D,D3486,'inventory ledger'!$E:$E,E3486,'inventory ledger'!$A:$A,"&lt;="&amp;B3486+TIME(23,59,59))-SUMIFS('inventory ledger'!$I:$I,'inventory ledger'!$C:$C,C3486,'inventory ledger'!$D:$D,D3486,'inventory ledger'!$E:$E,E3486,'inventory ledger'!$A:$A,"&lt;="&amp;B3486+TIME(23,59,59)))</f>
        <v/>
      </c>
      <c r="G3486" s="3">
        <f>IFERROR(__xludf.DUMMYFUNCTION("IF(F3486&lt;=0,0,IFERROR(ROUNDUP(F3486/INDEX(FILTER('warehouse config'!$D:$D,('warehouse config'!$B:$B=C3486)*('warehouse config'!$C:$C=D3486)*('warehouse config'!$G:$G&lt;=B3486)*(('warehouse config'!$H:$H&gt;=B3486)+ISBLANK('warehouse config'!$H:$H))),1)),0))"),0.0)</f>
        <v>0</v>
      </c>
      <c r="H3486" s="3">
        <f>IFERROR(__xludf.DUMMYFUNCTION("IFERROR(INDEX(FILTER('cost master'!$E:$E,('cost master'!$B:$B=C3486)*('cost master'!$D:$D=""Storage cost per pallet / week"")*('cost master'!$G:$G&lt;=B3486)*(('cost master'!$H:$H&gt;=B3486)+ISBLANK('cost master'!$H:$H))),1),0)"),0.0)</f>
        <v>0</v>
      </c>
      <c r="I3486" s="3">
        <f t="shared" si="4"/>
        <v>0</v>
      </c>
      <c r="J3486" s="27">
        <f t="shared" si="5"/>
        <v>693947</v>
      </c>
      <c r="K3486" s="27">
        <f t="shared" si="6"/>
        <v>693977</v>
      </c>
    </row>
    <row r="3487" hidden="1">
      <c r="A3487" s="3" t="str">
        <f t="shared" si="3"/>
        <v/>
      </c>
      <c r="B3487" s="2" t="str">
        <f t="array" ref="B3487">INDEX(helper!$A$3:$A3996,ROUNDUP((ROW()-1)/COUNTA(helper!$D$3:$D3996),0))</f>
        <v/>
      </c>
      <c r="C3487" s="5" t="str">
        <f t="array" ref="C3487">IF(B3487="","",INDEX(helper!$D$3:$D3996,MOD(ROW()-2,COUNTA(helper!$D$3:$D3996))+1))</f>
        <v/>
      </c>
      <c r="D3487" s="3" t="str">
        <f t="array" ref="D3487">IF(B3487="","",INDEX(helper!$E$3:$E3996,MOD(ROW()-2,COUNTA(helper!$D$3:$D3996))+1))</f>
        <v/>
      </c>
      <c r="E3487" s="3" t="str">
        <f t="array" ref="E3487">IF(B3487="","",INDEX(helper!$F$3:$F3996,MOD(ROW()-2,COUNTA(helper!$D$3:$D3996))+1))</f>
        <v/>
      </c>
      <c r="F3487" s="3" t="str">
        <f>IF(B3487="","",SUMIFS('inventory ledger'!$H:$H,'inventory ledger'!$C:$C,C3487,'inventory ledger'!$D:$D,D3487,'inventory ledger'!$E:$E,E3487,'inventory ledger'!$A:$A,"&lt;="&amp;B3487+TIME(23,59,59))-SUMIFS('inventory ledger'!$I:$I,'inventory ledger'!$C:$C,C3487,'inventory ledger'!$D:$D,D3487,'inventory ledger'!$E:$E,E3487,'inventory ledger'!$A:$A,"&lt;="&amp;B3487+TIME(23,59,59)))</f>
        <v/>
      </c>
      <c r="G3487" s="3">
        <f>IFERROR(__xludf.DUMMYFUNCTION("IF(F3487&lt;=0,0,IFERROR(ROUNDUP(F3487/INDEX(FILTER('warehouse config'!$D:$D,('warehouse config'!$B:$B=C3487)*('warehouse config'!$C:$C=D3487)*('warehouse config'!$G:$G&lt;=B3487)*(('warehouse config'!$H:$H&gt;=B3487)+ISBLANK('warehouse config'!$H:$H))),1)),0))"),0.0)</f>
        <v>0</v>
      </c>
      <c r="H3487" s="3">
        <f>IFERROR(__xludf.DUMMYFUNCTION("IFERROR(INDEX(FILTER('cost master'!$E:$E,('cost master'!$B:$B=C3487)*('cost master'!$D:$D=""Storage cost per pallet / week"")*('cost master'!$G:$G&lt;=B3487)*(('cost master'!$H:$H&gt;=B3487)+ISBLANK('cost master'!$H:$H))),1),0)"),0.0)</f>
        <v>0</v>
      </c>
      <c r="I3487" s="3">
        <f t="shared" si="4"/>
        <v>0</v>
      </c>
      <c r="J3487" s="27">
        <f t="shared" si="5"/>
        <v>693947</v>
      </c>
      <c r="K3487" s="27">
        <f t="shared" si="6"/>
        <v>693977</v>
      </c>
    </row>
    <row r="3488" hidden="1">
      <c r="A3488" s="3" t="str">
        <f t="shared" si="3"/>
        <v/>
      </c>
      <c r="B3488" s="2" t="str">
        <f t="array" ref="B3488">INDEX(helper!$A$3:$A3996,ROUNDUP((ROW()-1)/COUNTA(helper!$D$3:$D3996),0))</f>
        <v/>
      </c>
      <c r="C3488" s="5" t="str">
        <f t="array" ref="C3488">IF(B3488="","",INDEX(helper!$D$3:$D3996,MOD(ROW()-2,COUNTA(helper!$D$3:$D3996))+1))</f>
        <v/>
      </c>
      <c r="D3488" s="3" t="str">
        <f t="array" ref="D3488">IF(B3488="","",INDEX(helper!$E$3:$E3996,MOD(ROW()-2,COUNTA(helper!$D$3:$D3996))+1))</f>
        <v/>
      </c>
      <c r="E3488" s="3" t="str">
        <f t="array" ref="E3488">IF(B3488="","",INDEX(helper!$F$3:$F3996,MOD(ROW()-2,COUNTA(helper!$D$3:$D3996))+1))</f>
        <v/>
      </c>
      <c r="F3488" s="3" t="str">
        <f>IF(B3488="","",SUMIFS('inventory ledger'!$H:$H,'inventory ledger'!$C:$C,C3488,'inventory ledger'!$D:$D,D3488,'inventory ledger'!$E:$E,E3488,'inventory ledger'!$A:$A,"&lt;="&amp;B3488+TIME(23,59,59))-SUMIFS('inventory ledger'!$I:$I,'inventory ledger'!$C:$C,C3488,'inventory ledger'!$D:$D,D3488,'inventory ledger'!$E:$E,E3488,'inventory ledger'!$A:$A,"&lt;="&amp;B3488+TIME(23,59,59)))</f>
        <v/>
      </c>
      <c r="G3488" s="3">
        <f>IFERROR(__xludf.DUMMYFUNCTION("IF(F3488&lt;=0,0,IFERROR(ROUNDUP(F3488/INDEX(FILTER('warehouse config'!$D:$D,('warehouse config'!$B:$B=C3488)*('warehouse config'!$C:$C=D3488)*('warehouse config'!$G:$G&lt;=B3488)*(('warehouse config'!$H:$H&gt;=B3488)+ISBLANK('warehouse config'!$H:$H))),1)),0))"),0.0)</f>
        <v>0</v>
      </c>
      <c r="H3488" s="3">
        <f>IFERROR(__xludf.DUMMYFUNCTION("IFERROR(INDEX(FILTER('cost master'!$E:$E,('cost master'!$B:$B=C3488)*('cost master'!$D:$D=""Storage cost per pallet / week"")*('cost master'!$G:$G&lt;=B3488)*(('cost master'!$H:$H&gt;=B3488)+ISBLANK('cost master'!$H:$H))),1),0)"),0.0)</f>
        <v>0</v>
      </c>
      <c r="I3488" s="3">
        <f t="shared" si="4"/>
        <v>0</v>
      </c>
      <c r="J3488" s="27">
        <f t="shared" si="5"/>
        <v>693947</v>
      </c>
      <c r="K3488" s="27">
        <f t="shared" si="6"/>
        <v>693977</v>
      </c>
    </row>
    <row r="3489" hidden="1">
      <c r="A3489" s="3" t="str">
        <f t="shared" si="3"/>
        <v/>
      </c>
      <c r="B3489" s="2" t="str">
        <f t="array" ref="B3489">INDEX(helper!$A$3:$A3996,ROUNDUP((ROW()-1)/COUNTA(helper!$D$3:$D3996),0))</f>
        <v/>
      </c>
      <c r="C3489" s="5" t="str">
        <f t="array" ref="C3489">IF(B3489="","",INDEX(helper!$D$3:$D3996,MOD(ROW()-2,COUNTA(helper!$D$3:$D3996))+1))</f>
        <v/>
      </c>
      <c r="D3489" s="3" t="str">
        <f t="array" ref="D3489">IF(B3489="","",INDEX(helper!$E$3:$E3996,MOD(ROW()-2,COUNTA(helper!$D$3:$D3996))+1))</f>
        <v/>
      </c>
      <c r="E3489" s="3" t="str">
        <f t="array" ref="E3489">IF(B3489="","",INDEX(helper!$F$3:$F3996,MOD(ROW()-2,COUNTA(helper!$D$3:$D3996))+1))</f>
        <v/>
      </c>
      <c r="F3489" s="3" t="str">
        <f>IF(B3489="","",SUMIFS('inventory ledger'!$H:$H,'inventory ledger'!$C:$C,C3489,'inventory ledger'!$D:$D,D3489,'inventory ledger'!$E:$E,E3489,'inventory ledger'!$A:$A,"&lt;="&amp;B3489+TIME(23,59,59))-SUMIFS('inventory ledger'!$I:$I,'inventory ledger'!$C:$C,C3489,'inventory ledger'!$D:$D,D3489,'inventory ledger'!$E:$E,E3489,'inventory ledger'!$A:$A,"&lt;="&amp;B3489+TIME(23,59,59)))</f>
        <v/>
      </c>
      <c r="G3489" s="3">
        <f>IFERROR(__xludf.DUMMYFUNCTION("IF(F3489&lt;=0,0,IFERROR(ROUNDUP(F3489/INDEX(FILTER('warehouse config'!$D:$D,('warehouse config'!$B:$B=C3489)*('warehouse config'!$C:$C=D3489)*('warehouse config'!$G:$G&lt;=B3489)*(('warehouse config'!$H:$H&gt;=B3489)+ISBLANK('warehouse config'!$H:$H))),1)),0))"),0.0)</f>
        <v>0</v>
      </c>
      <c r="H3489" s="3">
        <f>IFERROR(__xludf.DUMMYFUNCTION("IFERROR(INDEX(FILTER('cost master'!$E:$E,('cost master'!$B:$B=C3489)*('cost master'!$D:$D=""Storage cost per pallet / week"")*('cost master'!$G:$G&lt;=B3489)*(('cost master'!$H:$H&gt;=B3489)+ISBLANK('cost master'!$H:$H))),1),0)"),0.0)</f>
        <v>0</v>
      </c>
      <c r="I3489" s="3">
        <f t="shared" si="4"/>
        <v>0</v>
      </c>
      <c r="J3489" s="27">
        <f t="shared" si="5"/>
        <v>693947</v>
      </c>
      <c r="K3489" s="27">
        <f t="shared" si="6"/>
        <v>693977</v>
      </c>
    </row>
    <row r="3490" hidden="1">
      <c r="A3490" s="3" t="str">
        <f t="shared" si="3"/>
        <v/>
      </c>
      <c r="B3490" s="2" t="str">
        <f t="array" ref="B3490">INDEX(helper!$A$3:$A3996,ROUNDUP((ROW()-1)/COUNTA(helper!$D$3:$D3996),0))</f>
        <v/>
      </c>
      <c r="C3490" s="5" t="str">
        <f t="array" ref="C3490">IF(B3490="","",INDEX(helper!$D$3:$D3996,MOD(ROW()-2,COUNTA(helper!$D$3:$D3996))+1))</f>
        <v/>
      </c>
      <c r="D3490" s="3" t="str">
        <f t="array" ref="D3490">IF(B3490="","",INDEX(helper!$E$3:$E3996,MOD(ROW()-2,COUNTA(helper!$D$3:$D3996))+1))</f>
        <v/>
      </c>
      <c r="E3490" s="3" t="str">
        <f t="array" ref="E3490">IF(B3490="","",INDEX(helper!$F$3:$F3996,MOD(ROW()-2,COUNTA(helper!$D$3:$D3996))+1))</f>
        <v/>
      </c>
      <c r="F3490" s="3" t="str">
        <f>IF(B3490="","",SUMIFS('inventory ledger'!$H:$H,'inventory ledger'!$C:$C,C3490,'inventory ledger'!$D:$D,D3490,'inventory ledger'!$E:$E,E3490,'inventory ledger'!$A:$A,"&lt;="&amp;B3490+TIME(23,59,59))-SUMIFS('inventory ledger'!$I:$I,'inventory ledger'!$C:$C,C3490,'inventory ledger'!$D:$D,D3490,'inventory ledger'!$E:$E,E3490,'inventory ledger'!$A:$A,"&lt;="&amp;B3490+TIME(23,59,59)))</f>
        <v/>
      </c>
      <c r="G3490" s="3">
        <f>IFERROR(__xludf.DUMMYFUNCTION("IF(F3490&lt;=0,0,IFERROR(ROUNDUP(F3490/INDEX(FILTER('warehouse config'!$D:$D,('warehouse config'!$B:$B=C3490)*('warehouse config'!$C:$C=D3490)*('warehouse config'!$G:$G&lt;=B3490)*(('warehouse config'!$H:$H&gt;=B3490)+ISBLANK('warehouse config'!$H:$H))),1)),0))"),0.0)</f>
        <v>0</v>
      </c>
      <c r="H3490" s="3">
        <f>IFERROR(__xludf.DUMMYFUNCTION("IFERROR(INDEX(FILTER('cost master'!$E:$E,('cost master'!$B:$B=C3490)*('cost master'!$D:$D=""Storage cost per pallet / week"")*('cost master'!$G:$G&lt;=B3490)*(('cost master'!$H:$H&gt;=B3490)+ISBLANK('cost master'!$H:$H))),1),0)"),0.0)</f>
        <v>0</v>
      </c>
      <c r="I3490" s="3">
        <f t="shared" si="4"/>
        <v>0</v>
      </c>
      <c r="J3490" s="27">
        <f t="shared" si="5"/>
        <v>693947</v>
      </c>
      <c r="K3490" s="27">
        <f t="shared" si="6"/>
        <v>693977</v>
      </c>
    </row>
    <row r="3491" hidden="1">
      <c r="A3491" s="3" t="str">
        <f t="shared" si="3"/>
        <v/>
      </c>
      <c r="B3491" s="2" t="str">
        <f t="array" ref="B3491">INDEX(helper!$A$3:$A3996,ROUNDUP((ROW()-1)/COUNTA(helper!$D$3:$D3996),0))</f>
        <v/>
      </c>
      <c r="C3491" s="5" t="str">
        <f t="array" ref="C3491">IF(B3491="","",INDEX(helper!$D$3:$D3996,MOD(ROW()-2,COUNTA(helper!$D$3:$D3996))+1))</f>
        <v/>
      </c>
      <c r="D3491" s="3" t="str">
        <f t="array" ref="D3491">IF(B3491="","",INDEX(helper!$E$3:$E3996,MOD(ROW()-2,COUNTA(helper!$D$3:$D3996))+1))</f>
        <v/>
      </c>
      <c r="E3491" s="3" t="str">
        <f t="array" ref="E3491">IF(B3491="","",INDEX(helper!$F$3:$F3996,MOD(ROW()-2,COUNTA(helper!$D$3:$D3996))+1))</f>
        <v/>
      </c>
      <c r="F3491" s="3" t="str">
        <f>IF(B3491="","",SUMIFS('inventory ledger'!$H:$H,'inventory ledger'!$C:$C,C3491,'inventory ledger'!$D:$D,D3491,'inventory ledger'!$E:$E,E3491,'inventory ledger'!$A:$A,"&lt;="&amp;B3491+TIME(23,59,59))-SUMIFS('inventory ledger'!$I:$I,'inventory ledger'!$C:$C,C3491,'inventory ledger'!$D:$D,D3491,'inventory ledger'!$E:$E,E3491,'inventory ledger'!$A:$A,"&lt;="&amp;B3491+TIME(23,59,59)))</f>
        <v/>
      </c>
      <c r="G3491" s="3">
        <f>IFERROR(__xludf.DUMMYFUNCTION("IF(F3491&lt;=0,0,IFERROR(ROUNDUP(F3491/INDEX(FILTER('warehouse config'!$D:$D,('warehouse config'!$B:$B=C3491)*('warehouse config'!$C:$C=D3491)*('warehouse config'!$G:$G&lt;=B3491)*(('warehouse config'!$H:$H&gt;=B3491)+ISBLANK('warehouse config'!$H:$H))),1)),0))"),0.0)</f>
        <v>0</v>
      </c>
      <c r="H3491" s="3">
        <f>IFERROR(__xludf.DUMMYFUNCTION("IFERROR(INDEX(FILTER('cost master'!$E:$E,('cost master'!$B:$B=C3491)*('cost master'!$D:$D=""Storage cost per pallet / week"")*('cost master'!$G:$G&lt;=B3491)*(('cost master'!$H:$H&gt;=B3491)+ISBLANK('cost master'!$H:$H))),1),0)"),0.0)</f>
        <v>0</v>
      </c>
      <c r="I3491" s="3">
        <f t="shared" si="4"/>
        <v>0</v>
      </c>
      <c r="J3491" s="27">
        <f t="shared" si="5"/>
        <v>693947</v>
      </c>
      <c r="K3491" s="27">
        <f t="shared" si="6"/>
        <v>693977</v>
      </c>
    </row>
    <row r="3492" hidden="1">
      <c r="A3492" s="3" t="str">
        <f t="shared" si="3"/>
        <v/>
      </c>
      <c r="B3492" s="2" t="str">
        <f t="array" ref="B3492">INDEX(helper!$A$3:$A3996,ROUNDUP((ROW()-1)/COUNTA(helper!$D$3:$D3996),0))</f>
        <v/>
      </c>
      <c r="C3492" s="5" t="str">
        <f t="array" ref="C3492">IF(B3492="","",INDEX(helper!$D$3:$D3996,MOD(ROW()-2,COUNTA(helper!$D$3:$D3996))+1))</f>
        <v/>
      </c>
      <c r="D3492" s="3" t="str">
        <f t="array" ref="D3492">IF(B3492="","",INDEX(helper!$E$3:$E3996,MOD(ROW()-2,COUNTA(helper!$D$3:$D3996))+1))</f>
        <v/>
      </c>
      <c r="E3492" s="3" t="str">
        <f t="array" ref="E3492">IF(B3492="","",INDEX(helper!$F$3:$F3996,MOD(ROW()-2,COUNTA(helper!$D$3:$D3996))+1))</f>
        <v/>
      </c>
      <c r="F3492" s="3" t="str">
        <f>IF(B3492="","",SUMIFS('inventory ledger'!$H:$H,'inventory ledger'!$C:$C,C3492,'inventory ledger'!$D:$D,D3492,'inventory ledger'!$E:$E,E3492,'inventory ledger'!$A:$A,"&lt;="&amp;B3492+TIME(23,59,59))-SUMIFS('inventory ledger'!$I:$I,'inventory ledger'!$C:$C,C3492,'inventory ledger'!$D:$D,D3492,'inventory ledger'!$E:$E,E3492,'inventory ledger'!$A:$A,"&lt;="&amp;B3492+TIME(23,59,59)))</f>
        <v/>
      </c>
      <c r="G3492" s="3">
        <f>IFERROR(__xludf.DUMMYFUNCTION("IF(F3492&lt;=0,0,IFERROR(ROUNDUP(F3492/INDEX(FILTER('warehouse config'!$D:$D,('warehouse config'!$B:$B=C3492)*('warehouse config'!$C:$C=D3492)*('warehouse config'!$G:$G&lt;=B3492)*(('warehouse config'!$H:$H&gt;=B3492)+ISBLANK('warehouse config'!$H:$H))),1)),0))"),0.0)</f>
        <v>0</v>
      </c>
      <c r="H3492" s="3">
        <f>IFERROR(__xludf.DUMMYFUNCTION("IFERROR(INDEX(FILTER('cost master'!$E:$E,('cost master'!$B:$B=C3492)*('cost master'!$D:$D=""Storage cost per pallet / week"")*('cost master'!$G:$G&lt;=B3492)*(('cost master'!$H:$H&gt;=B3492)+ISBLANK('cost master'!$H:$H))),1),0)"),0.0)</f>
        <v>0</v>
      </c>
      <c r="I3492" s="3">
        <f t="shared" si="4"/>
        <v>0</v>
      </c>
      <c r="J3492" s="27">
        <f t="shared" si="5"/>
        <v>693947</v>
      </c>
      <c r="K3492" s="27">
        <f t="shared" si="6"/>
        <v>693977</v>
      </c>
    </row>
    <row r="3493" hidden="1">
      <c r="A3493" s="3" t="str">
        <f t="shared" si="3"/>
        <v/>
      </c>
      <c r="B3493" s="2" t="str">
        <f t="array" ref="B3493">INDEX(helper!$A$3:$A3996,ROUNDUP((ROW()-1)/COUNTA(helper!$D$3:$D3996),0))</f>
        <v/>
      </c>
      <c r="C3493" s="5" t="str">
        <f t="array" ref="C3493">IF(B3493="","",INDEX(helper!$D$3:$D3996,MOD(ROW()-2,COUNTA(helper!$D$3:$D3996))+1))</f>
        <v/>
      </c>
      <c r="D3493" s="3" t="str">
        <f t="array" ref="D3493">IF(B3493="","",INDEX(helper!$E$3:$E3996,MOD(ROW()-2,COUNTA(helper!$D$3:$D3996))+1))</f>
        <v/>
      </c>
      <c r="E3493" s="3" t="str">
        <f t="array" ref="E3493">IF(B3493="","",INDEX(helper!$F$3:$F3996,MOD(ROW()-2,COUNTA(helper!$D$3:$D3996))+1))</f>
        <v/>
      </c>
      <c r="F3493" s="3" t="str">
        <f>IF(B3493="","",SUMIFS('inventory ledger'!$H:$H,'inventory ledger'!$C:$C,C3493,'inventory ledger'!$D:$D,D3493,'inventory ledger'!$E:$E,E3493,'inventory ledger'!$A:$A,"&lt;="&amp;B3493+TIME(23,59,59))-SUMIFS('inventory ledger'!$I:$I,'inventory ledger'!$C:$C,C3493,'inventory ledger'!$D:$D,D3493,'inventory ledger'!$E:$E,E3493,'inventory ledger'!$A:$A,"&lt;="&amp;B3493+TIME(23,59,59)))</f>
        <v/>
      </c>
      <c r="G3493" s="3">
        <f>IFERROR(__xludf.DUMMYFUNCTION("IF(F3493&lt;=0,0,IFERROR(ROUNDUP(F3493/INDEX(FILTER('warehouse config'!$D:$D,('warehouse config'!$B:$B=C3493)*('warehouse config'!$C:$C=D3493)*('warehouse config'!$G:$G&lt;=B3493)*(('warehouse config'!$H:$H&gt;=B3493)+ISBLANK('warehouse config'!$H:$H))),1)),0))"),0.0)</f>
        <v>0</v>
      </c>
      <c r="H3493" s="3">
        <f>IFERROR(__xludf.DUMMYFUNCTION("IFERROR(INDEX(FILTER('cost master'!$E:$E,('cost master'!$B:$B=C3493)*('cost master'!$D:$D=""Storage cost per pallet / week"")*('cost master'!$G:$G&lt;=B3493)*(('cost master'!$H:$H&gt;=B3493)+ISBLANK('cost master'!$H:$H))),1),0)"),0.0)</f>
        <v>0</v>
      </c>
      <c r="I3493" s="3">
        <f t="shared" si="4"/>
        <v>0</v>
      </c>
      <c r="J3493" s="27">
        <f t="shared" si="5"/>
        <v>693947</v>
      </c>
      <c r="K3493" s="27">
        <f t="shared" si="6"/>
        <v>693977</v>
      </c>
    </row>
    <row r="3494" hidden="1">
      <c r="A3494" s="3" t="str">
        <f t="shared" si="3"/>
        <v/>
      </c>
      <c r="B3494" s="2" t="str">
        <f t="array" ref="B3494">INDEX(helper!$A$3:$A3996,ROUNDUP((ROW()-1)/COUNTA(helper!$D$3:$D3996),0))</f>
        <v/>
      </c>
      <c r="C3494" s="5" t="str">
        <f t="array" ref="C3494">IF(B3494="","",INDEX(helper!$D$3:$D3996,MOD(ROW()-2,COUNTA(helper!$D$3:$D3996))+1))</f>
        <v/>
      </c>
      <c r="D3494" s="3" t="str">
        <f t="array" ref="D3494">IF(B3494="","",INDEX(helper!$E$3:$E3996,MOD(ROW()-2,COUNTA(helper!$D$3:$D3996))+1))</f>
        <v/>
      </c>
      <c r="E3494" s="3" t="str">
        <f t="array" ref="E3494">IF(B3494="","",INDEX(helper!$F$3:$F3996,MOD(ROW()-2,COUNTA(helper!$D$3:$D3996))+1))</f>
        <v/>
      </c>
      <c r="F3494" s="3" t="str">
        <f>IF(B3494="","",SUMIFS('inventory ledger'!$H:$H,'inventory ledger'!$C:$C,C3494,'inventory ledger'!$D:$D,D3494,'inventory ledger'!$E:$E,E3494,'inventory ledger'!$A:$A,"&lt;="&amp;B3494+TIME(23,59,59))-SUMIFS('inventory ledger'!$I:$I,'inventory ledger'!$C:$C,C3494,'inventory ledger'!$D:$D,D3494,'inventory ledger'!$E:$E,E3494,'inventory ledger'!$A:$A,"&lt;="&amp;B3494+TIME(23,59,59)))</f>
        <v/>
      </c>
      <c r="G3494" s="3">
        <f>IFERROR(__xludf.DUMMYFUNCTION("IF(F3494&lt;=0,0,IFERROR(ROUNDUP(F3494/INDEX(FILTER('warehouse config'!$D:$D,('warehouse config'!$B:$B=C3494)*('warehouse config'!$C:$C=D3494)*('warehouse config'!$G:$G&lt;=B3494)*(('warehouse config'!$H:$H&gt;=B3494)+ISBLANK('warehouse config'!$H:$H))),1)),0))"),0.0)</f>
        <v>0</v>
      </c>
      <c r="H3494" s="3">
        <f>IFERROR(__xludf.DUMMYFUNCTION("IFERROR(INDEX(FILTER('cost master'!$E:$E,('cost master'!$B:$B=C3494)*('cost master'!$D:$D=""Storage cost per pallet / week"")*('cost master'!$G:$G&lt;=B3494)*(('cost master'!$H:$H&gt;=B3494)+ISBLANK('cost master'!$H:$H))),1),0)"),0.0)</f>
        <v>0</v>
      </c>
      <c r="I3494" s="3">
        <f t="shared" si="4"/>
        <v>0</v>
      </c>
      <c r="J3494" s="27">
        <f t="shared" si="5"/>
        <v>693947</v>
      </c>
      <c r="K3494" s="27">
        <f t="shared" si="6"/>
        <v>693977</v>
      </c>
    </row>
    <row r="3495" hidden="1">
      <c r="A3495" s="3" t="str">
        <f t="shared" si="3"/>
        <v/>
      </c>
      <c r="B3495" s="2" t="str">
        <f t="array" ref="B3495">INDEX(helper!$A$3:$A3996,ROUNDUP((ROW()-1)/COUNTA(helper!$D$3:$D3996),0))</f>
        <v/>
      </c>
      <c r="C3495" s="5" t="str">
        <f t="array" ref="C3495">IF(B3495="","",INDEX(helper!$D$3:$D3996,MOD(ROW()-2,COUNTA(helper!$D$3:$D3996))+1))</f>
        <v/>
      </c>
      <c r="D3495" s="3" t="str">
        <f t="array" ref="D3495">IF(B3495="","",INDEX(helper!$E$3:$E3996,MOD(ROW()-2,COUNTA(helper!$D$3:$D3996))+1))</f>
        <v/>
      </c>
      <c r="E3495" s="3" t="str">
        <f t="array" ref="E3495">IF(B3495="","",INDEX(helper!$F$3:$F3996,MOD(ROW()-2,COUNTA(helper!$D$3:$D3996))+1))</f>
        <v/>
      </c>
      <c r="F3495" s="3" t="str">
        <f>IF(B3495="","",SUMIFS('inventory ledger'!$H:$H,'inventory ledger'!$C:$C,C3495,'inventory ledger'!$D:$D,D3495,'inventory ledger'!$E:$E,E3495,'inventory ledger'!$A:$A,"&lt;="&amp;B3495+TIME(23,59,59))-SUMIFS('inventory ledger'!$I:$I,'inventory ledger'!$C:$C,C3495,'inventory ledger'!$D:$D,D3495,'inventory ledger'!$E:$E,E3495,'inventory ledger'!$A:$A,"&lt;="&amp;B3495+TIME(23,59,59)))</f>
        <v/>
      </c>
      <c r="G3495" s="3">
        <f>IFERROR(__xludf.DUMMYFUNCTION("IF(F3495&lt;=0,0,IFERROR(ROUNDUP(F3495/INDEX(FILTER('warehouse config'!$D:$D,('warehouse config'!$B:$B=C3495)*('warehouse config'!$C:$C=D3495)*('warehouse config'!$G:$G&lt;=B3495)*(('warehouse config'!$H:$H&gt;=B3495)+ISBLANK('warehouse config'!$H:$H))),1)),0))"),0.0)</f>
        <v>0</v>
      </c>
      <c r="H3495" s="3">
        <f>IFERROR(__xludf.DUMMYFUNCTION("IFERROR(INDEX(FILTER('cost master'!$E:$E,('cost master'!$B:$B=C3495)*('cost master'!$D:$D=""Storage cost per pallet / week"")*('cost master'!$G:$G&lt;=B3495)*(('cost master'!$H:$H&gt;=B3495)+ISBLANK('cost master'!$H:$H))),1),0)"),0.0)</f>
        <v>0</v>
      </c>
      <c r="I3495" s="3">
        <f t="shared" si="4"/>
        <v>0</v>
      </c>
      <c r="J3495" s="27">
        <f t="shared" si="5"/>
        <v>693947</v>
      </c>
      <c r="K3495" s="27">
        <f t="shared" si="6"/>
        <v>693977</v>
      </c>
    </row>
    <row r="3496" hidden="1">
      <c r="A3496" s="3" t="str">
        <f t="shared" si="3"/>
        <v/>
      </c>
      <c r="B3496" s="2" t="str">
        <f t="array" ref="B3496">INDEX(helper!$A$3:$A3996,ROUNDUP((ROW()-1)/COUNTA(helper!$D$3:$D3996),0))</f>
        <v/>
      </c>
      <c r="C3496" s="5" t="str">
        <f t="array" ref="C3496">IF(B3496="","",INDEX(helper!$D$3:$D3996,MOD(ROW()-2,COUNTA(helper!$D$3:$D3996))+1))</f>
        <v/>
      </c>
      <c r="D3496" s="3" t="str">
        <f t="array" ref="D3496">IF(B3496="","",INDEX(helper!$E$3:$E3996,MOD(ROW()-2,COUNTA(helper!$D$3:$D3996))+1))</f>
        <v/>
      </c>
      <c r="E3496" s="3" t="str">
        <f t="array" ref="E3496">IF(B3496="","",INDEX(helper!$F$3:$F3996,MOD(ROW()-2,COUNTA(helper!$D$3:$D3996))+1))</f>
        <v/>
      </c>
      <c r="F3496" s="3" t="str">
        <f>IF(B3496="","",SUMIFS('inventory ledger'!$H:$H,'inventory ledger'!$C:$C,C3496,'inventory ledger'!$D:$D,D3496,'inventory ledger'!$E:$E,E3496,'inventory ledger'!$A:$A,"&lt;="&amp;B3496+TIME(23,59,59))-SUMIFS('inventory ledger'!$I:$I,'inventory ledger'!$C:$C,C3496,'inventory ledger'!$D:$D,D3496,'inventory ledger'!$E:$E,E3496,'inventory ledger'!$A:$A,"&lt;="&amp;B3496+TIME(23,59,59)))</f>
        <v/>
      </c>
      <c r="G3496" s="3">
        <f>IFERROR(__xludf.DUMMYFUNCTION("IF(F3496&lt;=0,0,IFERROR(ROUNDUP(F3496/INDEX(FILTER('warehouse config'!$D:$D,('warehouse config'!$B:$B=C3496)*('warehouse config'!$C:$C=D3496)*('warehouse config'!$G:$G&lt;=B3496)*(('warehouse config'!$H:$H&gt;=B3496)+ISBLANK('warehouse config'!$H:$H))),1)),0))"),0.0)</f>
        <v>0</v>
      </c>
      <c r="H3496" s="3">
        <f>IFERROR(__xludf.DUMMYFUNCTION("IFERROR(INDEX(FILTER('cost master'!$E:$E,('cost master'!$B:$B=C3496)*('cost master'!$D:$D=""Storage cost per pallet / week"")*('cost master'!$G:$G&lt;=B3496)*(('cost master'!$H:$H&gt;=B3496)+ISBLANK('cost master'!$H:$H))),1),0)"),0.0)</f>
        <v>0</v>
      </c>
      <c r="I3496" s="3">
        <f t="shared" si="4"/>
        <v>0</v>
      </c>
      <c r="J3496" s="27">
        <f t="shared" si="5"/>
        <v>693947</v>
      </c>
      <c r="K3496" s="27">
        <f t="shared" si="6"/>
        <v>693977</v>
      </c>
    </row>
    <row r="3497" hidden="1">
      <c r="A3497" s="3" t="str">
        <f t="shared" si="3"/>
        <v/>
      </c>
      <c r="B3497" s="2" t="str">
        <f t="array" ref="B3497">INDEX(helper!$A$3:$A3996,ROUNDUP((ROW()-1)/COUNTA(helper!$D$3:$D3996),0))</f>
        <v/>
      </c>
      <c r="C3497" s="5" t="str">
        <f t="array" ref="C3497">IF(B3497="","",INDEX(helper!$D$3:$D3996,MOD(ROW()-2,COUNTA(helper!$D$3:$D3996))+1))</f>
        <v/>
      </c>
      <c r="D3497" s="3" t="str">
        <f t="array" ref="D3497">IF(B3497="","",INDEX(helper!$E$3:$E3996,MOD(ROW()-2,COUNTA(helper!$D$3:$D3996))+1))</f>
        <v/>
      </c>
      <c r="E3497" s="3" t="str">
        <f t="array" ref="E3497">IF(B3497="","",INDEX(helper!$F$3:$F3996,MOD(ROW()-2,COUNTA(helper!$D$3:$D3996))+1))</f>
        <v/>
      </c>
      <c r="F3497" s="3" t="str">
        <f>IF(B3497="","",SUMIFS('inventory ledger'!$H:$H,'inventory ledger'!$C:$C,C3497,'inventory ledger'!$D:$D,D3497,'inventory ledger'!$E:$E,E3497,'inventory ledger'!$A:$A,"&lt;="&amp;B3497+TIME(23,59,59))-SUMIFS('inventory ledger'!$I:$I,'inventory ledger'!$C:$C,C3497,'inventory ledger'!$D:$D,D3497,'inventory ledger'!$E:$E,E3497,'inventory ledger'!$A:$A,"&lt;="&amp;B3497+TIME(23,59,59)))</f>
        <v/>
      </c>
      <c r="G3497" s="3">
        <f>IFERROR(__xludf.DUMMYFUNCTION("IF(F3497&lt;=0,0,IFERROR(ROUNDUP(F3497/INDEX(FILTER('warehouse config'!$D:$D,('warehouse config'!$B:$B=C3497)*('warehouse config'!$C:$C=D3497)*('warehouse config'!$G:$G&lt;=B3497)*(('warehouse config'!$H:$H&gt;=B3497)+ISBLANK('warehouse config'!$H:$H))),1)),0))"),0.0)</f>
        <v>0</v>
      </c>
      <c r="H3497" s="3">
        <f>IFERROR(__xludf.DUMMYFUNCTION("IFERROR(INDEX(FILTER('cost master'!$E:$E,('cost master'!$B:$B=C3497)*('cost master'!$D:$D=""Storage cost per pallet / week"")*('cost master'!$G:$G&lt;=B3497)*(('cost master'!$H:$H&gt;=B3497)+ISBLANK('cost master'!$H:$H))),1),0)"),0.0)</f>
        <v>0</v>
      </c>
      <c r="I3497" s="3">
        <f t="shared" si="4"/>
        <v>0</v>
      </c>
      <c r="J3497" s="27">
        <f t="shared" si="5"/>
        <v>693947</v>
      </c>
      <c r="K3497" s="27">
        <f t="shared" si="6"/>
        <v>693977</v>
      </c>
    </row>
    <row r="3498" hidden="1">
      <c r="A3498" s="3" t="str">
        <f t="shared" si="3"/>
        <v/>
      </c>
      <c r="B3498" s="2" t="str">
        <f t="array" ref="B3498">INDEX(helper!$A$3:$A3996,ROUNDUP((ROW()-1)/COUNTA(helper!$D$3:$D3996),0))</f>
        <v/>
      </c>
      <c r="C3498" s="5" t="str">
        <f t="array" ref="C3498">IF(B3498="","",INDEX(helper!$D$3:$D3996,MOD(ROW()-2,COUNTA(helper!$D$3:$D3996))+1))</f>
        <v/>
      </c>
      <c r="D3498" s="3" t="str">
        <f t="array" ref="D3498">IF(B3498="","",INDEX(helper!$E$3:$E3996,MOD(ROW()-2,COUNTA(helper!$D$3:$D3996))+1))</f>
        <v/>
      </c>
      <c r="E3498" s="3" t="str">
        <f t="array" ref="E3498">IF(B3498="","",INDEX(helper!$F$3:$F3996,MOD(ROW()-2,COUNTA(helper!$D$3:$D3996))+1))</f>
        <v/>
      </c>
      <c r="F3498" s="3" t="str">
        <f>IF(B3498="","",SUMIFS('inventory ledger'!$H:$H,'inventory ledger'!$C:$C,C3498,'inventory ledger'!$D:$D,D3498,'inventory ledger'!$E:$E,E3498,'inventory ledger'!$A:$A,"&lt;="&amp;B3498+TIME(23,59,59))-SUMIFS('inventory ledger'!$I:$I,'inventory ledger'!$C:$C,C3498,'inventory ledger'!$D:$D,D3498,'inventory ledger'!$E:$E,E3498,'inventory ledger'!$A:$A,"&lt;="&amp;B3498+TIME(23,59,59)))</f>
        <v/>
      </c>
      <c r="G3498" s="3">
        <f>IFERROR(__xludf.DUMMYFUNCTION("IF(F3498&lt;=0,0,IFERROR(ROUNDUP(F3498/INDEX(FILTER('warehouse config'!$D:$D,('warehouse config'!$B:$B=C3498)*('warehouse config'!$C:$C=D3498)*('warehouse config'!$G:$G&lt;=B3498)*(('warehouse config'!$H:$H&gt;=B3498)+ISBLANK('warehouse config'!$H:$H))),1)),0))"),0.0)</f>
        <v>0</v>
      </c>
      <c r="H3498" s="3">
        <f>IFERROR(__xludf.DUMMYFUNCTION("IFERROR(INDEX(FILTER('cost master'!$E:$E,('cost master'!$B:$B=C3498)*('cost master'!$D:$D=""Storage cost per pallet / week"")*('cost master'!$G:$G&lt;=B3498)*(('cost master'!$H:$H&gt;=B3498)+ISBLANK('cost master'!$H:$H))),1),0)"),0.0)</f>
        <v>0</v>
      </c>
      <c r="I3498" s="3">
        <f t="shared" si="4"/>
        <v>0</v>
      </c>
      <c r="J3498" s="27">
        <f t="shared" si="5"/>
        <v>693947</v>
      </c>
      <c r="K3498" s="27">
        <f t="shared" si="6"/>
        <v>693977</v>
      </c>
    </row>
    <row r="3499" hidden="1">
      <c r="A3499" s="3" t="str">
        <f t="shared" si="3"/>
        <v/>
      </c>
      <c r="B3499" s="2" t="str">
        <f t="array" ref="B3499">INDEX(helper!$A$3:$A3996,ROUNDUP((ROW()-1)/COUNTA(helper!$D$3:$D3996),0))</f>
        <v/>
      </c>
      <c r="C3499" s="5" t="str">
        <f t="array" ref="C3499">IF(B3499="","",INDEX(helper!$D$3:$D3996,MOD(ROW()-2,COUNTA(helper!$D$3:$D3996))+1))</f>
        <v/>
      </c>
      <c r="D3499" s="3" t="str">
        <f t="array" ref="D3499">IF(B3499="","",INDEX(helper!$E$3:$E3996,MOD(ROW()-2,COUNTA(helper!$D$3:$D3996))+1))</f>
        <v/>
      </c>
      <c r="E3499" s="3" t="str">
        <f t="array" ref="E3499">IF(B3499="","",INDEX(helper!$F$3:$F3996,MOD(ROW()-2,COUNTA(helper!$D$3:$D3996))+1))</f>
        <v/>
      </c>
      <c r="F3499" s="3" t="str">
        <f>IF(B3499="","",SUMIFS('inventory ledger'!$H:$H,'inventory ledger'!$C:$C,C3499,'inventory ledger'!$D:$D,D3499,'inventory ledger'!$E:$E,E3499,'inventory ledger'!$A:$A,"&lt;="&amp;B3499+TIME(23,59,59))-SUMIFS('inventory ledger'!$I:$I,'inventory ledger'!$C:$C,C3499,'inventory ledger'!$D:$D,D3499,'inventory ledger'!$E:$E,E3499,'inventory ledger'!$A:$A,"&lt;="&amp;B3499+TIME(23,59,59)))</f>
        <v/>
      </c>
      <c r="G3499" s="3">
        <f>IFERROR(__xludf.DUMMYFUNCTION("IF(F3499&lt;=0,0,IFERROR(ROUNDUP(F3499/INDEX(FILTER('warehouse config'!$D:$D,('warehouse config'!$B:$B=C3499)*('warehouse config'!$C:$C=D3499)*('warehouse config'!$G:$G&lt;=B3499)*(('warehouse config'!$H:$H&gt;=B3499)+ISBLANK('warehouse config'!$H:$H))),1)),0))"),0.0)</f>
        <v>0</v>
      </c>
      <c r="H3499" s="3">
        <f>IFERROR(__xludf.DUMMYFUNCTION("IFERROR(INDEX(FILTER('cost master'!$E:$E,('cost master'!$B:$B=C3499)*('cost master'!$D:$D=""Storage cost per pallet / week"")*('cost master'!$G:$G&lt;=B3499)*(('cost master'!$H:$H&gt;=B3499)+ISBLANK('cost master'!$H:$H))),1),0)"),0.0)</f>
        <v>0</v>
      </c>
      <c r="I3499" s="3">
        <f t="shared" si="4"/>
        <v>0</v>
      </c>
      <c r="J3499" s="27">
        <f t="shared" si="5"/>
        <v>693947</v>
      </c>
      <c r="K3499" s="27">
        <f t="shared" si="6"/>
        <v>693977</v>
      </c>
    </row>
    <row r="3500" hidden="1">
      <c r="A3500" s="3" t="str">
        <f t="shared" si="3"/>
        <v/>
      </c>
      <c r="B3500" s="2" t="str">
        <f t="array" ref="B3500">INDEX(helper!$A$3:$A3996,ROUNDUP((ROW()-1)/COUNTA(helper!$D$3:$D3996),0))</f>
        <v/>
      </c>
      <c r="C3500" s="5" t="str">
        <f t="array" ref="C3500">IF(B3500="","",INDEX(helper!$D$3:$D3996,MOD(ROW()-2,COUNTA(helper!$D$3:$D3996))+1))</f>
        <v/>
      </c>
      <c r="D3500" s="3" t="str">
        <f t="array" ref="D3500">IF(B3500="","",INDEX(helper!$E$3:$E3996,MOD(ROW()-2,COUNTA(helper!$D$3:$D3996))+1))</f>
        <v/>
      </c>
      <c r="E3500" s="3" t="str">
        <f t="array" ref="E3500">IF(B3500="","",INDEX(helper!$F$3:$F3996,MOD(ROW()-2,COUNTA(helper!$D$3:$D3996))+1))</f>
        <v/>
      </c>
      <c r="F3500" s="3" t="str">
        <f>IF(B3500="","",SUMIFS('inventory ledger'!$H:$H,'inventory ledger'!$C:$C,C3500,'inventory ledger'!$D:$D,D3500,'inventory ledger'!$E:$E,E3500,'inventory ledger'!$A:$A,"&lt;="&amp;B3500+TIME(23,59,59))-SUMIFS('inventory ledger'!$I:$I,'inventory ledger'!$C:$C,C3500,'inventory ledger'!$D:$D,D3500,'inventory ledger'!$E:$E,E3500,'inventory ledger'!$A:$A,"&lt;="&amp;B3500+TIME(23,59,59)))</f>
        <v/>
      </c>
      <c r="G3500" s="3">
        <f>IFERROR(__xludf.DUMMYFUNCTION("IF(F3500&lt;=0,0,IFERROR(ROUNDUP(F3500/INDEX(FILTER('warehouse config'!$D:$D,('warehouse config'!$B:$B=C3500)*('warehouse config'!$C:$C=D3500)*('warehouse config'!$G:$G&lt;=B3500)*(('warehouse config'!$H:$H&gt;=B3500)+ISBLANK('warehouse config'!$H:$H))),1)),0))"),0.0)</f>
        <v>0</v>
      </c>
      <c r="H3500" s="3">
        <f>IFERROR(__xludf.DUMMYFUNCTION("IFERROR(INDEX(FILTER('cost master'!$E:$E,('cost master'!$B:$B=C3500)*('cost master'!$D:$D=""Storage cost per pallet / week"")*('cost master'!$G:$G&lt;=B3500)*(('cost master'!$H:$H&gt;=B3500)+ISBLANK('cost master'!$H:$H))),1),0)"),0.0)</f>
        <v>0</v>
      </c>
      <c r="I3500" s="3">
        <f t="shared" si="4"/>
        <v>0</v>
      </c>
      <c r="J3500" s="27">
        <f t="shared" si="5"/>
        <v>693947</v>
      </c>
      <c r="K3500" s="27">
        <f t="shared" si="6"/>
        <v>693977</v>
      </c>
    </row>
    <row r="3501" hidden="1">
      <c r="A3501" s="3" t="str">
        <f t="shared" si="3"/>
        <v/>
      </c>
      <c r="B3501" s="2" t="str">
        <f t="array" ref="B3501">INDEX(helper!$A$3:$A3996,ROUNDUP((ROW()-1)/COUNTA(helper!$D$3:$D3996),0))</f>
        <v/>
      </c>
      <c r="C3501" s="5" t="str">
        <f t="array" ref="C3501">IF(B3501="","",INDEX(helper!$D$3:$D3996,MOD(ROW()-2,COUNTA(helper!$D$3:$D3996))+1))</f>
        <v/>
      </c>
      <c r="D3501" s="3" t="str">
        <f t="array" ref="D3501">IF(B3501="","",INDEX(helper!$E$3:$E3996,MOD(ROW()-2,COUNTA(helper!$D$3:$D3996))+1))</f>
        <v/>
      </c>
      <c r="E3501" s="3" t="str">
        <f t="array" ref="E3501">IF(B3501="","",INDEX(helper!$F$3:$F3996,MOD(ROW()-2,COUNTA(helper!$D$3:$D3996))+1))</f>
        <v/>
      </c>
      <c r="F3501" s="3" t="str">
        <f>IF(B3501="","",SUMIFS('inventory ledger'!$H:$H,'inventory ledger'!$C:$C,C3501,'inventory ledger'!$D:$D,D3501,'inventory ledger'!$E:$E,E3501,'inventory ledger'!$A:$A,"&lt;="&amp;B3501+TIME(23,59,59))-SUMIFS('inventory ledger'!$I:$I,'inventory ledger'!$C:$C,C3501,'inventory ledger'!$D:$D,D3501,'inventory ledger'!$E:$E,E3501,'inventory ledger'!$A:$A,"&lt;="&amp;B3501+TIME(23,59,59)))</f>
        <v/>
      </c>
      <c r="G3501" s="3">
        <f>IFERROR(__xludf.DUMMYFUNCTION("IF(F3501&lt;=0,0,IFERROR(ROUNDUP(F3501/INDEX(FILTER('warehouse config'!$D:$D,('warehouse config'!$B:$B=C3501)*('warehouse config'!$C:$C=D3501)*('warehouse config'!$G:$G&lt;=B3501)*(('warehouse config'!$H:$H&gt;=B3501)+ISBLANK('warehouse config'!$H:$H))),1)),0))"),0.0)</f>
        <v>0</v>
      </c>
      <c r="H3501" s="3">
        <f>IFERROR(__xludf.DUMMYFUNCTION("IFERROR(INDEX(FILTER('cost master'!$E:$E,('cost master'!$B:$B=C3501)*('cost master'!$D:$D=""Storage cost per pallet / week"")*('cost master'!$G:$G&lt;=B3501)*(('cost master'!$H:$H&gt;=B3501)+ISBLANK('cost master'!$H:$H))),1),0)"),0.0)</f>
        <v>0</v>
      </c>
      <c r="I3501" s="3">
        <f t="shared" si="4"/>
        <v>0</v>
      </c>
      <c r="J3501" s="27">
        <f t="shared" si="5"/>
        <v>693947</v>
      </c>
      <c r="K3501" s="27">
        <f t="shared" si="6"/>
        <v>693977</v>
      </c>
    </row>
    <row r="3502" hidden="1">
      <c r="A3502" s="3" t="str">
        <f t="shared" si="3"/>
        <v/>
      </c>
      <c r="B3502" s="2" t="str">
        <f t="array" ref="B3502">INDEX(helper!$A$3:$A3996,ROUNDUP((ROW()-1)/COUNTA(helper!$D$3:$D3996),0))</f>
        <v/>
      </c>
      <c r="C3502" s="5" t="str">
        <f t="array" ref="C3502">IF(B3502="","",INDEX(helper!$D$3:$D3996,MOD(ROW()-2,COUNTA(helper!$D$3:$D3996))+1))</f>
        <v/>
      </c>
      <c r="D3502" s="3" t="str">
        <f t="array" ref="D3502">IF(B3502="","",INDEX(helper!$E$3:$E3996,MOD(ROW()-2,COUNTA(helper!$D$3:$D3996))+1))</f>
        <v/>
      </c>
      <c r="E3502" s="3" t="str">
        <f t="array" ref="E3502">IF(B3502="","",INDEX(helper!$F$3:$F3996,MOD(ROW()-2,COUNTA(helper!$D$3:$D3996))+1))</f>
        <v/>
      </c>
      <c r="F3502" s="3" t="str">
        <f>IF(B3502="","",SUMIFS('inventory ledger'!$H:$H,'inventory ledger'!$C:$C,C3502,'inventory ledger'!$D:$D,D3502,'inventory ledger'!$E:$E,E3502,'inventory ledger'!$A:$A,"&lt;="&amp;B3502+TIME(23,59,59))-SUMIFS('inventory ledger'!$I:$I,'inventory ledger'!$C:$C,C3502,'inventory ledger'!$D:$D,D3502,'inventory ledger'!$E:$E,E3502,'inventory ledger'!$A:$A,"&lt;="&amp;B3502+TIME(23,59,59)))</f>
        <v/>
      </c>
      <c r="G3502" s="3">
        <f>IFERROR(__xludf.DUMMYFUNCTION("IF(F3502&lt;=0,0,IFERROR(ROUNDUP(F3502/INDEX(FILTER('warehouse config'!$D:$D,('warehouse config'!$B:$B=C3502)*('warehouse config'!$C:$C=D3502)*('warehouse config'!$G:$G&lt;=B3502)*(('warehouse config'!$H:$H&gt;=B3502)+ISBLANK('warehouse config'!$H:$H))),1)),0))"),0.0)</f>
        <v>0</v>
      </c>
      <c r="H3502" s="3">
        <f>IFERROR(__xludf.DUMMYFUNCTION("IFERROR(INDEX(FILTER('cost master'!$E:$E,('cost master'!$B:$B=C3502)*('cost master'!$D:$D=""Storage cost per pallet / week"")*('cost master'!$G:$G&lt;=B3502)*(('cost master'!$H:$H&gt;=B3502)+ISBLANK('cost master'!$H:$H))),1),0)"),0.0)</f>
        <v>0</v>
      </c>
      <c r="I3502" s="3">
        <f t="shared" si="4"/>
        <v>0</v>
      </c>
      <c r="J3502" s="27">
        <f t="shared" si="5"/>
        <v>693947</v>
      </c>
      <c r="K3502" s="27">
        <f t="shared" si="6"/>
        <v>693977</v>
      </c>
    </row>
    <row r="3503" hidden="1">
      <c r="A3503" s="3" t="str">
        <f t="shared" si="3"/>
        <v/>
      </c>
      <c r="B3503" s="2" t="str">
        <f t="array" ref="B3503">INDEX(helper!$A$3:$A3996,ROUNDUP((ROW()-1)/COUNTA(helper!$D$3:$D3996),0))</f>
        <v/>
      </c>
      <c r="C3503" s="5" t="str">
        <f t="array" ref="C3503">IF(B3503="","",INDEX(helper!$D$3:$D3996,MOD(ROW()-2,COUNTA(helper!$D$3:$D3996))+1))</f>
        <v/>
      </c>
      <c r="D3503" s="3" t="str">
        <f t="array" ref="D3503">IF(B3503="","",INDEX(helper!$E$3:$E3996,MOD(ROW()-2,COUNTA(helper!$D$3:$D3996))+1))</f>
        <v/>
      </c>
      <c r="E3503" s="3" t="str">
        <f t="array" ref="E3503">IF(B3503="","",INDEX(helper!$F$3:$F3996,MOD(ROW()-2,COUNTA(helper!$D$3:$D3996))+1))</f>
        <v/>
      </c>
      <c r="F3503" s="3" t="str">
        <f>IF(B3503="","",SUMIFS('inventory ledger'!$H:$H,'inventory ledger'!$C:$C,C3503,'inventory ledger'!$D:$D,D3503,'inventory ledger'!$E:$E,E3503,'inventory ledger'!$A:$A,"&lt;="&amp;B3503+TIME(23,59,59))-SUMIFS('inventory ledger'!$I:$I,'inventory ledger'!$C:$C,C3503,'inventory ledger'!$D:$D,D3503,'inventory ledger'!$E:$E,E3503,'inventory ledger'!$A:$A,"&lt;="&amp;B3503+TIME(23,59,59)))</f>
        <v/>
      </c>
      <c r="G3503" s="3">
        <f>IFERROR(__xludf.DUMMYFUNCTION("IF(F3503&lt;=0,0,IFERROR(ROUNDUP(F3503/INDEX(FILTER('warehouse config'!$D:$D,('warehouse config'!$B:$B=C3503)*('warehouse config'!$C:$C=D3503)*('warehouse config'!$G:$G&lt;=B3503)*(('warehouse config'!$H:$H&gt;=B3503)+ISBLANK('warehouse config'!$H:$H))),1)),0))"),0.0)</f>
        <v>0</v>
      </c>
      <c r="H3503" s="3">
        <f>IFERROR(__xludf.DUMMYFUNCTION("IFERROR(INDEX(FILTER('cost master'!$E:$E,('cost master'!$B:$B=C3503)*('cost master'!$D:$D=""Storage cost per pallet / week"")*('cost master'!$G:$G&lt;=B3503)*(('cost master'!$H:$H&gt;=B3503)+ISBLANK('cost master'!$H:$H))),1),0)"),0.0)</f>
        <v>0</v>
      </c>
      <c r="I3503" s="3">
        <f t="shared" si="4"/>
        <v>0</v>
      </c>
      <c r="J3503" s="27">
        <f t="shared" si="5"/>
        <v>693947</v>
      </c>
      <c r="K3503" s="27">
        <f t="shared" si="6"/>
        <v>693977</v>
      </c>
    </row>
    <row r="3504" hidden="1">
      <c r="A3504" s="3" t="str">
        <f t="shared" si="3"/>
        <v/>
      </c>
      <c r="B3504" s="2" t="str">
        <f t="array" ref="B3504">INDEX(helper!$A$3:$A3996,ROUNDUP((ROW()-1)/COUNTA(helper!$D$3:$D3996),0))</f>
        <v/>
      </c>
      <c r="C3504" s="5" t="str">
        <f t="array" ref="C3504">IF(B3504="","",INDEX(helper!$D$3:$D3996,MOD(ROW()-2,COUNTA(helper!$D$3:$D3996))+1))</f>
        <v/>
      </c>
      <c r="D3504" s="3" t="str">
        <f t="array" ref="D3504">IF(B3504="","",INDEX(helper!$E$3:$E3996,MOD(ROW()-2,COUNTA(helper!$D$3:$D3996))+1))</f>
        <v/>
      </c>
      <c r="E3504" s="3" t="str">
        <f t="array" ref="E3504">IF(B3504="","",INDEX(helper!$F$3:$F3996,MOD(ROW()-2,COUNTA(helper!$D$3:$D3996))+1))</f>
        <v/>
      </c>
      <c r="F3504" s="3" t="str">
        <f>IF(B3504="","",SUMIFS('inventory ledger'!$H:$H,'inventory ledger'!$C:$C,C3504,'inventory ledger'!$D:$D,D3504,'inventory ledger'!$E:$E,E3504,'inventory ledger'!$A:$A,"&lt;="&amp;B3504+TIME(23,59,59))-SUMIFS('inventory ledger'!$I:$I,'inventory ledger'!$C:$C,C3504,'inventory ledger'!$D:$D,D3504,'inventory ledger'!$E:$E,E3504,'inventory ledger'!$A:$A,"&lt;="&amp;B3504+TIME(23,59,59)))</f>
        <v/>
      </c>
      <c r="G3504" s="3">
        <f>IFERROR(__xludf.DUMMYFUNCTION("IF(F3504&lt;=0,0,IFERROR(ROUNDUP(F3504/INDEX(FILTER('warehouse config'!$D:$D,('warehouse config'!$B:$B=C3504)*('warehouse config'!$C:$C=D3504)*('warehouse config'!$G:$G&lt;=B3504)*(('warehouse config'!$H:$H&gt;=B3504)+ISBLANK('warehouse config'!$H:$H))),1)),0))"),0.0)</f>
        <v>0</v>
      </c>
      <c r="H3504" s="3">
        <f>IFERROR(__xludf.DUMMYFUNCTION("IFERROR(INDEX(FILTER('cost master'!$E:$E,('cost master'!$B:$B=C3504)*('cost master'!$D:$D=""Storage cost per pallet / week"")*('cost master'!$G:$G&lt;=B3504)*(('cost master'!$H:$H&gt;=B3504)+ISBLANK('cost master'!$H:$H))),1),0)"),0.0)</f>
        <v>0</v>
      </c>
      <c r="I3504" s="3">
        <f t="shared" si="4"/>
        <v>0</v>
      </c>
      <c r="J3504" s="27">
        <f t="shared" si="5"/>
        <v>693947</v>
      </c>
      <c r="K3504" s="27">
        <f t="shared" si="6"/>
        <v>693977</v>
      </c>
    </row>
    <row r="3505" hidden="1">
      <c r="A3505" s="3" t="str">
        <f t="shared" si="3"/>
        <v/>
      </c>
      <c r="B3505" s="2" t="str">
        <f t="array" ref="B3505">INDEX(helper!$A$3:$A3996,ROUNDUP((ROW()-1)/COUNTA(helper!$D$3:$D3996),0))</f>
        <v/>
      </c>
      <c r="C3505" s="5" t="str">
        <f t="array" ref="C3505">IF(B3505="","",INDEX(helper!$D$3:$D3996,MOD(ROW()-2,COUNTA(helper!$D$3:$D3996))+1))</f>
        <v/>
      </c>
      <c r="D3505" s="3" t="str">
        <f t="array" ref="D3505">IF(B3505="","",INDEX(helper!$E$3:$E3996,MOD(ROW()-2,COUNTA(helper!$D$3:$D3996))+1))</f>
        <v/>
      </c>
      <c r="E3505" s="3" t="str">
        <f t="array" ref="E3505">IF(B3505="","",INDEX(helper!$F$3:$F3996,MOD(ROW()-2,COUNTA(helper!$D$3:$D3996))+1))</f>
        <v/>
      </c>
      <c r="F3505" s="3" t="str">
        <f>IF(B3505="","",SUMIFS('inventory ledger'!$H:$H,'inventory ledger'!$C:$C,C3505,'inventory ledger'!$D:$D,D3505,'inventory ledger'!$E:$E,E3505,'inventory ledger'!$A:$A,"&lt;="&amp;B3505+TIME(23,59,59))-SUMIFS('inventory ledger'!$I:$I,'inventory ledger'!$C:$C,C3505,'inventory ledger'!$D:$D,D3505,'inventory ledger'!$E:$E,E3505,'inventory ledger'!$A:$A,"&lt;="&amp;B3505+TIME(23,59,59)))</f>
        <v/>
      </c>
      <c r="G3505" s="3">
        <f>IFERROR(__xludf.DUMMYFUNCTION("IF(F3505&lt;=0,0,IFERROR(ROUNDUP(F3505/INDEX(FILTER('warehouse config'!$D:$D,('warehouse config'!$B:$B=C3505)*('warehouse config'!$C:$C=D3505)*('warehouse config'!$G:$G&lt;=B3505)*(('warehouse config'!$H:$H&gt;=B3505)+ISBLANK('warehouse config'!$H:$H))),1)),0))"),0.0)</f>
        <v>0</v>
      </c>
      <c r="H3505" s="3">
        <f>IFERROR(__xludf.DUMMYFUNCTION("IFERROR(INDEX(FILTER('cost master'!$E:$E,('cost master'!$B:$B=C3505)*('cost master'!$D:$D=""Storage cost per pallet / week"")*('cost master'!$G:$G&lt;=B3505)*(('cost master'!$H:$H&gt;=B3505)+ISBLANK('cost master'!$H:$H))),1),0)"),0.0)</f>
        <v>0</v>
      </c>
      <c r="I3505" s="3">
        <f t="shared" si="4"/>
        <v>0</v>
      </c>
      <c r="J3505" s="27">
        <f t="shared" si="5"/>
        <v>693947</v>
      </c>
      <c r="K3505" s="27">
        <f t="shared" si="6"/>
        <v>693977</v>
      </c>
    </row>
    <row r="3506" hidden="1">
      <c r="A3506" s="3" t="str">
        <f t="shared" si="3"/>
        <v/>
      </c>
      <c r="B3506" s="2" t="str">
        <f t="array" ref="B3506">INDEX(helper!$A$3:$A3996,ROUNDUP((ROW()-1)/COUNTA(helper!$D$3:$D3996),0))</f>
        <v/>
      </c>
      <c r="C3506" s="5" t="str">
        <f t="array" ref="C3506">IF(B3506="","",INDEX(helper!$D$3:$D3996,MOD(ROW()-2,COUNTA(helper!$D$3:$D3996))+1))</f>
        <v/>
      </c>
      <c r="D3506" s="3" t="str">
        <f t="array" ref="D3506">IF(B3506="","",INDEX(helper!$E$3:$E3996,MOD(ROW()-2,COUNTA(helper!$D$3:$D3996))+1))</f>
        <v/>
      </c>
      <c r="E3506" s="3" t="str">
        <f t="array" ref="E3506">IF(B3506="","",INDEX(helper!$F$3:$F3996,MOD(ROW()-2,COUNTA(helper!$D$3:$D3996))+1))</f>
        <v/>
      </c>
      <c r="F3506" s="3" t="str">
        <f>IF(B3506="","",SUMIFS('inventory ledger'!$H:$H,'inventory ledger'!$C:$C,C3506,'inventory ledger'!$D:$D,D3506,'inventory ledger'!$E:$E,E3506,'inventory ledger'!$A:$A,"&lt;="&amp;B3506+TIME(23,59,59))-SUMIFS('inventory ledger'!$I:$I,'inventory ledger'!$C:$C,C3506,'inventory ledger'!$D:$D,D3506,'inventory ledger'!$E:$E,E3506,'inventory ledger'!$A:$A,"&lt;="&amp;B3506+TIME(23,59,59)))</f>
        <v/>
      </c>
      <c r="G3506" s="3">
        <f>IFERROR(__xludf.DUMMYFUNCTION("IF(F3506&lt;=0,0,IFERROR(ROUNDUP(F3506/INDEX(FILTER('warehouse config'!$D:$D,('warehouse config'!$B:$B=C3506)*('warehouse config'!$C:$C=D3506)*('warehouse config'!$G:$G&lt;=B3506)*(('warehouse config'!$H:$H&gt;=B3506)+ISBLANK('warehouse config'!$H:$H))),1)),0))"),0.0)</f>
        <v>0</v>
      </c>
      <c r="H3506" s="3">
        <f>IFERROR(__xludf.DUMMYFUNCTION("IFERROR(INDEX(FILTER('cost master'!$E:$E,('cost master'!$B:$B=C3506)*('cost master'!$D:$D=""Storage cost per pallet / week"")*('cost master'!$G:$G&lt;=B3506)*(('cost master'!$H:$H&gt;=B3506)+ISBLANK('cost master'!$H:$H))),1),0)"),0.0)</f>
        <v>0</v>
      </c>
      <c r="I3506" s="3">
        <f t="shared" si="4"/>
        <v>0</v>
      </c>
      <c r="J3506" s="27">
        <f t="shared" si="5"/>
        <v>693947</v>
      </c>
      <c r="K3506" s="27">
        <f t="shared" si="6"/>
        <v>693977</v>
      </c>
    </row>
    <row r="3507" hidden="1">
      <c r="A3507" s="3" t="str">
        <f t="shared" si="3"/>
        <v/>
      </c>
      <c r="B3507" s="2" t="str">
        <f t="array" ref="B3507">INDEX(helper!$A$3:$A3996,ROUNDUP((ROW()-1)/COUNTA(helper!$D$3:$D3996),0))</f>
        <v/>
      </c>
      <c r="C3507" s="5" t="str">
        <f t="array" ref="C3507">IF(B3507="","",INDEX(helper!$D$3:$D3996,MOD(ROW()-2,COUNTA(helper!$D$3:$D3996))+1))</f>
        <v/>
      </c>
      <c r="D3507" s="3" t="str">
        <f t="array" ref="D3507">IF(B3507="","",INDEX(helper!$E$3:$E3996,MOD(ROW()-2,COUNTA(helper!$D$3:$D3996))+1))</f>
        <v/>
      </c>
      <c r="E3507" s="3" t="str">
        <f t="array" ref="E3507">IF(B3507="","",INDEX(helper!$F$3:$F3996,MOD(ROW()-2,COUNTA(helper!$D$3:$D3996))+1))</f>
        <v/>
      </c>
      <c r="F3507" s="3" t="str">
        <f>IF(B3507="","",SUMIFS('inventory ledger'!$H:$H,'inventory ledger'!$C:$C,C3507,'inventory ledger'!$D:$D,D3507,'inventory ledger'!$E:$E,E3507,'inventory ledger'!$A:$A,"&lt;="&amp;B3507+TIME(23,59,59))-SUMIFS('inventory ledger'!$I:$I,'inventory ledger'!$C:$C,C3507,'inventory ledger'!$D:$D,D3507,'inventory ledger'!$E:$E,E3507,'inventory ledger'!$A:$A,"&lt;="&amp;B3507+TIME(23,59,59)))</f>
        <v/>
      </c>
      <c r="G3507" s="3">
        <f>IFERROR(__xludf.DUMMYFUNCTION("IF(F3507&lt;=0,0,IFERROR(ROUNDUP(F3507/INDEX(FILTER('warehouse config'!$D:$D,('warehouse config'!$B:$B=C3507)*('warehouse config'!$C:$C=D3507)*('warehouse config'!$G:$G&lt;=B3507)*(('warehouse config'!$H:$H&gt;=B3507)+ISBLANK('warehouse config'!$H:$H))),1)),0))"),0.0)</f>
        <v>0</v>
      </c>
      <c r="H3507" s="3">
        <f>IFERROR(__xludf.DUMMYFUNCTION("IFERROR(INDEX(FILTER('cost master'!$E:$E,('cost master'!$B:$B=C3507)*('cost master'!$D:$D=""Storage cost per pallet / week"")*('cost master'!$G:$G&lt;=B3507)*(('cost master'!$H:$H&gt;=B3507)+ISBLANK('cost master'!$H:$H))),1),0)"),0.0)</f>
        <v>0</v>
      </c>
      <c r="I3507" s="3">
        <f t="shared" si="4"/>
        <v>0</v>
      </c>
      <c r="J3507" s="27">
        <f t="shared" si="5"/>
        <v>693947</v>
      </c>
      <c r="K3507" s="27">
        <f t="shared" si="6"/>
        <v>693977</v>
      </c>
    </row>
    <row r="3508" hidden="1">
      <c r="A3508" s="3" t="str">
        <f t="shared" si="3"/>
        <v/>
      </c>
      <c r="B3508" s="2" t="str">
        <f t="array" ref="B3508">INDEX(helper!$A$3:$A3996,ROUNDUP((ROW()-1)/COUNTA(helper!$D$3:$D3996),0))</f>
        <v/>
      </c>
      <c r="C3508" s="5" t="str">
        <f t="array" ref="C3508">IF(B3508="","",INDEX(helper!$D$3:$D3996,MOD(ROW()-2,COUNTA(helper!$D$3:$D3996))+1))</f>
        <v/>
      </c>
      <c r="D3508" s="3" t="str">
        <f t="array" ref="D3508">IF(B3508="","",INDEX(helper!$E$3:$E3996,MOD(ROW()-2,COUNTA(helper!$D$3:$D3996))+1))</f>
        <v/>
      </c>
      <c r="E3508" s="3" t="str">
        <f t="array" ref="E3508">IF(B3508="","",INDEX(helper!$F$3:$F3996,MOD(ROW()-2,COUNTA(helper!$D$3:$D3996))+1))</f>
        <v/>
      </c>
      <c r="F3508" s="3" t="str">
        <f>IF(B3508="","",SUMIFS('inventory ledger'!$H:$H,'inventory ledger'!$C:$C,C3508,'inventory ledger'!$D:$D,D3508,'inventory ledger'!$E:$E,E3508,'inventory ledger'!$A:$A,"&lt;="&amp;B3508+TIME(23,59,59))-SUMIFS('inventory ledger'!$I:$I,'inventory ledger'!$C:$C,C3508,'inventory ledger'!$D:$D,D3508,'inventory ledger'!$E:$E,E3508,'inventory ledger'!$A:$A,"&lt;="&amp;B3508+TIME(23,59,59)))</f>
        <v/>
      </c>
      <c r="G3508" s="3">
        <f>IFERROR(__xludf.DUMMYFUNCTION("IF(F3508&lt;=0,0,IFERROR(ROUNDUP(F3508/INDEX(FILTER('warehouse config'!$D:$D,('warehouse config'!$B:$B=C3508)*('warehouse config'!$C:$C=D3508)*('warehouse config'!$G:$G&lt;=B3508)*(('warehouse config'!$H:$H&gt;=B3508)+ISBLANK('warehouse config'!$H:$H))),1)),0))"),0.0)</f>
        <v>0</v>
      </c>
      <c r="H3508" s="3">
        <f>IFERROR(__xludf.DUMMYFUNCTION("IFERROR(INDEX(FILTER('cost master'!$E:$E,('cost master'!$B:$B=C3508)*('cost master'!$D:$D=""Storage cost per pallet / week"")*('cost master'!$G:$G&lt;=B3508)*(('cost master'!$H:$H&gt;=B3508)+ISBLANK('cost master'!$H:$H))),1),0)"),0.0)</f>
        <v>0</v>
      </c>
      <c r="I3508" s="3">
        <f t="shared" si="4"/>
        <v>0</v>
      </c>
      <c r="J3508" s="27">
        <f t="shared" si="5"/>
        <v>693947</v>
      </c>
      <c r="K3508" s="27">
        <f t="shared" si="6"/>
        <v>693977</v>
      </c>
    </row>
    <row r="3509" hidden="1">
      <c r="A3509" s="3" t="str">
        <f t="shared" si="3"/>
        <v/>
      </c>
      <c r="B3509" s="2" t="str">
        <f t="array" ref="B3509">INDEX(helper!$A$3:$A3996,ROUNDUP((ROW()-1)/COUNTA(helper!$D$3:$D3996),0))</f>
        <v/>
      </c>
      <c r="C3509" s="5" t="str">
        <f t="array" ref="C3509">IF(B3509="","",INDEX(helper!$D$3:$D3996,MOD(ROW()-2,COUNTA(helper!$D$3:$D3996))+1))</f>
        <v/>
      </c>
      <c r="D3509" s="3" t="str">
        <f t="array" ref="D3509">IF(B3509="","",INDEX(helper!$E$3:$E3996,MOD(ROW()-2,COUNTA(helper!$D$3:$D3996))+1))</f>
        <v/>
      </c>
      <c r="E3509" s="3" t="str">
        <f t="array" ref="E3509">IF(B3509="","",INDEX(helper!$F$3:$F3996,MOD(ROW()-2,COUNTA(helper!$D$3:$D3996))+1))</f>
        <v/>
      </c>
      <c r="F3509" s="3" t="str">
        <f>IF(B3509="","",SUMIFS('inventory ledger'!$H:$H,'inventory ledger'!$C:$C,C3509,'inventory ledger'!$D:$D,D3509,'inventory ledger'!$E:$E,E3509,'inventory ledger'!$A:$A,"&lt;="&amp;B3509+TIME(23,59,59))-SUMIFS('inventory ledger'!$I:$I,'inventory ledger'!$C:$C,C3509,'inventory ledger'!$D:$D,D3509,'inventory ledger'!$E:$E,E3509,'inventory ledger'!$A:$A,"&lt;="&amp;B3509+TIME(23,59,59)))</f>
        <v/>
      </c>
      <c r="G3509" s="3">
        <f>IFERROR(__xludf.DUMMYFUNCTION("IF(F3509&lt;=0,0,IFERROR(ROUNDUP(F3509/INDEX(FILTER('warehouse config'!$D:$D,('warehouse config'!$B:$B=C3509)*('warehouse config'!$C:$C=D3509)*('warehouse config'!$G:$G&lt;=B3509)*(('warehouse config'!$H:$H&gt;=B3509)+ISBLANK('warehouse config'!$H:$H))),1)),0))"),0.0)</f>
        <v>0</v>
      </c>
      <c r="H3509" s="3">
        <f>IFERROR(__xludf.DUMMYFUNCTION("IFERROR(INDEX(FILTER('cost master'!$E:$E,('cost master'!$B:$B=C3509)*('cost master'!$D:$D=""Storage cost per pallet / week"")*('cost master'!$G:$G&lt;=B3509)*(('cost master'!$H:$H&gt;=B3509)+ISBLANK('cost master'!$H:$H))),1),0)"),0.0)</f>
        <v>0</v>
      </c>
      <c r="I3509" s="3">
        <f t="shared" si="4"/>
        <v>0</v>
      </c>
      <c r="J3509" s="27">
        <f t="shared" si="5"/>
        <v>693947</v>
      </c>
      <c r="K3509" s="27">
        <f t="shared" si="6"/>
        <v>693977</v>
      </c>
    </row>
    <row r="3510" hidden="1">
      <c r="A3510" s="3" t="str">
        <f t="shared" si="3"/>
        <v/>
      </c>
      <c r="B3510" s="2" t="str">
        <f t="array" ref="B3510">INDEX(helper!$A$3:$A3996,ROUNDUP((ROW()-1)/COUNTA(helper!$D$3:$D3996),0))</f>
        <v/>
      </c>
      <c r="C3510" s="5" t="str">
        <f t="array" ref="C3510">IF(B3510="","",INDEX(helper!$D$3:$D3996,MOD(ROW()-2,COUNTA(helper!$D$3:$D3996))+1))</f>
        <v/>
      </c>
      <c r="D3510" s="3" t="str">
        <f t="array" ref="D3510">IF(B3510="","",INDEX(helper!$E$3:$E3996,MOD(ROW()-2,COUNTA(helper!$D$3:$D3996))+1))</f>
        <v/>
      </c>
      <c r="E3510" s="3" t="str">
        <f t="array" ref="E3510">IF(B3510="","",INDEX(helper!$F$3:$F3996,MOD(ROW()-2,COUNTA(helper!$D$3:$D3996))+1))</f>
        <v/>
      </c>
      <c r="F3510" s="3" t="str">
        <f>IF(B3510="","",SUMIFS('inventory ledger'!$H:$H,'inventory ledger'!$C:$C,C3510,'inventory ledger'!$D:$D,D3510,'inventory ledger'!$E:$E,E3510,'inventory ledger'!$A:$A,"&lt;="&amp;B3510+TIME(23,59,59))-SUMIFS('inventory ledger'!$I:$I,'inventory ledger'!$C:$C,C3510,'inventory ledger'!$D:$D,D3510,'inventory ledger'!$E:$E,E3510,'inventory ledger'!$A:$A,"&lt;="&amp;B3510+TIME(23,59,59)))</f>
        <v/>
      </c>
      <c r="G3510" s="3">
        <f>IFERROR(__xludf.DUMMYFUNCTION("IF(F3510&lt;=0,0,IFERROR(ROUNDUP(F3510/INDEX(FILTER('warehouse config'!$D:$D,('warehouse config'!$B:$B=C3510)*('warehouse config'!$C:$C=D3510)*('warehouse config'!$G:$G&lt;=B3510)*(('warehouse config'!$H:$H&gt;=B3510)+ISBLANK('warehouse config'!$H:$H))),1)),0))"),0.0)</f>
        <v>0</v>
      </c>
      <c r="H3510" s="3">
        <f>IFERROR(__xludf.DUMMYFUNCTION("IFERROR(INDEX(FILTER('cost master'!$E:$E,('cost master'!$B:$B=C3510)*('cost master'!$D:$D=""Storage cost per pallet / week"")*('cost master'!$G:$G&lt;=B3510)*(('cost master'!$H:$H&gt;=B3510)+ISBLANK('cost master'!$H:$H))),1),0)"),0.0)</f>
        <v>0</v>
      </c>
      <c r="I3510" s="3">
        <f t="shared" si="4"/>
        <v>0</v>
      </c>
      <c r="J3510" s="27">
        <f t="shared" si="5"/>
        <v>693947</v>
      </c>
      <c r="K3510" s="27">
        <f t="shared" si="6"/>
        <v>693977</v>
      </c>
    </row>
    <row r="3511" hidden="1">
      <c r="A3511" s="3" t="str">
        <f t="shared" si="3"/>
        <v/>
      </c>
      <c r="B3511" s="2" t="str">
        <f t="array" ref="B3511">INDEX(helper!$A$3:$A3996,ROUNDUP((ROW()-1)/COUNTA(helper!$D$3:$D3996),0))</f>
        <v/>
      </c>
      <c r="C3511" s="5" t="str">
        <f t="array" ref="C3511">IF(B3511="","",INDEX(helper!$D$3:$D3996,MOD(ROW()-2,COUNTA(helper!$D$3:$D3996))+1))</f>
        <v/>
      </c>
      <c r="D3511" s="3" t="str">
        <f t="array" ref="D3511">IF(B3511="","",INDEX(helper!$E$3:$E3996,MOD(ROW()-2,COUNTA(helper!$D$3:$D3996))+1))</f>
        <v/>
      </c>
      <c r="E3511" s="3" t="str">
        <f t="array" ref="E3511">IF(B3511="","",INDEX(helper!$F$3:$F3996,MOD(ROW()-2,COUNTA(helper!$D$3:$D3996))+1))</f>
        <v/>
      </c>
      <c r="F3511" s="3" t="str">
        <f>IF(B3511="","",SUMIFS('inventory ledger'!$H:$H,'inventory ledger'!$C:$C,C3511,'inventory ledger'!$D:$D,D3511,'inventory ledger'!$E:$E,E3511,'inventory ledger'!$A:$A,"&lt;="&amp;B3511+TIME(23,59,59))-SUMIFS('inventory ledger'!$I:$I,'inventory ledger'!$C:$C,C3511,'inventory ledger'!$D:$D,D3511,'inventory ledger'!$E:$E,E3511,'inventory ledger'!$A:$A,"&lt;="&amp;B3511+TIME(23,59,59)))</f>
        <v/>
      </c>
      <c r="G3511" s="3">
        <f>IFERROR(__xludf.DUMMYFUNCTION("IF(F3511&lt;=0,0,IFERROR(ROUNDUP(F3511/INDEX(FILTER('warehouse config'!$D:$D,('warehouse config'!$B:$B=C3511)*('warehouse config'!$C:$C=D3511)*('warehouse config'!$G:$G&lt;=B3511)*(('warehouse config'!$H:$H&gt;=B3511)+ISBLANK('warehouse config'!$H:$H))),1)),0))"),0.0)</f>
        <v>0</v>
      </c>
      <c r="H3511" s="3">
        <f>IFERROR(__xludf.DUMMYFUNCTION("IFERROR(INDEX(FILTER('cost master'!$E:$E,('cost master'!$B:$B=C3511)*('cost master'!$D:$D=""Storage cost per pallet / week"")*('cost master'!$G:$G&lt;=B3511)*(('cost master'!$H:$H&gt;=B3511)+ISBLANK('cost master'!$H:$H))),1),0)"),0.0)</f>
        <v>0</v>
      </c>
      <c r="I3511" s="3">
        <f t="shared" si="4"/>
        <v>0</v>
      </c>
      <c r="J3511" s="27">
        <f t="shared" si="5"/>
        <v>693947</v>
      </c>
      <c r="K3511" s="27">
        <f t="shared" si="6"/>
        <v>693977</v>
      </c>
    </row>
    <row r="3512" hidden="1">
      <c r="A3512" s="3" t="str">
        <f t="shared" si="3"/>
        <v/>
      </c>
      <c r="B3512" s="2" t="str">
        <f t="array" ref="B3512">INDEX(helper!$A$3:$A3996,ROUNDUP((ROW()-1)/COUNTA(helper!$D$3:$D3996),0))</f>
        <v/>
      </c>
      <c r="C3512" s="5" t="str">
        <f t="array" ref="C3512">IF(B3512="","",INDEX(helper!$D$3:$D3996,MOD(ROW()-2,COUNTA(helper!$D$3:$D3996))+1))</f>
        <v/>
      </c>
      <c r="D3512" s="3" t="str">
        <f t="array" ref="D3512">IF(B3512="","",INDEX(helper!$E$3:$E3996,MOD(ROW()-2,COUNTA(helper!$D$3:$D3996))+1))</f>
        <v/>
      </c>
      <c r="E3512" s="3" t="str">
        <f t="array" ref="E3512">IF(B3512="","",INDEX(helper!$F$3:$F3996,MOD(ROW()-2,COUNTA(helper!$D$3:$D3996))+1))</f>
        <v/>
      </c>
      <c r="F3512" s="3" t="str">
        <f>IF(B3512="","",SUMIFS('inventory ledger'!$H:$H,'inventory ledger'!$C:$C,C3512,'inventory ledger'!$D:$D,D3512,'inventory ledger'!$E:$E,E3512,'inventory ledger'!$A:$A,"&lt;="&amp;B3512+TIME(23,59,59))-SUMIFS('inventory ledger'!$I:$I,'inventory ledger'!$C:$C,C3512,'inventory ledger'!$D:$D,D3512,'inventory ledger'!$E:$E,E3512,'inventory ledger'!$A:$A,"&lt;="&amp;B3512+TIME(23,59,59)))</f>
        <v/>
      </c>
      <c r="G3512" s="3">
        <f>IFERROR(__xludf.DUMMYFUNCTION("IF(F3512&lt;=0,0,IFERROR(ROUNDUP(F3512/INDEX(FILTER('warehouse config'!$D:$D,('warehouse config'!$B:$B=C3512)*('warehouse config'!$C:$C=D3512)*('warehouse config'!$G:$G&lt;=B3512)*(('warehouse config'!$H:$H&gt;=B3512)+ISBLANK('warehouse config'!$H:$H))),1)),0))"),0.0)</f>
        <v>0</v>
      </c>
      <c r="H3512" s="3">
        <f>IFERROR(__xludf.DUMMYFUNCTION("IFERROR(INDEX(FILTER('cost master'!$E:$E,('cost master'!$B:$B=C3512)*('cost master'!$D:$D=""Storage cost per pallet / week"")*('cost master'!$G:$G&lt;=B3512)*(('cost master'!$H:$H&gt;=B3512)+ISBLANK('cost master'!$H:$H))),1),0)"),0.0)</f>
        <v>0</v>
      </c>
      <c r="I3512" s="3">
        <f t="shared" si="4"/>
        <v>0</v>
      </c>
      <c r="J3512" s="27">
        <f t="shared" si="5"/>
        <v>693947</v>
      </c>
      <c r="K3512" s="27">
        <f t="shared" si="6"/>
        <v>693977</v>
      </c>
    </row>
    <row r="3513" hidden="1">
      <c r="A3513" s="3" t="str">
        <f t="shared" si="3"/>
        <v/>
      </c>
      <c r="B3513" s="2" t="str">
        <f t="array" ref="B3513">INDEX(helper!$A$3:$A3996,ROUNDUP((ROW()-1)/COUNTA(helper!$D$3:$D3996),0))</f>
        <v/>
      </c>
      <c r="C3513" s="5" t="str">
        <f t="array" ref="C3513">IF(B3513="","",INDEX(helper!$D$3:$D3996,MOD(ROW()-2,COUNTA(helper!$D$3:$D3996))+1))</f>
        <v/>
      </c>
      <c r="D3513" s="3" t="str">
        <f t="array" ref="D3513">IF(B3513="","",INDEX(helper!$E$3:$E3996,MOD(ROW()-2,COUNTA(helper!$D$3:$D3996))+1))</f>
        <v/>
      </c>
      <c r="E3513" s="3" t="str">
        <f t="array" ref="E3513">IF(B3513="","",INDEX(helper!$F$3:$F3996,MOD(ROW()-2,COUNTA(helper!$D$3:$D3996))+1))</f>
        <v/>
      </c>
      <c r="F3513" s="3" t="str">
        <f>IF(B3513="","",SUMIFS('inventory ledger'!$H:$H,'inventory ledger'!$C:$C,C3513,'inventory ledger'!$D:$D,D3513,'inventory ledger'!$E:$E,E3513,'inventory ledger'!$A:$A,"&lt;="&amp;B3513+TIME(23,59,59))-SUMIFS('inventory ledger'!$I:$I,'inventory ledger'!$C:$C,C3513,'inventory ledger'!$D:$D,D3513,'inventory ledger'!$E:$E,E3513,'inventory ledger'!$A:$A,"&lt;="&amp;B3513+TIME(23,59,59)))</f>
        <v/>
      </c>
      <c r="G3513" s="3">
        <f>IFERROR(__xludf.DUMMYFUNCTION("IF(F3513&lt;=0,0,IFERROR(ROUNDUP(F3513/INDEX(FILTER('warehouse config'!$D:$D,('warehouse config'!$B:$B=C3513)*('warehouse config'!$C:$C=D3513)*('warehouse config'!$G:$G&lt;=B3513)*(('warehouse config'!$H:$H&gt;=B3513)+ISBLANK('warehouse config'!$H:$H))),1)),0))"),0.0)</f>
        <v>0</v>
      </c>
      <c r="H3513" s="3">
        <f>IFERROR(__xludf.DUMMYFUNCTION("IFERROR(INDEX(FILTER('cost master'!$E:$E,('cost master'!$B:$B=C3513)*('cost master'!$D:$D=""Storage cost per pallet / week"")*('cost master'!$G:$G&lt;=B3513)*(('cost master'!$H:$H&gt;=B3513)+ISBLANK('cost master'!$H:$H))),1),0)"),0.0)</f>
        <v>0</v>
      </c>
      <c r="I3513" s="3">
        <f t="shared" si="4"/>
        <v>0</v>
      </c>
      <c r="J3513" s="27">
        <f t="shared" si="5"/>
        <v>693947</v>
      </c>
      <c r="K3513" s="27">
        <f t="shared" si="6"/>
        <v>693977</v>
      </c>
    </row>
    <row r="3514" hidden="1">
      <c r="A3514" s="3" t="str">
        <f t="shared" si="3"/>
        <v/>
      </c>
      <c r="B3514" s="2" t="str">
        <f t="array" ref="B3514">INDEX(helper!$A$3:$A3996,ROUNDUP((ROW()-1)/COUNTA(helper!$D$3:$D3996),0))</f>
        <v/>
      </c>
      <c r="C3514" s="5" t="str">
        <f t="array" ref="C3514">IF(B3514="","",INDEX(helper!$D$3:$D3996,MOD(ROW()-2,COUNTA(helper!$D$3:$D3996))+1))</f>
        <v/>
      </c>
      <c r="D3514" s="3" t="str">
        <f t="array" ref="D3514">IF(B3514="","",INDEX(helper!$E$3:$E3996,MOD(ROW()-2,COUNTA(helper!$D$3:$D3996))+1))</f>
        <v/>
      </c>
      <c r="E3514" s="3" t="str">
        <f t="array" ref="E3514">IF(B3514="","",INDEX(helper!$F$3:$F3996,MOD(ROW()-2,COUNTA(helper!$D$3:$D3996))+1))</f>
        <v/>
      </c>
      <c r="F3514" s="3" t="str">
        <f>IF(B3514="","",SUMIFS('inventory ledger'!$H:$H,'inventory ledger'!$C:$C,C3514,'inventory ledger'!$D:$D,D3514,'inventory ledger'!$E:$E,E3514,'inventory ledger'!$A:$A,"&lt;="&amp;B3514+TIME(23,59,59))-SUMIFS('inventory ledger'!$I:$I,'inventory ledger'!$C:$C,C3514,'inventory ledger'!$D:$D,D3514,'inventory ledger'!$E:$E,E3514,'inventory ledger'!$A:$A,"&lt;="&amp;B3514+TIME(23,59,59)))</f>
        <v/>
      </c>
      <c r="G3514" s="3">
        <f>IFERROR(__xludf.DUMMYFUNCTION("IF(F3514&lt;=0,0,IFERROR(ROUNDUP(F3514/INDEX(FILTER('warehouse config'!$D:$D,('warehouse config'!$B:$B=C3514)*('warehouse config'!$C:$C=D3514)*('warehouse config'!$G:$G&lt;=B3514)*(('warehouse config'!$H:$H&gt;=B3514)+ISBLANK('warehouse config'!$H:$H))),1)),0))"),0.0)</f>
        <v>0</v>
      </c>
      <c r="H3514" s="3">
        <f>IFERROR(__xludf.DUMMYFUNCTION("IFERROR(INDEX(FILTER('cost master'!$E:$E,('cost master'!$B:$B=C3514)*('cost master'!$D:$D=""Storage cost per pallet / week"")*('cost master'!$G:$G&lt;=B3514)*(('cost master'!$H:$H&gt;=B3514)+ISBLANK('cost master'!$H:$H))),1),0)"),0.0)</f>
        <v>0</v>
      </c>
      <c r="I3514" s="3">
        <f t="shared" si="4"/>
        <v>0</v>
      </c>
      <c r="J3514" s="27">
        <f t="shared" si="5"/>
        <v>693947</v>
      </c>
      <c r="K3514" s="27">
        <f t="shared" si="6"/>
        <v>693977</v>
      </c>
    </row>
    <row r="3515" hidden="1">
      <c r="A3515" s="3" t="str">
        <f t="shared" si="3"/>
        <v/>
      </c>
      <c r="B3515" s="2" t="str">
        <f t="array" ref="B3515">INDEX(helper!$A$3:$A3996,ROUNDUP((ROW()-1)/COUNTA(helper!$D$3:$D3996),0))</f>
        <v/>
      </c>
      <c r="C3515" s="5" t="str">
        <f t="array" ref="C3515">IF(B3515="","",INDEX(helper!$D$3:$D3996,MOD(ROW()-2,COUNTA(helper!$D$3:$D3996))+1))</f>
        <v/>
      </c>
      <c r="D3515" s="3" t="str">
        <f t="array" ref="D3515">IF(B3515="","",INDEX(helper!$E$3:$E3996,MOD(ROW()-2,COUNTA(helper!$D$3:$D3996))+1))</f>
        <v/>
      </c>
      <c r="E3515" s="3" t="str">
        <f t="array" ref="E3515">IF(B3515="","",INDEX(helper!$F$3:$F3996,MOD(ROW()-2,COUNTA(helper!$D$3:$D3996))+1))</f>
        <v/>
      </c>
      <c r="F3515" s="3" t="str">
        <f>IF(B3515="","",SUMIFS('inventory ledger'!$H:$H,'inventory ledger'!$C:$C,C3515,'inventory ledger'!$D:$D,D3515,'inventory ledger'!$E:$E,E3515,'inventory ledger'!$A:$A,"&lt;="&amp;B3515+TIME(23,59,59))-SUMIFS('inventory ledger'!$I:$I,'inventory ledger'!$C:$C,C3515,'inventory ledger'!$D:$D,D3515,'inventory ledger'!$E:$E,E3515,'inventory ledger'!$A:$A,"&lt;="&amp;B3515+TIME(23,59,59)))</f>
        <v/>
      </c>
      <c r="G3515" s="3">
        <f>IFERROR(__xludf.DUMMYFUNCTION("IF(F3515&lt;=0,0,IFERROR(ROUNDUP(F3515/INDEX(FILTER('warehouse config'!$D:$D,('warehouse config'!$B:$B=C3515)*('warehouse config'!$C:$C=D3515)*('warehouse config'!$G:$G&lt;=B3515)*(('warehouse config'!$H:$H&gt;=B3515)+ISBLANK('warehouse config'!$H:$H))),1)),0))"),0.0)</f>
        <v>0</v>
      </c>
      <c r="H3515" s="3">
        <f>IFERROR(__xludf.DUMMYFUNCTION("IFERROR(INDEX(FILTER('cost master'!$E:$E,('cost master'!$B:$B=C3515)*('cost master'!$D:$D=""Storage cost per pallet / week"")*('cost master'!$G:$G&lt;=B3515)*(('cost master'!$H:$H&gt;=B3515)+ISBLANK('cost master'!$H:$H))),1),0)"),0.0)</f>
        <v>0</v>
      </c>
      <c r="I3515" s="3">
        <f t="shared" si="4"/>
        <v>0</v>
      </c>
      <c r="J3515" s="27">
        <f t="shared" si="5"/>
        <v>693947</v>
      </c>
      <c r="K3515" s="27">
        <f t="shared" si="6"/>
        <v>693977</v>
      </c>
    </row>
    <row r="3516" hidden="1">
      <c r="A3516" s="3" t="str">
        <f t="shared" si="3"/>
        <v/>
      </c>
      <c r="B3516" s="2" t="str">
        <f t="array" ref="B3516">INDEX(helper!$A$3:$A3996,ROUNDUP((ROW()-1)/COUNTA(helper!$D$3:$D3996),0))</f>
        <v/>
      </c>
      <c r="C3516" s="5" t="str">
        <f t="array" ref="C3516">IF(B3516="","",INDEX(helper!$D$3:$D3996,MOD(ROW()-2,COUNTA(helper!$D$3:$D3996))+1))</f>
        <v/>
      </c>
      <c r="D3516" s="3" t="str">
        <f t="array" ref="D3516">IF(B3516="","",INDEX(helper!$E$3:$E3996,MOD(ROW()-2,COUNTA(helper!$D$3:$D3996))+1))</f>
        <v/>
      </c>
      <c r="E3516" s="3" t="str">
        <f t="array" ref="E3516">IF(B3516="","",INDEX(helper!$F$3:$F3996,MOD(ROW()-2,COUNTA(helper!$D$3:$D3996))+1))</f>
        <v/>
      </c>
      <c r="F3516" s="3" t="str">
        <f>IF(B3516="","",SUMIFS('inventory ledger'!$H:$H,'inventory ledger'!$C:$C,C3516,'inventory ledger'!$D:$D,D3516,'inventory ledger'!$E:$E,E3516,'inventory ledger'!$A:$A,"&lt;="&amp;B3516+TIME(23,59,59))-SUMIFS('inventory ledger'!$I:$I,'inventory ledger'!$C:$C,C3516,'inventory ledger'!$D:$D,D3516,'inventory ledger'!$E:$E,E3516,'inventory ledger'!$A:$A,"&lt;="&amp;B3516+TIME(23,59,59)))</f>
        <v/>
      </c>
      <c r="G3516" s="3">
        <f>IFERROR(__xludf.DUMMYFUNCTION("IF(F3516&lt;=0,0,IFERROR(ROUNDUP(F3516/INDEX(FILTER('warehouse config'!$D:$D,('warehouse config'!$B:$B=C3516)*('warehouse config'!$C:$C=D3516)*('warehouse config'!$G:$G&lt;=B3516)*(('warehouse config'!$H:$H&gt;=B3516)+ISBLANK('warehouse config'!$H:$H))),1)),0))"),0.0)</f>
        <v>0</v>
      </c>
      <c r="H3516" s="3">
        <f>IFERROR(__xludf.DUMMYFUNCTION("IFERROR(INDEX(FILTER('cost master'!$E:$E,('cost master'!$B:$B=C3516)*('cost master'!$D:$D=""Storage cost per pallet / week"")*('cost master'!$G:$G&lt;=B3516)*(('cost master'!$H:$H&gt;=B3516)+ISBLANK('cost master'!$H:$H))),1),0)"),0.0)</f>
        <v>0</v>
      </c>
      <c r="I3516" s="3">
        <f t="shared" si="4"/>
        <v>0</v>
      </c>
      <c r="J3516" s="27">
        <f t="shared" si="5"/>
        <v>693947</v>
      </c>
      <c r="K3516" s="27">
        <f t="shared" si="6"/>
        <v>693977</v>
      </c>
    </row>
    <row r="3517" hidden="1">
      <c r="A3517" s="3" t="str">
        <f t="shared" si="3"/>
        <v/>
      </c>
      <c r="B3517" s="2" t="str">
        <f t="array" ref="B3517">INDEX(helper!$A$3:$A3996,ROUNDUP((ROW()-1)/COUNTA(helper!$D$3:$D3996),0))</f>
        <v/>
      </c>
      <c r="C3517" s="5" t="str">
        <f t="array" ref="C3517">IF(B3517="","",INDEX(helper!$D$3:$D3996,MOD(ROW()-2,COUNTA(helper!$D$3:$D3996))+1))</f>
        <v/>
      </c>
      <c r="D3517" s="3" t="str">
        <f t="array" ref="D3517">IF(B3517="","",INDEX(helper!$E$3:$E3996,MOD(ROW()-2,COUNTA(helper!$D$3:$D3996))+1))</f>
        <v/>
      </c>
      <c r="E3517" s="3" t="str">
        <f t="array" ref="E3517">IF(B3517="","",INDEX(helper!$F$3:$F3996,MOD(ROW()-2,COUNTA(helper!$D$3:$D3996))+1))</f>
        <v/>
      </c>
      <c r="F3517" s="3" t="str">
        <f>IF(B3517="","",SUMIFS('inventory ledger'!$H:$H,'inventory ledger'!$C:$C,C3517,'inventory ledger'!$D:$D,D3517,'inventory ledger'!$E:$E,E3517,'inventory ledger'!$A:$A,"&lt;="&amp;B3517+TIME(23,59,59))-SUMIFS('inventory ledger'!$I:$I,'inventory ledger'!$C:$C,C3517,'inventory ledger'!$D:$D,D3517,'inventory ledger'!$E:$E,E3517,'inventory ledger'!$A:$A,"&lt;="&amp;B3517+TIME(23,59,59)))</f>
        <v/>
      </c>
      <c r="G3517" s="3">
        <f>IFERROR(__xludf.DUMMYFUNCTION("IF(F3517&lt;=0,0,IFERROR(ROUNDUP(F3517/INDEX(FILTER('warehouse config'!$D:$D,('warehouse config'!$B:$B=C3517)*('warehouse config'!$C:$C=D3517)*('warehouse config'!$G:$G&lt;=B3517)*(('warehouse config'!$H:$H&gt;=B3517)+ISBLANK('warehouse config'!$H:$H))),1)),0))"),0.0)</f>
        <v>0</v>
      </c>
      <c r="H3517" s="3">
        <f>IFERROR(__xludf.DUMMYFUNCTION("IFERROR(INDEX(FILTER('cost master'!$E:$E,('cost master'!$B:$B=C3517)*('cost master'!$D:$D=""Storage cost per pallet / week"")*('cost master'!$G:$G&lt;=B3517)*(('cost master'!$H:$H&gt;=B3517)+ISBLANK('cost master'!$H:$H))),1),0)"),0.0)</f>
        <v>0</v>
      </c>
      <c r="I3517" s="3">
        <f t="shared" si="4"/>
        <v>0</v>
      </c>
      <c r="J3517" s="27">
        <f t="shared" si="5"/>
        <v>693947</v>
      </c>
      <c r="K3517" s="27">
        <f t="shared" si="6"/>
        <v>693977</v>
      </c>
    </row>
    <row r="3518" hidden="1">
      <c r="A3518" s="3" t="str">
        <f t="shared" si="3"/>
        <v/>
      </c>
      <c r="B3518" s="2" t="str">
        <f t="array" ref="B3518">INDEX(helper!$A$3:$A3996,ROUNDUP((ROW()-1)/COUNTA(helper!$D$3:$D3996),0))</f>
        <v/>
      </c>
      <c r="C3518" s="5" t="str">
        <f t="array" ref="C3518">IF(B3518="","",INDEX(helper!$D$3:$D3996,MOD(ROW()-2,COUNTA(helper!$D$3:$D3996))+1))</f>
        <v/>
      </c>
      <c r="D3518" s="3" t="str">
        <f t="array" ref="D3518">IF(B3518="","",INDEX(helper!$E$3:$E3996,MOD(ROW()-2,COUNTA(helper!$D$3:$D3996))+1))</f>
        <v/>
      </c>
      <c r="E3518" s="3" t="str">
        <f t="array" ref="E3518">IF(B3518="","",INDEX(helper!$F$3:$F3996,MOD(ROW()-2,COUNTA(helper!$D$3:$D3996))+1))</f>
        <v/>
      </c>
      <c r="F3518" s="3" t="str">
        <f>IF(B3518="","",SUMIFS('inventory ledger'!$H:$H,'inventory ledger'!$C:$C,C3518,'inventory ledger'!$D:$D,D3518,'inventory ledger'!$E:$E,E3518,'inventory ledger'!$A:$A,"&lt;="&amp;B3518+TIME(23,59,59))-SUMIFS('inventory ledger'!$I:$I,'inventory ledger'!$C:$C,C3518,'inventory ledger'!$D:$D,D3518,'inventory ledger'!$E:$E,E3518,'inventory ledger'!$A:$A,"&lt;="&amp;B3518+TIME(23,59,59)))</f>
        <v/>
      </c>
      <c r="G3518" s="3">
        <f>IFERROR(__xludf.DUMMYFUNCTION("IF(F3518&lt;=0,0,IFERROR(ROUNDUP(F3518/INDEX(FILTER('warehouse config'!$D:$D,('warehouse config'!$B:$B=C3518)*('warehouse config'!$C:$C=D3518)*('warehouse config'!$G:$G&lt;=B3518)*(('warehouse config'!$H:$H&gt;=B3518)+ISBLANK('warehouse config'!$H:$H))),1)),0))"),0.0)</f>
        <v>0</v>
      </c>
      <c r="H3518" s="3">
        <f>IFERROR(__xludf.DUMMYFUNCTION("IFERROR(INDEX(FILTER('cost master'!$E:$E,('cost master'!$B:$B=C3518)*('cost master'!$D:$D=""Storage cost per pallet / week"")*('cost master'!$G:$G&lt;=B3518)*(('cost master'!$H:$H&gt;=B3518)+ISBLANK('cost master'!$H:$H))),1),0)"),0.0)</f>
        <v>0</v>
      </c>
      <c r="I3518" s="3">
        <f t="shared" si="4"/>
        <v>0</v>
      </c>
      <c r="J3518" s="27">
        <f t="shared" si="5"/>
        <v>693947</v>
      </c>
      <c r="K3518" s="27">
        <f t="shared" si="6"/>
        <v>693977</v>
      </c>
    </row>
    <row r="3519" hidden="1">
      <c r="A3519" s="3" t="str">
        <f t="shared" si="3"/>
        <v/>
      </c>
      <c r="B3519" s="2" t="str">
        <f t="array" ref="B3519">INDEX(helper!$A$3:$A3996,ROUNDUP((ROW()-1)/COUNTA(helper!$D$3:$D3996),0))</f>
        <v/>
      </c>
      <c r="C3519" s="5" t="str">
        <f t="array" ref="C3519">IF(B3519="","",INDEX(helper!$D$3:$D3996,MOD(ROW()-2,COUNTA(helper!$D$3:$D3996))+1))</f>
        <v/>
      </c>
      <c r="D3519" s="3" t="str">
        <f t="array" ref="D3519">IF(B3519="","",INDEX(helper!$E$3:$E3996,MOD(ROW()-2,COUNTA(helper!$D$3:$D3996))+1))</f>
        <v/>
      </c>
      <c r="E3519" s="3" t="str">
        <f t="array" ref="E3519">IF(B3519="","",INDEX(helper!$F$3:$F3996,MOD(ROW()-2,COUNTA(helper!$D$3:$D3996))+1))</f>
        <v/>
      </c>
      <c r="F3519" s="3" t="str">
        <f>IF(B3519="","",SUMIFS('inventory ledger'!$H:$H,'inventory ledger'!$C:$C,C3519,'inventory ledger'!$D:$D,D3519,'inventory ledger'!$E:$E,E3519,'inventory ledger'!$A:$A,"&lt;="&amp;B3519+TIME(23,59,59))-SUMIFS('inventory ledger'!$I:$I,'inventory ledger'!$C:$C,C3519,'inventory ledger'!$D:$D,D3519,'inventory ledger'!$E:$E,E3519,'inventory ledger'!$A:$A,"&lt;="&amp;B3519+TIME(23,59,59)))</f>
        <v/>
      </c>
      <c r="G3519" s="3">
        <f>IFERROR(__xludf.DUMMYFUNCTION("IF(F3519&lt;=0,0,IFERROR(ROUNDUP(F3519/INDEX(FILTER('warehouse config'!$D:$D,('warehouse config'!$B:$B=C3519)*('warehouse config'!$C:$C=D3519)*('warehouse config'!$G:$G&lt;=B3519)*(('warehouse config'!$H:$H&gt;=B3519)+ISBLANK('warehouse config'!$H:$H))),1)),0))"),0.0)</f>
        <v>0</v>
      </c>
      <c r="H3519" s="3">
        <f>IFERROR(__xludf.DUMMYFUNCTION("IFERROR(INDEX(FILTER('cost master'!$E:$E,('cost master'!$B:$B=C3519)*('cost master'!$D:$D=""Storage cost per pallet / week"")*('cost master'!$G:$G&lt;=B3519)*(('cost master'!$H:$H&gt;=B3519)+ISBLANK('cost master'!$H:$H))),1),0)"),0.0)</f>
        <v>0</v>
      </c>
      <c r="I3519" s="3">
        <f t="shared" si="4"/>
        <v>0</v>
      </c>
      <c r="J3519" s="27">
        <f t="shared" si="5"/>
        <v>693947</v>
      </c>
      <c r="K3519" s="27">
        <f t="shared" si="6"/>
        <v>693977</v>
      </c>
    </row>
    <row r="3520" hidden="1">
      <c r="A3520" s="3" t="str">
        <f t="shared" si="3"/>
        <v/>
      </c>
      <c r="B3520" s="2" t="str">
        <f t="array" ref="B3520">INDEX(helper!$A$3:$A3996,ROUNDUP((ROW()-1)/COUNTA(helper!$D$3:$D3996),0))</f>
        <v/>
      </c>
      <c r="C3520" s="5" t="str">
        <f t="array" ref="C3520">IF(B3520="","",INDEX(helper!$D$3:$D3996,MOD(ROW()-2,COUNTA(helper!$D$3:$D3996))+1))</f>
        <v/>
      </c>
      <c r="D3520" s="3" t="str">
        <f t="array" ref="D3520">IF(B3520="","",INDEX(helper!$E$3:$E3996,MOD(ROW()-2,COUNTA(helper!$D$3:$D3996))+1))</f>
        <v/>
      </c>
      <c r="E3520" s="3" t="str">
        <f t="array" ref="E3520">IF(B3520="","",INDEX(helper!$F$3:$F3996,MOD(ROW()-2,COUNTA(helper!$D$3:$D3996))+1))</f>
        <v/>
      </c>
      <c r="F3520" s="3" t="str">
        <f>IF(B3520="","",SUMIFS('inventory ledger'!$H:$H,'inventory ledger'!$C:$C,C3520,'inventory ledger'!$D:$D,D3520,'inventory ledger'!$E:$E,E3520,'inventory ledger'!$A:$A,"&lt;="&amp;B3520+TIME(23,59,59))-SUMIFS('inventory ledger'!$I:$I,'inventory ledger'!$C:$C,C3520,'inventory ledger'!$D:$D,D3520,'inventory ledger'!$E:$E,E3520,'inventory ledger'!$A:$A,"&lt;="&amp;B3520+TIME(23,59,59)))</f>
        <v/>
      </c>
      <c r="G3520" s="3">
        <f>IFERROR(__xludf.DUMMYFUNCTION("IF(F3520&lt;=0,0,IFERROR(ROUNDUP(F3520/INDEX(FILTER('warehouse config'!$D:$D,('warehouse config'!$B:$B=C3520)*('warehouse config'!$C:$C=D3520)*('warehouse config'!$G:$G&lt;=B3520)*(('warehouse config'!$H:$H&gt;=B3520)+ISBLANK('warehouse config'!$H:$H))),1)),0))"),0.0)</f>
        <v>0</v>
      </c>
      <c r="H3520" s="3">
        <f>IFERROR(__xludf.DUMMYFUNCTION("IFERROR(INDEX(FILTER('cost master'!$E:$E,('cost master'!$B:$B=C3520)*('cost master'!$D:$D=""Storage cost per pallet / week"")*('cost master'!$G:$G&lt;=B3520)*(('cost master'!$H:$H&gt;=B3520)+ISBLANK('cost master'!$H:$H))),1),0)"),0.0)</f>
        <v>0</v>
      </c>
      <c r="I3520" s="3">
        <f t="shared" si="4"/>
        <v>0</v>
      </c>
      <c r="J3520" s="27">
        <f t="shared" si="5"/>
        <v>693947</v>
      </c>
      <c r="K3520" s="27">
        <f t="shared" si="6"/>
        <v>693977</v>
      </c>
    </row>
    <row r="3521" hidden="1">
      <c r="A3521" s="3" t="str">
        <f t="shared" si="3"/>
        <v/>
      </c>
      <c r="B3521" s="2" t="str">
        <f t="array" ref="B3521">INDEX(helper!$A$3:$A3996,ROUNDUP((ROW()-1)/COUNTA(helper!$D$3:$D3996),0))</f>
        <v/>
      </c>
      <c r="C3521" s="5" t="str">
        <f t="array" ref="C3521">IF(B3521="","",INDEX(helper!$D$3:$D3996,MOD(ROW()-2,COUNTA(helper!$D$3:$D3996))+1))</f>
        <v/>
      </c>
      <c r="D3521" s="3" t="str">
        <f t="array" ref="D3521">IF(B3521="","",INDEX(helper!$E$3:$E3996,MOD(ROW()-2,COUNTA(helper!$D$3:$D3996))+1))</f>
        <v/>
      </c>
      <c r="E3521" s="3" t="str">
        <f t="array" ref="E3521">IF(B3521="","",INDEX(helper!$F$3:$F3996,MOD(ROW()-2,COUNTA(helper!$D$3:$D3996))+1))</f>
        <v/>
      </c>
      <c r="F3521" s="3" t="str">
        <f>IF(B3521="","",SUMIFS('inventory ledger'!$H:$H,'inventory ledger'!$C:$C,C3521,'inventory ledger'!$D:$D,D3521,'inventory ledger'!$E:$E,E3521,'inventory ledger'!$A:$A,"&lt;="&amp;B3521+TIME(23,59,59))-SUMIFS('inventory ledger'!$I:$I,'inventory ledger'!$C:$C,C3521,'inventory ledger'!$D:$D,D3521,'inventory ledger'!$E:$E,E3521,'inventory ledger'!$A:$A,"&lt;="&amp;B3521+TIME(23,59,59)))</f>
        <v/>
      </c>
      <c r="G3521" s="3">
        <f>IFERROR(__xludf.DUMMYFUNCTION("IF(F3521&lt;=0,0,IFERROR(ROUNDUP(F3521/INDEX(FILTER('warehouse config'!$D:$D,('warehouse config'!$B:$B=C3521)*('warehouse config'!$C:$C=D3521)*('warehouse config'!$G:$G&lt;=B3521)*(('warehouse config'!$H:$H&gt;=B3521)+ISBLANK('warehouse config'!$H:$H))),1)),0))"),0.0)</f>
        <v>0</v>
      </c>
      <c r="H3521" s="3">
        <f>IFERROR(__xludf.DUMMYFUNCTION("IFERROR(INDEX(FILTER('cost master'!$E:$E,('cost master'!$B:$B=C3521)*('cost master'!$D:$D=""Storage cost per pallet / week"")*('cost master'!$G:$G&lt;=B3521)*(('cost master'!$H:$H&gt;=B3521)+ISBLANK('cost master'!$H:$H))),1),0)"),0.0)</f>
        <v>0</v>
      </c>
      <c r="I3521" s="3">
        <f t="shared" si="4"/>
        <v>0</v>
      </c>
      <c r="J3521" s="27">
        <f t="shared" si="5"/>
        <v>693947</v>
      </c>
      <c r="K3521" s="27">
        <f t="shared" si="6"/>
        <v>693977</v>
      </c>
    </row>
    <row r="3522" hidden="1">
      <c r="A3522" s="3" t="str">
        <f t="shared" si="3"/>
        <v/>
      </c>
      <c r="B3522" s="2" t="str">
        <f t="array" ref="B3522">INDEX(helper!$A$3:$A3996,ROUNDUP((ROW()-1)/COUNTA(helper!$D$3:$D3996),0))</f>
        <v/>
      </c>
      <c r="C3522" s="5" t="str">
        <f t="array" ref="C3522">IF(B3522="","",INDEX(helper!$D$3:$D3996,MOD(ROW()-2,COUNTA(helper!$D$3:$D3996))+1))</f>
        <v/>
      </c>
      <c r="D3522" s="3" t="str">
        <f t="array" ref="D3522">IF(B3522="","",INDEX(helper!$E$3:$E3996,MOD(ROW()-2,COUNTA(helper!$D$3:$D3996))+1))</f>
        <v/>
      </c>
      <c r="E3522" s="3" t="str">
        <f t="array" ref="E3522">IF(B3522="","",INDEX(helper!$F$3:$F3996,MOD(ROW()-2,COUNTA(helper!$D$3:$D3996))+1))</f>
        <v/>
      </c>
      <c r="F3522" s="3" t="str">
        <f>IF(B3522="","",SUMIFS('inventory ledger'!$H:$H,'inventory ledger'!$C:$C,C3522,'inventory ledger'!$D:$D,D3522,'inventory ledger'!$E:$E,E3522,'inventory ledger'!$A:$A,"&lt;="&amp;B3522+TIME(23,59,59))-SUMIFS('inventory ledger'!$I:$I,'inventory ledger'!$C:$C,C3522,'inventory ledger'!$D:$D,D3522,'inventory ledger'!$E:$E,E3522,'inventory ledger'!$A:$A,"&lt;="&amp;B3522+TIME(23,59,59)))</f>
        <v/>
      </c>
      <c r="G3522" s="3">
        <f>IFERROR(__xludf.DUMMYFUNCTION("IF(F3522&lt;=0,0,IFERROR(ROUNDUP(F3522/INDEX(FILTER('warehouse config'!$D:$D,('warehouse config'!$B:$B=C3522)*('warehouse config'!$C:$C=D3522)*('warehouse config'!$G:$G&lt;=B3522)*(('warehouse config'!$H:$H&gt;=B3522)+ISBLANK('warehouse config'!$H:$H))),1)),0))"),0.0)</f>
        <v>0</v>
      </c>
      <c r="H3522" s="3">
        <f>IFERROR(__xludf.DUMMYFUNCTION("IFERROR(INDEX(FILTER('cost master'!$E:$E,('cost master'!$B:$B=C3522)*('cost master'!$D:$D=""Storage cost per pallet / week"")*('cost master'!$G:$G&lt;=B3522)*(('cost master'!$H:$H&gt;=B3522)+ISBLANK('cost master'!$H:$H))),1),0)"),0.0)</f>
        <v>0</v>
      </c>
      <c r="I3522" s="3">
        <f t="shared" si="4"/>
        <v>0</v>
      </c>
      <c r="J3522" s="27">
        <f t="shared" si="5"/>
        <v>693947</v>
      </c>
      <c r="K3522" s="27">
        <f t="shared" si="6"/>
        <v>693977</v>
      </c>
    </row>
    <row r="3523" hidden="1">
      <c r="A3523" s="3" t="str">
        <f t="shared" si="3"/>
        <v/>
      </c>
      <c r="B3523" s="2" t="str">
        <f t="array" ref="B3523">INDEX(helper!$A$3:$A3996,ROUNDUP((ROW()-1)/COUNTA(helper!$D$3:$D3996),0))</f>
        <v/>
      </c>
      <c r="C3523" s="5" t="str">
        <f t="array" ref="C3523">IF(B3523="","",INDEX(helper!$D$3:$D3996,MOD(ROW()-2,COUNTA(helper!$D$3:$D3996))+1))</f>
        <v/>
      </c>
      <c r="D3523" s="3" t="str">
        <f t="array" ref="D3523">IF(B3523="","",INDEX(helper!$E$3:$E3996,MOD(ROW()-2,COUNTA(helper!$D$3:$D3996))+1))</f>
        <v/>
      </c>
      <c r="E3523" s="3" t="str">
        <f t="array" ref="E3523">IF(B3523="","",INDEX(helper!$F$3:$F3996,MOD(ROW()-2,COUNTA(helper!$D$3:$D3996))+1))</f>
        <v/>
      </c>
      <c r="F3523" s="3" t="str">
        <f>IF(B3523="","",SUMIFS('inventory ledger'!$H:$H,'inventory ledger'!$C:$C,C3523,'inventory ledger'!$D:$D,D3523,'inventory ledger'!$E:$E,E3523,'inventory ledger'!$A:$A,"&lt;="&amp;B3523+TIME(23,59,59))-SUMIFS('inventory ledger'!$I:$I,'inventory ledger'!$C:$C,C3523,'inventory ledger'!$D:$D,D3523,'inventory ledger'!$E:$E,E3523,'inventory ledger'!$A:$A,"&lt;="&amp;B3523+TIME(23,59,59)))</f>
        <v/>
      </c>
      <c r="G3523" s="3">
        <f>IFERROR(__xludf.DUMMYFUNCTION("IF(F3523&lt;=0,0,IFERROR(ROUNDUP(F3523/INDEX(FILTER('warehouse config'!$D:$D,('warehouse config'!$B:$B=C3523)*('warehouse config'!$C:$C=D3523)*('warehouse config'!$G:$G&lt;=B3523)*(('warehouse config'!$H:$H&gt;=B3523)+ISBLANK('warehouse config'!$H:$H))),1)),0))"),0.0)</f>
        <v>0</v>
      </c>
      <c r="H3523" s="3">
        <f>IFERROR(__xludf.DUMMYFUNCTION("IFERROR(INDEX(FILTER('cost master'!$E:$E,('cost master'!$B:$B=C3523)*('cost master'!$D:$D=""Storage cost per pallet / week"")*('cost master'!$G:$G&lt;=B3523)*(('cost master'!$H:$H&gt;=B3523)+ISBLANK('cost master'!$H:$H))),1),0)"),0.0)</f>
        <v>0</v>
      </c>
      <c r="I3523" s="3">
        <f t="shared" si="4"/>
        <v>0</v>
      </c>
      <c r="J3523" s="27">
        <f t="shared" si="5"/>
        <v>693947</v>
      </c>
      <c r="K3523" s="27">
        <f t="shared" si="6"/>
        <v>693977</v>
      </c>
    </row>
    <row r="3524" hidden="1">
      <c r="A3524" s="3" t="str">
        <f t="shared" si="3"/>
        <v/>
      </c>
      <c r="B3524" s="2" t="str">
        <f t="array" ref="B3524">INDEX(helper!$A$3:$A3996,ROUNDUP((ROW()-1)/COUNTA(helper!$D$3:$D3996),0))</f>
        <v/>
      </c>
      <c r="C3524" s="5" t="str">
        <f t="array" ref="C3524">IF(B3524="","",INDEX(helper!$D$3:$D3996,MOD(ROW()-2,COUNTA(helper!$D$3:$D3996))+1))</f>
        <v/>
      </c>
      <c r="D3524" s="3" t="str">
        <f t="array" ref="D3524">IF(B3524="","",INDEX(helper!$E$3:$E3996,MOD(ROW()-2,COUNTA(helper!$D$3:$D3996))+1))</f>
        <v/>
      </c>
      <c r="E3524" s="3" t="str">
        <f t="array" ref="E3524">IF(B3524="","",INDEX(helper!$F$3:$F3996,MOD(ROW()-2,COUNTA(helper!$D$3:$D3996))+1))</f>
        <v/>
      </c>
      <c r="F3524" s="3" t="str">
        <f>IF(B3524="","",SUMIFS('inventory ledger'!$H:$H,'inventory ledger'!$C:$C,C3524,'inventory ledger'!$D:$D,D3524,'inventory ledger'!$E:$E,E3524,'inventory ledger'!$A:$A,"&lt;="&amp;B3524+TIME(23,59,59))-SUMIFS('inventory ledger'!$I:$I,'inventory ledger'!$C:$C,C3524,'inventory ledger'!$D:$D,D3524,'inventory ledger'!$E:$E,E3524,'inventory ledger'!$A:$A,"&lt;="&amp;B3524+TIME(23,59,59)))</f>
        <v/>
      </c>
      <c r="G3524" s="3">
        <f>IFERROR(__xludf.DUMMYFUNCTION("IF(F3524&lt;=0,0,IFERROR(ROUNDUP(F3524/INDEX(FILTER('warehouse config'!$D:$D,('warehouse config'!$B:$B=C3524)*('warehouse config'!$C:$C=D3524)*('warehouse config'!$G:$G&lt;=B3524)*(('warehouse config'!$H:$H&gt;=B3524)+ISBLANK('warehouse config'!$H:$H))),1)),0))"),0.0)</f>
        <v>0</v>
      </c>
      <c r="H3524" s="3">
        <f>IFERROR(__xludf.DUMMYFUNCTION("IFERROR(INDEX(FILTER('cost master'!$E:$E,('cost master'!$B:$B=C3524)*('cost master'!$D:$D=""Storage cost per pallet / week"")*('cost master'!$G:$G&lt;=B3524)*(('cost master'!$H:$H&gt;=B3524)+ISBLANK('cost master'!$H:$H))),1),0)"),0.0)</f>
        <v>0</v>
      </c>
      <c r="I3524" s="3">
        <f t="shared" si="4"/>
        <v>0</v>
      </c>
      <c r="J3524" s="27">
        <f t="shared" si="5"/>
        <v>693947</v>
      </c>
      <c r="K3524" s="27">
        <f t="shared" si="6"/>
        <v>693977</v>
      </c>
    </row>
    <row r="3525" hidden="1">
      <c r="A3525" s="3" t="str">
        <f t="shared" si="3"/>
        <v/>
      </c>
      <c r="B3525" s="2" t="str">
        <f t="array" ref="B3525">INDEX(helper!$A$3:$A3996,ROUNDUP((ROW()-1)/COUNTA(helper!$D$3:$D3996),0))</f>
        <v/>
      </c>
      <c r="C3525" s="5" t="str">
        <f t="array" ref="C3525">IF(B3525="","",INDEX(helper!$D$3:$D3996,MOD(ROW()-2,COUNTA(helper!$D$3:$D3996))+1))</f>
        <v/>
      </c>
      <c r="D3525" s="3" t="str">
        <f t="array" ref="D3525">IF(B3525="","",INDEX(helper!$E$3:$E3996,MOD(ROW()-2,COUNTA(helper!$D$3:$D3996))+1))</f>
        <v/>
      </c>
      <c r="E3525" s="3" t="str">
        <f t="array" ref="E3525">IF(B3525="","",INDEX(helper!$F$3:$F3996,MOD(ROW()-2,COUNTA(helper!$D$3:$D3996))+1))</f>
        <v/>
      </c>
      <c r="F3525" s="3" t="str">
        <f>IF(B3525="","",SUMIFS('inventory ledger'!$H:$H,'inventory ledger'!$C:$C,C3525,'inventory ledger'!$D:$D,D3525,'inventory ledger'!$E:$E,E3525,'inventory ledger'!$A:$A,"&lt;="&amp;B3525+TIME(23,59,59))-SUMIFS('inventory ledger'!$I:$I,'inventory ledger'!$C:$C,C3525,'inventory ledger'!$D:$D,D3525,'inventory ledger'!$E:$E,E3525,'inventory ledger'!$A:$A,"&lt;="&amp;B3525+TIME(23,59,59)))</f>
        <v/>
      </c>
      <c r="G3525" s="3">
        <f>IFERROR(__xludf.DUMMYFUNCTION("IF(F3525&lt;=0,0,IFERROR(ROUNDUP(F3525/INDEX(FILTER('warehouse config'!$D:$D,('warehouse config'!$B:$B=C3525)*('warehouse config'!$C:$C=D3525)*('warehouse config'!$G:$G&lt;=B3525)*(('warehouse config'!$H:$H&gt;=B3525)+ISBLANK('warehouse config'!$H:$H))),1)),0))"),0.0)</f>
        <v>0</v>
      </c>
      <c r="H3525" s="3">
        <f>IFERROR(__xludf.DUMMYFUNCTION("IFERROR(INDEX(FILTER('cost master'!$E:$E,('cost master'!$B:$B=C3525)*('cost master'!$D:$D=""Storage cost per pallet / week"")*('cost master'!$G:$G&lt;=B3525)*(('cost master'!$H:$H&gt;=B3525)+ISBLANK('cost master'!$H:$H))),1),0)"),0.0)</f>
        <v>0</v>
      </c>
      <c r="I3525" s="3">
        <f t="shared" si="4"/>
        <v>0</v>
      </c>
      <c r="J3525" s="27">
        <f t="shared" si="5"/>
        <v>693947</v>
      </c>
      <c r="K3525" s="27">
        <f t="shared" si="6"/>
        <v>693977</v>
      </c>
    </row>
    <row r="3526" hidden="1">
      <c r="A3526" s="3" t="str">
        <f t="shared" si="3"/>
        <v/>
      </c>
      <c r="B3526" s="2" t="str">
        <f t="array" ref="B3526">INDEX(helper!$A$3:$A3996,ROUNDUP((ROW()-1)/COUNTA(helper!$D$3:$D3996),0))</f>
        <v/>
      </c>
      <c r="C3526" s="5" t="str">
        <f t="array" ref="C3526">IF(B3526="","",INDEX(helper!$D$3:$D3996,MOD(ROW()-2,COUNTA(helper!$D$3:$D3996))+1))</f>
        <v/>
      </c>
      <c r="D3526" s="3" t="str">
        <f t="array" ref="D3526">IF(B3526="","",INDEX(helper!$E$3:$E3996,MOD(ROW()-2,COUNTA(helper!$D$3:$D3996))+1))</f>
        <v/>
      </c>
      <c r="E3526" s="3" t="str">
        <f t="array" ref="E3526">IF(B3526="","",INDEX(helper!$F$3:$F3996,MOD(ROW()-2,COUNTA(helper!$D$3:$D3996))+1))</f>
        <v/>
      </c>
      <c r="F3526" s="3" t="str">
        <f>IF(B3526="","",SUMIFS('inventory ledger'!$H:$H,'inventory ledger'!$C:$C,C3526,'inventory ledger'!$D:$D,D3526,'inventory ledger'!$E:$E,E3526,'inventory ledger'!$A:$A,"&lt;="&amp;B3526+TIME(23,59,59))-SUMIFS('inventory ledger'!$I:$I,'inventory ledger'!$C:$C,C3526,'inventory ledger'!$D:$D,D3526,'inventory ledger'!$E:$E,E3526,'inventory ledger'!$A:$A,"&lt;="&amp;B3526+TIME(23,59,59)))</f>
        <v/>
      </c>
      <c r="G3526" s="3">
        <f>IFERROR(__xludf.DUMMYFUNCTION("IF(F3526&lt;=0,0,IFERROR(ROUNDUP(F3526/INDEX(FILTER('warehouse config'!$D:$D,('warehouse config'!$B:$B=C3526)*('warehouse config'!$C:$C=D3526)*('warehouse config'!$G:$G&lt;=B3526)*(('warehouse config'!$H:$H&gt;=B3526)+ISBLANK('warehouse config'!$H:$H))),1)),0))"),0.0)</f>
        <v>0</v>
      </c>
      <c r="H3526" s="3">
        <f>IFERROR(__xludf.DUMMYFUNCTION("IFERROR(INDEX(FILTER('cost master'!$E:$E,('cost master'!$B:$B=C3526)*('cost master'!$D:$D=""Storage cost per pallet / week"")*('cost master'!$G:$G&lt;=B3526)*(('cost master'!$H:$H&gt;=B3526)+ISBLANK('cost master'!$H:$H))),1),0)"),0.0)</f>
        <v>0</v>
      </c>
      <c r="I3526" s="3">
        <f t="shared" si="4"/>
        <v>0</v>
      </c>
      <c r="J3526" s="27">
        <f t="shared" si="5"/>
        <v>693947</v>
      </c>
      <c r="K3526" s="27">
        <f t="shared" si="6"/>
        <v>693977</v>
      </c>
    </row>
    <row r="3527" hidden="1">
      <c r="A3527" s="3" t="str">
        <f t="shared" si="3"/>
        <v/>
      </c>
      <c r="B3527" s="2" t="str">
        <f t="array" ref="B3527">INDEX(helper!$A$3:$A3996,ROUNDUP((ROW()-1)/COUNTA(helper!$D$3:$D3996),0))</f>
        <v/>
      </c>
      <c r="C3527" s="5" t="str">
        <f t="array" ref="C3527">IF(B3527="","",INDEX(helper!$D$3:$D3996,MOD(ROW()-2,COUNTA(helper!$D$3:$D3996))+1))</f>
        <v/>
      </c>
      <c r="D3527" s="3" t="str">
        <f t="array" ref="D3527">IF(B3527="","",INDEX(helper!$E$3:$E3996,MOD(ROW()-2,COUNTA(helper!$D$3:$D3996))+1))</f>
        <v/>
      </c>
      <c r="E3527" s="3" t="str">
        <f t="array" ref="E3527">IF(B3527="","",INDEX(helper!$F$3:$F3996,MOD(ROW()-2,COUNTA(helper!$D$3:$D3996))+1))</f>
        <v/>
      </c>
      <c r="F3527" s="3" t="str">
        <f>IF(B3527="","",SUMIFS('inventory ledger'!$H:$H,'inventory ledger'!$C:$C,C3527,'inventory ledger'!$D:$D,D3527,'inventory ledger'!$E:$E,E3527,'inventory ledger'!$A:$A,"&lt;="&amp;B3527+TIME(23,59,59))-SUMIFS('inventory ledger'!$I:$I,'inventory ledger'!$C:$C,C3527,'inventory ledger'!$D:$D,D3527,'inventory ledger'!$E:$E,E3527,'inventory ledger'!$A:$A,"&lt;="&amp;B3527+TIME(23,59,59)))</f>
        <v/>
      </c>
      <c r="G3527" s="3">
        <f>IFERROR(__xludf.DUMMYFUNCTION("IF(F3527&lt;=0,0,IFERROR(ROUNDUP(F3527/INDEX(FILTER('warehouse config'!$D:$D,('warehouse config'!$B:$B=C3527)*('warehouse config'!$C:$C=D3527)*('warehouse config'!$G:$G&lt;=B3527)*(('warehouse config'!$H:$H&gt;=B3527)+ISBLANK('warehouse config'!$H:$H))),1)),0))"),0.0)</f>
        <v>0</v>
      </c>
      <c r="H3527" s="3">
        <f>IFERROR(__xludf.DUMMYFUNCTION("IFERROR(INDEX(FILTER('cost master'!$E:$E,('cost master'!$B:$B=C3527)*('cost master'!$D:$D=""Storage cost per pallet / week"")*('cost master'!$G:$G&lt;=B3527)*(('cost master'!$H:$H&gt;=B3527)+ISBLANK('cost master'!$H:$H))),1),0)"),0.0)</f>
        <v>0</v>
      </c>
      <c r="I3527" s="3">
        <f t="shared" si="4"/>
        <v>0</v>
      </c>
      <c r="J3527" s="27">
        <f t="shared" si="5"/>
        <v>693947</v>
      </c>
      <c r="K3527" s="27">
        <f t="shared" si="6"/>
        <v>693977</v>
      </c>
    </row>
    <row r="3528" hidden="1">
      <c r="A3528" s="3" t="str">
        <f t="shared" si="3"/>
        <v/>
      </c>
      <c r="B3528" s="2" t="str">
        <f t="array" ref="B3528">INDEX(helper!$A$3:$A3996,ROUNDUP((ROW()-1)/COUNTA(helper!$D$3:$D3996),0))</f>
        <v/>
      </c>
      <c r="C3528" s="5" t="str">
        <f t="array" ref="C3528">IF(B3528="","",INDEX(helper!$D$3:$D3996,MOD(ROW()-2,COUNTA(helper!$D$3:$D3996))+1))</f>
        <v/>
      </c>
      <c r="D3528" s="3" t="str">
        <f t="array" ref="D3528">IF(B3528="","",INDEX(helper!$E$3:$E3996,MOD(ROW()-2,COUNTA(helper!$D$3:$D3996))+1))</f>
        <v/>
      </c>
      <c r="E3528" s="3" t="str">
        <f t="array" ref="E3528">IF(B3528="","",INDEX(helper!$F$3:$F3996,MOD(ROW()-2,COUNTA(helper!$D$3:$D3996))+1))</f>
        <v/>
      </c>
      <c r="F3528" s="3" t="str">
        <f>IF(B3528="","",SUMIFS('inventory ledger'!$H:$H,'inventory ledger'!$C:$C,C3528,'inventory ledger'!$D:$D,D3528,'inventory ledger'!$E:$E,E3528,'inventory ledger'!$A:$A,"&lt;="&amp;B3528+TIME(23,59,59))-SUMIFS('inventory ledger'!$I:$I,'inventory ledger'!$C:$C,C3528,'inventory ledger'!$D:$D,D3528,'inventory ledger'!$E:$E,E3528,'inventory ledger'!$A:$A,"&lt;="&amp;B3528+TIME(23,59,59)))</f>
        <v/>
      </c>
      <c r="G3528" s="3">
        <f>IFERROR(__xludf.DUMMYFUNCTION("IF(F3528&lt;=0,0,IFERROR(ROUNDUP(F3528/INDEX(FILTER('warehouse config'!$D:$D,('warehouse config'!$B:$B=C3528)*('warehouse config'!$C:$C=D3528)*('warehouse config'!$G:$G&lt;=B3528)*(('warehouse config'!$H:$H&gt;=B3528)+ISBLANK('warehouse config'!$H:$H))),1)),0))"),0.0)</f>
        <v>0</v>
      </c>
      <c r="H3528" s="3">
        <f>IFERROR(__xludf.DUMMYFUNCTION("IFERROR(INDEX(FILTER('cost master'!$E:$E,('cost master'!$B:$B=C3528)*('cost master'!$D:$D=""Storage cost per pallet / week"")*('cost master'!$G:$G&lt;=B3528)*(('cost master'!$H:$H&gt;=B3528)+ISBLANK('cost master'!$H:$H))),1),0)"),0.0)</f>
        <v>0</v>
      </c>
      <c r="I3528" s="3">
        <f t="shared" si="4"/>
        <v>0</v>
      </c>
      <c r="J3528" s="27">
        <f t="shared" si="5"/>
        <v>693947</v>
      </c>
      <c r="K3528" s="27">
        <f t="shared" si="6"/>
        <v>693977</v>
      </c>
    </row>
    <row r="3529" hidden="1">
      <c r="A3529" s="3" t="str">
        <f t="shared" si="3"/>
        <v/>
      </c>
      <c r="B3529" s="2" t="str">
        <f t="array" ref="B3529">INDEX(helper!$A$3:$A3996,ROUNDUP((ROW()-1)/COUNTA(helper!$D$3:$D3996),0))</f>
        <v/>
      </c>
      <c r="C3529" s="5" t="str">
        <f t="array" ref="C3529">IF(B3529="","",INDEX(helper!$D$3:$D3996,MOD(ROW()-2,COUNTA(helper!$D$3:$D3996))+1))</f>
        <v/>
      </c>
      <c r="D3529" s="3" t="str">
        <f t="array" ref="D3529">IF(B3529="","",INDEX(helper!$E$3:$E3996,MOD(ROW()-2,COUNTA(helper!$D$3:$D3996))+1))</f>
        <v/>
      </c>
      <c r="E3529" s="3" t="str">
        <f t="array" ref="E3529">IF(B3529="","",INDEX(helper!$F$3:$F3996,MOD(ROW()-2,COUNTA(helper!$D$3:$D3996))+1))</f>
        <v/>
      </c>
      <c r="F3529" s="3" t="str">
        <f>IF(B3529="","",SUMIFS('inventory ledger'!$H:$H,'inventory ledger'!$C:$C,C3529,'inventory ledger'!$D:$D,D3529,'inventory ledger'!$E:$E,E3529,'inventory ledger'!$A:$A,"&lt;="&amp;B3529+TIME(23,59,59))-SUMIFS('inventory ledger'!$I:$I,'inventory ledger'!$C:$C,C3529,'inventory ledger'!$D:$D,D3529,'inventory ledger'!$E:$E,E3529,'inventory ledger'!$A:$A,"&lt;="&amp;B3529+TIME(23,59,59)))</f>
        <v/>
      </c>
      <c r="G3529" s="3">
        <f>IFERROR(__xludf.DUMMYFUNCTION("IF(F3529&lt;=0,0,IFERROR(ROUNDUP(F3529/INDEX(FILTER('warehouse config'!$D:$D,('warehouse config'!$B:$B=C3529)*('warehouse config'!$C:$C=D3529)*('warehouse config'!$G:$G&lt;=B3529)*(('warehouse config'!$H:$H&gt;=B3529)+ISBLANK('warehouse config'!$H:$H))),1)),0))"),0.0)</f>
        <v>0</v>
      </c>
      <c r="H3529" s="3">
        <f>IFERROR(__xludf.DUMMYFUNCTION("IFERROR(INDEX(FILTER('cost master'!$E:$E,('cost master'!$B:$B=C3529)*('cost master'!$D:$D=""Storage cost per pallet / week"")*('cost master'!$G:$G&lt;=B3529)*(('cost master'!$H:$H&gt;=B3529)+ISBLANK('cost master'!$H:$H))),1),0)"),0.0)</f>
        <v>0</v>
      </c>
      <c r="I3529" s="3">
        <f t="shared" si="4"/>
        <v>0</v>
      </c>
      <c r="J3529" s="27">
        <f t="shared" si="5"/>
        <v>693947</v>
      </c>
      <c r="K3529" s="27">
        <f t="shared" si="6"/>
        <v>693977</v>
      </c>
    </row>
    <row r="3530" hidden="1">
      <c r="A3530" s="3" t="str">
        <f t="shared" si="3"/>
        <v/>
      </c>
      <c r="B3530" s="2" t="str">
        <f t="array" ref="B3530">INDEX(helper!$A$3:$A3996,ROUNDUP((ROW()-1)/COUNTA(helper!$D$3:$D3996),0))</f>
        <v/>
      </c>
      <c r="C3530" s="5" t="str">
        <f t="array" ref="C3530">IF(B3530="","",INDEX(helper!$D$3:$D3996,MOD(ROW()-2,COUNTA(helper!$D$3:$D3996))+1))</f>
        <v/>
      </c>
      <c r="D3530" s="3" t="str">
        <f t="array" ref="D3530">IF(B3530="","",INDEX(helper!$E$3:$E3996,MOD(ROW()-2,COUNTA(helper!$D$3:$D3996))+1))</f>
        <v/>
      </c>
      <c r="E3530" s="3" t="str">
        <f t="array" ref="E3530">IF(B3530="","",INDEX(helper!$F$3:$F3996,MOD(ROW()-2,COUNTA(helper!$D$3:$D3996))+1))</f>
        <v/>
      </c>
      <c r="F3530" s="3" t="str">
        <f>IF(B3530="","",SUMIFS('inventory ledger'!$H:$H,'inventory ledger'!$C:$C,C3530,'inventory ledger'!$D:$D,D3530,'inventory ledger'!$E:$E,E3530,'inventory ledger'!$A:$A,"&lt;="&amp;B3530+TIME(23,59,59))-SUMIFS('inventory ledger'!$I:$I,'inventory ledger'!$C:$C,C3530,'inventory ledger'!$D:$D,D3530,'inventory ledger'!$E:$E,E3530,'inventory ledger'!$A:$A,"&lt;="&amp;B3530+TIME(23,59,59)))</f>
        <v/>
      </c>
      <c r="G3530" s="3">
        <f>IFERROR(__xludf.DUMMYFUNCTION("IF(F3530&lt;=0,0,IFERROR(ROUNDUP(F3530/INDEX(FILTER('warehouse config'!$D:$D,('warehouse config'!$B:$B=C3530)*('warehouse config'!$C:$C=D3530)*('warehouse config'!$G:$G&lt;=B3530)*(('warehouse config'!$H:$H&gt;=B3530)+ISBLANK('warehouse config'!$H:$H))),1)),0))"),0.0)</f>
        <v>0</v>
      </c>
      <c r="H3530" s="3">
        <f>IFERROR(__xludf.DUMMYFUNCTION("IFERROR(INDEX(FILTER('cost master'!$E:$E,('cost master'!$B:$B=C3530)*('cost master'!$D:$D=""Storage cost per pallet / week"")*('cost master'!$G:$G&lt;=B3530)*(('cost master'!$H:$H&gt;=B3530)+ISBLANK('cost master'!$H:$H))),1),0)"),0.0)</f>
        <v>0</v>
      </c>
      <c r="I3530" s="3">
        <f t="shared" si="4"/>
        <v>0</v>
      </c>
      <c r="J3530" s="27">
        <f t="shared" si="5"/>
        <v>693947</v>
      </c>
      <c r="K3530" s="27">
        <f t="shared" si="6"/>
        <v>693977</v>
      </c>
    </row>
    <row r="3531" hidden="1">
      <c r="A3531" s="3" t="str">
        <f t="shared" si="3"/>
        <v/>
      </c>
      <c r="B3531" s="2" t="str">
        <f t="array" ref="B3531">INDEX(helper!$A$3:$A3996,ROUNDUP((ROW()-1)/COUNTA(helper!$D$3:$D3996),0))</f>
        <v/>
      </c>
      <c r="C3531" s="5" t="str">
        <f t="array" ref="C3531">IF(B3531="","",INDEX(helper!$D$3:$D3996,MOD(ROW()-2,COUNTA(helper!$D$3:$D3996))+1))</f>
        <v/>
      </c>
      <c r="D3531" s="3" t="str">
        <f t="array" ref="D3531">IF(B3531="","",INDEX(helper!$E$3:$E3996,MOD(ROW()-2,COUNTA(helper!$D$3:$D3996))+1))</f>
        <v/>
      </c>
      <c r="E3531" s="3" t="str">
        <f t="array" ref="E3531">IF(B3531="","",INDEX(helper!$F$3:$F3996,MOD(ROW()-2,COUNTA(helper!$D$3:$D3996))+1))</f>
        <v/>
      </c>
      <c r="F3531" s="3" t="str">
        <f>IF(B3531="","",SUMIFS('inventory ledger'!$H:$H,'inventory ledger'!$C:$C,C3531,'inventory ledger'!$D:$D,D3531,'inventory ledger'!$E:$E,E3531,'inventory ledger'!$A:$A,"&lt;="&amp;B3531+TIME(23,59,59))-SUMIFS('inventory ledger'!$I:$I,'inventory ledger'!$C:$C,C3531,'inventory ledger'!$D:$D,D3531,'inventory ledger'!$E:$E,E3531,'inventory ledger'!$A:$A,"&lt;="&amp;B3531+TIME(23,59,59)))</f>
        <v/>
      </c>
      <c r="G3531" s="3">
        <f>IFERROR(__xludf.DUMMYFUNCTION("IF(F3531&lt;=0,0,IFERROR(ROUNDUP(F3531/INDEX(FILTER('warehouse config'!$D:$D,('warehouse config'!$B:$B=C3531)*('warehouse config'!$C:$C=D3531)*('warehouse config'!$G:$G&lt;=B3531)*(('warehouse config'!$H:$H&gt;=B3531)+ISBLANK('warehouse config'!$H:$H))),1)),0))"),0.0)</f>
        <v>0</v>
      </c>
      <c r="H3531" s="3">
        <f>IFERROR(__xludf.DUMMYFUNCTION("IFERROR(INDEX(FILTER('cost master'!$E:$E,('cost master'!$B:$B=C3531)*('cost master'!$D:$D=""Storage cost per pallet / week"")*('cost master'!$G:$G&lt;=B3531)*(('cost master'!$H:$H&gt;=B3531)+ISBLANK('cost master'!$H:$H))),1),0)"),0.0)</f>
        <v>0</v>
      </c>
      <c r="I3531" s="3">
        <f t="shared" si="4"/>
        <v>0</v>
      </c>
      <c r="J3531" s="27">
        <f t="shared" si="5"/>
        <v>693947</v>
      </c>
      <c r="K3531" s="27">
        <f t="shared" si="6"/>
        <v>693977</v>
      </c>
    </row>
    <row r="3532" hidden="1">
      <c r="A3532" s="3" t="str">
        <f t="shared" si="3"/>
        <v/>
      </c>
      <c r="B3532" s="2" t="str">
        <f t="array" ref="B3532">INDEX(helper!$A$3:$A3996,ROUNDUP((ROW()-1)/COUNTA(helper!$D$3:$D3996),0))</f>
        <v/>
      </c>
      <c r="C3532" s="5" t="str">
        <f t="array" ref="C3532">IF(B3532="","",INDEX(helper!$D$3:$D3996,MOD(ROW()-2,COUNTA(helper!$D$3:$D3996))+1))</f>
        <v/>
      </c>
      <c r="D3532" s="3" t="str">
        <f t="array" ref="D3532">IF(B3532="","",INDEX(helper!$E$3:$E3996,MOD(ROW()-2,COUNTA(helper!$D$3:$D3996))+1))</f>
        <v/>
      </c>
      <c r="E3532" s="3" t="str">
        <f t="array" ref="E3532">IF(B3532="","",INDEX(helper!$F$3:$F3996,MOD(ROW()-2,COUNTA(helper!$D$3:$D3996))+1))</f>
        <v/>
      </c>
      <c r="F3532" s="3" t="str">
        <f>IF(B3532="","",SUMIFS('inventory ledger'!$H:$H,'inventory ledger'!$C:$C,C3532,'inventory ledger'!$D:$D,D3532,'inventory ledger'!$E:$E,E3532,'inventory ledger'!$A:$A,"&lt;="&amp;B3532+TIME(23,59,59))-SUMIFS('inventory ledger'!$I:$I,'inventory ledger'!$C:$C,C3532,'inventory ledger'!$D:$D,D3532,'inventory ledger'!$E:$E,E3532,'inventory ledger'!$A:$A,"&lt;="&amp;B3532+TIME(23,59,59)))</f>
        <v/>
      </c>
      <c r="G3532" s="3">
        <f>IFERROR(__xludf.DUMMYFUNCTION("IF(F3532&lt;=0,0,IFERROR(ROUNDUP(F3532/INDEX(FILTER('warehouse config'!$D:$D,('warehouse config'!$B:$B=C3532)*('warehouse config'!$C:$C=D3532)*('warehouse config'!$G:$G&lt;=B3532)*(('warehouse config'!$H:$H&gt;=B3532)+ISBLANK('warehouse config'!$H:$H))),1)),0))"),0.0)</f>
        <v>0</v>
      </c>
      <c r="H3532" s="3">
        <f>IFERROR(__xludf.DUMMYFUNCTION("IFERROR(INDEX(FILTER('cost master'!$E:$E,('cost master'!$B:$B=C3532)*('cost master'!$D:$D=""Storage cost per pallet / week"")*('cost master'!$G:$G&lt;=B3532)*(('cost master'!$H:$H&gt;=B3532)+ISBLANK('cost master'!$H:$H))),1),0)"),0.0)</f>
        <v>0</v>
      </c>
      <c r="I3532" s="3">
        <f t="shared" si="4"/>
        <v>0</v>
      </c>
      <c r="J3532" s="27">
        <f t="shared" si="5"/>
        <v>693947</v>
      </c>
      <c r="K3532" s="27">
        <f t="shared" si="6"/>
        <v>693977</v>
      </c>
    </row>
    <row r="3533" hidden="1">
      <c r="A3533" s="3" t="str">
        <f t="shared" si="3"/>
        <v/>
      </c>
      <c r="B3533" s="2" t="str">
        <f t="array" ref="B3533">INDEX(helper!$A$3:$A3996,ROUNDUP((ROW()-1)/COUNTA(helper!$D$3:$D3996),0))</f>
        <v/>
      </c>
      <c r="C3533" s="5" t="str">
        <f t="array" ref="C3533">IF(B3533="","",INDEX(helper!$D$3:$D3996,MOD(ROW()-2,COUNTA(helper!$D$3:$D3996))+1))</f>
        <v/>
      </c>
      <c r="D3533" s="3" t="str">
        <f t="array" ref="D3533">IF(B3533="","",INDEX(helper!$E$3:$E3996,MOD(ROW()-2,COUNTA(helper!$D$3:$D3996))+1))</f>
        <v/>
      </c>
      <c r="E3533" s="3" t="str">
        <f t="array" ref="E3533">IF(B3533="","",INDEX(helper!$F$3:$F3996,MOD(ROW()-2,COUNTA(helper!$D$3:$D3996))+1))</f>
        <v/>
      </c>
      <c r="F3533" s="3" t="str">
        <f>IF(B3533="","",SUMIFS('inventory ledger'!$H:$H,'inventory ledger'!$C:$C,C3533,'inventory ledger'!$D:$D,D3533,'inventory ledger'!$E:$E,E3533,'inventory ledger'!$A:$A,"&lt;="&amp;B3533+TIME(23,59,59))-SUMIFS('inventory ledger'!$I:$I,'inventory ledger'!$C:$C,C3533,'inventory ledger'!$D:$D,D3533,'inventory ledger'!$E:$E,E3533,'inventory ledger'!$A:$A,"&lt;="&amp;B3533+TIME(23,59,59)))</f>
        <v/>
      </c>
      <c r="G3533" s="3">
        <f>IFERROR(__xludf.DUMMYFUNCTION("IF(F3533&lt;=0,0,IFERROR(ROUNDUP(F3533/INDEX(FILTER('warehouse config'!$D:$D,('warehouse config'!$B:$B=C3533)*('warehouse config'!$C:$C=D3533)*('warehouse config'!$G:$G&lt;=B3533)*(('warehouse config'!$H:$H&gt;=B3533)+ISBLANK('warehouse config'!$H:$H))),1)),0))"),0.0)</f>
        <v>0</v>
      </c>
      <c r="H3533" s="3">
        <f>IFERROR(__xludf.DUMMYFUNCTION("IFERROR(INDEX(FILTER('cost master'!$E:$E,('cost master'!$B:$B=C3533)*('cost master'!$D:$D=""Storage cost per pallet / week"")*('cost master'!$G:$G&lt;=B3533)*(('cost master'!$H:$H&gt;=B3533)+ISBLANK('cost master'!$H:$H))),1),0)"),0.0)</f>
        <v>0</v>
      </c>
      <c r="I3533" s="3">
        <f t="shared" si="4"/>
        <v>0</v>
      </c>
      <c r="J3533" s="27">
        <f t="shared" si="5"/>
        <v>693947</v>
      </c>
      <c r="K3533" s="27">
        <f t="shared" si="6"/>
        <v>693977</v>
      </c>
    </row>
    <row r="3534" hidden="1">
      <c r="A3534" s="3" t="str">
        <f t="shared" si="3"/>
        <v/>
      </c>
      <c r="B3534" s="2" t="str">
        <f t="array" ref="B3534">INDEX(helper!$A$3:$A3996,ROUNDUP((ROW()-1)/COUNTA(helper!$D$3:$D3996),0))</f>
        <v/>
      </c>
      <c r="C3534" s="5" t="str">
        <f t="array" ref="C3534">IF(B3534="","",INDEX(helper!$D$3:$D3996,MOD(ROW()-2,COUNTA(helper!$D$3:$D3996))+1))</f>
        <v/>
      </c>
      <c r="D3534" s="3" t="str">
        <f t="array" ref="D3534">IF(B3534="","",INDEX(helper!$E$3:$E3996,MOD(ROW()-2,COUNTA(helper!$D$3:$D3996))+1))</f>
        <v/>
      </c>
      <c r="E3534" s="3" t="str">
        <f t="array" ref="E3534">IF(B3534="","",INDEX(helper!$F$3:$F3996,MOD(ROW()-2,COUNTA(helper!$D$3:$D3996))+1))</f>
        <v/>
      </c>
      <c r="F3534" s="3" t="str">
        <f>IF(B3534="","",SUMIFS('inventory ledger'!$H:$H,'inventory ledger'!$C:$C,C3534,'inventory ledger'!$D:$D,D3534,'inventory ledger'!$E:$E,E3534,'inventory ledger'!$A:$A,"&lt;="&amp;B3534+TIME(23,59,59))-SUMIFS('inventory ledger'!$I:$I,'inventory ledger'!$C:$C,C3534,'inventory ledger'!$D:$D,D3534,'inventory ledger'!$E:$E,E3534,'inventory ledger'!$A:$A,"&lt;="&amp;B3534+TIME(23,59,59)))</f>
        <v/>
      </c>
      <c r="G3534" s="3">
        <f>IFERROR(__xludf.DUMMYFUNCTION("IF(F3534&lt;=0,0,IFERROR(ROUNDUP(F3534/INDEX(FILTER('warehouse config'!$D:$D,('warehouse config'!$B:$B=C3534)*('warehouse config'!$C:$C=D3534)*('warehouse config'!$G:$G&lt;=B3534)*(('warehouse config'!$H:$H&gt;=B3534)+ISBLANK('warehouse config'!$H:$H))),1)),0))"),0.0)</f>
        <v>0</v>
      </c>
      <c r="H3534" s="3">
        <f>IFERROR(__xludf.DUMMYFUNCTION("IFERROR(INDEX(FILTER('cost master'!$E:$E,('cost master'!$B:$B=C3534)*('cost master'!$D:$D=""Storage cost per pallet / week"")*('cost master'!$G:$G&lt;=B3534)*(('cost master'!$H:$H&gt;=B3534)+ISBLANK('cost master'!$H:$H))),1),0)"),0.0)</f>
        <v>0</v>
      </c>
      <c r="I3534" s="3">
        <f t="shared" si="4"/>
        <v>0</v>
      </c>
      <c r="J3534" s="27">
        <f t="shared" si="5"/>
        <v>693947</v>
      </c>
      <c r="K3534" s="27">
        <f t="shared" si="6"/>
        <v>693977</v>
      </c>
    </row>
    <row r="3535" hidden="1">
      <c r="A3535" s="3" t="str">
        <f t="shared" si="3"/>
        <v/>
      </c>
      <c r="B3535" s="2" t="str">
        <f t="array" ref="B3535">INDEX(helper!$A$3:$A3996,ROUNDUP((ROW()-1)/COUNTA(helper!$D$3:$D3996),0))</f>
        <v/>
      </c>
      <c r="C3535" s="5" t="str">
        <f t="array" ref="C3535">IF(B3535="","",INDEX(helper!$D$3:$D3996,MOD(ROW()-2,COUNTA(helper!$D$3:$D3996))+1))</f>
        <v/>
      </c>
      <c r="D3535" s="3" t="str">
        <f t="array" ref="D3535">IF(B3535="","",INDEX(helper!$E$3:$E3996,MOD(ROW()-2,COUNTA(helper!$D$3:$D3996))+1))</f>
        <v/>
      </c>
      <c r="E3535" s="3" t="str">
        <f t="array" ref="E3535">IF(B3535="","",INDEX(helper!$F$3:$F3996,MOD(ROW()-2,COUNTA(helper!$D$3:$D3996))+1))</f>
        <v/>
      </c>
      <c r="F3535" s="3" t="str">
        <f>IF(B3535="","",SUMIFS('inventory ledger'!$H:$H,'inventory ledger'!$C:$C,C3535,'inventory ledger'!$D:$D,D3535,'inventory ledger'!$E:$E,E3535,'inventory ledger'!$A:$A,"&lt;="&amp;B3535+TIME(23,59,59))-SUMIFS('inventory ledger'!$I:$I,'inventory ledger'!$C:$C,C3535,'inventory ledger'!$D:$D,D3535,'inventory ledger'!$E:$E,E3535,'inventory ledger'!$A:$A,"&lt;="&amp;B3535+TIME(23,59,59)))</f>
        <v/>
      </c>
      <c r="G3535" s="3">
        <f>IFERROR(__xludf.DUMMYFUNCTION("IF(F3535&lt;=0,0,IFERROR(ROUNDUP(F3535/INDEX(FILTER('warehouse config'!$D:$D,('warehouse config'!$B:$B=C3535)*('warehouse config'!$C:$C=D3535)*('warehouse config'!$G:$G&lt;=B3535)*(('warehouse config'!$H:$H&gt;=B3535)+ISBLANK('warehouse config'!$H:$H))),1)),0))"),0.0)</f>
        <v>0</v>
      </c>
      <c r="H3535" s="3">
        <f>IFERROR(__xludf.DUMMYFUNCTION("IFERROR(INDEX(FILTER('cost master'!$E:$E,('cost master'!$B:$B=C3535)*('cost master'!$D:$D=""Storage cost per pallet / week"")*('cost master'!$G:$G&lt;=B3535)*(('cost master'!$H:$H&gt;=B3535)+ISBLANK('cost master'!$H:$H))),1),0)"),0.0)</f>
        <v>0</v>
      </c>
      <c r="I3535" s="3">
        <f t="shared" si="4"/>
        <v>0</v>
      </c>
      <c r="J3535" s="27">
        <f t="shared" si="5"/>
        <v>693947</v>
      </c>
      <c r="K3535" s="27">
        <f t="shared" si="6"/>
        <v>693977</v>
      </c>
    </row>
    <row r="3536" hidden="1">
      <c r="A3536" s="3" t="str">
        <f t="shared" si="3"/>
        <v/>
      </c>
      <c r="B3536" s="2" t="str">
        <f t="array" ref="B3536">INDEX(helper!$A$3:$A3996,ROUNDUP((ROW()-1)/COUNTA(helper!$D$3:$D3996),0))</f>
        <v/>
      </c>
      <c r="C3536" s="5" t="str">
        <f t="array" ref="C3536">IF(B3536="","",INDEX(helper!$D$3:$D3996,MOD(ROW()-2,COUNTA(helper!$D$3:$D3996))+1))</f>
        <v/>
      </c>
      <c r="D3536" s="3" t="str">
        <f t="array" ref="D3536">IF(B3536="","",INDEX(helper!$E$3:$E3996,MOD(ROW()-2,COUNTA(helper!$D$3:$D3996))+1))</f>
        <v/>
      </c>
      <c r="E3536" s="3" t="str">
        <f t="array" ref="E3536">IF(B3536="","",INDEX(helper!$F$3:$F3996,MOD(ROW()-2,COUNTA(helper!$D$3:$D3996))+1))</f>
        <v/>
      </c>
      <c r="F3536" s="3" t="str">
        <f>IF(B3536="","",SUMIFS('inventory ledger'!$H:$H,'inventory ledger'!$C:$C,C3536,'inventory ledger'!$D:$D,D3536,'inventory ledger'!$E:$E,E3536,'inventory ledger'!$A:$A,"&lt;="&amp;B3536+TIME(23,59,59))-SUMIFS('inventory ledger'!$I:$I,'inventory ledger'!$C:$C,C3536,'inventory ledger'!$D:$D,D3536,'inventory ledger'!$E:$E,E3536,'inventory ledger'!$A:$A,"&lt;="&amp;B3536+TIME(23,59,59)))</f>
        <v/>
      </c>
      <c r="G3536" s="3">
        <f>IFERROR(__xludf.DUMMYFUNCTION("IF(F3536&lt;=0,0,IFERROR(ROUNDUP(F3536/INDEX(FILTER('warehouse config'!$D:$D,('warehouse config'!$B:$B=C3536)*('warehouse config'!$C:$C=D3536)*('warehouse config'!$G:$G&lt;=B3536)*(('warehouse config'!$H:$H&gt;=B3536)+ISBLANK('warehouse config'!$H:$H))),1)),0))"),0.0)</f>
        <v>0</v>
      </c>
      <c r="H3536" s="3">
        <f>IFERROR(__xludf.DUMMYFUNCTION("IFERROR(INDEX(FILTER('cost master'!$E:$E,('cost master'!$B:$B=C3536)*('cost master'!$D:$D=""Storage cost per pallet / week"")*('cost master'!$G:$G&lt;=B3536)*(('cost master'!$H:$H&gt;=B3536)+ISBLANK('cost master'!$H:$H))),1),0)"),0.0)</f>
        <v>0</v>
      </c>
      <c r="I3536" s="3">
        <f t="shared" si="4"/>
        <v>0</v>
      </c>
      <c r="J3536" s="27">
        <f t="shared" si="5"/>
        <v>693947</v>
      </c>
      <c r="K3536" s="27">
        <f t="shared" si="6"/>
        <v>693977</v>
      </c>
    </row>
    <row r="3537" hidden="1">
      <c r="A3537" s="3" t="str">
        <f t="shared" si="3"/>
        <v/>
      </c>
      <c r="B3537" s="2" t="str">
        <f t="array" ref="B3537">INDEX(helper!$A$3:$A3996,ROUNDUP((ROW()-1)/COUNTA(helper!$D$3:$D3996),0))</f>
        <v/>
      </c>
      <c r="C3537" s="5" t="str">
        <f t="array" ref="C3537">IF(B3537="","",INDEX(helper!$D$3:$D3996,MOD(ROW()-2,COUNTA(helper!$D$3:$D3996))+1))</f>
        <v/>
      </c>
      <c r="D3537" s="3" t="str">
        <f t="array" ref="D3537">IF(B3537="","",INDEX(helper!$E$3:$E3996,MOD(ROW()-2,COUNTA(helper!$D$3:$D3996))+1))</f>
        <v/>
      </c>
      <c r="E3537" s="3" t="str">
        <f t="array" ref="E3537">IF(B3537="","",INDEX(helper!$F$3:$F3996,MOD(ROW()-2,COUNTA(helper!$D$3:$D3996))+1))</f>
        <v/>
      </c>
      <c r="F3537" s="3" t="str">
        <f>IF(B3537="","",SUMIFS('inventory ledger'!$H:$H,'inventory ledger'!$C:$C,C3537,'inventory ledger'!$D:$D,D3537,'inventory ledger'!$E:$E,E3537,'inventory ledger'!$A:$A,"&lt;="&amp;B3537+TIME(23,59,59))-SUMIFS('inventory ledger'!$I:$I,'inventory ledger'!$C:$C,C3537,'inventory ledger'!$D:$D,D3537,'inventory ledger'!$E:$E,E3537,'inventory ledger'!$A:$A,"&lt;="&amp;B3537+TIME(23,59,59)))</f>
        <v/>
      </c>
      <c r="G3537" s="3">
        <f>IFERROR(__xludf.DUMMYFUNCTION("IF(F3537&lt;=0,0,IFERROR(ROUNDUP(F3537/INDEX(FILTER('warehouse config'!$D:$D,('warehouse config'!$B:$B=C3537)*('warehouse config'!$C:$C=D3537)*('warehouse config'!$G:$G&lt;=B3537)*(('warehouse config'!$H:$H&gt;=B3537)+ISBLANK('warehouse config'!$H:$H))),1)),0))"),0.0)</f>
        <v>0</v>
      </c>
      <c r="H3537" s="3">
        <f>IFERROR(__xludf.DUMMYFUNCTION("IFERROR(INDEX(FILTER('cost master'!$E:$E,('cost master'!$B:$B=C3537)*('cost master'!$D:$D=""Storage cost per pallet / week"")*('cost master'!$G:$G&lt;=B3537)*(('cost master'!$H:$H&gt;=B3537)+ISBLANK('cost master'!$H:$H))),1),0)"),0.0)</f>
        <v>0</v>
      </c>
      <c r="I3537" s="3">
        <f t="shared" si="4"/>
        <v>0</v>
      </c>
      <c r="J3537" s="27">
        <f t="shared" si="5"/>
        <v>693947</v>
      </c>
      <c r="K3537" s="27">
        <f t="shared" si="6"/>
        <v>693977</v>
      </c>
    </row>
    <row r="3538" hidden="1">
      <c r="A3538" s="3" t="str">
        <f t="shared" si="3"/>
        <v/>
      </c>
      <c r="B3538" s="2" t="str">
        <f t="array" ref="B3538">INDEX(helper!$A$3:$A3996,ROUNDUP((ROW()-1)/COUNTA(helper!$D$3:$D3996),0))</f>
        <v/>
      </c>
      <c r="C3538" s="5" t="str">
        <f t="array" ref="C3538">IF(B3538="","",INDEX(helper!$D$3:$D3996,MOD(ROW()-2,COUNTA(helper!$D$3:$D3996))+1))</f>
        <v/>
      </c>
      <c r="D3538" s="3" t="str">
        <f t="array" ref="D3538">IF(B3538="","",INDEX(helper!$E$3:$E3996,MOD(ROW()-2,COUNTA(helper!$D$3:$D3996))+1))</f>
        <v/>
      </c>
      <c r="E3538" s="3" t="str">
        <f t="array" ref="E3538">IF(B3538="","",INDEX(helper!$F$3:$F3996,MOD(ROW()-2,COUNTA(helper!$D$3:$D3996))+1))</f>
        <v/>
      </c>
      <c r="F3538" s="3" t="str">
        <f>IF(B3538="","",SUMIFS('inventory ledger'!$H:$H,'inventory ledger'!$C:$C,C3538,'inventory ledger'!$D:$D,D3538,'inventory ledger'!$E:$E,E3538,'inventory ledger'!$A:$A,"&lt;="&amp;B3538+TIME(23,59,59))-SUMIFS('inventory ledger'!$I:$I,'inventory ledger'!$C:$C,C3538,'inventory ledger'!$D:$D,D3538,'inventory ledger'!$E:$E,E3538,'inventory ledger'!$A:$A,"&lt;="&amp;B3538+TIME(23,59,59)))</f>
        <v/>
      </c>
      <c r="G3538" s="3">
        <f>IFERROR(__xludf.DUMMYFUNCTION("IF(F3538&lt;=0,0,IFERROR(ROUNDUP(F3538/INDEX(FILTER('warehouse config'!$D:$D,('warehouse config'!$B:$B=C3538)*('warehouse config'!$C:$C=D3538)*('warehouse config'!$G:$G&lt;=B3538)*(('warehouse config'!$H:$H&gt;=B3538)+ISBLANK('warehouse config'!$H:$H))),1)),0))"),0.0)</f>
        <v>0</v>
      </c>
      <c r="H3538" s="3">
        <f>IFERROR(__xludf.DUMMYFUNCTION("IFERROR(INDEX(FILTER('cost master'!$E:$E,('cost master'!$B:$B=C3538)*('cost master'!$D:$D=""Storage cost per pallet / week"")*('cost master'!$G:$G&lt;=B3538)*(('cost master'!$H:$H&gt;=B3538)+ISBLANK('cost master'!$H:$H))),1),0)"),0.0)</f>
        <v>0</v>
      </c>
      <c r="I3538" s="3">
        <f t="shared" si="4"/>
        <v>0</v>
      </c>
      <c r="J3538" s="27">
        <f t="shared" si="5"/>
        <v>693947</v>
      </c>
      <c r="K3538" s="27">
        <f t="shared" si="6"/>
        <v>693977</v>
      </c>
    </row>
    <row r="3539" hidden="1">
      <c r="A3539" s="3" t="str">
        <f t="shared" si="3"/>
        <v/>
      </c>
      <c r="B3539" s="2" t="str">
        <f t="array" ref="B3539">INDEX(helper!$A$3:$A3996,ROUNDUP((ROW()-1)/COUNTA(helper!$D$3:$D3996),0))</f>
        <v/>
      </c>
      <c r="C3539" s="5" t="str">
        <f t="array" ref="C3539">IF(B3539="","",INDEX(helper!$D$3:$D3996,MOD(ROW()-2,COUNTA(helper!$D$3:$D3996))+1))</f>
        <v/>
      </c>
      <c r="D3539" s="3" t="str">
        <f t="array" ref="D3539">IF(B3539="","",INDEX(helper!$E$3:$E3996,MOD(ROW()-2,COUNTA(helper!$D$3:$D3996))+1))</f>
        <v/>
      </c>
      <c r="E3539" s="3" t="str">
        <f t="array" ref="E3539">IF(B3539="","",INDEX(helper!$F$3:$F3996,MOD(ROW()-2,COUNTA(helper!$D$3:$D3996))+1))</f>
        <v/>
      </c>
      <c r="F3539" s="3" t="str">
        <f>IF(B3539="","",SUMIFS('inventory ledger'!$H:$H,'inventory ledger'!$C:$C,C3539,'inventory ledger'!$D:$D,D3539,'inventory ledger'!$E:$E,E3539,'inventory ledger'!$A:$A,"&lt;="&amp;B3539+TIME(23,59,59))-SUMIFS('inventory ledger'!$I:$I,'inventory ledger'!$C:$C,C3539,'inventory ledger'!$D:$D,D3539,'inventory ledger'!$E:$E,E3539,'inventory ledger'!$A:$A,"&lt;="&amp;B3539+TIME(23,59,59)))</f>
        <v/>
      </c>
      <c r="G3539" s="3">
        <f>IFERROR(__xludf.DUMMYFUNCTION("IF(F3539&lt;=0,0,IFERROR(ROUNDUP(F3539/INDEX(FILTER('warehouse config'!$D:$D,('warehouse config'!$B:$B=C3539)*('warehouse config'!$C:$C=D3539)*('warehouse config'!$G:$G&lt;=B3539)*(('warehouse config'!$H:$H&gt;=B3539)+ISBLANK('warehouse config'!$H:$H))),1)),0))"),0.0)</f>
        <v>0</v>
      </c>
      <c r="H3539" s="3">
        <f>IFERROR(__xludf.DUMMYFUNCTION("IFERROR(INDEX(FILTER('cost master'!$E:$E,('cost master'!$B:$B=C3539)*('cost master'!$D:$D=""Storage cost per pallet / week"")*('cost master'!$G:$G&lt;=B3539)*(('cost master'!$H:$H&gt;=B3539)+ISBLANK('cost master'!$H:$H))),1),0)"),0.0)</f>
        <v>0</v>
      </c>
      <c r="I3539" s="3">
        <f t="shared" si="4"/>
        <v>0</v>
      </c>
      <c r="J3539" s="27">
        <f t="shared" si="5"/>
        <v>693947</v>
      </c>
      <c r="K3539" s="27">
        <f t="shared" si="6"/>
        <v>693977</v>
      </c>
    </row>
    <row r="3540" hidden="1">
      <c r="A3540" s="3" t="str">
        <f t="shared" si="3"/>
        <v/>
      </c>
      <c r="B3540" s="2" t="str">
        <f t="array" ref="B3540">INDEX(helper!$A$3:$A3996,ROUNDUP((ROW()-1)/COUNTA(helper!$D$3:$D3996),0))</f>
        <v/>
      </c>
      <c r="C3540" s="5" t="str">
        <f t="array" ref="C3540">IF(B3540="","",INDEX(helper!$D$3:$D3996,MOD(ROW()-2,COUNTA(helper!$D$3:$D3996))+1))</f>
        <v/>
      </c>
      <c r="D3540" s="3" t="str">
        <f t="array" ref="D3540">IF(B3540="","",INDEX(helper!$E$3:$E3996,MOD(ROW()-2,COUNTA(helper!$D$3:$D3996))+1))</f>
        <v/>
      </c>
      <c r="E3540" s="3" t="str">
        <f t="array" ref="E3540">IF(B3540="","",INDEX(helper!$F$3:$F3996,MOD(ROW()-2,COUNTA(helper!$D$3:$D3996))+1))</f>
        <v/>
      </c>
      <c r="F3540" s="3" t="str">
        <f>IF(B3540="","",SUMIFS('inventory ledger'!$H:$H,'inventory ledger'!$C:$C,C3540,'inventory ledger'!$D:$D,D3540,'inventory ledger'!$E:$E,E3540,'inventory ledger'!$A:$A,"&lt;="&amp;B3540+TIME(23,59,59))-SUMIFS('inventory ledger'!$I:$I,'inventory ledger'!$C:$C,C3540,'inventory ledger'!$D:$D,D3540,'inventory ledger'!$E:$E,E3540,'inventory ledger'!$A:$A,"&lt;="&amp;B3540+TIME(23,59,59)))</f>
        <v/>
      </c>
      <c r="G3540" s="3">
        <f>IFERROR(__xludf.DUMMYFUNCTION("IF(F3540&lt;=0,0,IFERROR(ROUNDUP(F3540/INDEX(FILTER('warehouse config'!$D:$D,('warehouse config'!$B:$B=C3540)*('warehouse config'!$C:$C=D3540)*('warehouse config'!$G:$G&lt;=B3540)*(('warehouse config'!$H:$H&gt;=B3540)+ISBLANK('warehouse config'!$H:$H))),1)),0))"),0.0)</f>
        <v>0</v>
      </c>
      <c r="H3540" s="3">
        <f>IFERROR(__xludf.DUMMYFUNCTION("IFERROR(INDEX(FILTER('cost master'!$E:$E,('cost master'!$B:$B=C3540)*('cost master'!$D:$D=""Storage cost per pallet / week"")*('cost master'!$G:$G&lt;=B3540)*(('cost master'!$H:$H&gt;=B3540)+ISBLANK('cost master'!$H:$H))),1),0)"),0.0)</f>
        <v>0</v>
      </c>
      <c r="I3540" s="3">
        <f t="shared" si="4"/>
        <v>0</v>
      </c>
      <c r="J3540" s="27">
        <f t="shared" si="5"/>
        <v>693947</v>
      </c>
      <c r="K3540" s="27">
        <f t="shared" si="6"/>
        <v>693977</v>
      </c>
    </row>
    <row r="3541" hidden="1">
      <c r="A3541" s="3" t="str">
        <f t="shared" si="3"/>
        <v/>
      </c>
      <c r="B3541" s="2" t="str">
        <f t="array" ref="B3541">INDEX(helper!$A$3:$A3996,ROUNDUP((ROW()-1)/COUNTA(helper!$D$3:$D3996),0))</f>
        <v/>
      </c>
      <c r="C3541" s="5" t="str">
        <f t="array" ref="C3541">IF(B3541="","",INDEX(helper!$D$3:$D3996,MOD(ROW()-2,COUNTA(helper!$D$3:$D3996))+1))</f>
        <v/>
      </c>
      <c r="D3541" s="3" t="str">
        <f t="array" ref="D3541">IF(B3541="","",INDEX(helper!$E$3:$E3996,MOD(ROW()-2,COUNTA(helper!$D$3:$D3996))+1))</f>
        <v/>
      </c>
      <c r="E3541" s="3" t="str">
        <f t="array" ref="E3541">IF(B3541="","",INDEX(helper!$F$3:$F3996,MOD(ROW()-2,COUNTA(helper!$D$3:$D3996))+1))</f>
        <v/>
      </c>
      <c r="F3541" s="3" t="str">
        <f>IF(B3541="","",SUMIFS('inventory ledger'!$H:$H,'inventory ledger'!$C:$C,C3541,'inventory ledger'!$D:$D,D3541,'inventory ledger'!$E:$E,E3541,'inventory ledger'!$A:$A,"&lt;="&amp;B3541+TIME(23,59,59))-SUMIFS('inventory ledger'!$I:$I,'inventory ledger'!$C:$C,C3541,'inventory ledger'!$D:$D,D3541,'inventory ledger'!$E:$E,E3541,'inventory ledger'!$A:$A,"&lt;="&amp;B3541+TIME(23,59,59)))</f>
        <v/>
      </c>
      <c r="G3541" s="3">
        <f>IFERROR(__xludf.DUMMYFUNCTION("IF(F3541&lt;=0,0,IFERROR(ROUNDUP(F3541/INDEX(FILTER('warehouse config'!$D:$D,('warehouse config'!$B:$B=C3541)*('warehouse config'!$C:$C=D3541)*('warehouse config'!$G:$G&lt;=B3541)*(('warehouse config'!$H:$H&gt;=B3541)+ISBLANK('warehouse config'!$H:$H))),1)),0))"),0.0)</f>
        <v>0</v>
      </c>
      <c r="H3541" s="3">
        <f>IFERROR(__xludf.DUMMYFUNCTION("IFERROR(INDEX(FILTER('cost master'!$E:$E,('cost master'!$B:$B=C3541)*('cost master'!$D:$D=""Storage cost per pallet / week"")*('cost master'!$G:$G&lt;=B3541)*(('cost master'!$H:$H&gt;=B3541)+ISBLANK('cost master'!$H:$H))),1),0)"),0.0)</f>
        <v>0</v>
      </c>
      <c r="I3541" s="3">
        <f t="shared" si="4"/>
        <v>0</v>
      </c>
      <c r="J3541" s="27">
        <f t="shared" si="5"/>
        <v>693947</v>
      </c>
      <c r="K3541" s="27">
        <f t="shared" si="6"/>
        <v>693977</v>
      </c>
    </row>
    <row r="3542" hidden="1">
      <c r="A3542" s="3" t="str">
        <f t="shared" si="3"/>
        <v/>
      </c>
      <c r="B3542" s="2" t="str">
        <f t="array" ref="B3542">INDEX(helper!$A$3:$A3996,ROUNDUP((ROW()-1)/COUNTA(helper!$D$3:$D3996),0))</f>
        <v/>
      </c>
      <c r="C3542" s="5" t="str">
        <f t="array" ref="C3542">IF(B3542="","",INDEX(helper!$D$3:$D3996,MOD(ROW()-2,COUNTA(helper!$D$3:$D3996))+1))</f>
        <v/>
      </c>
      <c r="D3542" s="3" t="str">
        <f t="array" ref="D3542">IF(B3542="","",INDEX(helper!$E$3:$E3996,MOD(ROW()-2,COUNTA(helper!$D$3:$D3996))+1))</f>
        <v/>
      </c>
      <c r="E3542" s="3" t="str">
        <f t="array" ref="E3542">IF(B3542="","",INDEX(helper!$F$3:$F3996,MOD(ROW()-2,COUNTA(helper!$D$3:$D3996))+1))</f>
        <v/>
      </c>
      <c r="F3542" s="3" t="str">
        <f>IF(B3542="","",SUMIFS('inventory ledger'!$H:$H,'inventory ledger'!$C:$C,C3542,'inventory ledger'!$D:$D,D3542,'inventory ledger'!$E:$E,E3542,'inventory ledger'!$A:$A,"&lt;="&amp;B3542+TIME(23,59,59))-SUMIFS('inventory ledger'!$I:$I,'inventory ledger'!$C:$C,C3542,'inventory ledger'!$D:$D,D3542,'inventory ledger'!$E:$E,E3542,'inventory ledger'!$A:$A,"&lt;="&amp;B3542+TIME(23,59,59)))</f>
        <v/>
      </c>
      <c r="G3542" s="3">
        <f>IFERROR(__xludf.DUMMYFUNCTION("IF(F3542&lt;=0,0,IFERROR(ROUNDUP(F3542/INDEX(FILTER('warehouse config'!$D:$D,('warehouse config'!$B:$B=C3542)*('warehouse config'!$C:$C=D3542)*('warehouse config'!$G:$G&lt;=B3542)*(('warehouse config'!$H:$H&gt;=B3542)+ISBLANK('warehouse config'!$H:$H))),1)),0))"),0.0)</f>
        <v>0</v>
      </c>
      <c r="H3542" s="3">
        <f>IFERROR(__xludf.DUMMYFUNCTION("IFERROR(INDEX(FILTER('cost master'!$E:$E,('cost master'!$B:$B=C3542)*('cost master'!$D:$D=""Storage cost per pallet / week"")*('cost master'!$G:$G&lt;=B3542)*(('cost master'!$H:$H&gt;=B3542)+ISBLANK('cost master'!$H:$H))),1),0)"),0.0)</f>
        <v>0</v>
      </c>
      <c r="I3542" s="3">
        <f t="shared" si="4"/>
        <v>0</v>
      </c>
      <c r="J3542" s="27">
        <f t="shared" si="5"/>
        <v>693947</v>
      </c>
      <c r="K3542" s="27">
        <f t="shared" si="6"/>
        <v>693977</v>
      </c>
    </row>
    <row r="3543" hidden="1">
      <c r="A3543" s="3" t="str">
        <f t="shared" si="3"/>
        <v/>
      </c>
      <c r="B3543" s="2" t="str">
        <f t="array" ref="B3543">INDEX(helper!$A$3:$A3996,ROUNDUP((ROW()-1)/COUNTA(helper!$D$3:$D3996),0))</f>
        <v/>
      </c>
      <c r="C3543" s="5" t="str">
        <f t="array" ref="C3543">IF(B3543="","",INDEX(helper!$D$3:$D3996,MOD(ROW()-2,COUNTA(helper!$D$3:$D3996))+1))</f>
        <v/>
      </c>
      <c r="D3543" s="3" t="str">
        <f t="array" ref="D3543">IF(B3543="","",INDEX(helper!$E$3:$E3996,MOD(ROW()-2,COUNTA(helper!$D$3:$D3996))+1))</f>
        <v/>
      </c>
      <c r="E3543" s="3" t="str">
        <f t="array" ref="E3543">IF(B3543="","",INDEX(helper!$F$3:$F3996,MOD(ROW()-2,COUNTA(helper!$D$3:$D3996))+1))</f>
        <v/>
      </c>
      <c r="F3543" s="3" t="str">
        <f>IF(B3543="","",SUMIFS('inventory ledger'!$H:$H,'inventory ledger'!$C:$C,C3543,'inventory ledger'!$D:$D,D3543,'inventory ledger'!$E:$E,E3543,'inventory ledger'!$A:$A,"&lt;="&amp;B3543+TIME(23,59,59))-SUMIFS('inventory ledger'!$I:$I,'inventory ledger'!$C:$C,C3543,'inventory ledger'!$D:$D,D3543,'inventory ledger'!$E:$E,E3543,'inventory ledger'!$A:$A,"&lt;="&amp;B3543+TIME(23,59,59)))</f>
        <v/>
      </c>
      <c r="G3543" s="3">
        <f>IFERROR(__xludf.DUMMYFUNCTION("IF(F3543&lt;=0,0,IFERROR(ROUNDUP(F3543/INDEX(FILTER('warehouse config'!$D:$D,('warehouse config'!$B:$B=C3543)*('warehouse config'!$C:$C=D3543)*('warehouse config'!$G:$G&lt;=B3543)*(('warehouse config'!$H:$H&gt;=B3543)+ISBLANK('warehouse config'!$H:$H))),1)),0))"),0.0)</f>
        <v>0</v>
      </c>
      <c r="H3543" s="3">
        <f>IFERROR(__xludf.DUMMYFUNCTION("IFERROR(INDEX(FILTER('cost master'!$E:$E,('cost master'!$B:$B=C3543)*('cost master'!$D:$D=""Storage cost per pallet / week"")*('cost master'!$G:$G&lt;=B3543)*(('cost master'!$H:$H&gt;=B3543)+ISBLANK('cost master'!$H:$H))),1),0)"),0.0)</f>
        <v>0</v>
      </c>
      <c r="I3543" s="3">
        <f t="shared" si="4"/>
        <v>0</v>
      </c>
      <c r="J3543" s="27">
        <f t="shared" si="5"/>
        <v>693947</v>
      </c>
      <c r="K3543" s="27">
        <f t="shared" si="6"/>
        <v>693977</v>
      </c>
    </row>
    <row r="3544" hidden="1">
      <c r="A3544" s="3" t="str">
        <f t="shared" si="3"/>
        <v/>
      </c>
      <c r="B3544" s="2" t="str">
        <f t="array" ref="B3544">INDEX(helper!$A$3:$A3996,ROUNDUP((ROW()-1)/COUNTA(helper!$D$3:$D3996),0))</f>
        <v/>
      </c>
      <c r="C3544" s="5" t="str">
        <f t="array" ref="C3544">IF(B3544="","",INDEX(helper!$D$3:$D3996,MOD(ROW()-2,COUNTA(helper!$D$3:$D3996))+1))</f>
        <v/>
      </c>
      <c r="D3544" s="3" t="str">
        <f t="array" ref="D3544">IF(B3544="","",INDEX(helper!$E$3:$E3996,MOD(ROW()-2,COUNTA(helper!$D$3:$D3996))+1))</f>
        <v/>
      </c>
      <c r="E3544" s="3" t="str">
        <f t="array" ref="E3544">IF(B3544="","",INDEX(helper!$F$3:$F3996,MOD(ROW()-2,COUNTA(helper!$D$3:$D3996))+1))</f>
        <v/>
      </c>
      <c r="F3544" s="3" t="str">
        <f>IF(B3544="","",SUMIFS('inventory ledger'!$H:$H,'inventory ledger'!$C:$C,C3544,'inventory ledger'!$D:$D,D3544,'inventory ledger'!$E:$E,E3544,'inventory ledger'!$A:$A,"&lt;="&amp;B3544+TIME(23,59,59))-SUMIFS('inventory ledger'!$I:$I,'inventory ledger'!$C:$C,C3544,'inventory ledger'!$D:$D,D3544,'inventory ledger'!$E:$E,E3544,'inventory ledger'!$A:$A,"&lt;="&amp;B3544+TIME(23,59,59)))</f>
        <v/>
      </c>
      <c r="G3544" s="3">
        <f>IFERROR(__xludf.DUMMYFUNCTION("IF(F3544&lt;=0,0,IFERROR(ROUNDUP(F3544/INDEX(FILTER('warehouse config'!$D:$D,('warehouse config'!$B:$B=C3544)*('warehouse config'!$C:$C=D3544)*('warehouse config'!$G:$G&lt;=B3544)*(('warehouse config'!$H:$H&gt;=B3544)+ISBLANK('warehouse config'!$H:$H))),1)),0))"),0.0)</f>
        <v>0</v>
      </c>
      <c r="H3544" s="3">
        <f>IFERROR(__xludf.DUMMYFUNCTION("IFERROR(INDEX(FILTER('cost master'!$E:$E,('cost master'!$B:$B=C3544)*('cost master'!$D:$D=""Storage cost per pallet / week"")*('cost master'!$G:$G&lt;=B3544)*(('cost master'!$H:$H&gt;=B3544)+ISBLANK('cost master'!$H:$H))),1),0)"),0.0)</f>
        <v>0</v>
      </c>
      <c r="I3544" s="3">
        <f t="shared" si="4"/>
        <v>0</v>
      </c>
      <c r="J3544" s="27">
        <f t="shared" si="5"/>
        <v>693947</v>
      </c>
      <c r="K3544" s="27">
        <f t="shared" si="6"/>
        <v>693977</v>
      </c>
    </row>
    <row r="3545" hidden="1">
      <c r="A3545" s="3" t="str">
        <f t="shared" si="3"/>
        <v/>
      </c>
      <c r="B3545" s="2" t="str">
        <f t="array" ref="B3545">INDEX(helper!$A$3:$A3996,ROUNDUP((ROW()-1)/COUNTA(helper!$D$3:$D3996),0))</f>
        <v/>
      </c>
      <c r="C3545" s="5" t="str">
        <f t="array" ref="C3545">IF(B3545="","",INDEX(helper!$D$3:$D3996,MOD(ROW()-2,COUNTA(helper!$D$3:$D3996))+1))</f>
        <v/>
      </c>
      <c r="D3545" s="3" t="str">
        <f t="array" ref="D3545">IF(B3545="","",INDEX(helper!$E$3:$E3996,MOD(ROW()-2,COUNTA(helper!$D$3:$D3996))+1))</f>
        <v/>
      </c>
      <c r="E3545" s="3" t="str">
        <f t="array" ref="E3545">IF(B3545="","",INDEX(helper!$F$3:$F3996,MOD(ROW()-2,COUNTA(helper!$D$3:$D3996))+1))</f>
        <v/>
      </c>
      <c r="F3545" s="3" t="str">
        <f>IF(B3545="","",SUMIFS('inventory ledger'!$H:$H,'inventory ledger'!$C:$C,C3545,'inventory ledger'!$D:$D,D3545,'inventory ledger'!$E:$E,E3545,'inventory ledger'!$A:$A,"&lt;="&amp;B3545+TIME(23,59,59))-SUMIFS('inventory ledger'!$I:$I,'inventory ledger'!$C:$C,C3545,'inventory ledger'!$D:$D,D3545,'inventory ledger'!$E:$E,E3545,'inventory ledger'!$A:$A,"&lt;="&amp;B3545+TIME(23,59,59)))</f>
        <v/>
      </c>
      <c r="G3545" s="3">
        <f>IFERROR(__xludf.DUMMYFUNCTION("IF(F3545&lt;=0,0,IFERROR(ROUNDUP(F3545/INDEX(FILTER('warehouse config'!$D:$D,('warehouse config'!$B:$B=C3545)*('warehouse config'!$C:$C=D3545)*('warehouse config'!$G:$G&lt;=B3545)*(('warehouse config'!$H:$H&gt;=B3545)+ISBLANK('warehouse config'!$H:$H))),1)),0))"),0.0)</f>
        <v>0</v>
      </c>
      <c r="H3545" s="3">
        <f>IFERROR(__xludf.DUMMYFUNCTION("IFERROR(INDEX(FILTER('cost master'!$E:$E,('cost master'!$B:$B=C3545)*('cost master'!$D:$D=""Storage cost per pallet / week"")*('cost master'!$G:$G&lt;=B3545)*(('cost master'!$H:$H&gt;=B3545)+ISBLANK('cost master'!$H:$H))),1),0)"),0.0)</f>
        <v>0</v>
      </c>
      <c r="I3545" s="3">
        <f t="shared" si="4"/>
        <v>0</v>
      </c>
      <c r="J3545" s="27">
        <f t="shared" si="5"/>
        <v>693947</v>
      </c>
      <c r="K3545" s="27">
        <f t="shared" si="6"/>
        <v>693977</v>
      </c>
    </row>
    <row r="3546" hidden="1">
      <c r="A3546" s="3" t="str">
        <f t="shared" si="3"/>
        <v/>
      </c>
      <c r="B3546" s="2" t="str">
        <f t="array" ref="B3546">INDEX(helper!$A$3:$A3996,ROUNDUP((ROW()-1)/COUNTA(helper!$D$3:$D3996),0))</f>
        <v/>
      </c>
      <c r="C3546" s="5" t="str">
        <f t="array" ref="C3546">IF(B3546="","",INDEX(helper!$D$3:$D3996,MOD(ROW()-2,COUNTA(helper!$D$3:$D3996))+1))</f>
        <v/>
      </c>
      <c r="D3546" s="3" t="str">
        <f t="array" ref="D3546">IF(B3546="","",INDEX(helper!$E$3:$E3996,MOD(ROW()-2,COUNTA(helper!$D$3:$D3996))+1))</f>
        <v/>
      </c>
      <c r="E3546" s="3" t="str">
        <f t="array" ref="E3546">IF(B3546="","",INDEX(helper!$F$3:$F3996,MOD(ROW()-2,COUNTA(helper!$D$3:$D3996))+1))</f>
        <v/>
      </c>
      <c r="F3546" s="3" t="str">
        <f>IF(B3546="","",SUMIFS('inventory ledger'!$H:$H,'inventory ledger'!$C:$C,C3546,'inventory ledger'!$D:$D,D3546,'inventory ledger'!$E:$E,E3546,'inventory ledger'!$A:$A,"&lt;="&amp;B3546+TIME(23,59,59))-SUMIFS('inventory ledger'!$I:$I,'inventory ledger'!$C:$C,C3546,'inventory ledger'!$D:$D,D3546,'inventory ledger'!$E:$E,E3546,'inventory ledger'!$A:$A,"&lt;="&amp;B3546+TIME(23,59,59)))</f>
        <v/>
      </c>
      <c r="G3546" s="3">
        <f>IFERROR(__xludf.DUMMYFUNCTION("IF(F3546&lt;=0,0,IFERROR(ROUNDUP(F3546/INDEX(FILTER('warehouse config'!$D:$D,('warehouse config'!$B:$B=C3546)*('warehouse config'!$C:$C=D3546)*('warehouse config'!$G:$G&lt;=B3546)*(('warehouse config'!$H:$H&gt;=B3546)+ISBLANK('warehouse config'!$H:$H))),1)),0))"),0.0)</f>
        <v>0</v>
      </c>
      <c r="H3546" s="3">
        <f>IFERROR(__xludf.DUMMYFUNCTION("IFERROR(INDEX(FILTER('cost master'!$E:$E,('cost master'!$B:$B=C3546)*('cost master'!$D:$D=""Storage cost per pallet / week"")*('cost master'!$G:$G&lt;=B3546)*(('cost master'!$H:$H&gt;=B3546)+ISBLANK('cost master'!$H:$H))),1),0)"),0.0)</f>
        <v>0</v>
      </c>
      <c r="I3546" s="3">
        <f t="shared" si="4"/>
        <v>0</v>
      </c>
      <c r="J3546" s="27">
        <f t="shared" si="5"/>
        <v>693947</v>
      </c>
      <c r="K3546" s="27">
        <f t="shared" si="6"/>
        <v>693977</v>
      </c>
    </row>
    <row r="3547" hidden="1">
      <c r="A3547" s="3" t="str">
        <f t="shared" si="3"/>
        <v/>
      </c>
      <c r="B3547" s="2" t="str">
        <f t="array" ref="B3547">INDEX(helper!$A$3:$A3996,ROUNDUP((ROW()-1)/COUNTA(helper!$D$3:$D3996),0))</f>
        <v/>
      </c>
      <c r="C3547" s="5" t="str">
        <f t="array" ref="C3547">IF(B3547="","",INDEX(helper!$D$3:$D3996,MOD(ROW()-2,COUNTA(helper!$D$3:$D3996))+1))</f>
        <v/>
      </c>
      <c r="D3547" s="3" t="str">
        <f t="array" ref="D3547">IF(B3547="","",INDEX(helper!$E$3:$E3996,MOD(ROW()-2,COUNTA(helper!$D$3:$D3996))+1))</f>
        <v/>
      </c>
      <c r="E3547" s="3" t="str">
        <f t="array" ref="E3547">IF(B3547="","",INDEX(helper!$F$3:$F3996,MOD(ROW()-2,COUNTA(helper!$D$3:$D3996))+1))</f>
        <v/>
      </c>
      <c r="F3547" s="3" t="str">
        <f>IF(B3547="","",SUMIFS('inventory ledger'!$H:$H,'inventory ledger'!$C:$C,C3547,'inventory ledger'!$D:$D,D3547,'inventory ledger'!$E:$E,E3547,'inventory ledger'!$A:$A,"&lt;="&amp;B3547+TIME(23,59,59))-SUMIFS('inventory ledger'!$I:$I,'inventory ledger'!$C:$C,C3547,'inventory ledger'!$D:$D,D3547,'inventory ledger'!$E:$E,E3547,'inventory ledger'!$A:$A,"&lt;="&amp;B3547+TIME(23,59,59)))</f>
        <v/>
      </c>
      <c r="G3547" s="3">
        <f>IFERROR(__xludf.DUMMYFUNCTION("IF(F3547&lt;=0,0,IFERROR(ROUNDUP(F3547/INDEX(FILTER('warehouse config'!$D:$D,('warehouse config'!$B:$B=C3547)*('warehouse config'!$C:$C=D3547)*('warehouse config'!$G:$G&lt;=B3547)*(('warehouse config'!$H:$H&gt;=B3547)+ISBLANK('warehouse config'!$H:$H))),1)),0))"),0.0)</f>
        <v>0</v>
      </c>
      <c r="H3547" s="3">
        <f>IFERROR(__xludf.DUMMYFUNCTION("IFERROR(INDEX(FILTER('cost master'!$E:$E,('cost master'!$B:$B=C3547)*('cost master'!$D:$D=""Storage cost per pallet / week"")*('cost master'!$G:$G&lt;=B3547)*(('cost master'!$H:$H&gt;=B3547)+ISBLANK('cost master'!$H:$H))),1),0)"),0.0)</f>
        <v>0</v>
      </c>
      <c r="I3547" s="3">
        <f t="shared" si="4"/>
        <v>0</v>
      </c>
      <c r="J3547" s="27">
        <f t="shared" si="5"/>
        <v>693947</v>
      </c>
      <c r="K3547" s="27">
        <f t="shared" si="6"/>
        <v>693977</v>
      </c>
    </row>
    <row r="3548" hidden="1">
      <c r="A3548" s="3" t="str">
        <f t="shared" si="3"/>
        <v/>
      </c>
      <c r="B3548" s="2" t="str">
        <f t="array" ref="B3548">INDEX(helper!$A$3:$A3996,ROUNDUP((ROW()-1)/COUNTA(helper!$D$3:$D3996),0))</f>
        <v/>
      </c>
      <c r="C3548" s="5" t="str">
        <f t="array" ref="C3548">IF(B3548="","",INDEX(helper!$D$3:$D3996,MOD(ROW()-2,COUNTA(helper!$D$3:$D3996))+1))</f>
        <v/>
      </c>
      <c r="D3548" s="3" t="str">
        <f t="array" ref="D3548">IF(B3548="","",INDEX(helper!$E$3:$E3996,MOD(ROW()-2,COUNTA(helper!$D$3:$D3996))+1))</f>
        <v/>
      </c>
      <c r="E3548" s="3" t="str">
        <f t="array" ref="E3548">IF(B3548="","",INDEX(helper!$F$3:$F3996,MOD(ROW()-2,COUNTA(helper!$D$3:$D3996))+1))</f>
        <v/>
      </c>
      <c r="F3548" s="3" t="str">
        <f>IF(B3548="","",SUMIFS('inventory ledger'!$H:$H,'inventory ledger'!$C:$C,C3548,'inventory ledger'!$D:$D,D3548,'inventory ledger'!$E:$E,E3548,'inventory ledger'!$A:$A,"&lt;="&amp;B3548+TIME(23,59,59))-SUMIFS('inventory ledger'!$I:$I,'inventory ledger'!$C:$C,C3548,'inventory ledger'!$D:$D,D3548,'inventory ledger'!$E:$E,E3548,'inventory ledger'!$A:$A,"&lt;="&amp;B3548+TIME(23,59,59)))</f>
        <v/>
      </c>
      <c r="G3548" s="3">
        <f>IFERROR(__xludf.DUMMYFUNCTION("IF(F3548&lt;=0,0,IFERROR(ROUNDUP(F3548/INDEX(FILTER('warehouse config'!$D:$D,('warehouse config'!$B:$B=C3548)*('warehouse config'!$C:$C=D3548)*('warehouse config'!$G:$G&lt;=B3548)*(('warehouse config'!$H:$H&gt;=B3548)+ISBLANK('warehouse config'!$H:$H))),1)),0))"),0.0)</f>
        <v>0</v>
      </c>
      <c r="H3548" s="3">
        <f>IFERROR(__xludf.DUMMYFUNCTION("IFERROR(INDEX(FILTER('cost master'!$E:$E,('cost master'!$B:$B=C3548)*('cost master'!$D:$D=""Storage cost per pallet / week"")*('cost master'!$G:$G&lt;=B3548)*(('cost master'!$H:$H&gt;=B3548)+ISBLANK('cost master'!$H:$H))),1),0)"),0.0)</f>
        <v>0</v>
      </c>
      <c r="I3548" s="3">
        <f t="shared" si="4"/>
        <v>0</v>
      </c>
      <c r="J3548" s="27">
        <f t="shared" si="5"/>
        <v>693947</v>
      </c>
      <c r="K3548" s="27">
        <f t="shared" si="6"/>
        <v>693977</v>
      </c>
    </row>
    <row r="3549" hidden="1">
      <c r="A3549" s="3" t="str">
        <f t="shared" si="3"/>
        <v/>
      </c>
      <c r="B3549" s="2" t="str">
        <f t="array" ref="B3549">INDEX(helper!$A$3:$A3996,ROUNDUP((ROW()-1)/COUNTA(helper!$D$3:$D3996),0))</f>
        <v/>
      </c>
      <c r="C3549" s="5" t="str">
        <f t="array" ref="C3549">IF(B3549="","",INDEX(helper!$D$3:$D3996,MOD(ROW()-2,COUNTA(helper!$D$3:$D3996))+1))</f>
        <v/>
      </c>
      <c r="D3549" s="3" t="str">
        <f t="array" ref="D3549">IF(B3549="","",INDEX(helper!$E$3:$E3996,MOD(ROW()-2,COUNTA(helper!$D$3:$D3996))+1))</f>
        <v/>
      </c>
      <c r="E3549" s="3" t="str">
        <f t="array" ref="E3549">IF(B3549="","",INDEX(helper!$F$3:$F3996,MOD(ROW()-2,COUNTA(helper!$D$3:$D3996))+1))</f>
        <v/>
      </c>
      <c r="F3549" s="3" t="str">
        <f>IF(B3549="","",SUMIFS('inventory ledger'!$H:$H,'inventory ledger'!$C:$C,C3549,'inventory ledger'!$D:$D,D3549,'inventory ledger'!$E:$E,E3549,'inventory ledger'!$A:$A,"&lt;="&amp;B3549+TIME(23,59,59))-SUMIFS('inventory ledger'!$I:$I,'inventory ledger'!$C:$C,C3549,'inventory ledger'!$D:$D,D3549,'inventory ledger'!$E:$E,E3549,'inventory ledger'!$A:$A,"&lt;="&amp;B3549+TIME(23,59,59)))</f>
        <v/>
      </c>
      <c r="G3549" s="3">
        <f>IFERROR(__xludf.DUMMYFUNCTION("IF(F3549&lt;=0,0,IFERROR(ROUNDUP(F3549/INDEX(FILTER('warehouse config'!$D:$D,('warehouse config'!$B:$B=C3549)*('warehouse config'!$C:$C=D3549)*('warehouse config'!$G:$G&lt;=B3549)*(('warehouse config'!$H:$H&gt;=B3549)+ISBLANK('warehouse config'!$H:$H))),1)),0))"),0.0)</f>
        <v>0</v>
      </c>
      <c r="H3549" s="3">
        <f>IFERROR(__xludf.DUMMYFUNCTION("IFERROR(INDEX(FILTER('cost master'!$E:$E,('cost master'!$B:$B=C3549)*('cost master'!$D:$D=""Storage cost per pallet / week"")*('cost master'!$G:$G&lt;=B3549)*(('cost master'!$H:$H&gt;=B3549)+ISBLANK('cost master'!$H:$H))),1),0)"),0.0)</f>
        <v>0</v>
      </c>
      <c r="I3549" s="3">
        <f t="shared" si="4"/>
        <v>0</v>
      </c>
      <c r="J3549" s="27">
        <f t="shared" si="5"/>
        <v>693947</v>
      </c>
      <c r="K3549" s="27">
        <f t="shared" si="6"/>
        <v>693977</v>
      </c>
    </row>
    <row r="3550" hidden="1">
      <c r="A3550" s="3" t="str">
        <f t="shared" si="3"/>
        <v/>
      </c>
      <c r="B3550" s="2" t="str">
        <f t="array" ref="B3550">INDEX(helper!$A$3:$A3996,ROUNDUP((ROW()-1)/COUNTA(helper!$D$3:$D3996),0))</f>
        <v/>
      </c>
      <c r="C3550" s="5" t="str">
        <f t="array" ref="C3550">IF(B3550="","",INDEX(helper!$D$3:$D3996,MOD(ROW()-2,COUNTA(helper!$D$3:$D3996))+1))</f>
        <v/>
      </c>
      <c r="D3550" s="3" t="str">
        <f t="array" ref="D3550">IF(B3550="","",INDEX(helper!$E$3:$E3996,MOD(ROW()-2,COUNTA(helper!$D$3:$D3996))+1))</f>
        <v/>
      </c>
      <c r="E3550" s="3" t="str">
        <f t="array" ref="E3550">IF(B3550="","",INDEX(helper!$F$3:$F3996,MOD(ROW()-2,COUNTA(helper!$D$3:$D3996))+1))</f>
        <v/>
      </c>
      <c r="F3550" s="3" t="str">
        <f>IF(B3550="","",SUMIFS('inventory ledger'!$H:$H,'inventory ledger'!$C:$C,C3550,'inventory ledger'!$D:$D,D3550,'inventory ledger'!$E:$E,E3550,'inventory ledger'!$A:$A,"&lt;="&amp;B3550+TIME(23,59,59))-SUMIFS('inventory ledger'!$I:$I,'inventory ledger'!$C:$C,C3550,'inventory ledger'!$D:$D,D3550,'inventory ledger'!$E:$E,E3550,'inventory ledger'!$A:$A,"&lt;="&amp;B3550+TIME(23,59,59)))</f>
        <v/>
      </c>
      <c r="G3550" s="3">
        <f>IFERROR(__xludf.DUMMYFUNCTION("IF(F3550&lt;=0,0,IFERROR(ROUNDUP(F3550/INDEX(FILTER('warehouse config'!$D:$D,('warehouse config'!$B:$B=C3550)*('warehouse config'!$C:$C=D3550)*('warehouse config'!$G:$G&lt;=B3550)*(('warehouse config'!$H:$H&gt;=B3550)+ISBLANK('warehouse config'!$H:$H))),1)),0))"),0.0)</f>
        <v>0</v>
      </c>
      <c r="H3550" s="3">
        <f>IFERROR(__xludf.DUMMYFUNCTION("IFERROR(INDEX(FILTER('cost master'!$E:$E,('cost master'!$B:$B=C3550)*('cost master'!$D:$D=""Storage cost per pallet / week"")*('cost master'!$G:$G&lt;=B3550)*(('cost master'!$H:$H&gt;=B3550)+ISBLANK('cost master'!$H:$H))),1),0)"),0.0)</f>
        <v>0</v>
      </c>
      <c r="I3550" s="3">
        <f t="shared" si="4"/>
        <v>0</v>
      </c>
      <c r="J3550" s="27">
        <f t="shared" si="5"/>
        <v>693947</v>
      </c>
      <c r="K3550" s="27">
        <f t="shared" si="6"/>
        <v>693977</v>
      </c>
    </row>
    <row r="3551" hidden="1">
      <c r="A3551" s="3" t="str">
        <f t="shared" si="3"/>
        <v/>
      </c>
      <c r="B3551" s="2" t="str">
        <f t="array" ref="B3551">INDEX(helper!$A$3:$A3996,ROUNDUP((ROW()-1)/COUNTA(helper!$D$3:$D3996),0))</f>
        <v/>
      </c>
      <c r="C3551" s="5" t="str">
        <f t="array" ref="C3551">IF(B3551="","",INDEX(helper!$D$3:$D3996,MOD(ROW()-2,COUNTA(helper!$D$3:$D3996))+1))</f>
        <v/>
      </c>
      <c r="D3551" s="3" t="str">
        <f t="array" ref="D3551">IF(B3551="","",INDEX(helper!$E$3:$E3996,MOD(ROW()-2,COUNTA(helper!$D$3:$D3996))+1))</f>
        <v/>
      </c>
      <c r="E3551" s="3" t="str">
        <f t="array" ref="E3551">IF(B3551="","",INDEX(helper!$F$3:$F3996,MOD(ROW()-2,COUNTA(helper!$D$3:$D3996))+1))</f>
        <v/>
      </c>
      <c r="F3551" s="3" t="str">
        <f>IF(B3551="","",SUMIFS('inventory ledger'!$H:$H,'inventory ledger'!$C:$C,C3551,'inventory ledger'!$D:$D,D3551,'inventory ledger'!$E:$E,E3551,'inventory ledger'!$A:$A,"&lt;="&amp;B3551+TIME(23,59,59))-SUMIFS('inventory ledger'!$I:$I,'inventory ledger'!$C:$C,C3551,'inventory ledger'!$D:$D,D3551,'inventory ledger'!$E:$E,E3551,'inventory ledger'!$A:$A,"&lt;="&amp;B3551+TIME(23,59,59)))</f>
        <v/>
      </c>
      <c r="G3551" s="3">
        <f>IFERROR(__xludf.DUMMYFUNCTION("IF(F3551&lt;=0,0,IFERROR(ROUNDUP(F3551/INDEX(FILTER('warehouse config'!$D:$D,('warehouse config'!$B:$B=C3551)*('warehouse config'!$C:$C=D3551)*('warehouse config'!$G:$G&lt;=B3551)*(('warehouse config'!$H:$H&gt;=B3551)+ISBLANK('warehouse config'!$H:$H))),1)),0))"),0.0)</f>
        <v>0</v>
      </c>
      <c r="H3551" s="3">
        <f>IFERROR(__xludf.DUMMYFUNCTION("IFERROR(INDEX(FILTER('cost master'!$E:$E,('cost master'!$B:$B=C3551)*('cost master'!$D:$D=""Storage cost per pallet / week"")*('cost master'!$G:$G&lt;=B3551)*(('cost master'!$H:$H&gt;=B3551)+ISBLANK('cost master'!$H:$H))),1),0)"),0.0)</f>
        <v>0</v>
      </c>
      <c r="I3551" s="3">
        <f t="shared" si="4"/>
        <v>0</v>
      </c>
      <c r="J3551" s="27">
        <f t="shared" si="5"/>
        <v>693947</v>
      </c>
      <c r="K3551" s="27">
        <f t="shared" si="6"/>
        <v>693977</v>
      </c>
    </row>
    <row r="3552" hidden="1">
      <c r="A3552" s="3" t="str">
        <f t="shared" si="3"/>
        <v/>
      </c>
      <c r="B3552" s="2" t="str">
        <f t="array" ref="B3552">INDEX(helper!$A$3:$A3996,ROUNDUP((ROW()-1)/COUNTA(helper!$D$3:$D3996),0))</f>
        <v/>
      </c>
      <c r="C3552" s="5" t="str">
        <f t="array" ref="C3552">IF(B3552="","",INDEX(helper!$D$3:$D3996,MOD(ROW()-2,COUNTA(helper!$D$3:$D3996))+1))</f>
        <v/>
      </c>
      <c r="D3552" s="3" t="str">
        <f t="array" ref="D3552">IF(B3552="","",INDEX(helper!$E$3:$E3996,MOD(ROW()-2,COUNTA(helper!$D$3:$D3996))+1))</f>
        <v/>
      </c>
      <c r="E3552" s="3" t="str">
        <f t="array" ref="E3552">IF(B3552="","",INDEX(helper!$F$3:$F3996,MOD(ROW()-2,COUNTA(helper!$D$3:$D3996))+1))</f>
        <v/>
      </c>
      <c r="F3552" s="3" t="str">
        <f>IF(B3552="","",SUMIFS('inventory ledger'!$H:$H,'inventory ledger'!$C:$C,C3552,'inventory ledger'!$D:$D,D3552,'inventory ledger'!$E:$E,E3552,'inventory ledger'!$A:$A,"&lt;="&amp;B3552+TIME(23,59,59))-SUMIFS('inventory ledger'!$I:$I,'inventory ledger'!$C:$C,C3552,'inventory ledger'!$D:$D,D3552,'inventory ledger'!$E:$E,E3552,'inventory ledger'!$A:$A,"&lt;="&amp;B3552+TIME(23,59,59)))</f>
        <v/>
      </c>
      <c r="G3552" s="3">
        <f>IFERROR(__xludf.DUMMYFUNCTION("IF(F3552&lt;=0,0,IFERROR(ROUNDUP(F3552/INDEX(FILTER('warehouse config'!$D:$D,('warehouse config'!$B:$B=C3552)*('warehouse config'!$C:$C=D3552)*('warehouse config'!$G:$G&lt;=B3552)*(('warehouse config'!$H:$H&gt;=B3552)+ISBLANK('warehouse config'!$H:$H))),1)),0))"),0.0)</f>
        <v>0</v>
      </c>
      <c r="H3552" s="3">
        <f>IFERROR(__xludf.DUMMYFUNCTION("IFERROR(INDEX(FILTER('cost master'!$E:$E,('cost master'!$B:$B=C3552)*('cost master'!$D:$D=""Storage cost per pallet / week"")*('cost master'!$G:$G&lt;=B3552)*(('cost master'!$H:$H&gt;=B3552)+ISBLANK('cost master'!$H:$H))),1),0)"),0.0)</f>
        <v>0</v>
      </c>
      <c r="I3552" s="3">
        <f t="shared" si="4"/>
        <v>0</v>
      </c>
      <c r="J3552" s="27">
        <f t="shared" si="5"/>
        <v>693947</v>
      </c>
      <c r="K3552" s="27">
        <f t="shared" si="6"/>
        <v>693977</v>
      </c>
    </row>
    <row r="3553" hidden="1">
      <c r="A3553" s="3" t="str">
        <f t="shared" si="3"/>
        <v/>
      </c>
      <c r="B3553" s="2" t="str">
        <f t="array" ref="B3553">INDEX(helper!$A$3:$A3996,ROUNDUP((ROW()-1)/COUNTA(helper!$D$3:$D3996),0))</f>
        <v/>
      </c>
      <c r="C3553" s="5" t="str">
        <f t="array" ref="C3553">IF(B3553="","",INDEX(helper!$D$3:$D3996,MOD(ROW()-2,COUNTA(helper!$D$3:$D3996))+1))</f>
        <v/>
      </c>
      <c r="D3553" s="3" t="str">
        <f t="array" ref="D3553">IF(B3553="","",INDEX(helper!$E$3:$E3996,MOD(ROW()-2,COUNTA(helper!$D$3:$D3996))+1))</f>
        <v/>
      </c>
      <c r="E3553" s="3" t="str">
        <f t="array" ref="E3553">IF(B3553="","",INDEX(helper!$F$3:$F3996,MOD(ROW()-2,COUNTA(helper!$D$3:$D3996))+1))</f>
        <v/>
      </c>
      <c r="F3553" s="3" t="str">
        <f>IF(B3553="","",SUMIFS('inventory ledger'!$H:$H,'inventory ledger'!$C:$C,C3553,'inventory ledger'!$D:$D,D3553,'inventory ledger'!$E:$E,E3553,'inventory ledger'!$A:$A,"&lt;="&amp;B3553+TIME(23,59,59))-SUMIFS('inventory ledger'!$I:$I,'inventory ledger'!$C:$C,C3553,'inventory ledger'!$D:$D,D3553,'inventory ledger'!$E:$E,E3553,'inventory ledger'!$A:$A,"&lt;="&amp;B3553+TIME(23,59,59)))</f>
        <v/>
      </c>
      <c r="G3553" s="3">
        <f>IFERROR(__xludf.DUMMYFUNCTION("IF(F3553&lt;=0,0,IFERROR(ROUNDUP(F3553/INDEX(FILTER('warehouse config'!$D:$D,('warehouse config'!$B:$B=C3553)*('warehouse config'!$C:$C=D3553)*('warehouse config'!$G:$G&lt;=B3553)*(('warehouse config'!$H:$H&gt;=B3553)+ISBLANK('warehouse config'!$H:$H))),1)),0))"),0.0)</f>
        <v>0</v>
      </c>
      <c r="H3553" s="3">
        <f>IFERROR(__xludf.DUMMYFUNCTION("IFERROR(INDEX(FILTER('cost master'!$E:$E,('cost master'!$B:$B=C3553)*('cost master'!$D:$D=""Storage cost per pallet / week"")*('cost master'!$G:$G&lt;=B3553)*(('cost master'!$H:$H&gt;=B3553)+ISBLANK('cost master'!$H:$H))),1),0)"),0.0)</f>
        <v>0</v>
      </c>
      <c r="I3553" s="3">
        <f t="shared" si="4"/>
        <v>0</v>
      </c>
      <c r="J3553" s="27">
        <f t="shared" si="5"/>
        <v>693947</v>
      </c>
      <c r="K3553" s="27">
        <f t="shared" si="6"/>
        <v>693977</v>
      </c>
    </row>
    <row r="3554" hidden="1">
      <c r="A3554" s="3" t="str">
        <f t="shared" si="3"/>
        <v/>
      </c>
      <c r="B3554" s="2" t="str">
        <f t="array" ref="B3554">INDEX(helper!$A$3:$A3996,ROUNDUP((ROW()-1)/COUNTA(helper!$D$3:$D3996),0))</f>
        <v/>
      </c>
      <c r="C3554" s="5" t="str">
        <f t="array" ref="C3554">IF(B3554="","",INDEX(helper!$D$3:$D3996,MOD(ROW()-2,COUNTA(helper!$D$3:$D3996))+1))</f>
        <v/>
      </c>
      <c r="D3554" s="3" t="str">
        <f t="array" ref="D3554">IF(B3554="","",INDEX(helper!$E$3:$E3996,MOD(ROW()-2,COUNTA(helper!$D$3:$D3996))+1))</f>
        <v/>
      </c>
      <c r="E3554" s="3" t="str">
        <f t="array" ref="E3554">IF(B3554="","",INDEX(helper!$F$3:$F3996,MOD(ROW()-2,COUNTA(helper!$D$3:$D3996))+1))</f>
        <v/>
      </c>
      <c r="F3554" s="3" t="str">
        <f>IF(B3554="","",SUMIFS('inventory ledger'!$H:$H,'inventory ledger'!$C:$C,C3554,'inventory ledger'!$D:$D,D3554,'inventory ledger'!$E:$E,E3554,'inventory ledger'!$A:$A,"&lt;="&amp;B3554+TIME(23,59,59))-SUMIFS('inventory ledger'!$I:$I,'inventory ledger'!$C:$C,C3554,'inventory ledger'!$D:$D,D3554,'inventory ledger'!$E:$E,E3554,'inventory ledger'!$A:$A,"&lt;="&amp;B3554+TIME(23,59,59)))</f>
        <v/>
      </c>
      <c r="G3554" s="3">
        <f>IFERROR(__xludf.DUMMYFUNCTION("IF(F3554&lt;=0,0,IFERROR(ROUNDUP(F3554/INDEX(FILTER('warehouse config'!$D:$D,('warehouse config'!$B:$B=C3554)*('warehouse config'!$C:$C=D3554)*('warehouse config'!$G:$G&lt;=B3554)*(('warehouse config'!$H:$H&gt;=B3554)+ISBLANK('warehouse config'!$H:$H))),1)),0))"),0.0)</f>
        <v>0</v>
      </c>
      <c r="H3554" s="3">
        <f>IFERROR(__xludf.DUMMYFUNCTION("IFERROR(INDEX(FILTER('cost master'!$E:$E,('cost master'!$B:$B=C3554)*('cost master'!$D:$D=""Storage cost per pallet / week"")*('cost master'!$G:$G&lt;=B3554)*(('cost master'!$H:$H&gt;=B3554)+ISBLANK('cost master'!$H:$H))),1),0)"),0.0)</f>
        <v>0</v>
      </c>
      <c r="I3554" s="3">
        <f t="shared" si="4"/>
        <v>0</v>
      </c>
      <c r="J3554" s="27">
        <f t="shared" si="5"/>
        <v>693947</v>
      </c>
      <c r="K3554" s="27">
        <f t="shared" si="6"/>
        <v>693977</v>
      </c>
    </row>
    <row r="3555" hidden="1">
      <c r="A3555" s="3" t="str">
        <f t="shared" si="3"/>
        <v/>
      </c>
      <c r="B3555" s="2" t="str">
        <f t="array" ref="B3555">INDEX(helper!$A$3:$A3996,ROUNDUP((ROW()-1)/COUNTA(helper!$D$3:$D3996),0))</f>
        <v/>
      </c>
      <c r="C3555" s="5" t="str">
        <f t="array" ref="C3555">IF(B3555="","",INDEX(helper!$D$3:$D3996,MOD(ROW()-2,COUNTA(helper!$D$3:$D3996))+1))</f>
        <v/>
      </c>
      <c r="D3555" s="3" t="str">
        <f t="array" ref="D3555">IF(B3555="","",INDEX(helper!$E$3:$E3996,MOD(ROW()-2,COUNTA(helper!$D$3:$D3996))+1))</f>
        <v/>
      </c>
      <c r="E3555" s="3" t="str">
        <f t="array" ref="E3555">IF(B3555="","",INDEX(helper!$F$3:$F3996,MOD(ROW()-2,COUNTA(helper!$D$3:$D3996))+1))</f>
        <v/>
      </c>
      <c r="F3555" s="3" t="str">
        <f>IF(B3555="","",SUMIFS('inventory ledger'!$H:$H,'inventory ledger'!$C:$C,C3555,'inventory ledger'!$D:$D,D3555,'inventory ledger'!$E:$E,E3555,'inventory ledger'!$A:$A,"&lt;="&amp;B3555+TIME(23,59,59))-SUMIFS('inventory ledger'!$I:$I,'inventory ledger'!$C:$C,C3555,'inventory ledger'!$D:$D,D3555,'inventory ledger'!$E:$E,E3555,'inventory ledger'!$A:$A,"&lt;="&amp;B3555+TIME(23,59,59)))</f>
        <v/>
      </c>
      <c r="G3555" s="3">
        <f>IFERROR(__xludf.DUMMYFUNCTION("IF(F3555&lt;=0,0,IFERROR(ROUNDUP(F3555/INDEX(FILTER('warehouse config'!$D:$D,('warehouse config'!$B:$B=C3555)*('warehouse config'!$C:$C=D3555)*('warehouse config'!$G:$G&lt;=B3555)*(('warehouse config'!$H:$H&gt;=B3555)+ISBLANK('warehouse config'!$H:$H))),1)),0))"),0.0)</f>
        <v>0</v>
      </c>
      <c r="H3555" s="3">
        <f>IFERROR(__xludf.DUMMYFUNCTION("IFERROR(INDEX(FILTER('cost master'!$E:$E,('cost master'!$B:$B=C3555)*('cost master'!$D:$D=""Storage cost per pallet / week"")*('cost master'!$G:$G&lt;=B3555)*(('cost master'!$H:$H&gt;=B3555)+ISBLANK('cost master'!$H:$H))),1),0)"),0.0)</f>
        <v>0</v>
      </c>
      <c r="I3555" s="3">
        <f t="shared" si="4"/>
        <v>0</v>
      </c>
      <c r="J3555" s="27">
        <f t="shared" si="5"/>
        <v>693947</v>
      </c>
      <c r="K3555" s="27">
        <f t="shared" si="6"/>
        <v>693977</v>
      </c>
    </row>
    <row r="3556" hidden="1">
      <c r="A3556" s="3" t="str">
        <f t="shared" si="3"/>
        <v/>
      </c>
      <c r="B3556" s="2" t="str">
        <f t="array" ref="B3556">INDEX(helper!$A$3:$A3996,ROUNDUP((ROW()-1)/COUNTA(helper!$D$3:$D3996),0))</f>
        <v/>
      </c>
      <c r="C3556" s="5" t="str">
        <f t="array" ref="C3556">IF(B3556="","",INDEX(helper!$D$3:$D3996,MOD(ROW()-2,COUNTA(helper!$D$3:$D3996))+1))</f>
        <v/>
      </c>
      <c r="D3556" s="3" t="str">
        <f t="array" ref="D3556">IF(B3556="","",INDEX(helper!$E$3:$E3996,MOD(ROW()-2,COUNTA(helper!$D$3:$D3996))+1))</f>
        <v/>
      </c>
      <c r="E3556" s="3" t="str">
        <f t="array" ref="E3556">IF(B3556="","",INDEX(helper!$F$3:$F3996,MOD(ROW()-2,COUNTA(helper!$D$3:$D3996))+1))</f>
        <v/>
      </c>
      <c r="F3556" s="3" t="str">
        <f>IF(B3556="","",SUMIFS('inventory ledger'!$H:$H,'inventory ledger'!$C:$C,C3556,'inventory ledger'!$D:$D,D3556,'inventory ledger'!$E:$E,E3556,'inventory ledger'!$A:$A,"&lt;="&amp;B3556+TIME(23,59,59))-SUMIFS('inventory ledger'!$I:$I,'inventory ledger'!$C:$C,C3556,'inventory ledger'!$D:$D,D3556,'inventory ledger'!$E:$E,E3556,'inventory ledger'!$A:$A,"&lt;="&amp;B3556+TIME(23,59,59)))</f>
        <v/>
      </c>
      <c r="G3556" s="3">
        <f>IFERROR(__xludf.DUMMYFUNCTION("IF(F3556&lt;=0,0,IFERROR(ROUNDUP(F3556/INDEX(FILTER('warehouse config'!$D:$D,('warehouse config'!$B:$B=C3556)*('warehouse config'!$C:$C=D3556)*('warehouse config'!$G:$G&lt;=B3556)*(('warehouse config'!$H:$H&gt;=B3556)+ISBLANK('warehouse config'!$H:$H))),1)),0))"),0.0)</f>
        <v>0</v>
      </c>
      <c r="H3556" s="3">
        <f>IFERROR(__xludf.DUMMYFUNCTION("IFERROR(INDEX(FILTER('cost master'!$E:$E,('cost master'!$B:$B=C3556)*('cost master'!$D:$D=""Storage cost per pallet / week"")*('cost master'!$G:$G&lt;=B3556)*(('cost master'!$H:$H&gt;=B3556)+ISBLANK('cost master'!$H:$H))),1),0)"),0.0)</f>
        <v>0</v>
      </c>
      <c r="I3556" s="3">
        <f t="shared" si="4"/>
        <v>0</v>
      </c>
      <c r="J3556" s="27">
        <f t="shared" si="5"/>
        <v>693947</v>
      </c>
      <c r="K3556" s="27">
        <f t="shared" si="6"/>
        <v>693977</v>
      </c>
    </row>
    <row r="3557" hidden="1">
      <c r="A3557" s="3" t="str">
        <f t="shared" si="3"/>
        <v/>
      </c>
      <c r="B3557" s="2" t="str">
        <f t="array" ref="B3557">INDEX(helper!$A$3:$A3996,ROUNDUP((ROW()-1)/COUNTA(helper!$D$3:$D3996),0))</f>
        <v/>
      </c>
      <c r="C3557" s="5" t="str">
        <f t="array" ref="C3557">IF(B3557="","",INDEX(helper!$D$3:$D3996,MOD(ROW()-2,COUNTA(helper!$D$3:$D3996))+1))</f>
        <v/>
      </c>
      <c r="D3557" s="3" t="str">
        <f t="array" ref="D3557">IF(B3557="","",INDEX(helper!$E$3:$E3996,MOD(ROW()-2,COUNTA(helper!$D$3:$D3996))+1))</f>
        <v/>
      </c>
      <c r="E3557" s="3" t="str">
        <f t="array" ref="E3557">IF(B3557="","",INDEX(helper!$F$3:$F3996,MOD(ROW()-2,COUNTA(helper!$D$3:$D3996))+1))</f>
        <v/>
      </c>
      <c r="F3557" s="3" t="str">
        <f>IF(B3557="","",SUMIFS('inventory ledger'!$H:$H,'inventory ledger'!$C:$C,C3557,'inventory ledger'!$D:$D,D3557,'inventory ledger'!$E:$E,E3557,'inventory ledger'!$A:$A,"&lt;="&amp;B3557+TIME(23,59,59))-SUMIFS('inventory ledger'!$I:$I,'inventory ledger'!$C:$C,C3557,'inventory ledger'!$D:$D,D3557,'inventory ledger'!$E:$E,E3557,'inventory ledger'!$A:$A,"&lt;="&amp;B3557+TIME(23,59,59)))</f>
        <v/>
      </c>
      <c r="G3557" s="3">
        <f>IFERROR(__xludf.DUMMYFUNCTION("IF(F3557&lt;=0,0,IFERROR(ROUNDUP(F3557/INDEX(FILTER('warehouse config'!$D:$D,('warehouse config'!$B:$B=C3557)*('warehouse config'!$C:$C=D3557)*('warehouse config'!$G:$G&lt;=B3557)*(('warehouse config'!$H:$H&gt;=B3557)+ISBLANK('warehouse config'!$H:$H))),1)),0))"),0.0)</f>
        <v>0</v>
      </c>
      <c r="H3557" s="3">
        <f>IFERROR(__xludf.DUMMYFUNCTION("IFERROR(INDEX(FILTER('cost master'!$E:$E,('cost master'!$B:$B=C3557)*('cost master'!$D:$D=""Storage cost per pallet / week"")*('cost master'!$G:$G&lt;=B3557)*(('cost master'!$H:$H&gt;=B3557)+ISBLANK('cost master'!$H:$H))),1),0)"),0.0)</f>
        <v>0</v>
      </c>
      <c r="I3557" s="3">
        <f t="shared" si="4"/>
        <v>0</v>
      </c>
      <c r="J3557" s="27">
        <f t="shared" si="5"/>
        <v>693947</v>
      </c>
      <c r="K3557" s="27">
        <f t="shared" si="6"/>
        <v>693977</v>
      </c>
    </row>
    <row r="3558" hidden="1">
      <c r="A3558" s="3" t="str">
        <f t="shared" si="3"/>
        <v/>
      </c>
      <c r="B3558" s="2" t="str">
        <f t="array" ref="B3558">INDEX(helper!$A$3:$A3996,ROUNDUP((ROW()-1)/COUNTA(helper!$D$3:$D3996),0))</f>
        <v/>
      </c>
      <c r="C3558" s="5" t="str">
        <f t="array" ref="C3558">IF(B3558="","",INDEX(helper!$D$3:$D3996,MOD(ROW()-2,COUNTA(helper!$D$3:$D3996))+1))</f>
        <v/>
      </c>
      <c r="D3558" s="3" t="str">
        <f t="array" ref="D3558">IF(B3558="","",INDEX(helper!$E$3:$E3996,MOD(ROW()-2,COUNTA(helper!$D$3:$D3996))+1))</f>
        <v/>
      </c>
      <c r="E3558" s="3" t="str">
        <f t="array" ref="E3558">IF(B3558="","",INDEX(helper!$F$3:$F3996,MOD(ROW()-2,COUNTA(helper!$D$3:$D3996))+1))</f>
        <v/>
      </c>
      <c r="F3558" s="3" t="str">
        <f>IF(B3558="","",SUMIFS('inventory ledger'!$H:$H,'inventory ledger'!$C:$C,C3558,'inventory ledger'!$D:$D,D3558,'inventory ledger'!$E:$E,E3558,'inventory ledger'!$A:$A,"&lt;="&amp;B3558+TIME(23,59,59))-SUMIFS('inventory ledger'!$I:$I,'inventory ledger'!$C:$C,C3558,'inventory ledger'!$D:$D,D3558,'inventory ledger'!$E:$E,E3558,'inventory ledger'!$A:$A,"&lt;="&amp;B3558+TIME(23,59,59)))</f>
        <v/>
      </c>
      <c r="G3558" s="3">
        <f>IFERROR(__xludf.DUMMYFUNCTION("IF(F3558&lt;=0,0,IFERROR(ROUNDUP(F3558/INDEX(FILTER('warehouse config'!$D:$D,('warehouse config'!$B:$B=C3558)*('warehouse config'!$C:$C=D3558)*('warehouse config'!$G:$G&lt;=B3558)*(('warehouse config'!$H:$H&gt;=B3558)+ISBLANK('warehouse config'!$H:$H))),1)),0))"),0.0)</f>
        <v>0</v>
      </c>
      <c r="H3558" s="3">
        <f>IFERROR(__xludf.DUMMYFUNCTION("IFERROR(INDEX(FILTER('cost master'!$E:$E,('cost master'!$B:$B=C3558)*('cost master'!$D:$D=""Storage cost per pallet / week"")*('cost master'!$G:$G&lt;=B3558)*(('cost master'!$H:$H&gt;=B3558)+ISBLANK('cost master'!$H:$H))),1),0)"),0.0)</f>
        <v>0</v>
      </c>
      <c r="I3558" s="3">
        <f t="shared" si="4"/>
        <v>0</v>
      </c>
      <c r="J3558" s="27">
        <f t="shared" si="5"/>
        <v>693947</v>
      </c>
      <c r="K3558" s="27">
        <f t="shared" si="6"/>
        <v>693977</v>
      </c>
    </row>
    <row r="3559" hidden="1">
      <c r="A3559" s="3" t="str">
        <f t="shared" si="3"/>
        <v/>
      </c>
      <c r="B3559" s="2" t="str">
        <f t="array" ref="B3559">INDEX(helper!$A$3:$A3996,ROUNDUP((ROW()-1)/COUNTA(helper!$D$3:$D3996),0))</f>
        <v/>
      </c>
      <c r="C3559" s="5" t="str">
        <f t="array" ref="C3559">IF(B3559="","",INDEX(helper!$D$3:$D3996,MOD(ROW()-2,COUNTA(helper!$D$3:$D3996))+1))</f>
        <v/>
      </c>
      <c r="D3559" s="3" t="str">
        <f t="array" ref="D3559">IF(B3559="","",INDEX(helper!$E$3:$E3996,MOD(ROW()-2,COUNTA(helper!$D$3:$D3996))+1))</f>
        <v/>
      </c>
      <c r="E3559" s="3" t="str">
        <f t="array" ref="E3559">IF(B3559="","",INDEX(helper!$F$3:$F3996,MOD(ROW()-2,COUNTA(helper!$D$3:$D3996))+1))</f>
        <v/>
      </c>
      <c r="F3559" s="3" t="str">
        <f>IF(B3559="","",SUMIFS('inventory ledger'!$H:$H,'inventory ledger'!$C:$C,C3559,'inventory ledger'!$D:$D,D3559,'inventory ledger'!$E:$E,E3559,'inventory ledger'!$A:$A,"&lt;="&amp;B3559+TIME(23,59,59))-SUMIFS('inventory ledger'!$I:$I,'inventory ledger'!$C:$C,C3559,'inventory ledger'!$D:$D,D3559,'inventory ledger'!$E:$E,E3559,'inventory ledger'!$A:$A,"&lt;="&amp;B3559+TIME(23,59,59)))</f>
        <v/>
      </c>
      <c r="G3559" s="3">
        <f>IFERROR(__xludf.DUMMYFUNCTION("IF(F3559&lt;=0,0,IFERROR(ROUNDUP(F3559/INDEX(FILTER('warehouse config'!$D:$D,('warehouse config'!$B:$B=C3559)*('warehouse config'!$C:$C=D3559)*('warehouse config'!$G:$G&lt;=B3559)*(('warehouse config'!$H:$H&gt;=B3559)+ISBLANK('warehouse config'!$H:$H))),1)),0))"),0.0)</f>
        <v>0</v>
      </c>
      <c r="H3559" s="3">
        <f>IFERROR(__xludf.DUMMYFUNCTION("IFERROR(INDEX(FILTER('cost master'!$E:$E,('cost master'!$B:$B=C3559)*('cost master'!$D:$D=""Storage cost per pallet / week"")*('cost master'!$G:$G&lt;=B3559)*(('cost master'!$H:$H&gt;=B3559)+ISBLANK('cost master'!$H:$H))),1),0)"),0.0)</f>
        <v>0</v>
      </c>
      <c r="I3559" s="3">
        <f t="shared" si="4"/>
        <v>0</v>
      </c>
      <c r="J3559" s="27">
        <f t="shared" si="5"/>
        <v>693947</v>
      </c>
      <c r="K3559" s="27">
        <f t="shared" si="6"/>
        <v>693977</v>
      </c>
    </row>
    <row r="3560" hidden="1">
      <c r="A3560" s="3" t="str">
        <f t="shared" si="3"/>
        <v/>
      </c>
      <c r="B3560" s="2" t="str">
        <f t="array" ref="B3560">INDEX(helper!$A$3:$A3996,ROUNDUP((ROW()-1)/COUNTA(helper!$D$3:$D3996),0))</f>
        <v/>
      </c>
      <c r="C3560" s="5" t="str">
        <f t="array" ref="C3560">IF(B3560="","",INDEX(helper!$D$3:$D3996,MOD(ROW()-2,COUNTA(helper!$D$3:$D3996))+1))</f>
        <v/>
      </c>
      <c r="D3560" s="3" t="str">
        <f t="array" ref="D3560">IF(B3560="","",INDEX(helper!$E$3:$E3996,MOD(ROW()-2,COUNTA(helper!$D$3:$D3996))+1))</f>
        <v/>
      </c>
      <c r="E3560" s="3" t="str">
        <f t="array" ref="E3560">IF(B3560="","",INDEX(helper!$F$3:$F3996,MOD(ROW()-2,COUNTA(helper!$D$3:$D3996))+1))</f>
        <v/>
      </c>
      <c r="F3560" s="3" t="str">
        <f>IF(B3560="","",SUMIFS('inventory ledger'!$H:$H,'inventory ledger'!$C:$C,C3560,'inventory ledger'!$D:$D,D3560,'inventory ledger'!$E:$E,E3560,'inventory ledger'!$A:$A,"&lt;="&amp;B3560+TIME(23,59,59))-SUMIFS('inventory ledger'!$I:$I,'inventory ledger'!$C:$C,C3560,'inventory ledger'!$D:$D,D3560,'inventory ledger'!$E:$E,E3560,'inventory ledger'!$A:$A,"&lt;="&amp;B3560+TIME(23,59,59)))</f>
        <v/>
      </c>
      <c r="G3560" s="3">
        <f>IFERROR(__xludf.DUMMYFUNCTION("IF(F3560&lt;=0,0,IFERROR(ROUNDUP(F3560/INDEX(FILTER('warehouse config'!$D:$D,('warehouse config'!$B:$B=C3560)*('warehouse config'!$C:$C=D3560)*('warehouse config'!$G:$G&lt;=B3560)*(('warehouse config'!$H:$H&gt;=B3560)+ISBLANK('warehouse config'!$H:$H))),1)),0))"),0.0)</f>
        <v>0</v>
      </c>
      <c r="H3560" s="3">
        <f>IFERROR(__xludf.DUMMYFUNCTION("IFERROR(INDEX(FILTER('cost master'!$E:$E,('cost master'!$B:$B=C3560)*('cost master'!$D:$D=""Storage cost per pallet / week"")*('cost master'!$G:$G&lt;=B3560)*(('cost master'!$H:$H&gt;=B3560)+ISBLANK('cost master'!$H:$H))),1),0)"),0.0)</f>
        <v>0</v>
      </c>
      <c r="I3560" s="3">
        <f t="shared" si="4"/>
        <v>0</v>
      </c>
      <c r="J3560" s="27">
        <f t="shared" si="5"/>
        <v>693947</v>
      </c>
      <c r="K3560" s="27">
        <f t="shared" si="6"/>
        <v>693977</v>
      </c>
    </row>
    <row r="3561" hidden="1">
      <c r="A3561" s="3" t="str">
        <f t="shared" si="3"/>
        <v/>
      </c>
      <c r="B3561" s="2" t="str">
        <f t="array" ref="B3561">INDEX(helper!$A$3:$A3996,ROUNDUP((ROW()-1)/COUNTA(helper!$D$3:$D3996),0))</f>
        <v/>
      </c>
      <c r="C3561" s="5" t="str">
        <f t="array" ref="C3561">IF(B3561="","",INDEX(helper!$D$3:$D3996,MOD(ROW()-2,COUNTA(helper!$D$3:$D3996))+1))</f>
        <v/>
      </c>
      <c r="D3561" s="3" t="str">
        <f t="array" ref="D3561">IF(B3561="","",INDEX(helper!$E$3:$E3996,MOD(ROW()-2,COUNTA(helper!$D$3:$D3996))+1))</f>
        <v/>
      </c>
      <c r="E3561" s="3" t="str">
        <f t="array" ref="E3561">IF(B3561="","",INDEX(helper!$F$3:$F3996,MOD(ROW()-2,COUNTA(helper!$D$3:$D3996))+1))</f>
        <v/>
      </c>
      <c r="F3561" s="3" t="str">
        <f>IF(B3561="","",SUMIFS('inventory ledger'!$H:$H,'inventory ledger'!$C:$C,C3561,'inventory ledger'!$D:$D,D3561,'inventory ledger'!$E:$E,E3561,'inventory ledger'!$A:$A,"&lt;="&amp;B3561+TIME(23,59,59))-SUMIFS('inventory ledger'!$I:$I,'inventory ledger'!$C:$C,C3561,'inventory ledger'!$D:$D,D3561,'inventory ledger'!$E:$E,E3561,'inventory ledger'!$A:$A,"&lt;="&amp;B3561+TIME(23,59,59)))</f>
        <v/>
      </c>
      <c r="G3561" s="3">
        <f>IFERROR(__xludf.DUMMYFUNCTION("IF(F3561&lt;=0,0,IFERROR(ROUNDUP(F3561/INDEX(FILTER('warehouse config'!$D:$D,('warehouse config'!$B:$B=C3561)*('warehouse config'!$C:$C=D3561)*('warehouse config'!$G:$G&lt;=B3561)*(('warehouse config'!$H:$H&gt;=B3561)+ISBLANK('warehouse config'!$H:$H))),1)),0))"),0.0)</f>
        <v>0</v>
      </c>
      <c r="H3561" s="3">
        <f>IFERROR(__xludf.DUMMYFUNCTION("IFERROR(INDEX(FILTER('cost master'!$E:$E,('cost master'!$B:$B=C3561)*('cost master'!$D:$D=""Storage cost per pallet / week"")*('cost master'!$G:$G&lt;=B3561)*(('cost master'!$H:$H&gt;=B3561)+ISBLANK('cost master'!$H:$H))),1),0)"),0.0)</f>
        <v>0</v>
      </c>
      <c r="I3561" s="3">
        <f t="shared" si="4"/>
        <v>0</v>
      </c>
      <c r="J3561" s="27">
        <f t="shared" si="5"/>
        <v>693947</v>
      </c>
      <c r="K3561" s="27">
        <f t="shared" si="6"/>
        <v>693977</v>
      </c>
    </row>
    <row r="3562" hidden="1">
      <c r="A3562" s="3" t="str">
        <f t="shared" si="3"/>
        <v/>
      </c>
      <c r="B3562" s="2" t="str">
        <f t="array" ref="B3562">INDEX(helper!$A$3:$A3996,ROUNDUP((ROW()-1)/COUNTA(helper!$D$3:$D3996),0))</f>
        <v/>
      </c>
      <c r="C3562" s="5" t="str">
        <f t="array" ref="C3562">IF(B3562="","",INDEX(helper!$D$3:$D3996,MOD(ROW()-2,COUNTA(helper!$D$3:$D3996))+1))</f>
        <v/>
      </c>
      <c r="D3562" s="3" t="str">
        <f t="array" ref="D3562">IF(B3562="","",INDEX(helper!$E$3:$E3996,MOD(ROW()-2,COUNTA(helper!$D$3:$D3996))+1))</f>
        <v/>
      </c>
      <c r="E3562" s="3" t="str">
        <f t="array" ref="E3562">IF(B3562="","",INDEX(helper!$F$3:$F3996,MOD(ROW()-2,COUNTA(helper!$D$3:$D3996))+1))</f>
        <v/>
      </c>
      <c r="F3562" s="3" t="str">
        <f>IF(B3562="","",SUMIFS('inventory ledger'!$H:$H,'inventory ledger'!$C:$C,C3562,'inventory ledger'!$D:$D,D3562,'inventory ledger'!$E:$E,E3562,'inventory ledger'!$A:$A,"&lt;="&amp;B3562+TIME(23,59,59))-SUMIFS('inventory ledger'!$I:$I,'inventory ledger'!$C:$C,C3562,'inventory ledger'!$D:$D,D3562,'inventory ledger'!$E:$E,E3562,'inventory ledger'!$A:$A,"&lt;="&amp;B3562+TIME(23,59,59)))</f>
        <v/>
      </c>
      <c r="G3562" s="3">
        <f>IFERROR(__xludf.DUMMYFUNCTION("IF(F3562&lt;=0,0,IFERROR(ROUNDUP(F3562/INDEX(FILTER('warehouse config'!$D:$D,('warehouse config'!$B:$B=C3562)*('warehouse config'!$C:$C=D3562)*('warehouse config'!$G:$G&lt;=B3562)*(('warehouse config'!$H:$H&gt;=B3562)+ISBLANK('warehouse config'!$H:$H))),1)),0))"),0.0)</f>
        <v>0</v>
      </c>
      <c r="H3562" s="3">
        <f>IFERROR(__xludf.DUMMYFUNCTION("IFERROR(INDEX(FILTER('cost master'!$E:$E,('cost master'!$B:$B=C3562)*('cost master'!$D:$D=""Storage cost per pallet / week"")*('cost master'!$G:$G&lt;=B3562)*(('cost master'!$H:$H&gt;=B3562)+ISBLANK('cost master'!$H:$H))),1),0)"),0.0)</f>
        <v>0</v>
      </c>
      <c r="I3562" s="3">
        <f t="shared" si="4"/>
        <v>0</v>
      </c>
      <c r="J3562" s="27">
        <f t="shared" si="5"/>
        <v>693947</v>
      </c>
      <c r="K3562" s="27">
        <f t="shared" si="6"/>
        <v>693977</v>
      </c>
    </row>
    <row r="3563" hidden="1">
      <c r="A3563" s="3" t="str">
        <f t="shared" si="3"/>
        <v/>
      </c>
      <c r="B3563" s="2" t="str">
        <f t="array" ref="B3563">INDEX(helper!$A$3:$A3996,ROUNDUP((ROW()-1)/COUNTA(helper!$D$3:$D3996),0))</f>
        <v/>
      </c>
      <c r="C3563" s="5" t="str">
        <f t="array" ref="C3563">IF(B3563="","",INDEX(helper!$D$3:$D3996,MOD(ROW()-2,COUNTA(helper!$D$3:$D3996))+1))</f>
        <v/>
      </c>
      <c r="D3563" s="3" t="str">
        <f t="array" ref="D3563">IF(B3563="","",INDEX(helper!$E$3:$E3996,MOD(ROW()-2,COUNTA(helper!$D$3:$D3996))+1))</f>
        <v/>
      </c>
      <c r="E3563" s="3" t="str">
        <f t="array" ref="E3563">IF(B3563="","",INDEX(helper!$F$3:$F3996,MOD(ROW()-2,COUNTA(helper!$D$3:$D3996))+1))</f>
        <v/>
      </c>
      <c r="F3563" s="3" t="str">
        <f>IF(B3563="","",SUMIFS('inventory ledger'!$H:$H,'inventory ledger'!$C:$C,C3563,'inventory ledger'!$D:$D,D3563,'inventory ledger'!$E:$E,E3563,'inventory ledger'!$A:$A,"&lt;="&amp;B3563+TIME(23,59,59))-SUMIFS('inventory ledger'!$I:$I,'inventory ledger'!$C:$C,C3563,'inventory ledger'!$D:$D,D3563,'inventory ledger'!$E:$E,E3563,'inventory ledger'!$A:$A,"&lt;="&amp;B3563+TIME(23,59,59)))</f>
        <v/>
      </c>
      <c r="G3563" s="3">
        <f>IFERROR(__xludf.DUMMYFUNCTION("IF(F3563&lt;=0,0,IFERROR(ROUNDUP(F3563/INDEX(FILTER('warehouse config'!$D:$D,('warehouse config'!$B:$B=C3563)*('warehouse config'!$C:$C=D3563)*('warehouse config'!$G:$G&lt;=B3563)*(('warehouse config'!$H:$H&gt;=B3563)+ISBLANK('warehouse config'!$H:$H))),1)),0))"),0.0)</f>
        <v>0</v>
      </c>
      <c r="H3563" s="3">
        <f>IFERROR(__xludf.DUMMYFUNCTION("IFERROR(INDEX(FILTER('cost master'!$E:$E,('cost master'!$B:$B=C3563)*('cost master'!$D:$D=""Storage cost per pallet / week"")*('cost master'!$G:$G&lt;=B3563)*(('cost master'!$H:$H&gt;=B3563)+ISBLANK('cost master'!$H:$H))),1),0)"),0.0)</f>
        <v>0</v>
      </c>
      <c r="I3563" s="3">
        <f t="shared" si="4"/>
        <v>0</v>
      </c>
      <c r="J3563" s="27">
        <f t="shared" si="5"/>
        <v>693947</v>
      </c>
      <c r="K3563" s="27">
        <f t="shared" si="6"/>
        <v>693977</v>
      </c>
    </row>
    <row r="3564" hidden="1">
      <c r="A3564" s="3" t="str">
        <f t="shared" si="3"/>
        <v/>
      </c>
      <c r="B3564" s="2" t="str">
        <f t="array" ref="B3564">INDEX(helper!$A$3:$A3996,ROUNDUP((ROW()-1)/COUNTA(helper!$D$3:$D3996),0))</f>
        <v/>
      </c>
      <c r="C3564" s="5" t="str">
        <f t="array" ref="C3564">IF(B3564="","",INDEX(helper!$D$3:$D3996,MOD(ROW()-2,COUNTA(helper!$D$3:$D3996))+1))</f>
        <v/>
      </c>
      <c r="D3564" s="3" t="str">
        <f t="array" ref="D3564">IF(B3564="","",INDEX(helper!$E$3:$E3996,MOD(ROW()-2,COUNTA(helper!$D$3:$D3996))+1))</f>
        <v/>
      </c>
      <c r="E3564" s="3" t="str">
        <f t="array" ref="E3564">IF(B3564="","",INDEX(helper!$F$3:$F3996,MOD(ROW()-2,COUNTA(helper!$D$3:$D3996))+1))</f>
        <v/>
      </c>
      <c r="F3564" s="3" t="str">
        <f>IF(B3564="","",SUMIFS('inventory ledger'!$H:$H,'inventory ledger'!$C:$C,C3564,'inventory ledger'!$D:$D,D3564,'inventory ledger'!$E:$E,E3564,'inventory ledger'!$A:$A,"&lt;="&amp;B3564+TIME(23,59,59))-SUMIFS('inventory ledger'!$I:$I,'inventory ledger'!$C:$C,C3564,'inventory ledger'!$D:$D,D3564,'inventory ledger'!$E:$E,E3564,'inventory ledger'!$A:$A,"&lt;="&amp;B3564+TIME(23,59,59)))</f>
        <v/>
      </c>
      <c r="G3564" s="3">
        <f>IFERROR(__xludf.DUMMYFUNCTION("IF(F3564&lt;=0,0,IFERROR(ROUNDUP(F3564/INDEX(FILTER('warehouse config'!$D:$D,('warehouse config'!$B:$B=C3564)*('warehouse config'!$C:$C=D3564)*('warehouse config'!$G:$G&lt;=B3564)*(('warehouse config'!$H:$H&gt;=B3564)+ISBLANK('warehouse config'!$H:$H))),1)),0))"),0.0)</f>
        <v>0</v>
      </c>
      <c r="H3564" s="3">
        <f>IFERROR(__xludf.DUMMYFUNCTION("IFERROR(INDEX(FILTER('cost master'!$E:$E,('cost master'!$B:$B=C3564)*('cost master'!$D:$D=""Storage cost per pallet / week"")*('cost master'!$G:$G&lt;=B3564)*(('cost master'!$H:$H&gt;=B3564)+ISBLANK('cost master'!$H:$H))),1),0)"),0.0)</f>
        <v>0</v>
      </c>
      <c r="I3564" s="3">
        <f t="shared" si="4"/>
        <v>0</v>
      </c>
      <c r="J3564" s="27">
        <f t="shared" si="5"/>
        <v>693947</v>
      </c>
      <c r="K3564" s="27">
        <f t="shared" si="6"/>
        <v>693977</v>
      </c>
    </row>
    <row r="3565" hidden="1">
      <c r="A3565" s="3" t="str">
        <f t="shared" si="3"/>
        <v/>
      </c>
      <c r="B3565" s="2" t="str">
        <f t="array" ref="B3565">INDEX(helper!$A$3:$A3996,ROUNDUP((ROW()-1)/COUNTA(helper!$D$3:$D3996),0))</f>
        <v/>
      </c>
      <c r="C3565" s="5" t="str">
        <f t="array" ref="C3565">IF(B3565="","",INDEX(helper!$D$3:$D3996,MOD(ROW()-2,COUNTA(helper!$D$3:$D3996))+1))</f>
        <v/>
      </c>
      <c r="D3565" s="3" t="str">
        <f t="array" ref="D3565">IF(B3565="","",INDEX(helper!$E$3:$E3996,MOD(ROW()-2,COUNTA(helper!$D$3:$D3996))+1))</f>
        <v/>
      </c>
      <c r="E3565" s="3" t="str">
        <f t="array" ref="E3565">IF(B3565="","",INDEX(helper!$F$3:$F3996,MOD(ROW()-2,COUNTA(helper!$D$3:$D3996))+1))</f>
        <v/>
      </c>
      <c r="F3565" s="3" t="str">
        <f>IF(B3565="","",SUMIFS('inventory ledger'!$H:$H,'inventory ledger'!$C:$C,C3565,'inventory ledger'!$D:$D,D3565,'inventory ledger'!$E:$E,E3565,'inventory ledger'!$A:$A,"&lt;="&amp;B3565+TIME(23,59,59))-SUMIFS('inventory ledger'!$I:$I,'inventory ledger'!$C:$C,C3565,'inventory ledger'!$D:$D,D3565,'inventory ledger'!$E:$E,E3565,'inventory ledger'!$A:$A,"&lt;="&amp;B3565+TIME(23,59,59)))</f>
        <v/>
      </c>
      <c r="G3565" s="3">
        <f>IFERROR(__xludf.DUMMYFUNCTION("IF(F3565&lt;=0,0,IFERROR(ROUNDUP(F3565/INDEX(FILTER('warehouse config'!$D:$D,('warehouse config'!$B:$B=C3565)*('warehouse config'!$C:$C=D3565)*('warehouse config'!$G:$G&lt;=B3565)*(('warehouse config'!$H:$H&gt;=B3565)+ISBLANK('warehouse config'!$H:$H))),1)),0))"),0.0)</f>
        <v>0</v>
      </c>
      <c r="H3565" s="3">
        <f>IFERROR(__xludf.DUMMYFUNCTION("IFERROR(INDEX(FILTER('cost master'!$E:$E,('cost master'!$B:$B=C3565)*('cost master'!$D:$D=""Storage cost per pallet / week"")*('cost master'!$G:$G&lt;=B3565)*(('cost master'!$H:$H&gt;=B3565)+ISBLANK('cost master'!$H:$H))),1),0)"),0.0)</f>
        <v>0</v>
      </c>
      <c r="I3565" s="3">
        <f t="shared" si="4"/>
        <v>0</v>
      </c>
      <c r="J3565" s="27">
        <f t="shared" si="5"/>
        <v>693947</v>
      </c>
      <c r="K3565" s="27">
        <f t="shared" si="6"/>
        <v>693977</v>
      </c>
    </row>
    <row r="3566" hidden="1">
      <c r="A3566" s="3" t="str">
        <f t="shared" si="3"/>
        <v/>
      </c>
      <c r="B3566" s="2" t="str">
        <f t="array" ref="B3566">INDEX(helper!$A$3:$A3996,ROUNDUP((ROW()-1)/COUNTA(helper!$D$3:$D3996),0))</f>
        <v/>
      </c>
      <c r="C3566" s="5" t="str">
        <f t="array" ref="C3566">IF(B3566="","",INDEX(helper!$D$3:$D3996,MOD(ROW()-2,COUNTA(helper!$D$3:$D3996))+1))</f>
        <v/>
      </c>
      <c r="D3566" s="3" t="str">
        <f t="array" ref="D3566">IF(B3566="","",INDEX(helper!$E$3:$E3996,MOD(ROW()-2,COUNTA(helper!$D$3:$D3996))+1))</f>
        <v/>
      </c>
      <c r="E3566" s="3" t="str">
        <f t="array" ref="E3566">IF(B3566="","",INDEX(helper!$F$3:$F3996,MOD(ROW()-2,COUNTA(helper!$D$3:$D3996))+1))</f>
        <v/>
      </c>
      <c r="F3566" s="3" t="str">
        <f>IF(B3566="","",SUMIFS('inventory ledger'!$H:$H,'inventory ledger'!$C:$C,C3566,'inventory ledger'!$D:$D,D3566,'inventory ledger'!$E:$E,E3566,'inventory ledger'!$A:$A,"&lt;="&amp;B3566+TIME(23,59,59))-SUMIFS('inventory ledger'!$I:$I,'inventory ledger'!$C:$C,C3566,'inventory ledger'!$D:$D,D3566,'inventory ledger'!$E:$E,E3566,'inventory ledger'!$A:$A,"&lt;="&amp;B3566+TIME(23,59,59)))</f>
        <v/>
      </c>
      <c r="G3566" s="3">
        <f>IFERROR(__xludf.DUMMYFUNCTION("IF(F3566&lt;=0,0,IFERROR(ROUNDUP(F3566/INDEX(FILTER('warehouse config'!$D:$D,('warehouse config'!$B:$B=C3566)*('warehouse config'!$C:$C=D3566)*('warehouse config'!$G:$G&lt;=B3566)*(('warehouse config'!$H:$H&gt;=B3566)+ISBLANK('warehouse config'!$H:$H))),1)),0))"),0.0)</f>
        <v>0</v>
      </c>
      <c r="H3566" s="3">
        <f>IFERROR(__xludf.DUMMYFUNCTION("IFERROR(INDEX(FILTER('cost master'!$E:$E,('cost master'!$B:$B=C3566)*('cost master'!$D:$D=""Storage cost per pallet / week"")*('cost master'!$G:$G&lt;=B3566)*(('cost master'!$H:$H&gt;=B3566)+ISBLANK('cost master'!$H:$H))),1),0)"),0.0)</f>
        <v>0</v>
      </c>
      <c r="I3566" s="3">
        <f t="shared" si="4"/>
        <v>0</v>
      </c>
      <c r="J3566" s="27">
        <f t="shared" si="5"/>
        <v>693947</v>
      </c>
      <c r="K3566" s="27">
        <f t="shared" si="6"/>
        <v>693977</v>
      </c>
    </row>
    <row r="3567" hidden="1">
      <c r="A3567" s="3" t="str">
        <f t="shared" si="3"/>
        <v/>
      </c>
      <c r="B3567" s="2" t="str">
        <f t="array" ref="B3567">INDEX(helper!$A$3:$A3996,ROUNDUP((ROW()-1)/COUNTA(helper!$D$3:$D3996),0))</f>
        <v/>
      </c>
      <c r="C3567" s="5" t="str">
        <f t="array" ref="C3567">IF(B3567="","",INDEX(helper!$D$3:$D3996,MOD(ROW()-2,COUNTA(helper!$D$3:$D3996))+1))</f>
        <v/>
      </c>
      <c r="D3567" s="3" t="str">
        <f t="array" ref="D3567">IF(B3567="","",INDEX(helper!$E$3:$E3996,MOD(ROW()-2,COUNTA(helper!$D$3:$D3996))+1))</f>
        <v/>
      </c>
      <c r="E3567" s="3" t="str">
        <f t="array" ref="E3567">IF(B3567="","",INDEX(helper!$F$3:$F3996,MOD(ROW()-2,COUNTA(helper!$D$3:$D3996))+1))</f>
        <v/>
      </c>
      <c r="F3567" s="3" t="str">
        <f>IF(B3567="","",SUMIFS('inventory ledger'!$H:$H,'inventory ledger'!$C:$C,C3567,'inventory ledger'!$D:$D,D3567,'inventory ledger'!$E:$E,E3567,'inventory ledger'!$A:$A,"&lt;="&amp;B3567+TIME(23,59,59))-SUMIFS('inventory ledger'!$I:$I,'inventory ledger'!$C:$C,C3567,'inventory ledger'!$D:$D,D3567,'inventory ledger'!$E:$E,E3567,'inventory ledger'!$A:$A,"&lt;="&amp;B3567+TIME(23,59,59)))</f>
        <v/>
      </c>
      <c r="G3567" s="3">
        <f>IFERROR(__xludf.DUMMYFUNCTION("IF(F3567&lt;=0,0,IFERROR(ROUNDUP(F3567/INDEX(FILTER('warehouse config'!$D:$D,('warehouse config'!$B:$B=C3567)*('warehouse config'!$C:$C=D3567)*('warehouse config'!$G:$G&lt;=B3567)*(('warehouse config'!$H:$H&gt;=B3567)+ISBLANK('warehouse config'!$H:$H))),1)),0))"),0.0)</f>
        <v>0</v>
      </c>
      <c r="H3567" s="3">
        <f>IFERROR(__xludf.DUMMYFUNCTION("IFERROR(INDEX(FILTER('cost master'!$E:$E,('cost master'!$B:$B=C3567)*('cost master'!$D:$D=""Storage cost per pallet / week"")*('cost master'!$G:$G&lt;=B3567)*(('cost master'!$H:$H&gt;=B3567)+ISBLANK('cost master'!$H:$H))),1),0)"),0.0)</f>
        <v>0</v>
      </c>
      <c r="I3567" s="3">
        <f t="shared" si="4"/>
        <v>0</v>
      </c>
      <c r="J3567" s="27">
        <f t="shared" si="5"/>
        <v>693947</v>
      </c>
      <c r="K3567" s="27">
        <f t="shared" si="6"/>
        <v>693977</v>
      </c>
    </row>
    <row r="3568" hidden="1">
      <c r="A3568" s="3" t="str">
        <f t="shared" si="3"/>
        <v/>
      </c>
      <c r="B3568" s="2" t="str">
        <f t="array" ref="B3568">INDEX(helper!$A$3:$A3996,ROUNDUP((ROW()-1)/COUNTA(helper!$D$3:$D3996),0))</f>
        <v/>
      </c>
      <c r="C3568" s="5" t="str">
        <f t="array" ref="C3568">IF(B3568="","",INDEX(helper!$D$3:$D3996,MOD(ROW()-2,COUNTA(helper!$D$3:$D3996))+1))</f>
        <v/>
      </c>
      <c r="D3568" s="3" t="str">
        <f t="array" ref="D3568">IF(B3568="","",INDEX(helper!$E$3:$E3996,MOD(ROW()-2,COUNTA(helper!$D$3:$D3996))+1))</f>
        <v/>
      </c>
      <c r="E3568" s="3" t="str">
        <f t="array" ref="E3568">IF(B3568="","",INDEX(helper!$F$3:$F3996,MOD(ROW()-2,COUNTA(helper!$D$3:$D3996))+1))</f>
        <v/>
      </c>
      <c r="F3568" s="3" t="str">
        <f>IF(B3568="","",SUMIFS('inventory ledger'!$H:$H,'inventory ledger'!$C:$C,C3568,'inventory ledger'!$D:$D,D3568,'inventory ledger'!$E:$E,E3568,'inventory ledger'!$A:$A,"&lt;="&amp;B3568+TIME(23,59,59))-SUMIFS('inventory ledger'!$I:$I,'inventory ledger'!$C:$C,C3568,'inventory ledger'!$D:$D,D3568,'inventory ledger'!$E:$E,E3568,'inventory ledger'!$A:$A,"&lt;="&amp;B3568+TIME(23,59,59)))</f>
        <v/>
      </c>
      <c r="G3568" s="3">
        <f>IFERROR(__xludf.DUMMYFUNCTION("IF(F3568&lt;=0,0,IFERROR(ROUNDUP(F3568/INDEX(FILTER('warehouse config'!$D:$D,('warehouse config'!$B:$B=C3568)*('warehouse config'!$C:$C=D3568)*('warehouse config'!$G:$G&lt;=B3568)*(('warehouse config'!$H:$H&gt;=B3568)+ISBLANK('warehouse config'!$H:$H))),1)),0))"),0.0)</f>
        <v>0</v>
      </c>
      <c r="H3568" s="3">
        <f>IFERROR(__xludf.DUMMYFUNCTION("IFERROR(INDEX(FILTER('cost master'!$E:$E,('cost master'!$B:$B=C3568)*('cost master'!$D:$D=""Storage cost per pallet / week"")*('cost master'!$G:$G&lt;=B3568)*(('cost master'!$H:$H&gt;=B3568)+ISBLANK('cost master'!$H:$H))),1),0)"),0.0)</f>
        <v>0</v>
      </c>
      <c r="I3568" s="3">
        <f t="shared" si="4"/>
        <v>0</v>
      </c>
      <c r="J3568" s="27">
        <f t="shared" si="5"/>
        <v>693947</v>
      </c>
      <c r="K3568" s="27">
        <f t="shared" si="6"/>
        <v>693977</v>
      </c>
    </row>
    <row r="3569" hidden="1">
      <c r="A3569" s="3" t="str">
        <f t="shared" si="3"/>
        <v/>
      </c>
      <c r="B3569" s="2" t="str">
        <f t="array" ref="B3569">INDEX(helper!$A$3:$A3996,ROUNDUP((ROW()-1)/COUNTA(helper!$D$3:$D3996),0))</f>
        <v/>
      </c>
      <c r="C3569" s="5" t="str">
        <f t="array" ref="C3569">IF(B3569="","",INDEX(helper!$D$3:$D3996,MOD(ROW()-2,COUNTA(helper!$D$3:$D3996))+1))</f>
        <v/>
      </c>
      <c r="D3569" s="3" t="str">
        <f t="array" ref="D3569">IF(B3569="","",INDEX(helper!$E$3:$E3996,MOD(ROW()-2,COUNTA(helper!$D$3:$D3996))+1))</f>
        <v/>
      </c>
      <c r="E3569" s="3" t="str">
        <f t="array" ref="E3569">IF(B3569="","",INDEX(helper!$F$3:$F3996,MOD(ROW()-2,COUNTA(helper!$D$3:$D3996))+1))</f>
        <v/>
      </c>
      <c r="F3569" s="3" t="str">
        <f>IF(B3569="","",SUMIFS('inventory ledger'!$H:$H,'inventory ledger'!$C:$C,C3569,'inventory ledger'!$D:$D,D3569,'inventory ledger'!$E:$E,E3569,'inventory ledger'!$A:$A,"&lt;="&amp;B3569+TIME(23,59,59))-SUMIFS('inventory ledger'!$I:$I,'inventory ledger'!$C:$C,C3569,'inventory ledger'!$D:$D,D3569,'inventory ledger'!$E:$E,E3569,'inventory ledger'!$A:$A,"&lt;="&amp;B3569+TIME(23,59,59)))</f>
        <v/>
      </c>
      <c r="G3569" s="3">
        <f>IFERROR(__xludf.DUMMYFUNCTION("IF(F3569&lt;=0,0,IFERROR(ROUNDUP(F3569/INDEX(FILTER('warehouse config'!$D:$D,('warehouse config'!$B:$B=C3569)*('warehouse config'!$C:$C=D3569)*('warehouse config'!$G:$G&lt;=B3569)*(('warehouse config'!$H:$H&gt;=B3569)+ISBLANK('warehouse config'!$H:$H))),1)),0))"),0.0)</f>
        <v>0</v>
      </c>
      <c r="H3569" s="3">
        <f>IFERROR(__xludf.DUMMYFUNCTION("IFERROR(INDEX(FILTER('cost master'!$E:$E,('cost master'!$B:$B=C3569)*('cost master'!$D:$D=""Storage cost per pallet / week"")*('cost master'!$G:$G&lt;=B3569)*(('cost master'!$H:$H&gt;=B3569)+ISBLANK('cost master'!$H:$H))),1),0)"),0.0)</f>
        <v>0</v>
      </c>
      <c r="I3569" s="3">
        <f t="shared" si="4"/>
        <v>0</v>
      </c>
      <c r="J3569" s="27">
        <f t="shared" si="5"/>
        <v>693947</v>
      </c>
      <c r="K3569" s="27">
        <f t="shared" si="6"/>
        <v>693977</v>
      </c>
    </row>
    <row r="3570" hidden="1">
      <c r="A3570" s="3" t="str">
        <f t="shared" si="3"/>
        <v/>
      </c>
      <c r="B3570" s="2" t="str">
        <f t="array" ref="B3570">INDEX(helper!$A$3:$A3996,ROUNDUP((ROW()-1)/COUNTA(helper!$D$3:$D3996),0))</f>
        <v/>
      </c>
      <c r="C3570" s="5" t="str">
        <f t="array" ref="C3570">IF(B3570="","",INDEX(helper!$D$3:$D3996,MOD(ROW()-2,COUNTA(helper!$D$3:$D3996))+1))</f>
        <v/>
      </c>
      <c r="D3570" s="3" t="str">
        <f t="array" ref="D3570">IF(B3570="","",INDEX(helper!$E$3:$E3996,MOD(ROW()-2,COUNTA(helper!$D$3:$D3996))+1))</f>
        <v/>
      </c>
      <c r="E3570" s="3" t="str">
        <f t="array" ref="E3570">IF(B3570="","",INDEX(helper!$F$3:$F3996,MOD(ROW()-2,COUNTA(helper!$D$3:$D3996))+1))</f>
        <v/>
      </c>
      <c r="F3570" s="3" t="str">
        <f>IF(B3570="","",SUMIFS('inventory ledger'!$H:$H,'inventory ledger'!$C:$C,C3570,'inventory ledger'!$D:$D,D3570,'inventory ledger'!$E:$E,E3570,'inventory ledger'!$A:$A,"&lt;="&amp;B3570+TIME(23,59,59))-SUMIFS('inventory ledger'!$I:$I,'inventory ledger'!$C:$C,C3570,'inventory ledger'!$D:$D,D3570,'inventory ledger'!$E:$E,E3570,'inventory ledger'!$A:$A,"&lt;="&amp;B3570+TIME(23,59,59)))</f>
        <v/>
      </c>
      <c r="G3570" s="3">
        <f>IFERROR(__xludf.DUMMYFUNCTION("IF(F3570&lt;=0,0,IFERROR(ROUNDUP(F3570/INDEX(FILTER('warehouse config'!$D:$D,('warehouse config'!$B:$B=C3570)*('warehouse config'!$C:$C=D3570)*('warehouse config'!$G:$G&lt;=B3570)*(('warehouse config'!$H:$H&gt;=B3570)+ISBLANK('warehouse config'!$H:$H))),1)),0))"),0.0)</f>
        <v>0</v>
      </c>
      <c r="H3570" s="3">
        <f>IFERROR(__xludf.DUMMYFUNCTION("IFERROR(INDEX(FILTER('cost master'!$E:$E,('cost master'!$B:$B=C3570)*('cost master'!$D:$D=""Storage cost per pallet / week"")*('cost master'!$G:$G&lt;=B3570)*(('cost master'!$H:$H&gt;=B3570)+ISBLANK('cost master'!$H:$H))),1),0)"),0.0)</f>
        <v>0</v>
      </c>
      <c r="I3570" s="3">
        <f t="shared" si="4"/>
        <v>0</v>
      </c>
      <c r="J3570" s="27">
        <f t="shared" si="5"/>
        <v>693947</v>
      </c>
      <c r="K3570" s="27">
        <f t="shared" si="6"/>
        <v>693977</v>
      </c>
    </row>
    <row r="3571" hidden="1">
      <c r="A3571" s="3" t="str">
        <f t="shared" si="3"/>
        <v/>
      </c>
      <c r="B3571" s="2" t="str">
        <f t="array" ref="B3571">INDEX(helper!$A$3:$A3996,ROUNDUP((ROW()-1)/COUNTA(helper!$D$3:$D3996),0))</f>
        <v/>
      </c>
      <c r="C3571" s="5" t="str">
        <f t="array" ref="C3571">IF(B3571="","",INDEX(helper!$D$3:$D3996,MOD(ROW()-2,COUNTA(helper!$D$3:$D3996))+1))</f>
        <v/>
      </c>
      <c r="D3571" s="3" t="str">
        <f t="array" ref="D3571">IF(B3571="","",INDEX(helper!$E$3:$E3996,MOD(ROW()-2,COUNTA(helper!$D$3:$D3996))+1))</f>
        <v/>
      </c>
      <c r="E3571" s="3" t="str">
        <f t="array" ref="E3571">IF(B3571="","",INDEX(helper!$F$3:$F3996,MOD(ROW()-2,COUNTA(helper!$D$3:$D3996))+1))</f>
        <v/>
      </c>
      <c r="F3571" s="3" t="str">
        <f>IF(B3571="","",SUMIFS('inventory ledger'!$H:$H,'inventory ledger'!$C:$C,C3571,'inventory ledger'!$D:$D,D3571,'inventory ledger'!$E:$E,E3571,'inventory ledger'!$A:$A,"&lt;="&amp;B3571+TIME(23,59,59))-SUMIFS('inventory ledger'!$I:$I,'inventory ledger'!$C:$C,C3571,'inventory ledger'!$D:$D,D3571,'inventory ledger'!$E:$E,E3571,'inventory ledger'!$A:$A,"&lt;="&amp;B3571+TIME(23,59,59)))</f>
        <v/>
      </c>
      <c r="G3571" s="3">
        <f>IFERROR(__xludf.DUMMYFUNCTION("IF(F3571&lt;=0,0,IFERROR(ROUNDUP(F3571/INDEX(FILTER('warehouse config'!$D:$D,('warehouse config'!$B:$B=C3571)*('warehouse config'!$C:$C=D3571)*('warehouse config'!$G:$G&lt;=B3571)*(('warehouse config'!$H:$H&gt;=B3571)+ISBLANK('warehouse config'!$H:$H))),1)),0))"),0.0)</f>
        <v>0</v>
      </c>
      <c r="H3571" s="3">
        <f>IFERROR(__xludf.DUMMYFUNCTION("IFERROR(INDEX(FILTER('cost master'!$E:$E,('cost master'!$B:$B=C3571)*('cost master'!$D:$D=""Storage cost per pallet / week"")*('cost master'!$G:$G&lt;=B3571)*(('cost master'!$H:$H&gt;=B3571)+ISBLANK('cost master'!$H:$H))),1),0)"),0.0)</f>
        <v>0</v>
      </c>
      <c r="I3571" s="3">
        <f t="shared" si="4"/>
        <v>0</v>
      </c>
      <c r="J3571" s="27">
        <f t="shared" si="5"/>
        <v>693947</v>
      </c>
      <c r="K3571" s="27">
        <f t="shared" si="6"/>
        <v>693977</v>
      </c>
    </row>
    <row r="3572" hidden="1">
      <c r="A3572" s="3" t="str">
        <f t="shared" si="3"/>
        <v/>
      </c>
      <c r="B3572" s="2" t="str">
        <f t="array" ref="B3572">INDEX(helper!$A$3:$A3996,ROUNDUP((ROW()-1)/COUNTA(helper!$D$3:$D3996),0))</f>
        <v/>
      </c>
      <c r="C3572" s="5" t="str">
        <f t="array" ref="C3572">IF(B3572="","",INDEX(helper!$D$3:$D3996,MOD(ROW()-2,COUNTA(helper!$D$3:$D3996))+1))</f>
        <v/>
      </c>
      <c r="D3572" s="3" t="str">
        <f t="array" ref="D3572">IF(B3572="","",INDEX(helper!$E$3:$E3996,MOD(ROW()-2,COUNTA(helper!$D$3:$D3996))+1))</f>
        <v/>
      </c>
      <c r="E3572" s="3" t="str">
        <f t="array" ref="E3572">IF(B3572="","",INDEX(helper!$F$3:$F3996,MOD(ROW()-2,COUNTA(helper!$D$3:$D3996))+1))</f>
        <v/>
      </c>
      <c r="F3572" s="3" t="str">
        <f>IF(B3572="","",SUMIFS('inventory ledger'!$H:$H,'inventory ledger'!$C:$C,C3572,'inventory ledger'!$D:$D,D3572,'inventory ledger'!$E:$E,E3572,'inventory ledger'!$A:$A,"&lt;="&amp;B3572+TIME(23,59,59))-SUMIFS('inventory ledger'!$I:$I,'inventory ledger'!$C:$C,C3572,'inventory ledger'!$D:$D,D3572,'inventory ledger'!$E:$E,E3572,'inventory ledger'!$A:$A,"&lt;="&amp;B3572+TIME(23,59,59)))</f>
        <v/>
      </c>
      <c r="G3572" s="3">
        <f>IFERROR(__xludf.DUMMYFUNCTION("IF(F3572&lt;=0,0,IFERROR(ROUNDUP(F3572/INDEX(FILTER('warehouse config'!$D:$D,('warehouse config'!$B:$B=C3572)*('warehouse config'!$C:$C=D3572)*('warehouse config'!$G:$G&lt;=B3572)*(('warehouse config'!$H:$H&gt;=B3572)+ISBLANK('warehouse config'!$H:$H))),1)),0))"),0.0)</f>
        <v>0</v>
      </c>
      <c r="H3572" s="3">
        <f>IFERROR(__xludf.DUMMYFUNCTION("IFERROR(INDEX(FILTER('cost master'!$E:$E,('cost master'!$B:$B=C3572)*('cost master'!$D:$D=""Storage cost per pallet / week"")*('cost master'!$G:$G&lt;=B3572)*(('cost master'!$H:$H&gt;=B3572)+ISBLANK('cost master'!$H:$H))),1),0)"),0.0)</f>
        <v>0</v>
      </c>
      <c r="I3572" s="3">
        <f t="shared" si="4"/>
        <v>0</v>
      </c>
      <c r="J3572" s="27">
        <f t="shared" si="5"/>
        <v>693947</v>
      </c>
      <c r="K3572" s="27">
        <f t="shared" si="6"/>
        <v>693977</v>
      </c>
    </row>
    <row r="3573" hidden="1">
      <c r="A3573" s="3" t="str">
        <f t="shared" si="3"/>
        <v/>
      </c>
      <c r="B3573" s="2" t="str">
        <f t="array" ref="B3573">INDEX(helper!$A$3:$A3996,ROUNDUP((ROW()-1)/COUNTA(helper!$D$3:$D3996),0))</f>
        <v/>
      </c>
      <c r="C3573" s="5" t="str">
        <f t="array" ref="C3573">IF(B3573="","",INDEX(helper!$D$3:$D3996,MOD(ROW()-2,COUNTA(helper!$D$3:$D3996))+1))</f>
        <v/>
      </c>
      <c r="D3573" s="3" t="str">
        <f t="array" ref="D3573">IF(B3573="","",INDEX(helper!$E$3:$E3996,MOD(ROW()-2,COUNTA(helper!$D$3:$D3996))+1))</f>
        <v/>
      </c>
      <c r="E3573" s="3" t="str">
        <f t="array" ref="E3573">IF(B3573="","",INDEX(helper!$F$3:$F3996,MOD(ROW()-2,COUNTA(helper!$D$3:$D3996))+1))</f>
        <v/>
      </c>
      <c r="F3573" s="3" t="str">
        <f>IF(B3573="","",SUMIFS('inventory ledger'!$H:$H,'inventory ledger'!$C:$C,C3573,'inventory ledger'!$D:$D,D3573,'inventory ledger'!$E:$E,E3573,'inventory ledger'!$A:$A,"&lt;="&amp;B3573+TIME(23,59,59))-SUMIFS('inventory ledger'!$I:$I,'inventory ledger'!$C:$C,C3573,'inventory ledger'!$D:$D,D3573,'inventory ledger'!$E:$E,E3573,'inventory ledger'!$A:$A,"&lt;="&amp;B3573+TIME(23,59,59)))</f>
        <v/>
      </c>
      <c r="G3573" s="3">
        <f>IFERROR(__xludf.DUMMYFUNCTION("IF(F3573&lt;=0,0,IFERROR(ROUNDUP(F3573/INDEX(FILTER('warehouse config'!$D:$D,('warehouse config'!$B:$B=C3573)*('warehouse config'!$C:$C=D3573)*('warehouse config'!$G:$G&lt;=B3573)*(('warehouse config'!$H:$H&gt;=B3573)+ISBLANK('warehouse config'!$H:$H))),1)),0))"),0.0)</f>
        <v>0</v>
      </c>
      <c r="H3573" s="3">
        <f>IFERROR(__xludf.DUMMYFUNCTION("IFERROR(INDEX(FILTER('cost master'!$E:$E,('cost master'!$B:$B=C3573)*('cost master'!$D:$D=""Storage cost per pallet / week"")*('cost master'!$G:$G&lt;=B3573)*(('cost master'!$H:$H&gt;=B3573)+ISBLANK('cost master'!$H:$H))),1),0)"),0.0)</f>
        <v>0</v>
      </c>
      <c r="I3573" s="3">
        <f t="shared" si="4"/>
        <v>0</v>
      </c>
      <c r="J3573" s="27">
        <f t="shared" si="5"/>
        <v>693947</v>
      </c>
      <c r="K3573" s="27">
        <f t="shared" si="6"/>
        <v>693977</v>
      </c>
    </row>
    <row r="3574" hidden="1">
      <c r="A3574" s="3" t="str">
        <f t="shared" si="3"/>
        <v/>
      </c>
      <c r="B3574" s="2" t="str">
        <f t="array" ref="B3574">INDEX(helper!$A$3:$A3996,ROUNDUP((ROW()-1)/COUNTA(helper!$D$3:$D3996),0))</f>
        <v/>
      </c>
      <c r="C3574" s="5" t="str">
        <f t="array" ref="C3574">IF(B3574="","",INDEX(helper!$D$3:$D3996,MOD(ROW()-2,COUNTA(helper!$D$3:$D3996))+1))</f>
        <v/>
      </c>
      <c r="D3574" s="3" t="str">
        <f t="array" ref="D3574">IF(B3574="","",INDEX(helper!$E$3:$E3996,MOD(ROW()-2,COUNTA(helper!$D$3:$D3996))+1))</f>
        <v/>
      </c>
      <c r="E3574" s="3" t="str">
        <f t="array" ref="E3574">IF(B3574="","",INDEX(helper!$F$3:$F3996,MOD(ROW()-2,COUNTA(helper!$D$3:$D3996))+1))</f>
        <v/>
      </c>
      <c r="F3574" s="3" t="str">
        <f>IF(B3574="","",SUMIFS('inventory ledger'!$H:$H,'inventory ledger'!$C:$C,C3574,'inventory ledger'!$D:$D,D3574,'inventory ledger'!$E:$E,E3574,'inventory ledger'!$A:$A,"&lt;="&amp;B3574+TIME(23,59,59))-SUMIFS('inventory ledger'!$I:$I,'inventory ledger'!$C:$C,C3574,'inventory ledger'!$D:$D,D3574,'inventory ledger'!$E:$E,E3574,'inventory ledger'!$A:$A,"&lt;="&amp;B3574+TIME(23,59,59)))</f>
        <v/>
      </c>
      <c r="G3574" s="3">
        <f>IFERROR(__xludf.DUMMYFUNCTION("IF(F3574&lt;=0,0,IFERROR(ROUNDUP(F3574/INDEX(FILTER('warehouse config'!$D:$D,('warehouse config'!$B:$B=C3574)*('warehouse config'!$C:$C=D3574)*('warehouse config'!$G:$G&lt;=B3574)*(('warehouse config'!$H:$H&gt;=B3574)+ISBLANK('warehouse config'!$H:$H))),1)),0))"),0.0)</f>
        <v>0</v>
      </c>
      <c r="H3574" s="3">
        <f>IFERROR(__xludf.DUMMYFUNCTION("IFERROR(INDEX(FILTER('cost master'!$E:$E,('cost master'!$B:$B=C3574)*('cost master'!$D:$D=""Storage cost per pallet / week"")*('cost master'!$G:$G&lt;=B3574)*(('cost master'!$H:$H&gt;=B3574)+ISBLANK('cost master'!$H:$H))),1),0)"),0.0)</f>
        <v>0</v>
      </c>
      <c r="I3574" s="3">
        <f t="shared" si="4"/>
        <v>0</v>
      </c>
      <c r="J3574" s="27">
        <f t="shared" si="5"/>
        <v>693947</v>
      </c>
      <c r="K3574" s="27">
        <f t="shared" si="6"/>
        <v>693977</v>
      </c>
    </row>
    <row r="3575" hidden="1">
      <c r="A3575" s="3" t="str">
        <f t="shared" si="3"/>
        <v/>
      </c>
      <c r="B3575" s="2" t="str">
        <f t="array" ref="B3575">INDEX(helper!$A$3:$A3996,ROUNDUP((ROW()-1)/COUNTA(helper!$D$3:$D3996),0))</f>
        <v/>
      </c>
      <c r="C3575" s="5" t="str">
        <f t="array" ref="C3575">IF(B3575="","",INDEX(helper!$D$3:$D3996,MOD(ROW()-2,COUNTA(helper!$D$3:$D3996))+1))</f>
        <v/>
      </c>
      <c r="D3575" s="3" t="str">
        <f t="array" ref="D3575">IF(B3575="","",INDEX(helper!$E$3:$E3996,MOD(ROW()-2,COUNTA(helper!$D$3:$D3996))+1))</f>
        <v/>
      </c>
      <c r="E3575" s="3" t="str">
        <f t="array" ref="E3575">IF(B3575="","",INDEX(helper!$F$3:$F3996,MOD(ROW()-2,COUNTA(helper!$D$3:$D3996))+1))</f>
        <v/>
      </c>
      <c r="F3575" s="3" t="str">
        <f>IF(B3575="","",SUMIFS('inventory ledger'!$H:$H,'inventory ledger'!$C:$C,C3575,'inventory ledger'!$D:$D,D3575,'inventory ledger'!$E:$E,E3575,'inventory ledger'!$A:$A,"&lt;="&amp;B3575+TIME(23,59,59))-SUMIFS('inventory ledger'!$I:$I,'inventory ledger'!$C:$C,C3575,'inventory ledger'!$D:$D,D3575,'inventory ledger'!$E:$E,E3575,'inventory ledger'!$A:$A,"&lt;="&amp;B3575+TIME(23,59,59)))</f>
        <v/>
      </c>
      <c r="G3575" s="3">
        <f>IFERROR(__xludf.DUMMYFUNCTION("IF(F3575&lt;=0,0,IFERROR(ROUNDUP(F3575/INDEX(FILTER('warehouse config'!$D:$D,('warehouse config'!$B:$B=C3575)*('warehouse config'!$C:$C=D3575)*('warehouse config'!$G:$G&lt;=B3575)*(('warehouse config'!$H:$H&gt;=B3575)+ISBLANK('warehouse config'!$H:$H))),1)),0))"),0.0)</f>
        <v>0</v>
      </c>
      <c r="H3575" s="3">
        <f>IFERROR(__xludf.DUMMYFUNCTION("IFERROR(INDEX(FILTER('cost master'!$E:$E,('cost master'!$B:$B=C3575)*('cost master'!$D:$D=""Storage cost per pallet / week"")*('cost master'!$G:$G&lt;=B3575)*(('cost master'!$H:$H&gt;=B3575)+ISBLANK('cost master'!$H:$H))),1),0)"),0.0)</f>
        <v>0</v>
      </c>
      <c r="I3575" s="3">
        <f t="shared" si="4"/>
        <v>0</v>
      </c>
      <c r="J3575" s="27">
        <f t="shared" si="5"/>
        <v>693947</v>
      </c>
      <c r="K3575" s="27">
        <f t="shared" si="6"/>
        <v>693977</v>
      </c>
    </row>
    <row r="3576" hidden="1">
      <c r="A3576" s="3" t="str">
        <f t="shared" si="3"/>
        <v/>
      </c>
      <c r="B3576" s="2" t="str">
        <f t="array" ref="B3576">INDEX(helper!$A$3:$A3996,ROUNDUP((ROW()-1)/COUNTA(helper!$D$3:$D3996),0))</f>
        <v/>
      </c>
      <c r="C3576" s="5" t="str">
        <f t="array" ref="C3576">IF(B3576="","",INDEX(helper!$D$3:$D3996,MOD(ROW()-2,COUNTA(helper!$D$3:$D3996))+1))</f>
        <v/>
      </c>
      <c r="D3576" s="3" t="str">
        <f t="array" ref="D3576">IF(B3576="","",INDEX(helper!$E$3:$E3996,MOD(ROW()-2,COUNTA(helper!$D$3:$D3996))+1))</f>
        <v/>
      </c>
      <c r="E3576" s="3" t="str">
        <f t="array" ref="E3576">IF(B3576="","",INDEX(helper!$F$3:$F3996,MOD(ROW()-2,COUNTA(helper!$D$3:$D3996))+1))</f>
        <v/>
      </c>
      <c r="F3576" s="3" t="str">
        <f>IF(B3576="","",SUMIFS('inventory ledger'!$H:$H,'inventory ledger'!$C:$C,C3576,'inventory ledger'!$D:$D,D3576,'inventory ledger'!$E:$E,E3576,'inventory ledger'!$A:$A,"&lt;="&amp;B3576+TIME(23,59,59))-SUMIFS('inventory ledger'!$I:$I,'inventory ledger'!$C:$C,C3576,'inventory ledger'!$D:$D,D3576,'inventory ledger'!$E:$E,E3576,'inventory ledger'!$A:$A,"&lt;="&amp;B3576+TIME(23,59,59)))</f>
        <v/>
      </c>
      <c r="G3576" s="3">
        <f>IFERROR(__xludf.DUMMYFUNCTION("IF(F3576&lt;=0,0,IFERROR(ROUNDUP(F3576/INDEX(FILTER('warehouse config'!$D:$D,('warehouse config'!$B:$B=C3576)*('warehouse config'!$C:$C=D3576)*('warehouse config'!$G:$G&lt;=B3576)*(('warehouse config'!$H:$H&gt;=B3576)+ISBLANK('warehouse config'!$H:$H))),1)),0))"),0.0)</f>
        <v>0</v>
      </c>
      <c r="H3576" s="3">
        <f>IFERROR(__xludf.DUMMYFUNCTION("IFERROR(INDEX(FILTER('cost master'!$E:$E,('cost master'!$B:$B=C3576)*('cost master'!$D:$D=""Storage cost per pallet / week"")*('cost master'!$G:$G&lt;=B3576)*(('cost master'!$H:$H&gt;=B3576)+ISBLANK('cost master'!$H:$H))),1),0)"),0.0)</f>
        <v>0</v>
      </c>
      <c r="I3576" s="3">
        <f t="shared" si="4"/>
        <v>0</v>
      </c>
      <c r="J3576" s="27">
        <f t="shared" si="5"/>
        <v>693947</v>
      </c>
      <c r="K3576" s="27">
        <f t="shared" si="6"/>
        <v>693977</v>
      </c>
    </row>
    <row r="3577" hidden="1">
      <c r="A3577" s="3" t="str">
        <f t="shared" si="3"/>
        <v/>
      </c>
      <c r="B3577" s="2" t="str">
        <f t="array" ref="B3577">INDEX(helper!$A$3:$A3996,ROUNDUP((ROW()-1)/COUNTA(helper!$D$3:$D3996),0))</f>
        <v/>
      </c>
      <c r="C3577" s="5" t="str">
        <f t="array" ref="C3577">IF(B3577="","",INDEX(helper!$D$3:$D3996,MOD(ROW()-2,COUNTA(helper!$D$3:$D3996))+1))</f>
        <v/>
      </c>
      <c r="D3577" s="3" t="str">
        <f t="array" ref="D3577">IF(B3577="","",INDEX(helper!$E$3:$E3996,MOD(ROW()-2,COUNTA(helper!$D$3:$D3996))+1))</f>
        <v/>
      </c>
      <c r="E3577" s="3" t="str">
        <f t="array" ref="E3577">IF(B3577="","",INDEX(helper!$F$3:$F3996,MOD(ROW()-2,COUNTA(helper!$D$3:$D3996))+1))</f>
        <v/>
      </c>
      <c r="F3577" s="3" t="str">
        <f>IF(B3577="","",SUMIFS('inventory ledger'!$H:$H,'inventory ledger'!$C:$C,C3577,'inventory ledger'!$D:$D,D3577,'inventory ledger'!$E:$E,E3577,'inventory ledger'!$A:$A,"&lt;="&amp;B3577+TIME(23,59,59))-SUMIFS('inventory ledger'!$I:$I,'inventory ledger'!$C:$C,C3577,'inventory ledger'!$D:$D,D3577,'inventory ledger'!$E:$E,E3577,'inventory ledger'!$A:$A,"&lt;="&amp;B3577+TIME(23,59,59)))</f>
        <v/>
      </c>
      <c r="G3577" s="3">
        <f>IFERROR(__xludf.DUMMYFUNCTION("IF(F3577&lt;=0,0,IFERROR(ROUNDUP(F3577/INDEX(FILTER('warehouse config'!$D:$D,('warehouse config'!$B:$B=C3577)*('warehouse config'!$C:$C=D3577)*('warehouse config'!$G:$G&lt;=B3577)*(('warehouse config'!$H:$H&gt;=B3577)+ISBLANK('warehouse config'!$H:$H))),1)),0))"),0.0)</f>
        <v>0</v>
      </c>
      <c r="H3577" s="3">
        <f>IFERROR(__xludf.DUMMYFUNCTION("IFERROR(INDEX(FILTER('cost master'!$E:$E,('cost master'!$B:$B=C3577)*('cost master'!$D:$D=""Storage cost per pallet / week"")*('cost master'!$G:$G&lt;=B3577)*(('cost master'!$H:$H&gt;=B3577)+ISBLANK('cost master'!$H:$H))),1),0)"),0.0)</f>
        <v>0</v>
      </c>
      <c r="I3577" s="3">
        <f t="shared" si="4"/>
        <v>0</v>
      </c>
      <c r="J3577" s="27">
        <f t="shared" si="5"/>
        <v>693947</v>
      </c>
      <c r="K3577" s="27">
        <f t="shared" si="6"/>
        <v>693977</v>
      </c>
    </row>
    <row r="3578" hidden="1">
      <c r="A3578" s="3" t="str">
        <f t="shared" si="3"/>
        <v/>
      </c>
      <c r="B3578" s="2" t="str">
        <f t="array" ref="B3578">INDEX(helper!$A$3:$A3996,ROUNDUP((ROW()-1)/COUNTA(helper!$D$3:$D3996),0))</f>
        <v/>
      </c>
      <c r="C3578" s="5" t="str">
        <f t="array" ref="C3578">IF(B3578="","",INDEX(helper!$D$3:$D3996,MOD(ROW()-2,COUNTA(helper!$D$3:$D3996))+1))</f>
        <v/>
      </c>
      <c r="D3578" s="3" t="str">
        <f t="array" ref="D3578">IF(B3578="","",INDEX(helper!$E$3:$E3996,MOD(ROW()-2,COUNTA(helper!$D$3:$D3996))+1))</f>
        <v/>
      </c>
      <c r="E3578" s="3" t="str">
        <f t="array" ref="E3578">IF(B3578="","",INDEX(helper!$F$3:$F3996,MOD(ROW()-2,COUNTA(helper!$D$3:$D3996))+1))</f>
        <v/>
      </c>
      <c r="F3578" s="3" t="str">
        <f>IF(B3578="","",SUMIFS('inventory ledger'!$H:$H,'inventory ledger'!$C:$C,C3578,'inventory ledger'!$D:$D,D3578,'inventory ledger'!$E:$E,E3578,'inventory ledger'!$A:$A,"&lt;="&amp;B3578+TIME(23,59,59))-SUMIFS('inventory ledger'!$I:$I,'inventory ledger'!$C:$C,C3578,'inventory ledger'!$D:$D,D3578,'inventory ledger'!$E:$E,E3578,'inventory ledger'!$A:$A,"&lt;="&amp;B3578+TIME(23,59,59)))</f>
        <v/>
      </c>
      <c r="G3578" s="3">
        <f>IFERROR(__xludf.DUMMYFUNCTION("IF(F3578&lt;=0,0,IFERROR(ROUNDUP(F3578/INDEX(FILTER('warehouse config'!$D:$D,('warehouse config'!$B:$B=C3578)*('warehouse config'!$C:$C=D3578)*('warehouse config'!$G:$G&lt;=B3578)*(('warehouse config'!$H:$H&gt;=B3578)+ISBLANK('warehouse config'!$H:$H))),1)),0))"),0.0)</f>
        <v>0</v>
      </c>
      <c r="H3578" s="3">
        <f>IFERROR(__xludf.DUMMYFUNCTION("IFERROR(INDEX(FILTER('cost master'!$E:$E,('cost master'!$B:$B=C3578)*('cost master'!$D:$D=""Storage cost per pallet / week"")*('cost master'!$G:$G&lt;=B3578)*(('cost master'!$H:$H&gt;=B3578)+ISBLANK('cost master'!$H:$H))),1),0)"),0.0)</f>
        <v>0</v>
      </c>
      <c r="I3578" s="3">
        <f t="shared" si="4"/>
        <v>0</v>
      </c>
      <c r="J3578" s="27">
        <f t="shared" si="5"/>
        <v>693947</v>
      </c>
      <c r="K3578" s="27">
        <f t="shared" si="6"/>
        <v>693977</v>
      </c>
    </row>
    <row r="3579" hidden="1">
      <c r="A3579" s="3" t="str">
        <f t="shared" si="3"/>
        <v/>
      </c>
      <c r="B3579" s="2" t="str">
        <f t="array" ref="B3579">INDEX(helper!$A$3:$A3996,ROUNDUP((ROW()-1)/COUNTA(helper!$D$3:$D3996),0))</f>
        <v/>
      </c>
      <c r="C3579" s="5" t="str">
        <f t="array" ref="C3579">IF(B3579="","",INDEX(helper!$D$3:$D3996,MOD(ROW()-2,COUNTA(helper!$D$3:$D3996))+1))</f>
        <v/>
      </c>
      <c r="D3579" s="3" t="str">
        <f t="array" ref="D3579">IF(B3579="","",INDEX(helper!$E$3:$E3996,MOD(ROW()-2,COUNTA(helper!$D$3:$D3996))+1))</f>
        <v/>
      </c>
      <c r="E3579" s="3" t="str">
        <f t="array" ref="E3579">IF(B3579="","",INDEX(helper!$F$3:$F3996,MOD(ROW()-2,COUNTA(helper!$D$3:$D3996))+1))</f>
        <v/>
      </c>
      <c r="F3579" s="3" t="str">
        <f>IF(B3579="","",SUMIFS('inventory ledger'!$H:$H,'inventory ledger'!$C:$C,C3579,'inventory ledger'!$D:$D,D3579,'inventory ledger'!$E:$E,E3579,'inventory ledger'!$A:$A,"&lt;="&amp;B3579+TIME(23,59,59))-SUMIFS('inventory ledger'!$I:$I,'inventory ledger'!$C:$C,C3579,'inventory ledger'!$D:$D,D3579,'inventory ledger'!$E:$E,E3579,'inventory ledger'!$A:$A,"&lt;="&amp;B3579+TIME(23,59,59)))</f>
        <v/>
      </c>
      <c r="G3579" s="3">
        <f>IFERROR(__xludf.DUMMYFUNCTION("IF(F3579&lt;=0,0,IFERROR(ROUNDUP(F3579/INDEX(FILTER('warehouse config'!$D:$D,('warehouse config'!$B:$B=C3579)*('warehouse config'!$C:$C=D3579)*('warehouse config'!$G:$G&lt;=B3579)*(('warehouse config'!$H:$H&gt;=B3579)+ISBLANK('warehouse config'!$H:$H))),1)),0))"),0.0)</f>
        <v>0</v>
      </c>
      <c r="H3579" s="3">
        <f>IFERROR(__xludf.DUMMYFUNCTION("IFERROR(INDEX(FILTER('cost master'!$E:$E,('cost master'!$B:$B=C3579)*('cost master'!$D:$D=""Storage cost per pallet / week"")*('cost master'!$G:$G&lt;=B3579)*(('cost master'!$H:$H&gt;=B3579)+ISBLANK('cost master'!$H:$H))),1),0)"),0.0)</f>
        <v>0</v>
      </c>
      <c r="I3579" s="3">
        <f t="shared" si="4"/>
        <v>0</v>
      </c>
      <c r="J3579" s="27">
        <f t="shared" si="5"/>
        <v>693947</v>
      </c>
      <c r="K3579" s="27">
        <f t="shared" si="6"/>
        <v>693977</v>
      </c>
    </row>
    <row r="3580" hidden="1">
      <c r="A3580" s="3" t="str">
        <f t="shared" si="3"/>
        <v/>
      </c>
      <c r="B3580" s="2" t="str">
        <f t="array" ref="B3580">INDEX(helper!$A$3:$A3996,ROUNDUP((ROW()-1)/COUNTA(helper!$D$3:$D3996),0))</f>
        <v/>
      </c>
      <c r="C3580" s="5" t="str">
        <f t="array" ref="C3580">IF(B3580="","",INDEX(helper!$D$3:$D3996,MOD(ROW()-2,COUNTA(helper!$D$3:$D3996))+1))</f>
        <v/>
      </c>
      <c r="D3580" s="3" t="str">
        <f t="array" ref="D3580">IF(B3580="","",INDEX(helper!$E$3:$E3996,MOD(ROW()-2,COUNTA(helper!$D$3:$D3996))+1))</f>
        <v/>
      </c>
      <c r="E3580" s="3" t="str">
        <f t="array" ref="E3580">IF(B3580="","",INDEX(helper!$F$3:$F3996,MOD(ROW()-2,COUNTA(helper!$D$3:$D3996))+1))</f>
        <v/>
      </c>
      <c r="F3580" s="3" t="str">
        <f>IF(B3580="","",SUMIFS('inventory ledger'!$H:$H,'inventory ledger'!$C:$C,C3580,'inventory ledger'!$D:$D,D3580,'inventory ledger'!$E:$E,E3580,'inventory ledger'!$A:$A,"&lt;="&amp;B3580+TIME(23,59,59))-SUMIFS('inventory ledger'!$I:$I,'inventory ledger'!$C:$C,C3580,'inventory ledger'!$D:$D,D3580,'inventory ledger'!$E:$E,E3580,'inventory ledger'!$A:$A,"&lt;="&amp;B3580+TIME(23,59,59)))</f>
        <v/>
      </c>
      <c r="G3580" s="3">
        <f>IFERROR(__xludf.DUMMYFUNCTION("IF(F3580&lt;=0,0,IFERROR(ROUNDUP(F3580/INDEX(FILTER('warehouse config'!$D:$D,('warehouse config'!$B:$B=C3580)*('warehouse config'!$C:$C=D3580)*('warehouse config'!$G:$G&lt;=B3580)*(('warehouse config'!$H:$H&gt;=B3580)+ISBLANK('warehouse config'!$H:$H))),1)),0))"),0.0)</f>
        <v>0</v>
      </c>
      <c r="H3580" s="3">
        <f>IFERROR(__xludf.DUMMYFUNCTION("IFERROR(INDEX(FILTER('cost master'!$E:$E,('cost master'!$B:$B=C3580)*('cost master'!$D:$D=""Storage cost per pallet / week"")*('cost master'!$G:$G&lt;=B3580)*(('cost master'!$H:$H&gt;=B3580)+ISBLANK('cost master'!$H:$H))),1),0)"),0.0)</f>
        <v>0</v>
      </c>
      <c r="I3580" s="3">
        <f t="shared" si="4"/>
        <v>0</v>
      </c>
      <c r="J3580" s="27">
        <f t="shared" si="5"/>
        <v>693947</v>
      </c>
      <c r="K3580" s="27">
        <f t="shared" si="6"/>
        <v>693977</v>
      </c>
    </row>
    <row r="3581" hidden="1">
      <c r="A3581" s="3" t="str">
        <f t="shared" si="3"/>
        <v/>
      </c>
      <c r="B3581" s="2" t="str">
        <f t="array" ref="B3581">INDEX(helper!$A$3:$A3996,ROUNDUP((ROW()-1)/COUNTA(helper!$D$3:$D3996),0))</f>
        <v/>
      </c>
      <c r="C3581" s="5" t="str">
        <f t="array" ref="C3581">IF(B3581="","",INDEX(helper!$D$3:$D3996,MOD(ROW()-2,COUNTA(helper!$D$3:$D3996))+1))</f>
        <v/>
      </c>
      <c r="D3581" s="3" t="str">
        <f t="array" ref="D3581">IF(B3581="","",INDEX(helper!$E$3:$E3996,MOD(ROW()-2,COUNTA(helper!$D$3:$D3996))+1))</f>
        <v/>
      </c>
      <c r="E3581" s="3" t="str">
        <f t="array" ref="E3581">IF(B3581="","",INDEX(helper!$F$3:$F3996,MOD(ROW()-2,COUNTA(helper!$D$3:$D3996))+1))</f>
        <v/>
      </c>
      <c r="F3581" s="3" t="str">
        <f>IF(B3581="","",SUMIFS('inventory ledger'!$H:$H,'inventory ledger'!$C:$C,C3581,'inventory ledger'!$D:$D,D3581,'inventory ledger'!$E:$E,E3581,'inventory ledger'!$A:$A,"&lt;="&amp;B3581+TIME(23,59,59))-SUMIFS('inventory ledger'!$I:$I,'inventory ledger'!$C:$C,C3581,'inventory ledger'!$D:$D,D3581,'inventory ledger'!$E:$E,E3581,'inventory ledger'!$A:$A,"&lt;="&amp;B3581+TIME(23,59,59)))</f>
        <v/>
      </c>
      <c r="G3581" s="3">
        <f>IFERROR(__xludf.DUMMYFUNCTION("IF(F3581&lt;=0,0,IFERROR(ROUNDUP(F3581/INDEX(FILTER('warehouse config'!$D:$D,('warehouse config'!$B:$B=C3581)*('warehouse config'!$C:$C=D3581)*('warehouse config'!$G:$G&lt;=B3581)*(('warehouse config'!$H:$H&gt;=B3581)+ISBLANK('warehouse config'!$H:$H))),1)),0))"),0.0)</f>
        <v>0</v>
      </c>
      <c r="H3581" s="3">
        <f>IFERROR(__xludf.DUMMYFUNCTION("IFERROR(INDEX(FILTER('cost master'!$E:$E,('cost master'!$B:$B=C3581)*('cost master'!$D:$D=""Storage cost per pallet / week"")*('cost master'!$G:$G&lt;=B3581)*(('cost master'!$H:$H&gt;=B3581)+ISBLANK('cost master'!$H:$H))),1),0)"),0.0)</f>
        <v>0</v>
      </c>
      <c r="I3581" s="3">
        <f t="shared" si="4"/>
        <v>0</v>
      </c>
      <c r="J3581" s="27">
        <f t="shared" si="5"/>
        <v>693947</v>
      </c>
      <c r="K3581" s="27">
        <f t="shared" si="6"/>
        <v>693977</v>
      </c>
    </row>
    <row r="3582" hidden="1">
      <c r="A3582" s="3" t="str">
        <f t="shared" si="3"/>
        <v/>
      </c>
      <c r="B3582" s="2" t="str">
        <f t="array" ref="B3582">INDEX(helper!$A$3:$A3996,ROUNDUP((ROW()-1)/COUNTA(helper!$D$3:$D3996),0))</f>
        <v/>
      </c>
      <c r="C3582" s="5" t="str">
        <f t="array" ref="C3582">IF(B3582="","",INDEX(helper!$D$3:$D3996,MOD(ROW()-2,COUNTA(helper!$D$3:$D3996))+1))</f>
        <v/>
      </c>
      <c r="D3582" s="3" t="str">
        <f t="array" ref="D3582">IF(B3582="","",INDEX(helper!$E$3:$E3996,MOD(ROW()-2,COUNTA(helper!$D$3:$D3996))+1))</f>
        <v/>
      </c>
      <c r="E3582" s="3" t="str">
        <f t="array" ref="E3582">IF(B3582="","",INDEX(helper!$F$3:$F3996,MOD(ROW()-2,COUNTA(helper!$D$3:$D3996))+1))</f>
        <v/>
      </c>
      <c r="F3582" s="3" t="str">
        <f>IF(B3582="","",SUMIFS('inventory ledger'!$H:$H,'inventory ledger'!$C:$C,C3582,'inventory ledger'!$D:$D,D3582,'inventory ledger'!$E:$E,E3582,'inventory ledger'!$A:$A,"&lt;="&amp;B3582+TIME(23,59,59))-SUMIFS('inventory ledger'!$I:$I,'inventory ledger'!$C:$C,C3582,'inventory ledger'!$D:$D,D3582,'inventory ledger'!$E:$E,E3582,'inventory ledger'!$A:$A,"&lt;="&amp;B3582+TIME(23,59,59)))</f>
        <v/>
      </c>
      <c r="G3582" s="3">
        <f>IFERROR(__xludf.DUMMYFUNCTION("IF(F3582&lt;=0,0,IFERROR(ROUNDUP(F3582/INDEX(FILTER('warehouse config'!$D:$D,('warehouse config'!$B:$B=C3582)*('warehouse config'!$C:$C=D3582)*('warehouse config'!$G:$G&lt;=B3582)*(('warehouse config'!$H:$H&gt;=B3582)+ISBLANK('warehouse config'!$H:$H))),1)),0))"),0.0)</f>
        <v>0</v>
      </c>
      <c r="H3582" s="3">
        <f>IFERROR(__xludf.DUMMYFUNCTION("IFERROR(INDEX(FILTER('cost master'!$E:$E,('cost master'!$B:$B=C3582)*('cost master'!$D:$D=""Storage cost per pallet / week"")*('cost master'!$G:$G&lt;=B3582)*(('cost master'!$H:$H&gt;=B3582)+ISBLANK('cost master'!$H:$H))),1),0)"),0.0)</f>
        <v>0</v>
      </c>
      <c r="I3582" s="3">
        <f t="shared" si="4"/>
        <v>0</v>
      </c>
      <c r="J3582" s="27">
        <f t="shared" si="5"/>
        <v>693947</v>
      </c>
      <c r="K3582" s="27">
        <f t="shared" si="6"/>
        <v>693977</v>
      </c>
    </row>
    <row r="3583" hidden="1">
      <c r="A3583" s="3" t="str">
        <f t="shared" si="3"/>
        <v/>
      </c>
      <c r="B3583" s="2" t="str">
        <f t="array" ref="B3583">INDEX(helper!$A$3:$A3996,ROUNDUP((ROW()-1)/COUNTA(helper!$D$3:$D3996),0))</f>
        <v/>
      </c>
      <c r="C3583" s="5" t="str">
        <f t="array" ref="C3583">IF(B3583="","",INDEX(helper!$D$3:$D3996,MOD(ROW()-2,COUNTA(helper!$D$3:$D3996))+1))</f>
        <v/>
      </c>
      <c r="D3583" s="3" t="str">
        <f t="array" ref="D3583">IF(B3583="","",INDEX(helper!$E$3:$E3996,MOD(ROW()-2,COUNTA(helper!$D$3:$D3996))+1))</f>
        <v/>
      </c>
      <c r="E3583" s="3" t="str">
        <f t="array" ref="E3583">IF(B3583="","",INDEX(helper!$F$3:$F3996,MOD(ROW()-2,COUNTA(helper!$D$3:$D3996))+1))</f>
        <v/>
      </c>
      <c r="F3583" s="3" t="str">
        <f>IF(B3583="","",SUMIFS('inventory ledger'!$H:$H,'inventory ledger'!$C:$C,C3583,'inventory ledger'!$D:$D,D3583,'inventory ledger'!$E:$E,E3583,'inventory ledger'!$A:$A,"&lt;="&amp;B3583+TIME(23,59,59))-SUMIFS('inventory ledger'!$I:$I,'inventory ledger'!$C:$C,C3583,'inventory ledger'!$D:$D,D3583,'inventory ledger'!$E:$E,E3583,'inventory ledger'!$A:$A,"&lt;="&amp;B3583+TIME(23,59,59)))</f>
        <v/>
      </c>
      <c r="G3583" s="3">
        <f>IFERROR(__xludf.DUMMYFUNCTION("IF(F3583&lt;=0,0,IFERROR(ROUNDUP(F3583/INDEX(FILTER('warehouse config'!$D:$D,('warehouse config'!$B:$B=C3583)*('warehouse config'!$C:$C=D3583)*('warehouse config'!$G:$G&lt;=B3583)*(('warehouse config'!$H:$H&gt;=B3583)+ISBLANK('warehouse config'!$H:$H))),1)),0))"),0.0)</f>
        <v>0</v>
      </c>
      <c r="H3583" s="3">
        <f>IFERROR(__xludf.DUMMYFUNCTION("IFERROR(INDEX(FILTER('cost master'!$E:$E,('cost master'!$B:$B=C3583)*('cost master'!$D:$D=""Storage cost per pallet / week"")*('cost master'!$G:$G&lt;=B3583)*(('cost master'!$H:$H&gt;=B3583)+ISBLANK('cost master'!$H:$H))),1),0)"),0.0)</f>
        <v>0</v>
      </c>
      <c r="I3583" s="3">
        <f t="shared" si="4"/>
        <v>0</v>
      </c>
      <c r="J3583" s="27">
        <f t="shared" si="5"/>
        <v>693947</v>
      </c>
      <c r="K3583" s="27">
        <f t="shared" si="6"/>
        <v>693977</v>
      </c>
    </row>
    <row r="3584" hidden="1">
      <c r="A3584" s="3" t="str">
        <f t="shared" si="3"/>
        <v/>
      </c>
      <c r="B3584" s="2" t="str">
        <f t="array" ref="B3584">INDEX(helper!$A$3:$A3996,ROUNDUP((ROW()-1)/COUNTA(helper!$D$3:$D3996),0))</f>
        <v/>
      </c>
      <c r="C3584" s="5" t="str">
        <f t="array" ref="C3584">IF(B3584="","",INDEX(helper!$D$3:$D3996,MOD(ROW()-2,COUNTA(helper!$D$3:$D3996))+1))</f>
        <v/>
      </c>
      <c r="D3584" s="3" t="str">
        <f t="array" ref="D3584">IF(B3584="","",INDEX(helper!$E$3:$E3996,MOD(ROW()-2,COUNTA(helper!$D$3:$D3996))+1))</f>
        <v/>
      </c>
      <c r="E3584" s="3" t="str">
        <f t="array" ref="E3584">IF(B3584="","",INDEX(helper!$F$3:$F3996,MOD(ROW()-2,COUNTA(helper!$D$3:$D3996))+1))</f>
        <v/>
      </c>
      <c r="F3584" s="3" t="str">
        <f>IF(B3584="","",SUMIFS('inventory ledger'!$H:$H,'inventory ledger'!$C:$C,C3584,'inventory ledger'!$D:$D,D3584,'inventory ledger'!$E:$E,E3584,'inventory ledger'!$A:$A,"&lt;="&amp;B3584+TIME(23,59,59))-SUMIFS('inventory ledger'!$I:$I,'inventory ledger'!$C:$C,C3584,'inventory ledger'!$D:$D,D3584,'inventory ledger'!$E:$E,E3584,'inventory ledger'!$A:$A,"&lt;="&amp;B3584+TIME(23,59,59)))</f>
        <v/>
      </c>
      <c r="G3584" s="3">
        <f>IFERROR(__xludf.DUMMYFUNCTION("IF(F3584&lt;=0,0,IFERROR(ROUNDUP(F3584/INDEX(FILTER('warehouse config'!$D:$D,('warehouse config'!$B:$B=C3584)*('warehouse config'!$C:$C=D3584)*('warehouse config'!$G:$G&lt;=B3584)*(('warehouse config'!$H:$H&gt;=B3584)+ISBLANK('warehouse config'!$H:$H))),1)),0))"),0.0)</f>
        <v>0</v>
      </c>
      <c r="H3584" s="3">
        <f>IFERROR(__xludf.DUMMYFUNCTION("IFERROR(INDEX(FILTER('cost master'!$E:$E,('cost master'!$B:$B=C3584)*('cost master'!$D:$D=""Storage cost per pallet / week"")*('cost master'!$G:$G&lt;=B3584)*(('cost master'!$H:$H&gt;=B3584)+ISBLANK('cost master'!$H:$H))),1),0)"),0.0)</f>
        <v>0</v>
      </c>
      <c r="I3584" s="3">
        <f t="shared" si="4"/>
        <v>0</v>
      </c>
      <c r="J3584" s="27">
        <f t="shared" si="5"/>
        <v>693947</v>
      </c>
      <c r="K3584" s="27">
        <f t="shared" si="6"/>
        <v>693977</v>
      </c>
    </row>
    <row r="3585" hidden="1">
      <c r="A3585" s="3" t="str">
        <f t="shared" si="3"/>
        <v/>
      </c>
      <c r="B3585" s="2" t="str">
        <f t="array" ref="B3585">INDEX(helper!$A$3:$A3996,ROUNDUP((ROW()-1)/COUNTA(helper!$D$3:$D3996),0))</f>
        <v/>
      </c>
      <c r="C3585" s="5" t="str">
        <f t="array" ref="C3585">IF(B3585="","",INDEX(helper!$D$3:$D3996,MOD(ROW()-2,COUNTA(helper!$D$3:$D3996))+1))</f>
        <v/>
      </c>
      <c r="D3585" s="3" t="str">
        <f t="array" ref="D3585">IF(B3585="","",INDEX(helper!$E$3:$E3996,MOD(ROW()-2,COUNTA(helper!$D$3:$D3996))+1))</f>
        <v/>
      </c>
      <c r="E3585" s="3" t="str">
        <f t="array" ref="E3585">IF(B3585="","",INDEX(helper!$F$3:$F3996,MOD(ROW()-2,COUNTA(helper!$D$3:$D3996))+1))</f>
        <v/>
      </c>
      <c r="F3585" s="3" t="str">
        <f>IF(B3585="","",SUMIFS('inventory ledger'!$H:$H,'inventory ledger'!$C:$C,C3585,'inventory ledger'!$D:$D,D3585,'inventory ledger'!$E:$E,E3585,'inventory ledger'!$A:$A,"&lt;="&amp;B3585+TIME(23,59,59))-SUMIFS('inventory ledger'!$I:$I,'inventory ledger'!$C:$C,C3585,'inventory ledger'!$D:$D,D3585,'inventory ledger'!$E:$E,E3585,'inventory ledger'!$A:$A,"&lt;="&amp;B3585+TIME(23,59,59)))</f>
        <v/>
      </c>
      <c r="G3585" s="3">
        <f>IFERROR(__xludf.DUMMYFUNCTION("IF(F3585&lt;=0,0,IFERROR(ROUNDUP(F3585/INDEX(FILTER('warehouse config'!$D:$D,('warehouse config'!$B:$B=C3585)*('warehouse config'!$C:$C=D3585)*('warehouse config'!$G:$G&lt;=B3585)*(('warehouse config'!$H:$H&gt;=B3585)+ISBLANK('warehouse config'!$H:$H))),1)),0))"),0.0)</f>
        <v>0</v>
      </c>
      <c r="H3585" s="3">
        <f>IFERROR(__xludf.DUMMYFUNCTION("IFERROR(INDEX(FILTER('cost master'!$E:$E,('cost master'!$B:$B=C3585)*('cost master'!$D:$D=""Storage cost per pallet / week"")*('cost master'!$G:$G&lt;=B3585)*(('cost master'!$H:$H&gt;=B3585)+ISBLANK('cost master'!$H:$H))),1),0)"),0.0)</f>
        <v>0</v>
      </c>
      <c r="I3585" s="3">
        <f t="shared" si="4"/>
        <v>0</v>
      </c>
      <c r="J3585" s="27">
        <f t="shared" si="5"/>
        <v>693947</v>
      </c>
      <c r="K3585" s="27">
        <f t="shared" si="6"/>
        <v>693977</v>
      </c>
    </row>
    <row r="3586" hidden="1">
      <c r="A3586" s="3" t="str">
        <f t="shared" si="3"/>
        <v/>
      </c>
      <c r="B3586" s="2" t="str">
        <f t="array" ref="B3586">INDEX(helper!$A$3:$A3996,ROUNDUP((ROW()-1)/COUNTA(helper!$D$3:$D3996),0))</f>
        <v/>
      </c>
      <c r="C3586" s="5" t="str">
        <f t="array" ref="C3586">IF(B3586="","",INDEX(helper!$D$3:$D3996,MOD(ROW()-2,COUNTA(helper!$D$3:$D3996))+1))</f>
        <v/>
      </c>
      <c r="D3586" s="3" t="str">
        <f t="array" ref="D3586">IF(B3586="","",INDEX(helper!$E$3:$E3996,MOD(ROW()-2,COUNTA(helper!$D$3:$D3996))+1))</f>
        <v/>
      </c>
      <c r="E3586" s="3" t="str">
        <f t="array" ref="E3586">IF(B3586="","",INDEX(helper!$F$3:$F3996,MOD(ROW()-2,COUNTA(helper!$D$3:$D3996))+1))</f>
        <v/>
      </c>
      <c r="F3586" s="3" t="str">
        <f>IF(B3586="","",SUMIFS('inventory ledger'!$H:$H,'inventory ledger'!$C:$C,C3586,'inventory ledger'!$D:$D,D3586,'inventory ledger'!$E:$E,E3586,'inventory ledger'!$A:$A,"&lt;="&amp;B3586+TIME(23,59,59))-SUMIFS('inventory ledger'!$I:$I,'inventory ledger'!$C:$C,C3586,'inventory ledger'!$D:$D,D3586,'inventory ledger'!$E:$E,E3586,'inventory ledger'!$A:$A,"&lt;="&amp;B3586+TIME(23,59,59)))</f>
        <v/>
      </c>
      <c r="G3586" s="3">
        <f>IFERROR(__xludf.DUMMYFUNCTION("IF(F3586&lt;=0,0,IFERROR(ROUNDUP(F3586/INDEX(FILTER('warehouse config'!$D:$D,('warehouse config'!$B:$B=C3586)*('warehouse config'!$C:$C=D3586)*('warehouse config'!$G:$G&lt;=B3586)*(('warehouse config'!$H:$H&gt;=B3586)+ISBLANK('warehouse config'!$H:$H))),1)),0))"),0.0)</f>
        <v>0</v>
      </c>
      <c r="H3586" s="3">
        <f>IFERROR(__xludf.DUMMYFUNCTION("IFERROR(INDEX(FILTER('cost master'!$E:$E,('cost master'!$B:$B=C3586)*('cost master'!$D:$D=""Storage cost per pallet / week"")*('cost master'!$G:$G&lt;=B3586)*(('cost master'!$H:$H&gt;=B3586)+ISBLANK('cost master'!$H:$H))),1),0)"),0.0)</f>
        <v>0</v>
      </c>
      <c r="I3586" s="3">
        <f t="shared" si="4"/>
        <v>0</v>
      </c>
      <c r="J3586" s="27">
        <f t="shared" si="5"/>
        <v>693947</v>
      </c>
      <c r="K3586" s="27">
        <f t="shared" si="6"/>
        <v>693977</v>
      </c>
    </row>
    <row r="3587" hidden="1">
      <c r="A3587" s="3" t="str">
        <f t="shared" si="3"/>
        <v/>
      </c>
      <c r="B3587" s="2" t="str">
        <f t="array" ref="B3587">INDEX(helper!$A$3:$A3996,ROUNDUP((ROW()-1)/COUNTA(helper!$D$3:$D3996),0))</f>
        <v/>
      </c>
      <c r="C3587" s="5" t="str">
        <f t="array" ref="C3587">IF(B3587="","",INDEX(helper!$D$3:$D3996,MOD(ROW()-2,COUNTA(helper!$D$3:$D3996))+1))</f>
        <v/>
      </c>
      <c r="D3587" s="3" t="str">
        <f t="array" ref="D3587">IF(B3587="","",INDEX(helper!$E$3:$E3996,MOD(ROW()-2,COUNTA(helper!$D$3:$D3996))+1))</f>
        <v/>
      </c>
      <c r="E3587" s="3" t="str">
        <f t="array" ref="E3587">IF(B3587="","",INDEX(helper!$F$3:$F3996,MOD(ROW()-2,COUNTA(helper!$D$3:$D3996))+1))</f>
        <v/>
      </c>
      <c r="F3587" s="3" t="str">
        <f>IF(B3587="","",SUMIFS('inventory ledger'!$H:$H,'inventory ledger'!$C:$C,C3587,'inventory ledger'!$D:$D,D3587,'inventory ledger'!$E:$E,E3587,'inventory ledger'!$A:$A,"&lt;="&amp;B3587+TIME(23,59,59))-SUMIFS('inventory ledger'!$I:$I,'inventory ledger'!$C:$C,C3587,'inventory ledger'!$D:$D,D3587,'inventory ledger'!$E:$E,E3587,'inventory ledger'!$A:$A,"&lt;="&amp;B3587+TIME(23,59,59)))</f>
        <v/>
      </c>
      <c r="G3587" s="3">
        <f>IFERROR(__xludf.DUMMYFUNCTION("IF(F3587&lt;=0,0,IFERROR(ROUNDUP(F3587/INDEX(FILTER('warehouse config'!$D:$D,('warehouse config'!$B:$B=C3587)*('warehouse config'!$C:$C=D3587)*('warehouse config'!$G:$G&lt;=B3587)*(('warehouse config'!$H:$H&gt;=B3587)+ISBLANK('warehouse config'!$H:$H))),1)),0))"),0.0)</f>
        <v>0</v>
      </c>
      <c r="H3587" s="3">
        <f>IFERROR(__xludf.DUMMYFUNCTION("IFERROR(INDEX(FILTER('cost master'!$E:$E,('cost master'!$B:$B=C3587)*('cost master'!$D:$D=""Storage cost per pallet / week"")*('cost master'!$G:$G&lt;=B3587)*(('cost master'!$H:$H&gt;=B3587)+ISBLANK('cost master'!$H:$H))),1),0)"),0.0)</f>
        <v>0</v>
      </c>
      <c r="I3587" s="3">
        <f t="shared" si="4"/>
        <v>0</v>
      </c>
      <c r="J3587" s="27">
        <f t="shared" si="5"/>
        <v>693947</v>
      </c>
      <c r="K3587" s="27">
        <f t="shared" si="6"/>
        <v>693977</v>
      </c>
    </row>
    <row r="3588" hidden="1">
      <c r="A3588" s="3" t="str">
        <f t="shared" si="3"/>
        <v/>
      </c>
      <c r="B3588" s="2" t="str">
        <f t="array" ref="B3588">INDEX(helper!$A$3:$A3996,ROUNDUP((ROW()-1)/COUNTA(helper!$D$3:$D3996),0))</f>
        <v/>
      </c>
      <c r="C3588" s="5" t="str">
        <f t="array" ref="C3588">IF(B3588="","",INDEX(helper!$D$3:$D3996,MOD(ROW()-2,COUNTA(helper!$D$3:$D3996))+1))</f>
        <v/>
      </c>
      <c r="D3588" s="3" t="str">
        <f t="array" ref="D3588">IF(B3588="","",INDEX(helper!$E$3:$E3996,MOD(ROW()-2,COUNTA(helper!$D$3:$D3996))+1))</f>
        <v/>
      </c>
      <c r="E3588" s="3" t="str">
        <f t="array" ref="E3588">IF(B3588="","",INDEX(helper!$F$3:$F3996,MOD(ROW()-2,COUNTA(helper!$D$3:$D3996))+1))</f>
        <v/>
      </c>
      <c r="F3588" s="3" t="str">
        <f>IF(B3588="","",SUMIFS('inventory ledger'!$H:$H,'inventory ledger'!$C:$C,C3588,'inventory ledger'!$D:$D,D3588,'inventory ledger'!$E:$E,E3588,'inventory ledger'!$A:$A,"&lt;="&amp;B3588+TIME(23,59,59))-SUMIFS('inventory ledger'!$I:$I,'inventory ledger'!$C:$C,C3588,'inventory ledger'!$D:$D,D3588,'inventory ledger'!$E:$E,E3588,'inventory ledger'!$A:$A,"&lt;="&amp;B3588+TIME(23,59,59)))</f>
        <v/>
      </c>
      <c r="G3588" s="3">
        <f>IFERROR(__xludf.DUMMYFUNCTION("IF(F3588&lt;=0,0,IFERROR(ROUNDUP(F3588/INDEX(FILTER('warehouse config'!$D:$D,('warehouse config'!$B:$B=C3588)*('warehouse config'!$C:$C=D3588)*('warehouse config'!$G:$G&lt;=B3588)*(('warehouse config'!$H:$H&gt;=B3588)+ISBLANK('warehouse config'!$H:$H))),1)),0))"),0.0)</f>
        <v>0</v>
      </c>
      <c r="H3588" s="3">
        <f>IFERROR(__xludf.DUMMYFUNCTION("IFERROR(INDEX(FILTER('cost master'!$E:$E,('cost master'!$B:$B=C3588)*('cost master'!$D:$D=""Storage cost per pallet / week"")*('cost master'!$G:$G&lt;=B3588)*(('cost master'!$H:$H&gt;=B3588)+ISBLANK('cost master'!$H:$H))),1),0)"),0.0)</f>
        <v>0</v>
      </c>
      <c r="I3588" s="3">
        <f t="shared" si="4"/>
        <v>0</v>
      </c>
      <c r="J3588" s="27">
        <f t="shared" si="5"/>
        <v>693947</v>
      </c>
      <c r="K3588" s="27">
        <f t="shared" si="6"/>
        <v>693977</v>
      </c>
    </row>
    <row r="3589" hidden="1">
      <c r="A3589" s="3" t="str">
        <f t="shared" si="3"/>
        <v/>
      </c>
      <c r="B3589" s="2" t="str">
        <f t="array" ref="B3589">INDEX(helper!$A$3:$A3996,ROUNDUP((ROW()-1)/COUNTA(helper!$D$3:$D3996),0))</f>
        <v/>
      </c>
      <c r="C3589" s="5" t="str">
        <f t="array" ref="C3589">IF(B3589="","",INDEX(helper!$D$3:$D3996,MOD(ROW()-2,COUNTA(helper!$D$3:$D3996))+1))</f>
        <v/>
      </c>
      <c r="D3589" s="3" t="str">
        <f t="array" ref="D3589">IF(B3589="","",INDEX(helper!$E$3:$E3996,MOD(ROW()-2,COUNTA(helper!$D$3:$D3996))+1))</f>
        <v/>
      </c>
      <c r="E3589" s="3" t="str">
        <f t="array" ref="E3589">IF(B3589="","",INDEX(helper!$F$3:$F3996,MOD(ROW()-2,COUNTA(helper!$D$3:$D3996))+1))</f>
        <v/>
      </c>
      <c r="F3589" s="3" t="str">
        <f>IF(B3589="","",SUMIFS('inventory ledger'!$H:$H,'inventory ledger'!$C:$C,C3589,'inventory ledger'!$D:$D,D3589,'inventory ledger'!$E:$E,E3589,'inventory ledger'!$A:$A,"&lt;="&amp;B3589+TIME(23,59,59))-SUMIFS('inventory ledger'!$I:$I,'inventory ledger'!$C:$C,C3589,'inventory ledger'!$D:$D,D3589,'inventory ledger'!$E:$E,E3589,'inventory ledger'!$A:$A,"&lt;="&amp;B3589+TIME(23,59,59)))</f>
        <v/>
      </c>
      <c r="G3589" s="3">
        <f>IFERROR(__xludf.DUMMYFUNCTION("IF(F3589&lt;=0,0,IFERROR(ROUNDUP(F3589/INDEX(FILTER('warehouse config'!$D:$D,('warehouse config'!$B:$B=C3589)*('warehouse config'!$C:$C=D3589)*('warehouse config'!$G:$G&lt;=B3589)*(('warehouse config'!$H:$H&gt;=B3589)+ISBLANK('warehouse config'!$H:$H))),1)),0))"),0.0)</f>
        <v>0</v>
      </c>
      <c r="H3589" s="3">
        <f>IFERROR(__xludf.DUMMYFUNCTION("IFERROR(INDEX(FILTER('cost master'!$E:$E,('cost master'!$B:$B=C3589)*('cost master'!$D:$D=""Storage cost per pallet / week"")*('cost master'!$G:$G&lt;=B3589)*(('cost master'!$H:$H&gt;=B3589)+ISBLANK('cost master'!$H:$H))),1),0)"),0.0)</f>
        <v>0</v>
      </c>
      <c r="I3589" s="3">
        <f t="shared" si="4"/>
        <v>0</v>
      </c>
      <c r="J3589" s="27">
        <f t="shared" si="5"/>
        <v>693947</v>
      </c>
      <c r="K3589" s="27">
        <f t="shared" si="6"/>
        <v>693977</v>
      </c>
    </row>
    <row r="3590" hidden="1">
      <c r="A3590" s="3" t="str">
        <f t="shared" si="3"/>
        <v/>
      </c>
      <c r="B3590" s="2" t="str">
        <f t="array" ref="B3590">INDEX(helper!$A$3:$A3996,ROUNDUP((ROW()-1)/COUNTA(helper!$D$3:$D3996),0))</f>
        <v/>
      </c>
      <c r="C3590" s="5" t="str">
        <f t="array" ref="C3590">IF(B3590="","",INDEX(helper!$D$3:$D3996,MOD(ROW()-2,COUNTA(helper!$D$3:$D3996))+1))</f>
        <v/>
      </c>
      <c r="D3590" s="3" t="str">
        <f t="array" ref="D3590">IF(B3590="","",INDEX(helper!$E$3:$E3996,MOD(ROW()-2,COUNTA(helper!$D$3:$D3996))+1))</f>
        <v/>
      </c>
      <c r="E3590" s="3" t="str">
        <f t="array" ref="E3590">IF(B3590="","",INDEX(helper!$F$3:$F3996,MOD(ROW()-2,COUNTA(helper!$D$3:$D3996))+1))</f>
        <v/>
      </c>
      <c r="F3590" s="3" t="str">
        <f>IF(B3590="","",SUMIFS('inventory ledger'!$H:$H,'inventory ledger'!$C:$C,C3590,'inventory ledger'!$D:$D,D3590,'inventory ledger'!$E:$E,E3590,'inventory ledger'!$A:$A,"&lt;="&amp;B3590+TIME(23,59,59))-SUMIFS('inventory ledger'!$I:$I,'inventory ledger'!$C:$C,C3590,'inventory ledger'!$D:$D,D3590,'inventory ledger'!$E:$E,E3590,'inventory ledger'!$A:$A,"&lt;="&amp;B3590+TIME(23,59,59)))</f>
        <v/>
      </c>
      <c r="G3590" s="3">
        <f>IFERROR(__xludf.DUMMYFUNCTION("IF(F3590&lt;=0,0,IFERROR(ROUNDUP(F3590/INDEX(FILTER('warehouse config'!$D:$D,('warehouse config'!$B:$B=C3590)*('warehouse config'!$C:$C=D3590)*('warehouse config'!$G:$G&lt;=B3590)*(('warehouse config'!$H:$H&gt;=B3590)+ISBLANK('warehouse config'!$H:$H))),1)),0))"),0.0)</f>
        <v>0</v>
      </c>
      <c r="H3590" s="3">
        <f>IFERROR(__xludf.DUMMYFUNCTION("IFERROR(INDEX(FILTER('cost master'!$E:$E,('cost master'!$B:$B=C3590)*('cost master'!$D:$D=""Storage cost per pallet / week"")*('cost master'!$G:$G&lt;=B3590)*(('cost master'!$H:$H&gt;=B3590)+ISBLANK('cost master'!$H:$H))),1),0)"),0.0)</f>
        <v>0</v>
      </c>
      <c r="I3590" s="3">
        <f t="shared" si="4"/>
        <v>0</v>
      </c>
      <c r="J3590" s="27">
        <f t="shared" si="5"/>
        <v>693947</v>
      </c>
      <c r="K3590" s="27">
        <f t="shared" si="6"/>
        <v>693977</v>
      </c>
    </row>
    <row r="3591" hidden="1">
      <c r="A3591" s="3" t="str">
        <f t="shared" si="3"/>
        <v/>
      </c>
      <c r="B3591" s="2" t="str">
        <f t="array" ref="B3591">INDEX(helper!$A$3:$A3996,ROUNDUP((ROW()-1)/COUNTA(helper!$D$3:$D3996),0))</f>
        <v/>
      </c>
      <c r="C3591" s="5" t="str">
        <f t="array" ref="C3591">IF(B3591="","",INDEX(helper!$D$3:$D3996,MOD(ROW()-2,COUNTA(helper!$D$3:$D3996))+1))</f>
        <v/>
      </c>
      <c r="D3591" s="3" t="str">
        <f t="array" ref="D3591">IF(B3591="","",INDEX(helper!$E$3:$E3996,MOD(ROW()-2,COUNTA(helper!$D$3:$D3996))+1))</f>
        <v/>
      </c>
      <c r="E3591" s="3" t="str">
        <f t="array" ref="E3591">IF(B3591="","",INDEX(helper!$F$3:$F3996,MOD(ROW()-2,COUNTA(helper!$D$3:$D3996))+1))</f>
        <v/>
      </c>
      <c r="F3591" s="3" t="str">
        <f>IF(B3591="","",SUMIFS('inventory ledger'!$H:$H,'inventory ledger'!$C:$C,C3591,'inventory ledger'!$D:$D,D3591,'inventory ledger'!$E:$E,E3591,'inventory ledger'!$A:$A,"&lt;="&amp;B3591+TIME(23,59,59))-SUMIFS('inventory ledger'!$I:$I,'inventory ledger'!$C:$C,C3591,'inventory ledger'!$D:$D,D3591,'inventory ledger'!$E:$E,E3591,'inventory ledger'!$A:$A,"&lt;="&amp;B3591+TIME(23,59,59)))</f>
        <v/>
      </c>
      <c r="G3591" s="3">
        <f>IFERROR(__xludf.DUMMYFUNCTION("IF(F3591&lt;=0,0,IFERROR(ROUNDUP(F3591/INDEX(FILTER('warehouse config'!$D:$D,('warehouse config'!$B:$B=C3591)*('warehouse config'!$C:$C=D3591)*('warehouse config'!$G:$G&lt;=B3591)*(('warehouse config'!$H:$H&gt;=B3591)+ISBLANK('warehouse config'!$H:$H))),1)),0))"),0.0)</f>
        <v>0</v>
      </c>
      <c r="H3591" s="3">
        <f>IFERROR(__xludf.DUMMYFUNCTION("IFERROR(INDEX(FILTER('cost master'!$E:$E,('cost master'!$B:$B=C3591)*('cost master'!$D:$D=""Storage cost per pallet / week"")*('cost master'!$G:$G&lt;=B3591)*(('cost master'!$H:$H&gt;=B3591)+ISBLANK('cost master'!$H:$H))),1),0)"),0.0)</f>
        <v>0</v>
      </c>
      <c r="I3591" s="3">
        <f t="shared" si="4"/>
        <v>0</v>
      </c>
      <c r="J3591" s="27">
        <f t="shared" si="5"/>
        <v>693947</v>
      </c>
      <c r="K3591" s="27">
        <f t="shared" si="6"/>
        <v>693977</v>
      </c>
    </row>
    <row r="3592" hidden="1">
      <c r="A3592" s="3" t="str">
        <f t="shared" si="3"/>
        <v/>
      </c>
      <c r="B3592" s="2" t="str">
        <f t="array" ref="B3592">INDEX(helper!$A$3:$A3996,ROUNDUP((ROW()-1)/COUNTA(helper!$D$3:$D3996),0))</f>
        <v/>
      </c>
      <c r="C3592" s="5" t="str">
        <f t="array" ref="C3592">IF(B3592="","",INDEX(helper!$D$3:$D3996,MOD(ROW()-2,COUNTA(helper!$D$3:$D3996))+1))</f>
        <v/>
      </c>
      <c r="D3592" s="3" t="str">
        <f t="array" ref="D3592">IF(B3592="","",INDEX(helper!$E$3:$E3996,MOD(ROW()-2,COUNTA(helper!$D$3:$D3996))+1))</f>
        <v/>
      </c>
      <c r="E3592" s="3" t="str">
        <f t="array" ref="E3592">IF(B3592="","",INDEX(helper!$F$3:$F3996,MOD(ROW()-2,COUNTA(helper!$D$3:$D3996))+1))</f>
        <v/>
      </c>
      <c r="F3592" s="3" t="str">
        <f>IF(B3592="","",SUMIFS('inventory ledger'!$H:$H,'inventory ledger'!$C:$C,C3592,'inventory ledger'!$D:$D,D3592,'inventory ledger'!$E:$E,E3592,'inventory ledger'!$A:$A,"&lt;="&amp;B3592+TIME(23,59,59))-SUMIFS('inventory ledger'!$I:$I,'inventory ledger'!$C:$C,C3592,'inventory ledger'!$D:$D,D3592,'inventory ledger'!$E:$E,E3592,'inventory ledger'!$A:$A,"&lt;="&amp;B3592+TIME(23,59,59)))</f>
        <v/>
      </c>
      <c r="G3592" s="3">
        <f>IFERROR(__xludf.DUMMYFUNCTION("IF(F3592&lt;=0,0,IFERROR(ROUNDUP(F3592/INDEX(FILTER('warehouse config'!$D:$D,('warehouse config'!$B:$B=C3592)*('warehouse config'!$C:$C=D3592)*('warehouse config'!$G:$G&lt;=B3592)*(('warehouse config'!$H:$H&gt;=B3592)+ISBLANK('warehouse config'!$H:$H))),1)),0))"),0.0)</f>
        <v>0</v>
      </c>
      <c r="H3592" s="3">
        <f>IFERROR(__xludf.DUMMYFUNCTION("IFERROR(INDEX(FILTER('cost master'!$E:$E,('cost master'!$B:$B=C3592)*('cost master'!$D:$D=""Storage cost per pallet / week"")*('cost master'!$G:$G&lt;=B3592)*(('cost master'!$H:$H&gt;=B3592)+ISBLANK('cost master'!$H:$H))),1),0)"),0.0)</f>
        <v>0</v>
      </c>
      <c r="I3592" s="3">
        <f t="shared" si="4"/>
        <v>0</v>
      </c>
      <c r="J3592" s="27">
        <f t="shared" si="5"/>
        <v>693947</v>
      </c>
      <c r="K3592" s="27">
        <f t="shared" si="6"/>
        <v>693977</v>
      </c>
    </row>
    <row r="3593" hidden="1">
      <c r="A3593" s="3" t="str">
        <f t="shared" si="3"/>
        <v/>
      </c>
      <c r="B3593" s="2" t="str">
        <f t="array" ref="B3593">INDEX(helper!$A$3:$A3996,ROUNDUP((ROW()-1)/COUNTA(helper!$D$3:$D3996),0))</f>
        <v/>
      </c>
      <c r="C3593" s="5" t="str">
        <f t="array" ref="C3593">IF(B3593="","",INDEX(helper!$D$3:$D3996,MOD(ROW()-2,COUNTA(helper!$D$3:$D3996))+1))</f>
        <v/>
      </c>
      <c r="D3593" s="3" t="str">
        <f t="array" ref="D3593">IF(B3593="","",INDEX(helper!$E$3:$E3996,MOD(ROW()-2,COUNTA(helper!$D$3:$D3996))+1))</f>
        <v/>
      </c>
      <c r="E3593" s="3" t="str">
        <f t="array" ref="E3593">IF(B3593="","",INDEX(helper!$F$3:$F3996,MOD(ROW()-2,COUNTA(helper!$D$3:$D3996))+1))</f>
        <v/>
      </c>
      <c r="F3593" s="3" t="str">
        <f>IF(B3593="","",SUMIFS('inventory ledger'!$H:$H,'inventory ledger'!$C:$C,C3593,'inventory ledger'!$D:$D,D3593,'inventory ledger'!$E:$E,E3593,'inventory ledger'!$A:$A,"&lt;="&amp;B3593+TIME(23,59,59))-SUMIFS('inventory ledger'!$I:$I,'inventory ledger'!$C:$C,C3593,'inventory ledger'!$D:$D,D3593,'inventory ledger'!$E:$E,E3593,'inventory ledger'!$A:$A,"&lt;="&amp;B3593+TIME(23,59,59)))</f>
        <v/>
      </c>
      <c r="G3593" s="3">
        <f>IFERROR(__xludf.DUMMYFUNCTION("IF(F3593&lt;=0,0,IFERROR(ROUNDUP(F3593/INDEX(FILTER('warehouse config'!$D:$D,('warehouse config'!$B:$B=C3593)*('warehouse config'!$C:$C=D3593)*('warehouse config'!$G:$G&lt;=B3593)*(('warehouse config'!$H:$H&gt;=B3593)+ISBLANK('warehouse config'!$H:$H))),1)),0))"),0.0)</f>
        <v>0</v>
      </c>
      <c r="H3593" s="3">
        <f>IFERROR(__xludf.DUMMYFUNCTION("IFERROR(INDEX(FILTER('cost master'!$E:$E,('cost master'!$B:$B=C3593)*('cost master'!$D:$D=""Storage cost per pallet / week"")*('cost master'!$G:$G&lt;=B3593)*(('cost master'!$H:$H&gt;=B3593)+ISBLANK('cost master'!$H:$H))),1),0)"),0.0)</f>
        <v>0</v>
      </c>
      <c r="I3593" s="3">
        <f t="shared" si="4"/>
        <v>0</v>
      </c>
      <c r="J3593" s="27">
        <f t="shared" si="5"/>
        <v>693947</v>
      </c>
      <c r="K3593" s="27">
        <f t="shared" si="6"/>
        <v>693977</v>
      </c>
    </row>
    <row r="3594" hidden="1">
      <c r="A3594" s="3" t="str">
        <f t="shared" si="3"/>
        <v/>
      </c>
      <c r="B3594" s="2" t="str">
        <f t="array" ref="B3594">INDEX(helper!$A$3:$A3996,ROUNDUP((ROW()-1)/COUNTA(helper!$D$3:$D3996),0))</f>
        <v/>
      </c>
      <c r="C3594" s="5" t="str">
        <f t="array" ref="C3594">IF(B3594="","",INDEX(helper!$D$3:$D3996,MOD(ROW()-2,COUNTA(helper!$D$3:$D3996))+1))</f>
        <v/>
      </c>
      <c r="D3594" s="3" t="str">
        <f t="array" ref="D3594">IF(B3594="","",INDEX(helper!$E$3:$E3996,MOD(ROW()-2,COUNTA(helper!$D$3:$D3996))+1))</f>
        <v/>
      </c>
      <c r="E3594" s="3" t="str">
        <f t="array" ref="E3594">IF(B3594="","",INDEX(helper!$F$3:$F3996,MOD(ROW()-2,COUNTA(helper!$D$3:$D3996))+1))</f>
        <v/>
      </c>
      <c r="F3594" s="3" t="str">
        <f>IF(B3594="","",SUMIFS('inventory ledger'!$H:$H,'inventory ledger'!$C:$C,C3594,'inventory ledger'!$D:$D,D3594,'inventory ledger'!$E:$E,E3594,'inventory ledger'!$A:$A,"&lt;="&amp;B3594+TIME(23,59,59))-SUMIFS('inventory ledger'!$I:$I,'inventory ledger'!$C:$C,C3594,'inventory ledger'!$D:$D,D3594,'inventory ledger'!$E:$E,E3594,'inventory ledger'!$A:$A,"&lt;="&amp;B3594+TIME(23,59,59)))</f>
        <v/>
      </c>
      <c r="G3594" s="3">
        <f>IFERROR(__xludf.DUMMYFUNCTION("IF(F3594&lt;=0,0,IFERROR(ROUNDUP(F3594/INDEX(FILTER('warehouse config'!$D:$D,('warehouse config'!$B:$B=C3594)*('warehouse config'!$C:$C=D3594)*('warehouse config'!$G:$G&lt;=B3594)*(('warehouse config'!$H:$H&gt;=B3594)+ISBLANK('warehouse config'!$H:$H))),1)),0))"),0.0)</f>
        <v>0</v>
      </c>
      <c r="H3594" s="3">
        <f>IFERROR(__xludf.DUMMYFUNCTION("IFERROR(INDEX(FILTER('cost master'!$E:$E,('cost master'!$B:$B=C3594)*('cost master'!$D:$D=""Storage cost per pallet / week"")*('cost master'!$G:$G&lt;=B3594)*(('cost master'!$H:$H&gt;=B3594)+ISBLANK('cost master'!$H:$H))),1),0)"),0.0)</f>
        <v>0</v>
      </c>
      <c r="I3594" s="3">
        <f t="shared" si="4"/>
        <v>0</v>
      </c>
      <c r="J3594" s="27">
        <f t="shared" si="5"/>
        <v>693947</v>
      </c>
      <c r="K3594" s="27">
        <f t="shared" si="6"/>
        <v>693977</v>
      </c>
    </row>
    <row r="3595" hidden="1">
      <c r="A3595" s="3" t="str">
        <f t="shared" si="3"/>
        <v/>
      </c>
      <c r="B3595" s="2" t="str">
        <f t="array" ref="B3595">INDEX(helper!$A$3:$A3996,ROUNDUP((ROW()-1)/COUNTA(helper!$D$3:$D3996),0))</f>
        <v/>
      </c>
      <c r="C3595" s="5" t="str">
        <f t="array" ref="C3595">IF(B3595="","",INDEX(helper!$D$3:$D3996,MOD(ROW()-2,COUNTA(helper!$D$3:$D3996))+1))</f>
        <v/>
      </c>
      <c r="D3595" s="3" t="str">
        <f t="array" ref="D3595">IF(B3595="","",INDEX(helper!$E$3:$E3996,MOD(ROW()-2,COUNTA(helper!$D$3:$D3996))+1))</f>
        <v/>
      </c>
      <c r="E3595" s="3" t="str">
        <f t="array" ref="E3595">IF(B3595="","",INDEX(helper!$F$3:$F3996,MOD(ROW()-2,COUNTA(helper!$D$3:$D3996))+1))</f>
        <v/>
      </c>
      <c r="F3595" s="3" t="str">
        <f>IF(B3595="","",SUMIFS('inventory ledger'!$H:$H,'inventory ledger'!$C:$C,C3595,'inventory ledger'!$D:$D,D3595,'inventory ledger'!$E:$E,E3595,'inventory ledger'!$A:$A,"&lt;="&amp;B3595+TIME(23,59,59))-SUMIFS('inventory ledger'!$I:$I,'inventory ledger'!$C:$C,C3595,'inventory ledger'!$D:$D,D3595,'inventory ledger'!$E:$E,E3595,'inventory ledger'!$A:$A,"&lt;="&amp;B3595+TIME(23,59,59)))</f>
        <v/>
      </c>
      <c r="G3595" s="3">
        <f>IFERROR(__xludf.DUMMYFUNCTION("IF(F3595&lt;=0,0,IFERROR(ROUNDUP(F3595/INDEX(FILTER('warehouse config'!$D:$D,('warehouse config'!$B:$B=C3595)*('warehouse config'!$C:$C=D3595)*('warehouse config'!$G:$G&lt;=B3595)*(('warehouse config'!$H:$H&gt;=B3595)+ISBLANK('warehouse config'!$H:$H))),1)),0))"),0.0)</f>
        <v>0</v>
      </c>
      <c r="H3595" s="3">
        <f>IFERROR(__xludf.DUMMYFUNCTION("IFERROR(INDEX(FILTER('cost master'!$E:$E,('cost master'!$B:$B=C3595)*('cost master'!$D:$D=""Storage cost per pallet / week"")*('cost master'!$G:$G&lt;=B3595)*(('cost master'!$H:$H&gt;=B3595)+ISBLANK('cost master'!$H:$H))),1),0)"),0.0)</f>
        <v>0</v>
      </c>
      <c r="I3595" s="3">
        <f t="shared" si="4"/>
        <v>0</v>
      </c>
      <c r="J3595" s="27">
        <f t="shared" si="5"/>
        <v>693947</v>
      </c>
      <c r="K3595" s="27">
        <f t="shared" si="6"/>
        <v>693977</v>
      </c>
    </row>
    <row r="3596" hidden="1">
      <c r="A3596" s="3" t="str">
        <f t="shared" si="3"/>
        <v/>
      </c>
      <c r="B3596" s="2" t="str">
        <f t="array" ref="B3596">INDEX(helper!$A$3:$A3996,ROUNDUP((ROW()-1)/COUNTA(helper!$D$3:$D3996),0))</f>
        <v/>
      </c>
      <c r="C3596" s="5" t="str">
        <f t="array" ref="C3596">IF(B3596="","",INDEX(helper!$D$3:$D3996,MOD(ROW()-2,COUNTA(helper!$D$3:$D3996))+1))</f>
        <v/>
      </c>
      <c r="D3596" s="3" t="str">
        <f t="array" ref="D3596">IF(B3596="","",INDEX(helper!$E$3:$E3996,MOD(ROW()-2,COUNTA(helper!$D$3:$D3996))+1))</f>
        <v/>
      </c>
      <c r="E3596" s="3" t="str">
        <f t="array" ref="E3596">IF(B3596="","",INDEX(helper!$F$3:$F3996,MOD(ROW()-2,COUNTA(helper!$D$3:$D3996))+1))</f>
        <v/>
      </c>
      <c r="F3596" s="3" t="str">
        <f>IF(B3596="","",SUMIFS('inventory ledger'!$H:$H,'inventory ledger'!$C:$C,C3596,'inventory ledger'!$D:$D,D3596,'inventory ledger'!$E:$E,E3596,'inventory ledger'!$A:$A,"&lt;="&amp;B3596+TIME(23,59,59))-SUMIFS('inventory ledger'!$I:$I,'inventory ledger'!$C:$C,C3596,'inventory ledger'!$D:$D,D3596,'inventory ledger'!$E:$E,E3596,'inventory ledger'!$A:$A,"&lt;="&amp;B3596+TIME(23,59,59)))</f>
        <v/>
      </c>
      <c r="G3596" s="3">
        <f>IFERROR(__xludf.DUMMYFUNCTION("IF(F3596&lt;=0,0,IFERROR(ROUNDUP(F3596/INDEX(FILTER('warehouse config'!$D:$D,('warehouse config'!$B:$B=C3596)*('warehouse config'!$C:$C=D3596)*('warehouse config'!$G:$G&lt;=B3596)*(('warehouse config'!$H:$H&gt;=B3596)+ISBLANK('warehouse config'!$H:$H))),1)),0))"),0.0)</f>
        <v>0</v>
      </c>
      <c r="H3596" s="3">
        <f>IFERROR(__xludf.DUMMYFUNCTION("IFERROR(INDEX(FILTER('cost master'!$E:$E,('cost master'!$B:$B=C3596)*('cost master'!$D:$D=""Storage cost per pallet / week"")*('cost master'!$G:$G&lt;=B3596)*(('cost master'!$H:$H&gt;=B3596)+ISBLANK('cost master'!$H:$H))),1),0)"),0.0)</f>
        <v>0</v>
      </c>
      <c r="I3596" s="3">
        <f t="shared" si="4"/>
        <v>0</v>
      </c>
      <c r="J3596" s="27">
        <f t="shared" si="5"/>
        <v>693947</v>
      </c>
      <c r="K3596" s="27">
        <f t="shared" si="6"/>
        <v>693977</v>
      </c>
    </row>
    <row r="3597" hidden="1">
      <c r="A3597" s="3" t="str">
        <f t="shared" si="3"/>
        <v/>
      </c>
      <c r="B3597" s="2" t="str">
        <f t="array" ref="B3597">INDEX(helper!$A$3:$A3996,ROUNDUP((ROW()-1)/COUNTA(helper!$D$3:$D3996),0))</f>
        <v/>
      </c>
      <c r="C3597" s="5" t="str">
        <f t="array" ref="C3597">IF(B3597="","",INDEX(helper!$D$3:$D3996,MOD(ROW()-2,COUNTA(helper!$D$3:$D3996))+1))</f>
        <v/>
      </c>
      <c r="D3597" s="3" t="str">
        <f t="array" ref="D3597">IF(B3597="","",INDEX(helper!$E$3:$E3996,MOD(ROW()-2,COUNTA(helper!$D$3:$D3996))+1))</f>
        <v/>
      </c>
      <c r="E3597" s="3" t="str">
        <f t="array" ref="E3597">IF(B3597="","",INDEX(helper!$F$3:$F3996,MOD(ROW()-2,COUNTA(helper!$D$3:$D3996))+1))</f>
        <v/>
      </c>
      <c r="F3597" s="3" t="str">
        <f>IF(B3597="","",SUMIFS('inventory ledger'!$H:$H,'inventory ledger'!$C:$C,C3597,'inventory ledger'!$D:$D,D3597,'inventory ledger'!$E:$E,E3597,'inventory ledger'!$A:$A,"&lt;="&amp;B3597+TIME(23,59,59))-SUMIFS('inventory ledger'!$I:$I,'inventory ledger'!$C:$C,C3597,'inventory ledger'!$D:$D,D3597,'inventory ledger'!$E:$E,E3597,'inventory ledger'!$A:$A,"&lt;="&amp;B3597+TIME(23,59,59)))</f>
        <v/>
      </c>
      <c r="G3597" s="3">
        <f>IFERROR(__xludf.DUMMYFUNCTION("IF(F3597&lt;=0,0,IFERROR(ROUNDUP(F3597/INDEX(FILTER('warehouse config'!$D:$D,('warehouse config'!$B:$B=C3597)*('warehouse config'!$C:$C=D3597)*('warehouse config'!$G:$G&lt;=B3597)*(('warehouse config'!$H:$H&gt;=B3597)+ISBLANK('warehouse config'!$H:$H))),1)),0))"),0.0)</f>
        <v>0</v>
      </c>
      <c r="H3597" s="3">
        <f>IFERROR(__xludf.DUMMYFUNCTION("IFERROR(INDEX(FILTER('cost master'!$E:$E,('cost master'!$B:$B=C3597)*('cost master'!$D:$D=""Storage cost per pallet / week"")*('cost master'!$G:$G&lt;=B3597)*(('cost master'!$H:$H&gt;=B3597)+ISBLANK('cost master'!$H:$H))),1),0)"),0.0)</f>
        <v>0</v>
      </c>
      <c r="I3597" s="3">
        <f t="shared" si="4"/>
        <v>0</v>
      </c>
      <c r="J3597" s="27">
        <f t="shared" si="5"/>
        <v>693947</v>
      </c>
      <c r="K3597" s="27">
        <f t="shared" si="6"/>
        <v>693977</v>
      </c>
    </row>
    <row r="3598" hidden="1">
      <c r="A3598" s="3" t="str">
        <f t="shared" si="3"/>
        <v/>
      </c>
      <c r="B3598" s="2" t="str">
        <f t="array" ref="B3598">INDEX(helper!$A$3:$A3996,ROUNDUP((ROW()-1)/COUNTA(helper!$D$3:$D3996),0))</f>
        <v/>
      </c>
      <c r="C3598" s="5" t="str">
        <f t="array" ref="C3598">IF(B3598="","",INDEX(helper!$D$3:$D3996,MOD(ROW()-2,COUNTA(helper!$D$3:$D3996))+1))</f>
        <v/>
      </c>
      <c r="D3598" s="3" t="str">
        <f t="array" ref="D3598">IF(B3598="","",INDEX(helper!$E$3:$E3996,MOD(ROW()-2,COUNTA(helper!$D$3:$D3996))+1))</f>
        <v/>
      </c>
      <c r="E3598" s="3" t="str">
        <f t="array" ref="E3598">IF(B3598="","",INDEX(helper!$F$3:$F3996,MOD(ROW()-2,COUNTA(helper!$D$3:$D3996))+1))</f>
        <v/>
      </c>
      <c r="F3598" s="3" t="str">
        <f>IF(B3598="","",SUMIFS('inventory ledger'!$H:$H,'inventory ledger'!$C:$C,C3598,'inventory ledger'!$D:$D,D3598,'inventory ledger'!$E:$E,E3598,'inventory ledger'!$A:$A,"&lt;="&amp;B3598+TIME(23,59,59))-SUMIFS('inventory ledger'!$I:$I,'inventory ledger'!$C:$C,C3598,'inventory ledger'!$D:$D,D3598,'inventory ledger'!$E:$E,E3598,'inventory ledger'!$A:$A,"&lt;="&amp;B3598+TIME(23,59,59)))</f>
        <v/>
      </c>
      <c r="G3598" s="3">
        <f>IFERROR(__xludf.DUMMYFUNCTION("IF(F3598&lt;=0,0,IFERROR(ROUNDUP(F3598/INDEX(FILTER('warehouse config'!$D:$D,('warehouse config'!$B:$B=C3598)*('warehouse config'!$C:$C=D3598)*('warehouse config'!$G:$G&lt;=B3598)*(('warehouse config'!$H:$H&gt;=B3598)+ISBLANK('warehouse config'!$H:$H))),1)),0))"),0.0)</f>
        <v>0</v>
      </c>
      <c r="H3598" s="3">
        <f>IFERROR(__xludf.DUMMYFUNCTION("IFERROR(INDEX(FILTER('cost master'!$E:$E,('cost master'!$B:$B=C3598)*('cost master'!$D:$D=""Storage cost per pallet / week"")*('cost master'!$G:$G&lt;=B3598)*(('cost master'!$H:$H&gt;=B3598)+ISBLANK('cost master'!$H:$H))),1),0)"),0.0)</f>
        <v>0</v>
      </c>
      <c r="I3598" s="3">
        <f t="shared" si="4"/>
        <v>0</v>
      </c>
      <c r="J3598" s="27">
        <f t="shared" si="5"/>
        <v>693947</v>
      </c>
      <c r="K3598" s="27">
        <f t="shared" si="6"/>
        <v>693977</v>
      </c>
    </row>
    <row r="3599" hidden="1">
      <c r="A3599" s="3" t="str">
        <f t="shared" si="3"/>
        <v/>
      </c>
      <c r="B3599" s="2" t="str">
        <f t="array" ref="B3599">INDEX(helper!$A$3:$A3996,ROUNDUP((ROW()-1)/COUNTA(helper!$D$3:$D3996),0))</f>
        <v/>
      </c>
      <c r="C3599" s="5" t="str">
        <f t="array" ref="C3599">IF(B3599="","",INDEX(helper!$D$3:$D3996,MOD(ROW()-2,COUNTA(helper!$D$3:$D3996))+1))</f>
        <v/>
      </c>
      <c r="D3599" s="3" t="str">
        <f t="array" ref="D3599">IF(B3599="","",INDEX(helper!$E$3:$E3996,MOD(ROW()-2,COUNTA(helper!$D$3:$D3996))+1))</f>
        <v/>
      </c>
      <c r="E3599" s="3" t="str">
        <f t="array" ref="E3599">IF(B3599="","",INDEX(helper!$F$3:$F3996,MOD(ROW()-2,COUNTA(helper!$D$3:$D3996))+1))</f>
        <v/>
      </c>
      <c r="F3599" s="3" t="str">
        <f>IF(B3599="","",SUMIFS('inventory ledger'!$H:$H,'inventory ledger'!$C:$C,C3599,'inventory ledger'!$D:$D,D3599,'inventory ledger'!$E:$E,E3599,'inventory ledger'!$A:$A,"&lt;="&amp;B3599+TIME(23,59,59))-SUMIFS('inventory ledger'!$I:$I,'inventory ledger'!$C:$C,C3599,'inventory ledger'!$D:$D,D3599,'inventory ledger'!$E:$E,E3599,'inventory ledger'!$A:$A,"&lt;="&amp;B3599+TIME(23,59,59)))</f>
        <v/>
      </c>
      <c r="G3599" s="3">
        <f>IFERROR(__xludf.DUMMYFUNCTION("IF(F3599&lt;=0,0,IFERROR(ROUNDUP(F3599/INDEX(FILTER('warehouse config'!$D:$D,('warehouse config'!$B:$B=C3599)*('warehouse config'!$C:$C=D3599)*('warehouse config'!$G:$G&lt;=B3599)*(('warehouse config'!$H:$H&gt;=B3599)+ISBLANK('warehouse config'!$H:$H))),1)),0))"),0.0)</f>
        <v>0</v>
      </c>
      <c r="H3599" s="3">
        <f>IFERROR(__xludf.DUMMYFUNCTION("IFERROR(INDEX(FILTER('cost master'!$E:$E,('cost master'!$B:$B=C3599)*('cost master'!$D:$D=""Storage cost per pallet / week"")*('cost master'!$G:$G&lt;=B3599)*(('cost master'!$H:$H&gt;=B3599)+ISBLANK('cost master'!$H:$H))),1),0)"),0.0)</f>
        <v>0</v>
      </c>
      <c r="I3599" s="3">
        <f t="shared" si="4"/>
        <v>0</v>
      </c>
      <c r="J3599" s="27">
        <f t="shared" si="5"/>
        <v>693947</v>
      </c>
      <c r="K3599" s="27">
        <f t="shared" si="6"/>
        <v>693977</v>
      </c>
    </row>
    <row r="3600" hidden="1">
      <c r="A3600" s="3" t="str">
        <f t="shared" si="3"/>
        <v/>
      </c>
      <c r="B3600" s="2" t="str">
        <f t="array" ref="B3600">INDEX(helper!$A$3:$A3996,ROUNDUP((ROW()-1)/COUNTA(helper!$D$3:$D3996),0))</f>
        <v/>
      </c>
      <c r="C3600" s="5" t="str">
        <f t="array" ref="C3600">IF(B3600="","",INDEX(helper!$D$3:$D3996,MOD(ROW()-2,COUNTA(helper!$D$3:$D3996))+1))</f>
        <v/>
      </c>
      <c r="D3600" s="3" t="str">
        <f t="array" ref="D3600">IF(B3600="","",INDEX(helper!$E$3:$E3996,MOD(ROW()-2,COUNTA(helper!$D$3:$D3996))+1))</f>
        <v/>
      </c>
      <c r="E3600" s="3" t="str">
        <f t="array" ref="E3600">IF(B3600="","",INDEX(helper!$F$3:$F3996,MOD(ROW()-2,COUNTA(helper!$D$3:$D3996))+1))</f>
        <v/>
      </c>
      <c r="F3600" s="3" t="str">
        <f>IF(B3600="","",SUMIFS('inventory ledger'!$H:$H,'inventory ledger'!$C:$C,C3600,'inventory ledger'!$D:$D,D3600,'inventory ledger'!$E:$E,E3600,'inventory ledger'!$A:$A,"&lt;="&amp;B3600+TIME(23,59,59))-SUMIFS('inventory ledger'!$I:$I,'inventory ledger'!$C:$C,C3600,'inventory ledger'!$D:$D,D3600,'inventory ledger'!$E:$E,E3600,'inventory ledger'!$A:$A,"&lt;="&amp;B3600+TIME(23,59,59)))</f>
        <v/>
      </c>
      <c r="G3600" s="3">
        <f>IFERROR(__xludf.DUMMYFUNCTION("IF(F3600&lt;=0,0,IFERROR(ROUNDUP(F3600/INDEX(FILTER('warehouse config'!$D:$D,('warehouse config'!$B:$B=C3600)*('warehouse config'!$C:$C=D3600)*('warehouse config'!$G:$G&lt;=B3600)*(('warehouse config'!$H:$H&gt;=B3600)+ISBLANK('warehouse config'!$H:$H))),1)),0))"),0.0)</f>
        <v>0</v>
      </c>
      <c r="H3600" s="3">
        <f>IFERROR(__xludf.DUMMYFUNCTION("IFERROR(INDEX(FILTER('cost master'!$E:$E,('cost master'!$B:$B=C3600)*('cost master'!$D:$D=""Storage cost per pallet / week"")*('cost master'!$G:$G&lt;=B3600)*(('cost master'!$H:$H&gt;=B3600)+ISBLANK('cost master'!$H:$H))),1),0)"),0.0)</f>
        <v>0</v>
      </c>
      <c r="I3600" s="3">
        <f t="shared" si="4"/>
        <v>0</v>
      </c>
      <c r="J3600" s="27">
        <f t="shared" si="5"/>
        <v>693947</v>
      </c>
      <c r="K3600" s="27">
        <f t="shared" si="6"/>
        <v>693977</v>
      </c>
    </row>
    <row r="3601" hidden="1">
      <c r="A3601" s="3" t="str">
        <f t="shared" si="3"/>
        <v/>
      </c>
      <c r="B3601" s="2" t="str">
        <f t="array" ref="B3601">INDEX(helper!$A$3:$A3996,ROUNDUP((ROW()-1)/COUNTA(helper!$D$3:$D3996),0))</f>
        <v/>
      </c>
      <c r="C3601" s="5" t="str">
        <f t="array" ref="C3601">IF(B3601="","",INDEX(helper!$D$3:$D3996,MOD(ROW()-2,COUNTA(helper!$D$3:$D3996))+1))</f>
        <v/>
      </c>
      <c r="D3601" s="3" t="str">
        <f t="array" ref="D3601">IF(B3601="","",INDEX(helper!$E$3:$E3996,MOD(ROW()-2,COUNTA(helper!$D$3:$D3996))+1))</f>
        <v/>
      </c>
      <c r="E3601" s="3" t="str">
        <f t="array" ref="E3601">IF(B3601="","",INDEX(helper!$F$3:$F3996,MOD(ROW()-2,COUNTA(helper!$D$3:$D3996))+1))</f>
        <v/>
      </c>
      <c r="F3601" s="3" t="str">
        <f>IF(B3601="","",SUMIFS('inventory ledger'!$H:$H,'inventory ledger'!$C:$C,C3601,'inventory ledger'!$D:$D,D3601,'inventory ledger'!$E:$E,E3601,'inventory ledger'!$A:$A,"&lt;="&amp;B3601+TIME(23,59,59))-SUMIFS('inventory ledger'!$I:$I,'inventory ledger'!$C:$C,C3601,'inventory ledger'!$D:$D,D3601,'inventory ledger'!$E:$E,E3601,'inventory ledger'!$A:$A,"&lt;="&amp;B3601+TIME(23,59,59)))</f>
        <v/>
      </c>
      <c r="G3601" s="3">
        <f>IFERROR(__xludf.DUMMYFUNCTION("IF(F3601&lt;=0,0,IFERROR(ROUNDUP(F3601/INDEX(FILTER('warehouse config'!$D:$D,('warehouse config'!$B:$B=C3601)*('warehouse config'!$C:$C=D3601)*('warehouse config'!$G:$G&lt;=B3601)*(('warehouse config'!$H:$H&gt;=B3601)+ISBLANK('warehouse config'!$H:$H))),1)),0))"),0.0)</f>
        <v>0</v>
      </c>
      <c r="H3601" s="3">
        <f>IFERROR(__xludf.DUMMYFUNCTION("IFERROR(INDEX(FILTER('cost master'!$E:$E,('cost master'!$B:$B=C3601)*('cost master'!$D:$D=""Storage cost per pallet / week"")*('cost master'!$G:$G&lt;=B3601)*(('cost master'!$H:$H&gt;=B3601)+ISBLANK('cost master'!$H:$H))),1),0)"),0.0)</f>
        <v>0</v>
      </c>
      <c r="I3601" s="3">
        <f t="shared" si="4"/>
        <v>0</v>
      </c>
      <c r="J3601" s="27">
        <f t="shared" si="5"/>
        <v>693947</v>
      </c>
      <c r="K3601" s="27">
        <f t="shared" si="6"/>
        <v>693977</v>
      </c>
    </row>
    <row r="3602" hidden="1">
      <c r="A3602" s="3" t="str">
        <f t="shared" si="3"/>
        <v/>
      </c>
      <c r="B3602" s="2" t="str">
        <f t="array" ref="B3602">INDEX(helper!$A$3:$A3996,ROUNDUP((ROW()-1)/COUNTA(helper!$D$3:$D3996),0))</f>
        <v/>
      </c>
      <c r="C3602" s="5" t="str">
        <f t="array" ref="C3602">IF(B3602="","",INDEX(helper!$D$3:$D3996,MOD(ROW()-2,COUNTA(helper!$D$3:$D3996))+1))</f>
        <v/>
      </c>
      <c r="D3602" s="3" t="str">
        <f t="array" ref="D3602">IF(B3602="","",INDEX(helper!$E$3:$E3996,MOD(ROW()-2,COUNTA(helper!$D$3:$D3996))+1))</f>
        <v/>
      </c>
      <c r="E3602" s="3" t="str">
        <f t="array" ref="E3602">IF(B3602="","",INDEX(helper!$F$3:$F3996,MOD(ROW()-2,COUNTA(helper!$D$3:$D3996))+1))</f>
        <v/>
      </c>
      <c r="F3602" s="3" t="str">
        <f>IF(B3602="","",SUMIFS('inventory ledger'!$H:$H,'inventory ledger'!$C:$C,C3602,'inventory ledger'!$D:$D,D3602,'inventory ledger'!$E:$E,E3602,'inventory ledger'!$A:$A,"&lt;="&amp;B3602+TIME(23,59,59))-SUMIFS('inventory ledger'!$I:$I,'inventory ledger'!$C:$C,C3602,'inventory ledger'!$D:$D,D3602,'inventory ledger'!$E:$E,E3602,'inventory ledger'!$A:$A,"&lt;="&amp;B3602+TIME(23,59,59)))</f>
        <v/>
      </c>
      <c r="G3602" s="3">
        <f>IFERROR(__xludf.DUMMYFUNCTION("IF(F3602&lt;=0,0,IFERROR(ROUNDUP(F3602/INDEX(FILTER('warehouse config'!$D:$D,('warehouse config'!$B:$B=C3602)*('warehouse config'!$C:$C=D3602)*('warehouse config'!$G:$G&lt;=B3602)*(('warehouse config'!$H:$H&gt;=B3602)+ISBLANK('warehouse config'!$H:$H))),1)),0))"),0.0)</f>
        <v>0</v>
      </c>
      <c r="H3602" s="3">
        <f>IFERROR(__xludf.DUMMYFUNCTION("IFERROR(INDEX(FILTER('cost master'!$E:$E,('cost master'!$B:$B=C3602)*('cost master'!$D:$D=""Storage cost per pallet / week"")*('cost master'!$G:$G&lt;=B3602)*(('cost master'!$H:$H&gt;=B3602)+ISBLANK('cost master'!$H:$H))),1),0)"),0.0)</f>
        <v>0</v>
      </c>
      <c r="I3602" s="3">
        <f t="shared" si="4"/>
        <v>0</v>
      </c>
      <c r="J3602" s="27">
        <f t="shared" si="5"/>
        <v>693947</v>
      </c>
      <c r="K3602" s="27">
        <f t="shared" si="6"/>
        <v>693977</v>
      </c>
    </row>
    <row r="3603" hidden="1">
      <c r="A3603" s="3" t="str">
        <f t="shared" si="3"/>
        <v/>
      </c>
      <c r="B3603" s="2" t="str">
        <f t="array" ref="B3603">INDEX(helper!$A$3:$A3996,ROUNDUP((ROW()-1)/COUNTA(helper!$D$3:$D3996),0))</f>
        <v/>
      </c>
      <c r="C3603" s="5" t="str">
        <f t="array" ref="C3603">IF(B3603="","",INDEX(helper!$D$3:$D3996,MOD(ROW()-2,COUNTA(helper!$D$3:$D3996))+1))</f>
        <v/>
      </c>
      <c r="D3603" s="3" t="str">
        <f t="array" ref="D3603">IF(B3603="","",INDEX(helper!$E$3:$E3996,MOD(ROW()-2,COUNTA(helper!$D$3:$D3996))+1))</f>
        <v/>
      </c>
      <c r="E3603" s="3" t="str">
        <f t="array" ref="E3603">IF(B3603="","",INDEX(helper!$F$3:$F3996,MOD(ROW()-2,COUNTA(helper!$D$3:$D3996))+1))</f>
        <v/>
      </c>
      <c r="F3603" s="3" t="str">
        <f>IF(B3603="","",SUMIFS('inventory ledger'!$H:$H,'inventory ledger'!$C:$C,C3603,'inventory ledger'!$D:$D,D3603,'inventory ledger'!$E:$E,E3603,'inventory ledger'!$A:$A,"&lt;="&amp;B3603+TIME(23,59,59))-SUMIFS('inventory ledger'!$I:$I,'inventory ledger'!$C:$C,C3603,'inventory ledger'!$D:$D,D3603,'inventory ledger'!$E:$E,E3603,'inventory ledger'!$A:$A,"&lt;="&amp;B3603+TIME(23,59,59)))</f>
        <v/>
      </c>
      <c r="G3603" s="3">
        <f>IFERROR(__xludf.DUMMYFUNCTION("IF(F3603&lt;=0,0,IFERROR(ROUNDUP(F3603/INDEX(FILTER('warehouse config'!$D:$D,('warehouse config'!$B:$B=C3603)*('warehouse config'!$C:$C=D3603)*('warehouse config'!$G:$G&lt;=B3603)*(('warehouse config'!$H:$H&gt;=B3603)+ISBLANK('warehouse config'!$H:$H))),1)),0))"),0.0)</f>
        <v>0</v>
      </c>
      <c r="H3603" s="3">
        <f>IFERROR(__xludf.DUMMYFUNCTION("IFERROR(INDEX(FILTER('cost master'!$E:$E,('cost master'!$B:$B=C3603)*('cost master'!$D:$D=""Storage cost per pallet / week"")*('cost master'!$G:$G&lt;=B3603)*(('cost master'!$H:$H&gt;=B3603)+ISBLANK('cost master'!$H:$H))),1),0)"),0.0)</f>
        <v>0</v>
      </c>
      <c r="I3603" s="3">
        <f t="shared" si="4"/>
        <v>0</v>
      </c>
      <c r="J3603" s="27">
        <f t="shared" si="5"/>
        <v>693947</v>
      </c>
      <c r="K3603" s="27">
        <f t="shared" si="6"/>
        <v>693977</v>
      </c>
    </row>
    <row r="3604" hidden="1">
      <c r="A3604" s="3" t="str">
        <f t="shared" si="3"/>
        <v/>
      </c>
      <c r="B3604" s="2" t="str">
        <f t="array" ref="B3604">INDEX(helper!$A$3:$A3996,ROUNDUP((ROW()-1)/COUNTA(helper!$D$3:$D3996),0))</f>
        <v/>
      </c>
      <c r="C3604" s="5" t="str">
        <f t="array" ref="C3604">IF(B3604="","",INDEX(helper!$D$3:$D3996,MOD(ROW()-2,COUNTA(helper!$D$3:$D3996))+1))</f>
        <v/>
      </c>
      <c r="D3604" s="3" t="str">
        <f t="array" ref="D3604">IF(B3604="","",INDEX(helper!$E$3:$E3996,MOD(ROW()-2,COUNTA(helper!$D$3:$D3996))+1))</f>
        <v/>
      </c>
      <c r="E3604" s="3" t="str">
        <f t="array" ref="E3604">IF(B3604="","",INDEX(helper!$F$3:$F3996,MOD(ROW()-2,COUNTA(helper!$D$3:$D3996))+1))</f>
        <v/>
      </c>
      <c r="F3604" s="3" t="str">
        <f>IF(B3604="","",SUMIFS('inventory ledger'!$H:$H,'inventory ledger'!$C:$C,C3604,'inventory ledger'!$D:$D,D3604,'inventory ledger'!$E:$E,E3604,'inventory ledger'!$A:$A,"&lt;="&amp;B3604+TIME(23,59,59))-SUMIFS('inventory ledger'!$I:$I,'inventory ledger'!$C:$C,C3604,'inventory ledger'!$D:$D,D3604,'inventory ledger'!$E:$E,E3604,'inventory ledger'!$A:$A,"&lt;="&amp;B3604+TIME(23,59,59)))</f>
        <v/>
      </c>
      <c r="G3604" s="3">
        <f>IFERROR(__xludf.DUMMYFUNCTION("IF(F3604&lt;=0,0,IFERROR(ROUNDUP(F3604/INDEX(FILTER('warehouse config'!$D:$D,('warehouse config'!$B:$B=C3604)*('warehouse config'!$C:$C=D3604)*('warehouse config'!$G:$G&lt;=B3604)*(('warehouse config'!$H:$H&gt;=B3604)+ISBLANK('warehouse config'!$H:$H))),1)),0))"),0.0)</f>
        <v>0</v>
      </c>
      <c r="H3604" s="3">
        <f>IFERROR(__xludf.DUMMYFUNCTION("IFERROR(INDEX(FILTER('cost master'!$E:$E,('cost master'!$B:$B=C3604)*('cost master'!$D:$D=""Storage cost per pallet / week"")*('cost master'!$G:$G&lt;=B3604)*(('cost master'!$H:$H&gt;=B3604)+ISBLANK('cost master'!$H:$H))),1),0)"),0.0)</f>
        <v>0</v>
      </c>
      <c r="I3604" s="3">
        <f t="shared" si="4"/>
        <v>0</v>
      </c>
      <c r="J3604" s="27">
        <f t="shared" si="5"/>
        <v>693947</v>
      </c>
      <c r="K3604" s="27">
        <f t="shared" si="6"/>
        <v>693977</v>
      </c>
    </row>
    <row r="3605" hidden="1">
      <c r="A3605" s="3" t="str">
        <f t="shared" si="3"/>
        <v/>
      </c>
      <c r="B3605" s="2" t="str">
        <f t="array" ref="B3605">INDEX(helper!$A$3:$A3996,ROUNDUP((ROW()-1)/COUNTA(helper!$D$3:$D3996),0))</f>
        <v/>
      </c>
      <c r="C3605" s="5" t="str">
        <f t="array" ref="C3605">IF(B3605="","",INDEX(helper!$D$3:$D3996,MOD(ROW()-2,COUNTA(helper!$D$3:$D3996))+1))</f>
        <v/>
      </c>
      <c r="D3605" s="3" t="str">
        <f t="array" ref="D3605">IF(B3605="","",INDEX(helper!$E$3:$E3996,MOD(ROW()-2,COUNTA(helper!$D$3:$D3996))+1))</f>
        <v/>
      </c>
      <c r="E3605" s="3" t="str">
        <f t="array" ref="E3605">IF(B3605="","",INDEX(helper!$F$3:$F3996,MOD(ROW()-2,COUNTA(helper!$D$3:$D3996))+1))</f>
        <v/>
      </c>
      <c r="F3605" s="3" t="str">
        <f>IF(B3605="","",SUMIFS('inventory ledger'!$H:$H,'inventory ledger'!$C:$C,C3605,'inventory ledger'!$D:$D,D3605,'inventory ledger'!$E:$E,E3605,'inventory ledger'!$A:$A,"&lt;="&amp;B3605+TIME(23,59,59))-SUMIFS('inventory ledger'!$I:$I,'inventory ledger'!$C:$C,C3605,'inventory ledger'!$D:$D,D3605,'inventory ledger'!$E:$E,E3605,'inventory ledger'!$A:$A,"&lt;="&amp;B3605+TIME(23,59,59)))</f>
        <v/>
      </c>
      <c r="G3605" s="3">
        <f>IFERROR(__xludf.DUMMYFUNCTION("IF(F3605&lt;=0,0,IFERROR(ROUNDUP(F3605/INDEX(FILTER('warehouse config'!$D:$D,('warehouse config'!$B:$B=C3605)*('warehouse config'!$C:$C=D3605)*('warehouse config'!$G:$G&lt;=B3605)*(('warehouse config'!$H:$H&gt;=B3605)+ISBLANK('warehouse config'!$H:$H))),1)),0))"),0.0)</f>
        <v>0</v>
      </c>
      <c r="H3605" s="3">
        <f>IFERROR(__xludf.DUMMYFUNCTION("IFERROR(INDEX(FILTER('cost master'!$E:$E,('cost master'!$B:$B=C3605)*('cost master'!$D:$D=""Storage cost per pallet / week"")*('cost master'!$G:$G&lt;=B3605)*(('cost master'!$H:$H&gt;=B3605)+ISBLANK('cost master'!$H:$H))),1),0)"),0.0)</f>
        <v>0</v>
      </c>
      <c r="I3605" s="3">
        <f t="shared" si="4"/>
        <v>0</v>
      </c>
      <c r="J3605" s="27">
        <f t="shared" si="5"/>
        <v>693947</v>
      </c>
      <c r="K3605" s="27">
        <f t="shared" si="6"/>
        <v>693977</v>
      </c>
    </row>
    <row r="3606" hidden="1">
      <c r="A3606" s="3" t="str">
        <f t="shared" si="3"/>
        <v/>
      </c>
      <c r="B3606" s="2" t="str">
        <f t="array" ref="B3606">INDEX(helper!$A$3:$A3996,ROUNDUP((ROW()-1)/COUNTA(helper!$D$3:$D3996),0))</f>
        <v/>
      </c>
      <c r="C3606" s="5" t="str">
        <f t="array" ref="C3606">IF(B3606="","",INDEX(helper!$D$3:$D3996,MOD(ROW()-2,COUNTA(helper!$D$3:$D3996))+1))</f>
        <v/>
      </c>
      <c r="D3606" s="3" t="str">
        <f t="array" ref="D3606">IF(B3606="","",INDEX(helper!$E$3:$E3996,MOD(ROW()-2,COUNTA(helper!$D$3:$D3996))+1))</f>
        <v/>
      </c>
      <c r="E3606" s="3" t="str">
        <f t="array" ref="E3606">IF(B3606="","",INDEX(helper!$F$3:$F3996,MOD(ROW()-2,COUNTA(helper!$D$3:$D3996))+1))</f>
        <v/>
      </c>
      <c r="F3606" s="3" t="str">
        <f>IF(B3606="","",SUMIFS('inventory ledger'!$H:$H,'inventory ledger'!$C:$C,C3606,'inventory ledger'!$D:$D,D3606,'inventory ledger'!$E:$E,E3606,'inventory ledger'!$A:$A,"&lt;="&amp;B3606+TIME(23,59,59))-SUMIFS('inventory ledger'!$I:$I,'inventory ledger'!$C:$C,C3606,'inventory ledger'!$D:$D,D3606,'inventory ledger'!$E:$E,E3606,'inventory ledger'!$A:$A,"&lt;="&amp;B3606+TIME(23,59,59)))</f>
        <v/>
      </c>
      <c r="G3606" s="3">
        <f>IFERROR(__xludf.DUMMYFUNCTION("IF(F3606&lt;=0,0,IFERROR(ROUNDUP(F3606/INDEX(FILTER('warehouse config'!$D:$D,('warehouse config'!$B:$B=C3606)*('warehouse config'!$C:$C=D3606)*('warehouse config'!$G:$G&lt;=B3606)*(('warehouse config'!$H:$H&gt;=B3606)+ISBLANK('warehouse config'!$H:$H))),1)),0))"),0.0)</f>
        <v>0</v>
      </c>
      <c r="H3606" s="3">
        <f>IFERROR(__xludf.DUMMYFUNCTION("IFERROR(INDEX(FILTER('cost master'!$E:$E,('cost master'!$B:$B=C3606)*('cost master'!$D:$D=""Storage cost per pallet / week"")*('cost master'!$G:$G&lt;=B3606)*(('cost master'!$H:$H&gt;=B3606)+ISBLANK('cost master'!$H:$H))),1),0)"),0.0)</f>
        <v>0</v>
      </c>
      <c r="I3606" s="3">
        <f t="shared" si="4"/>
        <v>0</v>
      </c>
      <c r="J3606" s="27">
        <f t="shared" si="5"/>
        <v>693947</v>
      </c>
      <c r="K3606" s="27">
        <f t="shared" si="6"/>
        <v>693977</v>
      </c>
    </row>
    <row r="3607" hidden="1">
      <c r="A3607" s="3" t="str">
        <f t="shared" si="3"/>
        <v/>
      </c>
      <c r="B3607" s="2" t="str">
        <f t="array" ref="B3607">INDEX(helper!$A$3:$A3996,ROUNDUP((ROW()-1)/COUNTA(helper!$D$3:$D3996),0))</f>
        <v/>
      </c>
      <c r="C3607" s="5" t="str">
        <f t="array" ref="C3607">IF(B3607="","",INDEX(helper!$D$3:$D3996,MOD(ROW()-2,COUNTA(helper!$D$3:$D3996))+1))</f>
        <v/>
      </c>
      <c r="D3607" s="3" t="str">
        <f t="array" ref="D3607">IF(B3607="","",INDEX(helper!$E$3:$E3996,MOD(ROW()-2,COUNTA(helper!$D$3:$D3996))+1))</f>
        <v/>
      </c>
      <c r="E3607" s="3" t="str">
        <f t="array" ref="E3607">IF(B3607="","",INDEX(helper!$F$3:$F3996,MOD(ROW()-2,COUNTA(helper!$D$3:$D3996))+1))</f>
        <v/>
      </c>
      <c r="F3607" s="3" t="str">
        <f>IF(B3607="","",SUMIFS('inventory ledger'!$H:$H,'inventory ledger'!$C:$C,C3607,'inventory ledger'!$D:$D,D3607,'inventory ledger'!$E:$E,E3607,'inventory ledger'!$A:$A,"&lt;="&amp;B3607+TIME(23,59,59))-SUMIFS('inventory ledger'!$I:$I,'inventory ledger'!$C:$C,C3607,'inventory ledger'!$D:$D,D3607,'inventory ledger'!$E:$E,E3607,'inventory ledger'!$A:$A,"&lt;="&amp;B3607+TIME(23,59,59)))</f>
        <v/>
      </c>
      <c r="G3607" s="3">
        <f>IFERROR(__xludf.DUMMYFUNCTION("IF(F3607&lt;=0,0,IFERROR(ROUNDUP(F3607/INDEX(FILTER('warehouse config'!$D:$D,('warehouse config'!$B:$B=C3607)*('warehouse config'!$C:$C=D3607)*('warehouse config'!$G:$G&lt;=B3607)*(('warehouse config'!$H:$H&gt;=B3607)+ISBLANK('warehouse config'!$H:$H))),1)),0))"),0.0)</f>
        <v>0</v>
      </c>
      <c r="H3607" s="3">
        <f>IFERROR(__xludf.DUMMYFUNCTION("IFERROR(INDEX(FILTER('cost master'!$E:$E,('cost master'!$B:$B=C3607)*('cost master'!$D:$D=""Storage cost per pallet / week"")*('cost master'!$G:$G&lt;=B3607)*(('cost master'!$H:$H&gt;=B3607)+ISBLANK('cost master'!$H:$H))),1),0)"),0.0)</f>
        <v>0</v>
      </c>
      <c r="I3607" s="3">
        <f t="shared" si="4"/>
        <v>0</v>
      </c>
      <c r="J3607" s="27">
        <f t="shared" si="5"/>
        <v>693947</v>
      </c>
      <c r="K3607" s="27">
        <f t="shared" si="6"/>
        <v>693977</v>
      </c>
    </row>
    <row r="3608" hidden="1">
      <c r="A3608" s="3" t="str">
        <f t="shared" si="3"/>
        <v/>
      </c>
      <c r="B3608" s="2" t="str">
        <f t="array" ref="B3608">INDEX(helper!$A$3:$A3996,ROUNDUP((ROW()-1)/COUNTA(helper!$D$3:$D3996),0))</f>
        <v/>
      </c>
      <c r="C3608" s="5" t="str">
        <f t="array" ref="C3608">IF(B3608="","",INDEX(helper!$D$3:$D3996,MOD(ROW()-2,COUNTA(helper!$D$3:$D3996))+1))</f>
        <v/>
      </c>
      <c r="D3608" s="3" t="str">
        <f t="array" ref="D3608">IF(B3608="","",INDEX(helper!$E$3:$E3996,MOD(ROW()-2,COUNTA(helper!$D$3:$D3996))+1))</f>
        <v/>
      </c>
      <c r="E3608" s="3" t="str">
        <f t="array" ref="E3608">IF(B3608="","",INDEX(helper!$F$3:$F3996,MOD(ROW()-2,COUNTA(helper!$D$3:$D3996))+1))</f>
        <v/>
      </c>
      <c r="F3608" s="3" t="str">
        <f>IF(B3608="","",SUMIFS('inventory ledger'!$H:$H,'inventory ledger'!$C:$C,C3608,'inventory ledger'!$D:$D,D3608,'inventory ledger'!$E:$E,E3608,'inventory ledger'!$A:$A,"&lt;="&amp;B3608+TIME(23,59,59))-SUMIFS('inventory ledger'!$I:$I,'inventory ledger'!$C:$C,C3608,'inventory ledger'!$D:$D,D3608,'inventory ledger'!$E:$E,E3608,'inventory ledger'!$A:$A,"&lt;="&amp;B3608+TIME(23,59,59)))</f>
        <v/>
      </c>
      <c r="G3608" s="3">
        <f>IFERROR(__xludf.DUMMYFUNCTION("IF(F3608&lt;=0,0,IFERROR(ROUNDUP(F3608/INDEX(FILTER('warehouse config'!$D:$D,('warehouse config'!$B:$B=C3608)*('warehouse config'!$C:$C=D3608)*('warehouse config'!$G:$G&lt;=B3608)*(('warehouse config'!$H:$H&gt;=B3608)+ISBLANK('warehouse config'!$H:$H))),1)),0))"),0.0)</f>
        <v>0</v>
      </c>
      <c r="H3608" s="3">
        <f>IFERROR(__xludf.DUMMYFUNCTION("IFERROR(INDEX(FILTER('cost master'!$E:$E,('cost master'!$B:$B=C3608)*('cost master'!$D:$D=""Storage cost per pallet / week"")*('cost master'!$G:$G&lt;=B3608)*(('cost master'!$H:$H&gt;=B3608)+ISBLANK('cost master'!$H:$H))),1),0)"),0.0)</f>
        <v>0</v>
      </c>
      <c r="I3608" s="3">
        <f t="shared" si="4"/>
        <v>0</v>
      </c>
      <c r="J3608" s="27">
        <f t="shared" si="5"/>
        <v>693947</v>
      </c>
      <c r="K3608" s="27">
        <f t="shared" si="6"/>
        <v>693977</v>
      </c>
    </row>
    <row r="3609" hidden="1">
      <c r="A3609" s="3" t="str">
        <f t="shared" si="3"/>
        <v/>
      </c>
      <c r="B3609" s="2" t="str">
        <f t="array" ref="B3609">INDEX(helper!$A$3:$A3996,ROUNDUP((ROW()-1)/COUNTA(helper!$D$3:$D3996),0))</f>
        <v/>
      </c>
      <c r="C3609" s="5" t="str">
        <f t="array" ref="C3609">IF(B3609="","",INDEX(helper!$D$3:$D3996,MOD(ROW()-2,COUNTA(helper!$D$3:$D3996))+1))</f>
        <v/>
      </c>
      <c r="D3609" s="3" t="str">
        <f t="array" ref="D3609">IF(B3609="","",INDEX(helper!$E$3:$E3996,MOD(ROW()-2,COUNTA(helper!$D$3:$D3996))+1))</f>
        <v/>
      </c>
      <c r="E3609" s="3" t="str">
        <f t="array" ref="E3609">IF(B3609="","",INDEX(helper!$F$3:$F3996,MOD(ROW()-2,COUNTA(helper!$D$3:$D3996))+1))</f>
        <v/>
      </c>
      <c r="F3609" s="3" t="str">
        <f>IF(B3609="","",SUMIFS('inventory ledger'!$H:$H,'inventory ledger'!$C:$C,C3609,'inventory ledger'!$D:$D,D3609,'inventory ledger'!$E:$E,E3609,'inventory ledger'!$A:$A,"&lt;="&amp;B3609+TIME(23,59,59))-SUMIFS('inventory ledger'!$I:$I,'inventory ledger'!$C:$C,C3609,'inventory ledger'!$D:$D,D3609,'inventory ledger'!$E:$E,E3609,'inventory ledger'!$A:$A,"&lt;="&amp;B3609+TIME(23,59,59)))</f>
        <v/>
      </c>
      <c r="G3609" s="3">
        <f>IFERROR(__xludf.DUMMYFUNCTION("IF(F3609&lt;=0,0,IFERROR(ROUNDUP(F3609/INDEX(FILTER('warehouse config'!$D:$D,('warehouse config'!$B:$B=C3609)*('warehouse config'!$C:$C=D3609)*('warehouse config'!$G:$G&lt;=B3609)*(('warehouse config'!$H:$H&gt;=B3609)+ISBLANK('warehouse config'!$H:$H))),1)),0))"),0.0)</f>
        <v>0</v>
      </c>
      <c r="H3609" s="3">
        <f>IFERROR(__xludf.DUMMYFUNCTION("IFERROR(INDEX(FILTER('cost master'!$E:$E,('cost master'!$B:$B=C3609)*('cost master'!$D:$D=""Storage cost per pallet / week"")*('cost master'!$G:$G&lt;=B3609)*(('cost master'!$H:$H&gt;=B3609)+ISBLANK('cost master'!$H:$H))),1),0)"),0.0)</f>
        <v>0</v>
      </c>
      <c r="I3609" s="3">
        <f t="shared" si="4"/>
        <v>0</v>
      </c>
      <c r="J3609" s="27">
        <f t="shared" si="5"/>
        <v>693947</v>
      </c>
      <c r="K3609" s="27">
        <f t="shared" si="6"/>
        <v>693977</v>
      </c>
    </row>
    <row r="3610" hidden="1">
      <c r="A3610" s="3" t="str">
        <f t="shared" si="3"/>
        <v/>
      </c>
      <c r="B3610" s="2" t="str">
        <f t="array" ref="B3610">INDEX(helper!$A$3:$A3996,ROUNDUP((ROW()-1)/COUNTA(helper!$D$3:$D3996),0))</f>
        <v/>
      </c>
      <c r="C3610" s="5" t="str">
        <f t="array" ref="C3610">IF(B3610="","",INDEX(helper!$D$3:$D3996,MOD(ROW()-2,COUNTA(helper!$D$3:$D3996))+1))</f>
        <v/>
      </c>
      <c r="D3610" s="3" t="str">
        <f t="array" ref="D3610">IF(B3610="","",INDEX(helper!$E$3:$E3996,MOD(ROW()-2,COUNTA(helper!$D$3:$D3996))+1))</f>
        <v/>
      </c>
      <c r="E3610" s="3" t="str">
        <f t="array" ref="E3610">IF(B3610="","",INDEX(helper!$F$3:$F3996,MOD(ROW()-2,COUNTA(helper!$D$3:$D3996))+1))</f>
        <v/>
      </c>
      <c r="F3610" s="3" t="str">
        <f>IF(B3610="","",SUMIFS('inventory ledger'!$H:$H,'inventory ledger'!$C:$C,C3610,'inventory ledger'!$D:$D,D3610,'inventory ledger'!$E:$E,E3610,'inventory ledger'!$A:$A,"&lt;="&amp;B3610+TIME(23,59,59))-SUMIFS('inventory ledger'!$I:$I,'inventory ledger'!$C:$C,C3610,'inventory ledger'!$D:$D,D3610,'inventory ledger'!$E:$E,E3610,'inventory ledger'!$A:$A,"&lt;="&amp;B3610+TIME(23,59,59)))</f>
        <v/>
      </c>
      <c r="G3610" s="3">
        <f>IFERROR(__xludf.DUMMYFUNCTION("IF(F3610&lt;=0,0,IFERROR(ROUNDUP(F3610/INDEX(FILTER('warehouse config'!$D:$D,('warehouse config'!$B:$B=C3610)*('warehouse config'!$C:$C=D3610)*('warehouse config'!$G:$G&lt;=B3610)*(('warehouse config'!$H:$H&gt;=B3610)+ISBLANK('warehouse config'!$H:$H))),1)),0))"),0.0)</f>
        <v>0</v>
      </c>
      <c r="H3610" s="3">
        <f>IFERROR(__xludf.DUMMYFUNCTION("IFERROR(INDEX(FILTER('cost master'!$E:$E,('cost master'!$B:$B=C3610)*('cost master'!$D:$D=""Storage cost per pallet / week"")*('cost master'!$G:$G&lt;=B3610)*(('cost master'!$H:$H&gt;=B3610)+ISBLANK('cost master'!$H:$H))),1),0)"),0.0)</f>
        <v>0</v>
      </c>
      <c r="I3610" s="3">
        <f t="shared" si="4"/>
        <v>0</v>
      </c>
      <c r="J3610" s="27">
        <f t="shared" si="5"/>
        <v>693947</v>
      </c>
      <c r="K3610" s="27">
        <f t="shared" si="6"/>
        <v>693977</v>
      </c>
    </row>
    <row r="3611" hidden="1">
      <c r="A3611" s="3" t="str">
        <f t="shared" si="3"/>
        <v/>
      </c>
      <c r="B3611" s="2" t="str">
        <f t="array" ref="B3611">INDEX(helper!$A$3:$A3996,ROUNDUP((ROW()-1)/COUNTA(helper!$D$3:$D3996),0))</f>
        <v/>
      </c>
      <c r="C3611" s="5" t="str">
        <f t="array" ref="C3611">IF(B3611="","",INDEX(helper!$D$3:$D3996,MOD(ROW()-2,COUNTA(helper!$D$3:$D3996))+1))</f>
        <v/>
      </c>
      <c r="D3611" s="3" t="str">
        <f t="array" ref="D3611">IF(B3611="","",INDEX(helper!$E$3:$E3996,MOD(ROW()-2,COUNTA(helper!$D$3:$D3996))+1))</f>
        <v/>
      </c>
      <c r="E3611" s="3" t="str">
        <f t="array" ref="E3611">IF(B3611="","",INDEX(helper!$F$3:$F3996,MOD(ROW()-2,COUNTA(helper!$D$3:$D3996))+1))</f>
        <v/>
      </c>
      <c r="F3611" s="3" t="str">
        <f>IF(B3611="","",SUMIFS('inventory ledger'!$H:$H,'inventory ledger'!$C:$C,C3611,'inventory ledger'!$D:$D,D3611,'inventory ledger'!$E:$E,E3611,'inventory ledger'!$A:$A,"&lt;="&amp;B3611+TIME(23,59,59))-SUMIFS('inventory ledger'!$I:$I,'inventory ledger'!$C:$C,C3611,'inventory ledger'!$D:$D,D3611,'inventory ledger'!$E:$E,E3611,'inventory ledger'!$A:$A,"&lt;="&amp;B3611+TIME(23,59,59)))</f>
        <v/>
      </c>
      <c r="G3611" s="3">
        <f>IFERROR(__xludf.DUMMYFUNCTION("IF(F3611&lt;=0,0,IFERROR(ROUNDUP(F3611/INDEX(FILTER('warehouse config'!$D:$D,('warehouse config'!$B:$B=C3611)*('warehouse config'!$C:$C=D3611)*('warehouse config'!$G:$G&lt;=B3611)*(('warehouse config'!$H:$H&gt;=B3611)+ISBLANK('warehouse config'!$H:$H))),1)),0))"),0.0)</f>
        <v>0</v>
      </c>
      <c r="H3611" s="3">
        <f>IFERROR(__xludf.DUMMYFUNCTION("IFERROR(INDEX(FILTER('cost master'!$E:$E,('cost master'!$B:$B=C3611)*('cost master'!$D:$D=""Storage cost per pallet / week"")*('cost master'!$G:$G&lt;=B3611)*(('cost master'!$H:$H&gt;=B3611)+ISBLANK('cost master'!$H:$H))),1),0)"),0.0)</f>
        <v>0</v>
      </c>
      <c r="I3611" s="3">
        <f t="shared" si="4"/>
        <v>0</v>
      </c>
      <c r="J3611" s="27">
        <f t="shared" si="5"/>
        <v>693947</v>
      </c>
      <c r="K3611" s="27">
        <f t="shared" si="6"/>
        <v>693977</v>
      </c>
    </row>
    <row r="3612" hidden="1">
      <c r="A3612" s="3" t="str">
        <f t="shared" si="3"/>
        <v/>
      </c>
      <c r="B3612" s="2" t="str">
        <f t="array" ref="B3612">INDEX(helper!$A$3:$A3996,ROUNDUP((ROW()-1)/COUNTA(helper!$D$3:$D3996),0))</f>
        <v/>
      </c>
      <c r="C3612" s="5" t="str">
        <f t="array" ref="C3612">IF(B3612="","",INDEX(helper!$D$3:$D3996,MOD(ROW()-2,COUNTA(helper!$D$3:$D3996))+1))</f>
        <v/>
      </c>
      <c r="D3612" s="3" t="str">
        <f t="array" ref="D3612">IF(B3612="","",INDEX(helper!$E$3:$E3996,MOD(ROW()-2,COUNTA(helper!$D$3:$D3996))+1))</f>
        <v/>
      </c>
      <c r="E3612" s="3" t="str">
        <f t="array" ref="E3612">IF(B3612="","",INDEX(helper!$F$3:$F3996,MOD(ROW()-2,COUNTA(helper!$D$3:$D3996))+1))</f>
        <v/>
      </c>
      <c r="F3612" s="3" t="str">
        <f>IF(B3612="","",SUMIFS('inventory ledger'!$H:$H,'inventory ledger'!$C:$C,C3612,'inventory ledger'!$D:$D,D3612,'inventory ledger'!$E:$E,E3612,'inventory ledger'!$A:$A,"&lt;="&amp;B3612+TIME(23,59,59))-SUMIFS('inventory ledger'!$I:$I,'inventory ledger'!$C:$C,C3612,'inventory ledger'!$D:$D,D3612,'inventory ledger'!$E:$E,E3612,'inventory ledger'!$A:$A,"&lt;="&amp;B3612+TIME(23,59,59)))</f>
        <v/>
      </c>
      <c r="G3612" s="3">
        <f>IFERROR(__xludf.DUMMYFUNCTION("IF(F3612&lt;=0,0,IFERROR(ROUNDUP(F3612/INDEX(FILTER('warehouse config'!$D:$D,('warehouse config'!$B:$B=C3612)*('warehouse config'!$C:$C=D3612)*('warehouse config'!$G:$G&lt;=B3612)*(('warehouse config'!$H:$H&gt;=B3612)+ISBLANK('warehouse config'!$H:$H))),1)),0))"),0.0)</f>
        <v>0</v>
      </c>
      <c r="H3612" s="3">
        <f>IFERROR(__xludf.DUMMYFUNCTION("IFERROR(INDEX(FILTER('cost master'!$E:$E,('cost master'!$B:$B=C3612)*('cost master'!$D:$D=""Storage cost per pallet / week"")*('cost master'!$G:$G&lt;=B3612)*(('cost master'!$H:$H&gt;=B3612)+ISBLANK('cost master'!$H:$H))),1),0)"),0.0)</f>
        <v>0</v>
      </c>
      <c r="I3612" s="3">
        <f t="shared" si="4"/>
        <v>0</v>
      </c>
      <c r="J3612" s="27">
        <f t="shared" si="5"/>
        <v>693947</v>
      </c>
      <c r="K3612" s="27">
        <f t="shared" si="6"/>
        <v>693977</v>
      </c>
    </row>
    <row r="3613" hidden="1">
      <c r="A3613" s="3" t="str">
        <f t="shared" si="3"/>
        <v/>
      </c>
      <c r="B3613" s="2" t="str">
        <f t="array" ref="B3613">INDEX(helper!$A$3:$A3996,ROUNDUP((ROW()-1)/COUNTA(helper!$D$3:$D3996),0))</f>
        <v/>
      </c>
      <c r="C3613" s="5" t="str">
        <f t="array" ref="C3613">IF(B3613="","",INDEX(helper!$D$3:$D3996,MOD(ROW()-2,COUNTA(helper!$D$3:$D3996))+1))</f>
        <v/>
      </c>
      <c r="D3613" s="3" t="str">
        <f t="array" ref="D3613">IF(B3613="","",INDEX(helper!$E$3:$E3996,MOD(ROW()-2,COUNTA(helper!$D$3:$D3996))+1))</f>
        <v/>
      </c>
      <c r="E3613" s="3" t="str">
        <f t="array" ref="E3613">IF(B3613="","",INDEX(helper!$F$3:$F3996,MOD(ROW()-2,COUNTA(helper!$D$3:$D3996))+1))</f>
        <v/>
      </c>
      <c r="F3613" s="3" t="str">
        <f>IF(B3613="","",SUMIFS('inventory ledger'!$H:$H,'inventory ledger'!$C:$C,C3613,'inventory ledger'!$D:$D,D3613,'inventory ledger'!$E:$E,E3613,'inventory ledger'!$A:$A,"&lt;="&amp;B3613+TIME(23,59,59))-SUMIFS('inventory ledger'!$I:$I,'inventory ledger'!$C:$C,C3613,'inventory ledger'!$D:$D,D3613,'inventory ledger'!$E:$E,E3613,'inventory ledger'!$A:$A,"&lt;="&amp;B3613+TIME(23,59,59)))</f>
        <v/>
      </c>
      <c r="G3613" s="3">
        <f>IFERROR(__xludf.DUMMYFUNCTION("IF(F3613&lt;=0,0,IFERROR(ROUNDUP(F3613/INDEX(FILTER('warehouse config'!$D:$D,('warehouse config'!$B:$B=C3613)*('warehouse config'!$C:$C=D3613)*('warehouse config'!$G:$G&lt;=B3613)*(('warehouse config'!$H:$H&gt;=B3613)+ISBLANK('warehouse config'!$H:$H))),1)),0))"),0.0)</f>
        <v>0</v>
      </c>
      <c r="H3613" s="3">
        <f>IFERROR(__xludf.DUMMYFUNCTION("IFERROR(INDEX(FILTER('cost master'!$E:$E,('cost master'!$B:$B=C3613)*('cost master'!$D:$D=""Storage cost per pallet / week"")*('cost master'!$G:$G&lt;=B3613)*(('cost master'!$H:$H&gt;=B3613)+ISBLANK('cost master'!$H:$H))),1),0)"),0.0)</f>
        <v>0</v>
      </c>
      <c r="I3613" s="3">
        <f t="shared" si="4"/>
        <v>0</v>
      </c>
      <c r="J3613" s="27">
        <f t="shared" si="5"/>
        <v>693947</v>
      </c>
      <c r="K3613" s="27">
        <f t="shared" si="6"/>
        <v>693977</v>
      </c>
    </row>
    <row r="3614" hidden="1">
      <c r="A3614" s="3" t="str">
        <f t="shared" si="3"/>
        <v/>
      </c>
      <c r="B3614" s="2" t="str">
        <f t="array" ref="B3614">INDEX(helper!$A$3:$A3996,ROUNDUP((ROW()-1)/COUNTA(helper!$D$3:$D3996),0))</f>
        <v/>
      </c>
      <c r="C3614" s="5" t="str">
        <f t="array" ref="C3614">IF(B3614="","",INDEX(helper!$D$3:$D3996,MOD(ROW()-2,COUNTA(helper!$D$3:$D3996))+1))</f>
        <v/>
      </c>
      <c r="D3614" s="3" t="str">
        <f t="array" ref="D3614">IF(B3614="","",INDEX(helper!$E$3:$E3996,MOD(ROW()-2,COUNTA(helper!$D$3:$D3996))+1))</f>
        <v/>
      </c>
      <c r="E3614" s="3" t="str">
        <f t="array" ref="E3614">IF(B3614="","",INDEX(helper!$F$3:$F3996,MOD(ROW()-2,COUNTA(helper!$D$3:$D3996))+1))</f>
        <v/>
      </c>
      <c r="F3614" s="3" t="str">
        <f>IF(B3614="","",SUMIFS('inventory ledger'!$H:$H,'inventory ledger'!$C:$C,C3614,'inventory ledger'!$D:$D,D3614,'inventory ledger'!$E:$E,E3614,'inventory ledger'!$A:$A,"&lt;="&amp;B3614+TIME(23,59,59))-SUMIFS('inventory ledger'!$I:$I,'inventory ledger'!$C:$C,C3614,'inventory ledger'!$D:$D,D3614,'inventory ledger'!$E:$E,E3614,'inventory ledger'!$A:$A,"&lt;="&amp;B3614+TIME(23,59,59)))</f>
        <v/>
      </c>
      <c r="G3614" s="3">
        <f>IFERROR(__xludf.DUMMYFUNCTION("IF(F3614&lt;=0,0,IFERROR(ROUNDUP(F3614/INDEX(FILTER('warehouse config'!$D:$D,('warehouse config'!$B:$B=C3614)*('warehouse config'!$C:$C=D3614)*('warehouse config'!$G:$G&lt;=B3614)*(('warehouse config'!$H:$H&gt;=B3614)+ISBLANK('warehouse config'!$H:$H))),1)),0))"),0.0)</f>
        <v>0</v>
      </c>
      <c r="H3614" s="3">
        <f>IFERROR(__xludf.DUMMYFUNCTION("IFERROR(INDEX(FILTER('cost master'!$E:$E,('cost master'!$B:$B=C3614)*('cost master'!$D:$D=""Storage cost per pallet / week"")*('cost master'!$G:$G&lt;=B3614)*(('cost master'!$H:$H&gt;=B3614)+ISBLANK('cost master'!$H:$H))),1),0)"),0.0)</f>
        <v>0</v>
      </c>
      <c r="I3614" s="3">
        <f t="shared" si="4"/>
        <v>0</v>
      </c>
      <c r="J3614" s="27">
        <f t="shared" si="5"/>
        <v>693947</v>
      </c>
      <c r="K3614" s="27">
        <f t="shared" si="6"/>
        <v>693977</v>
      </c>
    </row>
    <row r="3615" hidden="1">
      <c r="A3615" s="3" t="str">
        <f t="shared" si="3"/>
        <v/>
      </c>
      <c r="B3615" s="2" t="str">
        <f t="array" ref="B3615">INDEX(helper!$A$3:$A3996,ROUNDUP((ROW()-1)/COUNTA(helper!$D$3:$D3996),0))</f>
        <v/>
      </c>
      <c r="C3615" s="5" t="str">
        <f t="array" ref="C3615">IF(B3615="","",INDEX(helper!$D$3:$D3996,MOD(ROW()-2,COUNTA(helper!$D$3:$D3996))+1))</f>
        <v/>
      </c>
      <c r="D3615" s="3" t="str">
        <f t="array" ref="D3615">IF(B3615="","",INDEX(helper!$E$3:$E3996,MOD(ROW()-2,COUNTA(helper!$D$3:$D3996))+1))</f>
        <v/>
      </c>
      <c r="E3615" s="3" t="str">
        <f t="array" ref="E3615">IF(B3615="","",INDEX(helper!$F$3:$F3996,MOD(ROW()-2,COUNTA(helper!$D$3:$D3996))+1))</f>
        <v/>
      </c>
      <c r="F3615" s="3" t="str">
        <f>IF(B3615="","",SUMIFS('inventory ledger'!$H:$H,'inventory ledger'!$C:$C,C3615,'inventory ledger'!$D:$D,D3615,'inventory ledger'!$E:$E,E3615,'inventory ledger'!$A:$A,"&lt;="&amp;B3615+TIME(23,59,59))-SUMIFS('inventory ledger'!$I:$I,'inventory ledger'!$C:$C,C3615,'inventory ledger'!$D:$D,D3615,'inventory ledger'!$E:$E,E3615,'inventory ledger'!$A:$A,"&lt;="&amp;B3615+TIME(23,59,59)))</f>
        <v/>
      </c>
      <c r="G3615" s="3">
        <f>IFERROR(__xludf.DUMMYFUNCTION("IF(F3615&lt;=0,0,IFERROR(ROUNDUP(F3615/INDEX(FILTER('warehouse config'!$D:$D,('warehouse config'!$B:$B=C3615)*('warehouse config'!$C:$C=D3615)*('warehouse config'!$G:$G&lt;=B3615)*(('warehouse config'!$H:$H&gt;=B3615)+ISBLANK('warehouse config'!$H:$H))),1)),0))"),0.0)</f>
        <v>0</v>
      </c>
      <c r="H3615" s="3">
        <f>IFERROR(__xludf.DUMMYFUNCTION("IFERROR(INDEX(FILTER('cost master'!$E:$E,('cost master'!$B:$B=C3615)*('cost master'!$D:$D=""Storage cost per pallet / week"")*('cost master'!$G:$G&lt;=B3615)*(('cost master'!$H:$H&gt;=B3615)+ISBLANK('cost master'!$H:$H))),1),0)"),0.0)</f>
        <v>0</v>
      </c>
      <c r="I3615" s="3">
        <f t="shared" si="4"/>
        <v>0</v>
      </c>
      <c r="J3615" s="27">
        <f t="shared" si="5"/>
        <v>693947</v>
      </c>
      <c r="K3615" s="27">
        <f t="shared" si="6"/>
        <v>693977</v>
      </c>
    </row>
    <row r="3616" hidden="1">
      <c r="A3616" s="3" t="str">
        <f t="shared" si="3"/>
        <v/>
      </c>
      <c r="B3616" s="2" t="str">
        <f t="array" ref="B3616">INDEX(helper!$A$3:$A3996,ROUNDUP((ROW()-1)/COUNTA(helper!$D$3:$D3996),0))</f>
        <v/>
      </c>
      <c r="C3616" s="5" t="str">
        <f t="array" ref="C3616">IF(B3616="","",INDEX(helper!$D$3:$D3996,MOD(ROW()-2,COUNTA(helper!$D$3:$D3996))+1))</f>
        <v/>
      </c>
      <c r="D3616" s="3" t="str">
        <f t="array" ref="D3616">IF(B3616="","",INDEX(helper!$E$3:$E3996,MOD(ROW()-2,COUNTA(helper!$D$3:$D3996))+1))</f>
        <v/>
      </c>
      <c r="E3616" s="3" t="str">
        <f t="array" ref="E3616">IF(B3616="","",INDEX(helper!$F$3:$F3996,MOD(ROW()-2,COUNTA(helper!$D$3:$D3996))+1))</f>
        <v/>
      </c>
      <c r="F3616" s="3" t="str">
        <f>IF(B3616="","",SUMIFS('inventory ledger'!$H:$H,'inventory ledger'!$C:$C,C3616,'inventory ledger'!$D:$D,D3616,'inventory ledger'!$E:$E,E3616,'inventory ledger'!$A:$A,"&lt;="&amp;B3616+TIME(23,59,59))-SUMIFS('inventory ledger'!$I:$I,'inventory ledger'!$C:$C,C3616,'inventory ledger'!$D:$D,D3616,'inventory ledger'!$E:$E,E3616,'inventory ledger'!$A:$A,"&lt;="&amp;B3616+TIME(23,59,59)))</f>
        <v/>
      </c>
      <c r="G3616" s="3">
        <f>IFERROR(__xludf.DUMMYFUNCTION("IF(F3616&lt;=0,0,IFERROR(ROUNDUP(F3616/INDEX(FILTER('warehouse config'!$D:$D,('warehouse config'!$B:$B=C3616)*('warehouse config'!$C:$C=D3616)*('warehouse config'!$G:$G&lt;=B3616)*(('warehouse config'!$H:$H&gt;=B3616)+ISBLANK('warehouse config'!$H:$H))),1)),0))"),0.0)</f>
        <v>0</v>
      </c>
      <c r="H3616" s="3">
        <f>IFERROR(__xludf.DUMMYFUNCTION("IFERROR(INDEX(FILTER('cost master'!$E:$E,('cost master'!$B:$B=C3616)*('cost master'!$D:$D=""Storage cost per pallet / week"")*('cost master'!$G:$G&lt;=B3616)*(('cost master'!$H:$H&gt;=B3616)+ISBLANK('cost master'!$H:$H))),1),0)"),0.0)</f>
        <v>0</v>
      </c>
      <c r="I3616" s="3">
        <f t="shared" si="4"/>
        <v>0</v>
      </c>
      <c r="J3616" s="27">
        <f t="shared" si="5"/>
        <v>693947</v>
      </c>
      <c r="K3616" s="27">
        <f t="shared" si="6"/>
        <v>693977</v>
      </c>
    </row>
    <row r="3617" hidden="1">
      <c r="A3617" s="3" t="str">
        <f t="shared" si="3"/>
        <v/>
      </c>
      <c r="B3617" s="2" t="str">
        <f t="array" ref="B3617">INDEX(helper!$A$3:$A3996,ROUNDUP((ROW()-1)/COUNTA(helper!$D$3:$D3996),0))</f>
        <v/>
      </c>
      <c r="C3617" s="5" t="str">
        <f t="array" ref="C3617">IF(B3617="","",INDEX(helper!$D$3:$D3996,MOD(ROW()-2,COUNTA(helper!$D$3:$D3996))+1))</f>
        <v/>
      </c>
      <c r="D3617" s="3" t="str">
        <f t="array" ref="D3617">IF(B3617="","",INDEX(helper!$E$3:$E3996,MOD(ROW()-2,COUNTA(helper!$D$3:$D3996))+1))</f>
        <v/>
      </c>
      <c r="E3617" s="3" t="str">
        <f t="array" ref="E3617">IF(B3617="","",INDEX(helper!$F$3:$F3996,MOD(ROW()-2,COUNTA(helper!$D$3:$D3996))+1))</f>
        <v/>
      </c>
      <c r="F3617" s="3" t="str">
        <f>IF(B3617="","",SUMIFS('inventory ledger'!$H:$H,'inventory ledger'!$C:$C,C3617,'inventory ledger'!$D:$D,D3617,'inventory ledger'!$E:$E,E3617,'inventory ledger'!$A:$A,"&lt;="&amp;B3617+TIME(23,59,59))-SUMIFS('inventory ledger'!$I:$I,'inventory ledger'!$C:$C,C3617,'inventory ledger'!$D:$D,D3617,'inventory ledger'!$E:$E,E3617,'inventory ledger'!$A:$A,"&lt;="&amp;B3617+TIME(23,59,59)))</f>
        <v/>
      </c>
      <c r="G3617" s="3">
        <f>IFERROR(__xludf.DUMMYFUNCTION("IF(F3617&lt;=0,0,IFERROR(ROUNDUP(F3617/INDEX(FILTER('warehouse config'!$D:$D,('warehouse config'!$B:$B=C3617)*('warehouse config'!$C:$C=D3617)*('warehouse config'!$G:$G&lt;=B3617)*(('warehouse config'!$H:$H&gt;=B3617)+ISBLANK('warehouse config'!$H:$H))),1)),0))"),0.0)</f>
        <v>0</v>
      </c>
      <c r="H3617" s="3">
        <f>IFERROR(__xludf.DUMMYFUNCTION("IFERROR(INDEX(FILTER('cost master'!$E:$E,('cost master'!$B:$B=C3617)*('cost master'!$D:$D=""Storage cost per pallet / week"")*('cost master'!$G:$G&lt;=B3617)*(('cost master'!$H:$H&gt;=B3617)+ISBLANK('cost master'!$H:$H))),1),0)"),0.0)</f>
        <v>0</v>
      </c>
      <c r="I3617" s="3">
        <f t="shared" si="4"/>
        <v>0</v>
      </c>
      <c r="J3617" s="27">
        <f t="shared" si="5"/>
        <v>693947</v>
      </c>
      <c r="K3617" s="27">
        <f t="shared" si="6"/>
        <v>693977</v>
      </c>
    </row>
    <row r="3618" hidden="1">
      <c r="A3618" s="3" t="str">
        <f t="shared" si="3"/>
        <v/>
      </c>
      <c r="B3618" s="2" t="str">
        <f t="array" ref="B3618">INDEX(helper!$A$3:$A3996,ROUNDUP((ROW()-1)/COUNTA(helper!$D$3:$D3996),0))</f>
        <v/>
      </c>
      <c r="C3618" s="5" t="str">
        <f t="array" ref="C3618">IF(B3618="","",INDEX(helper!$D$3:$D3996,MOD(ROW()-2,COUNTA(helper!$D$3:$D3996))+1))</f>
        <v/>
      </c>
      <c r="D3618" s="3" t="str">
        <f t="array" ref="D3618">IF(B3618="","",INDEX(helper!$E$3:$E3996,MOD(ROW()-2,COUNTA(helper!$D$3:$D3996))+1))</f>
        <v/>
      </c>
      <c r="E3618" s="3" t="str">
        <f t="array" ref="E3618">IF(B3618="","",INDEX(helper!$F$3:$F3996,MOD(ROW()-2,COUNTA(helper!$D$3:$D3996))+1))</f>
        <v/>
      </c>
      <c r="F3618" s="3" t="str">
        <f>IF(B3618="","",SUMIFS('inventory ledger'!$H:$H,'inventory ledger'!$C:$C,C3618,'inventory ledger'!$D:$D,D3618,'inventory ledger'!$E:$E,E3618,'inventory ledger'!$A:$A,"&lt;="&amp;B3618+TIME(23,59,59))-SUMIFS('inventory ledger'!$I:$I,'inventory ledger'!$C:$C,C3618,'inventory ledger'!$D:$D,D3618,'inventory ledger'!$E:$E,E3618,'inventory ledger'!$A:$A,"&lt;="&amp;B3618+TIME(23,59,59)))</f>
        <v/>
      </c>
      <c r="G3618" s="3">
        <f>IFERROR(__xludf.DUMMYFUNCTION("IF(F3618&lt;=0,0,IFERROR(ROUNDUP(F3618/INDEX(FILTER('warehouse config'!$D:$D,('warehouse config'!$B:$B=C3618)*('warehouse config'!$C:$C=D3618)*('warehouse config'!$G:$G&lt;=B3618)*(('warehouse config'!$H:$H&gt;=B3618)+ISBLANK('warehouse config'!$H:$H))),1)),0))"),0.0)</f>
        <v>0</v>
      </c>
      <c r="H3618" s="3">
        <f>IFERROR(__xludf.DUMMYFUNCTION("IFERROR(INDEX(FILTER('cost master'!$E:$E,('cost master'!$B:$B=C3618)*('cost master'!$D:$D=""Storage cost per pallet / week"")*('cost master'!$G:$G&lt;=B3618)*(('cost master'!$H:$H&gt;=B3618)+ISBLANK('cost master'!$H:$H))),1),0)"),0.0)</f>
        <v>0</v>
      </c>
      <c r="I3618" s="3">
        <f t="shared" si="4"/>
        <v>0</v>
      </c>
      <c r="J3618" s="27">
        <f t="shared" si="5"/>
        <v>693947</v>
      </c>
      <c r="K3618" s="27">
        <f t="shared" si="6"/>
        <v>693977</v>
      </c>
    </row>
    <row r="3619" hidden="1">
      <c r="A3619" s="3" t="str">
        <f t="shared" si="3"/>
        <v/>
      </c>
      <c r="B3619" s="2" t="str">
        <f t="array" ref="B3619">INDEX(helper!$A$3:$A3996,ROUNDUP((ROW()-1)/COUNTA(helper!$D$3:$D3996),0))</f>
        <v/>
      </c>
      <c r="C3619" s="5" t="str">
        <f t="array" ref="C3619">IF(B3619="","",INDEX(helper!$D$3:$D3996,MOD(ROW()-2,COUNTA(helper!$D$3:$D3996))+1))</f>
        <v/>
      </c>
      <c r="D3619" s="3" t="str">
        <f t="array" ref="D3619">IF(B3619="","",INDEX(helper!$E$3:$E3996,MOD(ROW()-2,COUNTA(helper!$D$3:$D3996))+1))</f>
        <v/>
      </c>
      <c r="E3619" s="3" t="str">
        <f t="array" ref="E3619">IF(B3619="","",INDEX(helper!$F$3:$F3996,MOD(ROW()-2,COUNTA(helper!$D$3:$D3996))+1))</f>
        <v/>
      </c>
      <c r="F3619" s="3" t="str">
        <f>IF(B3619="","",SUMIFS('inventory ledger'!$H:$H,'inventory ledger'!$C:$C,C3619,'inventory ledger'!$D:$D,D3619,'inventory ledger'!$E:$E,E3619,'inventory ledger'!$A:$A,"&lt;="&amp;B3619+TIME(23,59,59))-SUMIFS('inventory ledger'!$I:$I,'inventory ledger'!$C:$C,C3619,'inventory ledger'!$D:$D,D3619,'inventory ledger'!$E:$E,E3619,'inventory ledger'!$A:$A,"&lt;="&amp;B3619+TIME(23,59,59)))</f>
        <v/>
      </c>
      <c r="G3619" s="3">
        <f>IFERROR(__xludf.DUMMYFUNCTION("IF(F3619&lt;=0,0,IFERROR(ROUNDUP(F3619/INDEX(FILTER('warehouse config'!$D:$D,('warehouse config'!$B:$B=C3619)*('warehouse config'!$C:$C=D3619)*('warehouse config'!$G:$G&lt;=B3619)*(('warehouse config'!$H:$H&gt;=B3619)+ISBLANK('warehouse config'!$H:$H))),1)),0))"),0.0)</f>
        <v>0</v>
      </c>
      <c r="H3619" s="3">
        <f>IFERROR(__xludf.DUMMYFUNCTION("IFERROR(INDEX(FILTER('cost master'!$E:$E,('cost master'!$B:$B=C3619)*('cost master'!$D:$D=""Storage cost per pallet / week"")*('cost master'!$G:$G&lt;=B3619)*(('cost master'!$H:$H&gt;=B3619)+ISBLANK('cost master'!$H:$H))),1),0)"),0.0)</f>
        <v>0</v>
      </c>
      <c r="I3619" s="3">
        <f t="shared" si="4"/>
        <v>0</v>
      </c>
      <c r="J3619" s="27">
        <f t="shared" si="5"/>
        <v>693947</v>
      </c>
      <c r="K3619" s="27">
        <f t="shared" si="6"/>
        <v>693977</v>
      </c>
    </row>
    <row r="3620" hidden="1">
      <c r="A3620" s="3" t="str">
        <f t="shared" si="3"/>
        <v/>
      </c>
      <c r="B3620" s="2" t="str">
        <f t="array" ref="B3620">INDEX(helper!$A$3:$A3996,ROUNDUP((ROW()-1)/COUNTA(helper!$D$3:$D3996),0))</f>
        <v/>
      </c>
      <c r="C3620" s="5" t="str">
        <f t="array" ref="C3620">IF(B3620="","",INDEX(helper!$D$3:$D3996,MOD(ROW()-2,COUNTA(helper!$D$3:$D3996))+1))</f>
        <v/>
      </c>
      <c r="D3620" s="3" t="str">
        <f t="array" ref="D3620">IF(B3620="","",INDEX(helper!$E$3:$E3996,MOD(ROW()-2,COUNTA(helper!$D$3:$D3996))+1))</f>
        <v/>
      </c>
      <c r="E3620" s="3" t="str">
        <f t="array" ref="E3620">IF(B3620="","",INDEX(helper!$F$3:$F3996,MOD(ROW()-2,COUNTA(helper!$D$3:$D3996))+1))</f>
        <v/>
      </c>
      <c r="F3620" s="3" t="str">
        <f>IF(B3620="","",SUMIFS('inventory ledger'!$H:$H,'inventory ledger'!$C:$C,C3620,'inventory ledger'!$D:$D,D3620,'inventory ledger'!$E:$E,E3620,'inventory ledger'!$A:$A,"&lt;="&amp;B3620+TIME(23,59,59))-SUMIFS('inventory ledger'!$I:$I,'inventory ledger'!$C:$C,C3620,'inventory ledger'!$D:$D,D3620,'inventory ledger'!$E:$E,E3620,'inventory ledger'!$A:$A,"&lt;="&amp;B3620+TIME(23,59,59)))</f>
        <v/>
      </c>
      <c r="G3620" s="3">
        <f>IFERROR(__xludf.DUMMYFUNCTION("IF(F3620&lt;=0,0,IFERROR(ROUNDUP(F3620/INDEX(FILTER('warehouse config'!$D:$D,('warehouse config'!$B:$B=C3620)*('warehouse config'!$C:$C=D3620)*('warehouse config'!$G:$G&lt;=B3620)*(('warehouse config'!$H:$H&gt;=B3620)+ISBLANK('warehouse config'!$H:$H))),1)),0))"),0.0)</f>
        <v>0</v>
      </c>
      <c r="H3620" s="3">
        <f>IFERROR(__xludf.DUMMYFUNCTION("IFERROR(INDEX(FILTER('cost master'!$E:$E,('cost master'!$B:$B=C3620)*('cost master'!$D:$D=""Storage cost per pallet / week"")*('cost master'!$G:$G&lt;=B3620)*(('cost master'!$H:$H&gt;=B3620)+ISBLANK('cost master'!$H:$H))),1),0)"),0.0)</f>
        <v>0</v>
      </c>
      <c r="I3620" s="3">
        <f t="shared" si="4"/>
        <v>0</v>
      </c>
      <c r="J3620" s="27">
        <f t="shared" si="5"/>
        <v>693947</v>
      </c>
      <c r="K3620" s="27">
        <f t="shared" si="6"/>
        <v>693977</v>
      </c>
    </row>
    <row r="3621" hidden="1">
      <c r="A3621" s="3" t="str">
        <f t="shared" si="3"/>
        <v/>
      </c>
      <c r="B3621" s="2" t="str">
        <f t="array" ref="B3621">INDEX(helper!$A$3:$A3996,ROUNDUP((ROW()-1)/COUNTA(helper!$D$3:$D3996),0))</f>
        <v/>
      </c>
      <c r="C3621" s="5" t="str">
        <f t="array" ref="C3621">IF(B3621="","",INDEX(helper!$D$3:$D3996,MOD(ROW()-2,COUNTA(helper!$D$3:$D3996))+1))</f>
        <v/>
      </c>
      <c r="D3621" s="3" t="str">
        <f t="array" ref="D3621">IF(B3621="","",INDEX(helper!$E$3:$E3996,MOD(ROW()-2,COUNTA(helper!$D$3:$D3996))+1))</f>
        <v/>
      </c>
      <c r="E3621" s="3" t="str">
        <f t="array" ref="E3621">IF(B3621="","",INDEX(helper!$F$3:$F3996,MOD(ROW()-2,COUNTA(helper!$D$3:$D3996))+1))</f>
        <v/>
      </c>
      <c r="F3621" s="3" t="str">
        <f>IF(B3621="","",SUMIFS('inventory ledger'!$H:$H,'inventory ledger'!$C:$C,C3621,'inventory ledger'!$D:$D,D3621,'inventory ledger'!$E:$E,E3621,'inventory ledger'!$A:$A,"&lt;="&amp;B3621+TIME(23,59,59))-SUMIFS('inventory ledger'!$I:$I,'inventory ledger'!$C:$C,C3621,'inventory ledger'!$D:$D,D3621,'inventory ledger'!$E:$E,E3621,'inventory ledger'!$A:$A,"&lt;="&amp;B3621+TIME(23,59,59)))</f>
        <v/>
      </c>
      <c r="G3621" s="3">
        <f>IFERROR(__xludf.DUMMYFUNCTION("IF(F3621&lt;=0,0,IFERROR(ROUNDUP(F3621/INDEX(FILTER('warehouse config'!$D:$D,('warehouse config'!$B:$B=C3621)*('warehouse config'!$C:$C=D3621)*('warehouse config'!$G:$G&lt;=B3621)*(('warehouse config'!$H:$H&gt;=B3621)+ISBLANK('warehouse config'!$H:$H))),1)),0))"),0.0)</f>
        <v>0</v>
      </c>
      <c r="H3621" s="3">
        <f>IFERROR(__xludf.DUMMYFUNCTION("IFERROR(INDEX(FILTER('cost master'!$E:$E,('cost master'!$B:$B=C3621)*('cost master'!$D:$D=""Storage cost per pallet / week"")*('cost master'!$G:$G&lt;=B3621)*(('cost master'!$H:$H&gt;=B3621)+ISBLANK('cost master'!$H:$H))),1),0)"),0.0)</f>
        <v>0</v>
      </c>
      <c r="I3621" s="3">
        <f t="shared" si="4"/>
        <v>0</v>
      </c>
      <c r="J3621" s="27">
        <f t="shared" si="5"/>
        <v>693947</v>
      </c>
      <c r="K3621" s="27">
        <f t="shared" si="6"/>
        <v>693977</v>
      </c>
    </row>
    <row r="3622" hidden="1">
      <c r="A3622" s="3" t="str">
        <f t="shared" si="3"/>
        <v/>
      </c>
      <c r="B3622" s="2" t="str">
        <f t="array" ref="B3622">INDEX(helper!$A$3:$A3996,ROUNDUP((ROW()-1)/COUNTA(helper!$D$3:$D3996),0))</f>
        <v/>
      </c>
      <c r="C3622" s="5" t="str">
        <f t="array" ref="C3622">IF(B3622="","",INDEX(helper!$D$3:$D3996,MOD(ROW()-2,COUNTA(helper!$D$3:$D3996))+1))</f>
        <v/>
      </c>
      <c r="D3622" s="3" t="str">
        <f t="array" ref="D3622">IF(B3622="","",INDEX(helper!$E$3:$E3996,MOD(ROW()-2,COUNTA(helper!$D$3:$D3996))+1))</f>
        <v/>
      </c>
      <c r="E3622" s="3" t="str">
        <f t="array" ref="E3622">IF(B3622="","",INDEX(helper!$F$3:$F3996,MOD(ROW()-2,COUNTA(helper!$D$3:$D3996))+1))</f>
        <v/>
      </c>
      <c r="F3622" s="3" t="str">
        <f>IF(B3622="","",SUMIFS('inventory ledger'!$H:$H,'inventory ledger'!$C:$C,C3622,'inventory ledger'!$D:$D,D3622,'inventory ledger'!$E:$E,E3622,'inventory ledger'!$A:$A,"&lt;="&amp;B3622+TIME(23,59,59))-SUMIFS('inventory ledger'!$I:$I,'inventory ledger'!$C:$C,C3622,'inventory ledger'!$D:$D,D3622,'inventory ledger'!$E:$E,E3622,'inventory ledger'!$A:$A,"&lt;="&amp;B3622+TIME(23,59,59)))</f>
        <v/>
      </c>
      <c r="G3622" s="3">
        <f>IFERROR(__xludf.DUMMYFUNCTION("IF(F3622&lt;=0,0,IFERROR(ROUNDUP(F3622/INDEX(FILTER('warehouse config'!$D:$D,('warehouse config'!$B:$B=C3622)*('warehouse config'!$C:$C=D3622)*('warehouse config'!$G:$G&lt;=B3622)*(('warehouse config'!$H:$H&gt;=B3622)+ISBLANK('warehouse config'!$H:$H))),1)),0))"),0.0)</f>
        <v>0</v>
      </c>
      <c r="H3622" s="3">
        <f>IFERROR(__xludf.DUMMYFUNCTION("IFERROR(INDEX(FILTER('cost master'!$E:$E,('cost master'!$B:$B=C3622)*('cost master'!$D:$D=""Storage cost per pallet / week"")*('cost master'!$G:$G&lt;=B3622)*(('cost master'!$H:$H&gt;=B3622)+ISBLANK('cost master'!$H:$H))),1),0)"),0.0)</f>
        <v>0</v>
      </c>
      <c r="I3622" s="3">
        <f t="shared" si="4"/>
        <v>0</v>
      </c>
      <c r="J3622" s="27">
        <f t="shared" si="5"/>
        <v>693947</v>
      </c>
      <c r="K3622" s="27">
        <f t="shared" si="6"/>
        <v>693977</v>
      </c>
    </row>
    <row r="3623" hidden="1">
      <c r="A3623" s="3" t="str">
        <f t="shared" si="3"/>
        <v/>
      </c>
      <c r="B3623" s="2" t="str">
        <f t="array" ref="B3623">INDEX(helper!$A$3:$A3996,ROUNDUP((ROW()-1)/COUNTA(helper!$D$3:$D3996),0))</f>
        <v/>
      </c>
      <c r="C3623" s="5" t="str">
        <f t="array" ref="C3623">IF(B3623="","",INDEX(helper!$D$3:$D3996,MOD(ROW()-2,COUNTA(helper!$D$3:$D3996))+1))</f>
        <v/>
      </c>
      <c r="D3623" s="3" t="str">
        <f t="array" ref="D3623">IF(B3623="","",INDEX(helper!$E$3:$E3996,MOD(ROW()-2,COUNTA(helper!$D$3:$D3996))+1))</f>
        <v/>
      </c>
      <c r="E3623" s="3" t="str">
        <f t="array" ref="E3623">IF(B3623="","",INDEX(helper!$F$3:$F3996,MOD(ROW()-2,COUNTA(helper!$D$3:$D3996))+1))</f>
        <v/>
      </c>
      <c r="F3623" s="3" t="str">
        <f>IF(B3623="","",SUMIFS('inventory ledger'!$H:$H,'inventory ledger'!$C:$C,C3623,'inventory ledger'!$D:$D,D3623,'inventory ledger'!$E:$E,E3623,'inventory ledger'!$A:$A,"&lt;="&amp;B3623+TIME(23,59,59))-SUMIFS('inventory ledger'!$I:$I,'inventory ledger'!$C:$C,C3623,'inventory ledger'!$D:$D,D3623,'inventory ledger'!$E:$E,E3623,'inventory ledger'!$A:$A,"&lt;="&amp;B3623+TIME(23,59,59)))</f>
        <v/>
      </c>
      <c r="G3623" s="3">
        <f>IFERROR(__xludf.DUMMYFUNCTION("IF(F3623&lt;=0,0,IFERROR(ROUNDUP(F3623/INDEX(FILTER('warehouse config'!$D:$D,('warehouse config'!$B:$B=C3623)*('warehouse config'!$C:$C=D3623)*('warehouse config'!$G:$G&lt;=B3623)*(('warehouse config'!$H:$H&gt;=B3623)+ISBLANK('warehouse config'!$H:$H))),1)),0))"),0.0)</f>
        <v>0</v>
      </c>
      <c r="H3623" s="3">
        <f>IFERROR(__xludf.DUMMYFUNCTION("IFERROR(INDEX(FILTER('cost master'!$E:$E,('cost master'!$B:$B=C3623)*('cost master'!$D:$D=""Storage cost per pallet / week"")*('cost master'!$G:$G&lt;=B3623)*(('cost master'!$H:$H&gt;=B3623)+ISBLANK('cost master'!$H:$H))),1),0)"),0.0)</f>
        <v>0</v>
      </c>
      <c r="I3623" s="3">
        <f t="shared" si="4"/>
        <v>0</v>
      </c>
      <c r="J3623" s="27">
        <f t="shared" si="5"/>
        <v>693947</v>
      </c>
      <c r="K3623" s="27">
        <f t="shared" si="6"/>
        <v>693977</v>
      </c>
    </row>
    <row r="3624" hidden="1">
      <c r="A3624" s="3" t="str">
        <f t="shared" si="3"/>
        <v/>
      </c>
      <c r="B3624" s="2" t="str">
        <f t="array" ref="B3624">INDEX(helper!$A$3:$A3996,ROUNDUP((ROW()-1)/COUNTA(helper!$D$3:$D3996),0))</f>
        <v/>
      </c>
      <c r="C3624" s="5" t="str">
        <f t="array" ref="C3624">IF(B3624="","",INDEX(helper!$D$3:$D3996,MOD(ROW()-2,COUNTA(helper!$D$3:$D3996))+1))</f>
        <v/>
      </c>
      <c r="D3624" s="3" t="str">
        <f t="array" ref="D3624">IF(B3624="","",INDEX(helper!$E$3:$E3996,MOD(ROW()-2,COUNTA(helper!$D$3:$D3996))+1))</f>
        <v/>
      </c>
      <c r="E3624" s="3" t="str">
        <f t="array" ref="E3624">IF(B3624="","",INDEX(helper!$F$3:$F3996,MOD(ROW()-2,COUNTA(helper!$D$3:$D3996))+1))</f>
        <v/>
      </c>
      <c r="F3624" s="3" t="str">
        <f>IF(B3624="","",SUMIFS('inventory ledger'!$H:$H,'inventory ledger'!$C:$C,C3624,'inventory ledger'!$D:$D,D3624,'inventory ledger'!$E:$E,E3624,'inventory ledger'!$A:$A,"&lt;="&amp;B3624+TIME(23,59,59))-SUMIFS('inventory ledger'!$I:$I,'inventory ledger'!$C:$C,C3624,'inventory ledger'!$D:$D,D3624,'inventory ledger'!$E:$E,E3624,'inventory ledger'!$A:$A,"&lt;="&amp;B3624+TIME(23,59,59)))</f>
        <v/>
      </c>
      <c r="G3624" s="3">
        <f>IFERROR(__xludf.DUMMYFUNCTION("IF(F3624&lt;=0,0,IFERROR(ROUNDUP(F3624/INDEX(FILTER('warehouse config'!$D:$D,('warehouse config'!$B:$B=C3624)*('warehouse config'!$C:$C=D3624)*('warehouse config'!$G:$G&lt;=B3624)*(('warehouse config'!$H:$H&gt;=B3624)+ISBLANK('warehouse config'!$H:$H))),1)),0))"),0.0)</f>
        <v>0</v>
      </c>
      <c r="H3624" s="3">
        <f>IFERROR(__xludf.DUMMYFUNCTION("IFERROR(INDEX(FILTER('cost master'!$E:$E,('cost master'!$B:$B=C3624)*('cost master'!$D:$D=""Storage cost per pallet / week"")*('cost master'!$G:$G&lt;=B3624)*(('cost master'!$H:$H&gt;=B3624)+ISBLANK('cost master'!$H:$H))),1),0)"),0.0)</f>
        <v>0</v>
      </c>
      <c r="I3624" s="3">
        <f t="shared" si="4"/>
        <v>0</v>
      </c>
      <c r="J3624" s="27">
        <f t="shared" si="5"/>
        <v>693947</v>
      </c>
      <c r="K3624" s="27">
        <f t="shared" si="6"/>
        <v>693977</v>
      </c>
    </row>
    <row r="3625" hidden="1">
      <c r="A3625" s="3" t="str">
        <f t="shared" si="3"/>
        <v/>
      </c>
      <c r="B3625" s="2" t="str">
        <f t="array" ref="B3625">INDEX(helper!$A$3:$A3996,ROUNDUP((ROW()-1)/COUNTA(helper!$D$3:$D3996),0))</f>
        <v/>
      </c>
      <c r="C3625" s="5" t="str">
        <f t="array" ref="C3625">IF(B3625="","",INDEX(helper!$D$3:$D3996,MOD(ROW()-2,COUNTA(helper!$D$3:$D3996))+1))</f>
        <v/>
      </c>
      <c r="D3625" s="3" t="str">
        <f t="array" ref="D3625">IF(B3625="","",INDEX(helper!$E$3:$E3996,MOD(ROW()-2,COUNTA(helper!$D$3:$D3996))+1))</f>
        <v/>
      </c>
      <c r="E3625" s="3" t="str">
        <f t="array" ref="E3625">IF(B3625="","",INDEX(helper!$F$3:$F3996,MOD(ROW()-2,COUNTA(helper!$D$3:$D3996))+1))</f>
        <v/>
      </c>
      <c r="F3625" s="3" t="str">
        <f>IF(B3625="","",SUMIFS('inventory ledger'!$H:$H,'inventory ledger'!$C:$C,C3625,'inventory ledger'!$D:$D,D3625,'inventory ledger'!$E:$E,E3625,'inventory ledger'!$A:$A,"&lt;="&amp;B3625+TIME(23,59,59))-SUMIFS('inventory ledger'!$I:$I,'inventory ledger'!$C:$C,C3625,'inventory ledger'!$D:$D,D3625,'inventory ledger'!$E:$E,E3625,'inventory ledger'!$A:$A,"&lt;="&amp;B3625+TIME(23,59,59)))</f>
        <v/>
      </c>
      <c r="G3625" s="3">
        <f>IFERROR(__xludf.DUMMYFUNCTION("IF(F3625&lt;=0,0,IFERROR(ROUNDUP(F3625/INDEX(FILTER('warehouse config'!$D:$D,('warehouse config'!$B:$B=C3625)*('warehouse config'!$C:$C=D3625)*('warehouse config'!$G:$G&lt;=B3625)*(('warehouse config'!$H:$H&gt;=B3625)+ISBLANK('warehouse config'!$H:$H))),1)),0))"),0.0)</f>
        <v>0</v>
      </c>
      <c r="H3625" s="3">
        <f>IFERROR(__xludf.DUMMYFUNCTION("IFERROR(INDEX(FILTER('cost master'!$E:$E,('cost master'!$B:$B=C3625)*('cost master'!$D:$D=""Storage cost per pallet / week"")*('cost master'!$G:$G&lt;=B3625)*(('cost master'!$H:$H&gt;=B3625)+ISBLANK('cost master'!$H:$H))),1),0)"),0.0)</f>
        <v>0</v>
      </c>
      <c r="I3625" s="3">
        <f t="shared" si="4"/>
        <v>0</v>
      </c>
      <c r="J3625" s="27">
        <f t="shared" si="5"/>
        <v>693947</v>
      </c>
      <c r="K3625" s="27">
        <f t="shared" si="6"/>
        <v>693977</v>
      </c>
    </row>
    <row r="3626" hidden="1">
      <c r="A3626" s="3" t="str">
        <f t="shared" si="3"/>
        <v/>
      </c>
      <c r="B3626" s="2" t="str">
        <f t="array" ref="B3626">INDEX(helper!$A$3:$A3996,ROUNDUP((ROW()-1)/COUNTA(helper!$D$3:$D3996),0))</f>
        <v/>
      </c>
      <c r="C3626" s="5" t="str">
        <f t="array" ref="C3626">IF(B3626="","",INDEX(helper!$D$3:$D3996,MOD(ROW()-2,COUNTA(helper!$D$3:$D3996))+1))</f>
        <v/>
      </c>
      <c r="D3626" s="3" t="str">
        <f t="array" ref="D3626">IF(B3626="","",INDEX(helper!$E$3:$E3996,MOD(ROW()-2,COUNTA(helper!$D$3:$D3996))+1))</f>
        <v/>
      </c>
      <c r="E3626" s="3" t="str">
        <f t="array" ref="E3626">IF(B3626="","",INDEX(helper!$F$3:$F3996,MOD(ROW()-2,COUNTA(helper!$D$3:$D3996))+1))</f>
        <v/>
      </c>
      <c r="F3626" s="3" t="str">
        <f>IF(B3626="","",SUMIFS('inventory ledger'!$H:$H,'inventory ledger'!$C:$C,C3626,'inventory ledger'!$D:$D,D3626,'inventory ledger'!$E:$E,E3626,'inventory ledger'!$A:$A,"&lt;="&amp;B3626+TIME(23,59,59))-SUMIFS('inventory ledger'!$I:$I,'inventory ledger'!$C:$C,C3626,'inventory ledger'!$D:$D,D3626,'inventory ledger'!$E:$E,E3626,'inventory ledger'!$A:$A,"&lt;="&amp;B3626+TIME(23,59,59)))</f>
        <v/>
      </c>
      <c r="G3626" s="3">
        <f>IFERROR(__xludf.DUMMYFUNCTION("IF(F3626&lt;=0,0,IFERROR(ROUNDUP(F3626/INDEX(FILTER('warehouse config'!$D:$D,('warehouse config'!$B:$B=C3626)*('warehouse config'!$C:$C=D3626)*('warehouse config'!$G:$G&lt;=B3626)*(('warehouse config'!$H:$H&gt;=B3626)+ISBLANK('warehouse config'!$H:$H))),1)),0))"),0.0)</f>
        <v>0</v>
      </c>
      <c r="H3626" s="3">
        <f>IFERROR(__xludf.DUMMYFUNCTION("IFERROR(INDEX(FILTER('cost master'!$E:$E,('cost master'!$B:$B=C3626)*('cost master'!$D:$D=""Storage cost per pallet / week"")*('cost master'!$G:$G&lt;=B3626)*(('cost master'!$H:$H&gt;=B3626)+ISBLANK('cost master'!$H:$H))),1),0)"),0.0)</f>
        <v>0</v>
      </c>
      <c r="I3626" s="3">
        <f t="shared" si="4"/>
        <v>0</v>
      </c>
      <c r="J3626" s="27">
        <f t="shared" si="5"/>
        <v>693947</v>
      </c>
      <c r="K3626" s="27">
        <f t="shared" si="6"/>
        <v>693977</v>
      </c>
    </row>
    <row r="3627" hidden="1">
      <c r="A3627" s="3" t="str">
        <f t="shared" si="3"/>
        <v/>
      </c>
      <c r="B3627" s="2" t="str">
        <f t="array" ref="B3627">INDEX(helper!$A$3:$A3996,ROUNDUP((ROW()-1)/COUNTA(helper!$D$3:$D3996),0))</f>
        <v/>
      </c>
      <c r="C3627" s="5" t="str">
        <f t="array" ref="C3627">IF(B3627="","",INDEX(helper!$D$3:$D3996,MOD(ROW()-2,COUNTA(helper!$D$3:$D3996))+1))</f>
        <v/>
      </c>
      <c r="D3627" s="3" t="str">
        <f t="array" ref="D3627">IF(B3627="","",INDEX(helper!$E$3:$E3996,MOD(ROW()-2,COUNTA(helper!$D$3:$D3996))+1))</f>
        <v/>
      </c>
      <c r="E3627" s="3" t="str">
        <f t="array" ref="E3627">IF(B3627="","",INDEX(helper!$F$3:$F3996,MOD(ROW()-2,COUNTA(helper!$D$3:$D3996))+1))</f>
        <v/>
      </c>
      <c r="F3627" s="3" t="str">
        <f>IF(B3627="","",SUMIFS('inventory ledger'!$H:$H,'inventory ledger'!$C:$C,C3627,'inventory ledger'!$D:$D,D3627,'inventory ledger'!$E:$E,E3627,'inventory ledger'!$A:$A,"&lt;="&amp;B3627+TIME(23,59,59))-SUMIFS('inventory ledger'!$I:$I,'inventory ledger'!$C:$C,C3627,'inventory ledger'!$D:$D,D3627,'inventory ledger'!$E:$E,E3627,'inventory ledger'!$A:$A,"&lt;="&amp;B3627+TIME(23,59,59)))</f>
        <v/>
      </c>
      <c r="G3627" s="3">
        <f>IFERROR(__xludf.DUMMYFUNCTION("IF(F3627&lt;=0,0,IFERROR(ROUNDUP(F3627/INDEX(FILTER('warehouse config'!$D:$D,('warehouse config'!$B:$B=C3627)*('warehouse config'!$C:$C=D3627)*('warehouse config'!$G:$G&lt;=B3627)*(('warehouse config'!$H:$H&gt;=B3627)+ISBLANK('warehouse config'!$H:$H))),1)),0))"),0.0)</f>
        <v>0</v>
      </c>
      <c r="H3627" s="3">
        <f>IFERROR(__xludf.DUMMYFUNCTION("IFERROR(INDEX(FILTER('cost master'!$E:$E,('cost master'!$B:$B=C3627)*('cost master'!$D:$D=""Storage cost per pallet / week"")*('cost master'!$G:$G&lt;=B3627)*(('cost master'!$H:$H&gt;=B3627)+ISBLANK('cost master'!$H:$H))),1),0)"),0.0)</f>
        <v>0</v>
      </c>
      <c r="I3627" s="3">
        <f t="shared" si="4"/>
        <v>0</v>
      </c>
      <c r="J3627" s="27">
        <f t="shared" si="5"/>
        <v>693947</v>
      </c>
      <c r="K3627" s="27">
        <f t="shared" si="6"/>
        <v>693977</v>
      </c>
    </row>
    <row r="3628" hidden="1">
      <c r="A3628" s="3" t="str">
        <f t="shared" si="3"/>
        <v/>
      </c>
      <c r="B3628" s="2" t="str">
        <f t="array" ref="B3628">INDEX(helper!$A$3:$A3996,ROUNDUP((ROW()-1)/COUNTA(helper!$D$3:$D3996),0))</f>
        <v/>
      </c>
      <c r="C3628" s="5" t="str">
        <f t="array" ref="C3628">IF(B3628="","",INDEX(helper!$D$3:$D3996,MOD(ROW()-2,COUNTA(helper!$D$3:$D3996))+1))</f>
        <v/>
      </c>
      <c r="D3628" s="3" t="str">
        <f t="array" ref="D3628">IF(B3628="","",INDEX(helper!$E$3:$E3996,MOD(ROW()-2,COUNTA(helper!$D$3:$D3996))+1))</f>
        <v/>
      </c>
      <c r="E3628" s="3" t="str">
        <f t="array" ref="E3628">IF(B3628="","",INDEX(helper!$F$3:$F3996,MOD(ROW()-2,COUNTA(helper!$D$3:$D3996))+1))</f>
        <v/>
      </c>
      <c r="F3628" s="3" t="str">
        <f>IF(B3628="","",SUMIFS('inventory ledger'!$H:$H,'inventory ledger'!$C:$C,C3628,'inventory ledger'!$D:$D,D3628,'inventory ledger'!$E:$E,E3628,'inventory ledger'!$A:$A,"&lt;="&amp;B3628+TIME(23,59,59))-SUMIFS('inventory ledger'!$I:$I,'inventory ledger'!$C:$C,C3628,'inventory ledger'!$D:$D,D3628,'inventory ledger'!$E:$E,E3628,'inventory ledger'!$A:$A,"&lt;="&amp;B3628+TIME(23,59,59)))</f>
        <v/>
      </c>
      <c r="G3628" s="3">
        <f>IFERROR(__xludf.DUMMYFUNCTION("IF(F3628&lt;=0,0,IFERROR(ROUNDUP(F3628/INDEX(FILTER('warehouse config'!$D:$D,('warehouse config'!$B:$B=C3628)*('warehouse config'!$C:$C=D3628)*('warehouse config'!$G:$G&lt;=B3628)*(('warehouse config'!$H:$H&gt;=B3628)+ISBLANK('warehouse config'!$H:$H))),1)),0))"),0.0)</f>
        <v>0</v>
      </c>
      <c r="H3628" s="3">
        <f>IFERROR(__xludf.DUMMYFUNCTION("IFERROR(INDEX(FILTER('cost master'!$E:$E,('cost master'!$B:$B=C3628)*('cost master'!$D:$D=""Storage cost per pallet / week"")*('cost master'!$G:$G&lt;=B3628)*(('cost master'!$H:$H&gt;=B3628)+ISBLANK('cost master'!$H:$H))),1),0)"),0.0)</f>
        <v>0</v>
      </c>
      <c r="I3628" s="3">
        <f t="shared" si="4"/>
        <v>0</v>
      </c>
      <c r="J3628" s="27">
        <f t="shared" si="5"/>
        <v>693947</v>
      </c>
      <c r="K3628" s="27">
        <f t="shared" si="6"/>
        <v>693977</v>
      </c>
    </row>
    <row r="3629" hidden="1">
      <c r="A3629" s="3" t="str">
        <f t="shared" si="3"/>
        <v/>
      </c>
      <c r="B3629" s="2" t="str">
        <f t="array" ref="B3629">INDEX(helper!$A$3:$A3996,ROUNDUP((ROW()-1)/COUNTA(helper!$D$3:$D3996),0))</f>
        <v/>
      </c>
      <c r="C3629" s="5" t="str">
        <f t="array" ref="C3629">IF(B3629="","",INDEX(helper!$D$3:$D3996,MOD(ROW()-2,COUNTA(helper!$D$3:$D3996))+1))</f>
        <v/>
      </c>
      <c r="D3629" s="3" t="str">
        <f t="array" ref="D3629">IF(B3629="","",INDEX(helper!$E$3:$E3996,MOD(ROW()-2,COUNTA(helper!$D$3:$D3996))+1))</f>
        <v/>
      </c>
      <c r="E3629" s="3" t="str">
        <f t="array" ref="E3629">IF(B3629="","",INDEX(helper!$F$3:$F3996,MOD(ROW()-2,COUNTA(helper!$D$3:$D3996))+1))</f>
        <v/>
      </c>
      <c r="F3629" s="3" t="str">
        <f>IF(B3629="","",SUMIFS('inventory ledger'!$H:$H,'inventory ledger'!$C:$C,C3629,'inventory ledger'!$D:$D,D3629,'inventory ledger'!$E:$E,E3629,'inventory ledger'!$A:$A,"&lt;="&amp;B3629+TIME(23,59,59))-SUMIFS('inventory ledger'!$I:$I,'inventory ledger'!$C:$C,C3629,'inventory ledger'!$D:$D,D3629,'inventory ledger'!$E:$E,E3629,'inventory ledger'!$A:$A,"&lt;="&amp;B3629+TIME(23,59,59)))</f>
        <v/>
      </c>
      <c r="G3629" s="3">
        <f>IFERROR(__xludf.DUMMYFUNCTION("IF(F3629&lt;=0,0,IFERROR(ROUNDUP(F3629/INDEX(FILTER('warehouse config'!$D:$D,('warehouse config'!$B:$B=C3629)*('warehouse config'!$C:$C=D3629)*('warehouse config'!$G:$G&lt;=B3629)*(('warehouse config'!$H:$H&gt;=B3629)+ISBLANK('warehouse config'!$H:$H))),1)),0))"),0.0)</f>
        <v>0</v>
      </c>
      <c r="H3629" s="3">
        <f>IFERROR(__xludf.DUMMYFUNCTION("IFERROR(INDEX(FILTER('cost master'!$E:$E,('cost master'!$B:$B=C3629)*('cost master'!$D:$D=""Storage cost per pallet / week"")*('cost master'!$G:$G&lt;=B3629)*(('cost master'!$H:$H&gt;=B3629)+ISBLANK('cost master'!$H:$H))),1),0)"),0.0)</f>
        <v>0</v>
      </c>
      <c r="I3629" s="3">
        <f t="shared" si="4"/>
        <v>0</v>
      </c>
      <c r="J3629" s="27">
        <f t="shared" si="5"/>
        <v>693947</v>
      </c>
      <c r="K3629" s="27">
        <f t="shared" si="6"/>
        <v>693977</v>
      </c>
    </row>
    <row r="3630" hidden="1">
      <c r="A3630" s="3" t="str">
        <f t="shared" si="3"/>
        <v/>
      </c>
      <c r="B3630" s="2" t="str">
        <f t="array" ref="B3630">INDEX(helper!$A$3:$A3996,ROUNDUP((ROW()-1)/COUNTA(helper!$D$3:$D3996),0))</f>
        <v/>
      </c>
      <c r="C3630" s="5" t="str">
        <f t="array" ref="C3630">IF(B3630="","",INDEX(helper!$D$3:$D3996,MOD(ROW()-2,COUNTA(helper!$D$3:$D3996))+1))</f>
        <v/>
      </c>
      <c r="D3630" s="3" t="str">
        <f t="array" ref="D3630">IF(B3630="","",INDEX(helper!$E$3:$E3996,MOD(ROW()-2,COUNTA(helper!$D$3:$D3996))+1))</f>
        <v/>
      </c>
      <c r="E3630" s="3" t="str">
        <f t="array" ref="E3630">IF(B3630="","",INDEX(helper!$F$3:$F3996,MOD(ROW()-2,COUNTA(helper!$D$3:$D3996))+1))</f>
        <v/>
      </c>
      <c r="F3630" s="3" t="str">
        <f>IF(B3630="","",SUMIFS('inventory ledger'!$H:$H,'inventory ledger'!$C:$C,C3630,'inventory ledger'!$D:$D,D3630,'inventory ledger'!$E:$E,E3630,'inventory ledger'!$A:$A,"&lt;="&amp;B3630+TIME(23,59,59))-SUMIFS('inventory ledger'!$I:$I,'inventory ledger'!$C:$C,C3630,'inventory ledger'!$D:$D,D3630,'inventory ledger'!$E:$E,E3630,'inventory ledger'!$A:$A,"&lt;="&amp;B3630+TIME(23,59,59)))</f>
        <v/>
      </c>
      <c r="G3630" s="3">
        <f>IFERROR(__xludf.DUMMYFUNCTION("IF(F3630&lt;=0,0,IFERROR(ROUNDUP(F3630/INDEX(FILTER('warehouse config'!$D:$D,('warehouse config'!$B:$B=C3630)*('warehouse config'!$C:$C=D3630)*('warehouse config'!$G:$G&lt;=B3630)*(('warehouse config'!$H:$H&gt;=B3630)+ISBLANK('warehouse config'!$H:$H))),1)),0))"),0.0)</f>
        <v>0</v>
      </c>
      <c r="H3630" s="3">
        <f>IFERROR(__xludf.DUMMYFUNCTION("IFERROR(INDEX(FILTER('cost master'!$E:$E,('cost master'!$B:$B=C3630)*('cost master'!$D:$D=""Storage cost per pallet / week"")*('cost master'!$G:$G&lt;=B3630)*(('cost master'!$H:$H&gt;=B3630)+ISBLANK('cost master'!$H:$H))),1),0)"),0.0)</f>
        <v>0</v>
      </c>
      <c r="I3630" s="3">
        <f t="shared" si="4"/>
        <v>0</v>
      </c>
      <c r="J3630" s="27">
        <f t="shared" si="5"/>
        <v>693947</v>
      </c>
      <c r="K3630" s="27">
        <f t="shared" si="6"/>
        <v>693977</v>
      </c>
    </row>
    <row r="3631" hidden="1">
      <c r="A3631" s="3" t="str">
        <f t="shared" si="3"/>
        <v/>
      </c>
      <c r="B3631" s="2" t="str">
        <f t="array" ref="B3631">INDEX(helper!$A$3:$A3996,ROUNDUP((ROW()-1)/COUNTA(helper!$D$3:$D3996),0))</f>
        <v/>
      </c>
      <c r="C3631" s="5" t="str">
        <f t="array" ref="C3631">IF(B3631="","",INDEX(helper!$D$3:$D3996,MOD(ROW()-2,COUNTA(helper!$D$3:$D3996))+1))</f>
        <v/>
      </c>
      <c r="D3631" s="3" t="str">
        <f t="array" ref="D3631">IF(B3631="","",INDEX(helper!$E$3:$E3996,MOD(ROW()-2,COUNTA(helper!$D$3:$D3996))+1))</f>
        <v/>
      </c>
      <c r="E3631" s="3" t="str">
        <f t="array" ref="E3631">IF(B3631="","",INDEX(helper!$F$3:$F3996,MOD(ROW()-2,COUNTA(helper!$D$3:$D3996))+1))</f>
        <v/>
      </c>
      <c r="F3631" s="3" t="str">
        <f>IF(B3631="","",SUMIFS('inventory ledger'!$H:$H,'inventory ledger'!$C:$C,C3631,'inventory ledger'!$D:$D,D3631,'inventory ledger'!$E:$E,E3631,'inventory ledger'!$A:$A,"&lt;="&amp;B3631+TIME(23,59,59))-SUMIFS('inventory ledger'!$I:$I,'inventory ledger'!$C:$C,C3631,'inventory ledger'!$D:$D,D3631,'inventory ledger'!$E:$E,E3631,'inventory ledger'!$A:$A,"&lt;="&amp;B3631+TIME(23,59,59)))</f>
        <v/>
      </c>
      <c r="G3631" s="3">
        <f>IFERROR(__xludf.DUMMYFUNCTION("IF(F3631&lt;=0,0,IFERROR(ROUNDUP(F3631/INDEX(FILTER('warehouse config'!$D:$D,('warehouse config'!$B:$B=C3631)*('warehouse config'!$C:$C=D3631)*('warehouse config'!$G:$G&lt;=B3631)*(('warehouse config'!$H:$H&gt;=B3631)+ISBLANK('warehouse config'!$H:$H))),1)),0))"),0.0)</f>
        <v>0</v>
      </c>
      <c r="H3631" s="3">
        <f>IFERROR(__xludf.DUMMYFUNCTION("IFERROR(INDEX(FILTER('cost master'!$E:$E,('cost master'!$B:$B=C3631)*('cost master'!$D:$D=""Storage cost per pallet / week"")*('cost master'!$G:$G&lt;=B3631)*(('cost master'!$H:$H&gt;=B3631)+ISBLANK('cost master'!$H:$H))),1),0)"),0.0)</f>
        <v>0</v>
      </c>
      <c r="I3631" s="3">
        <f t="shared" si="4"/>
        <v>0</v>
      </c>
      <c r="J3631" s="27">
        <f t="shared" si="5"/>
        <v>693947</v>
      </c>
      <c r="K3631" s="27">
        <f t="shared" si="6"/>
        <v>693977</v>
      </c>
    </row>
    <row r="3632" hidden="1">
      <c r="A3632" s="3" t="str">
        <f t="shared" si="3"/>
        <v/>
      </c>
      <c r="B3632" s="2" t="str">
        <f t="array" ref="B3632">INDEX(helper!$A$3:$A3996,ROUNDUP((ROW()-1)/COUNTA(helper!$D$3:$D3996),0))</f>
        <v/>
      </c>
      <c r="C3632" s="5" t="str">
        <f t="array" ref="C3632">IF(B3632="","",INDEX(helper!$D$3:$D3996,MOD(ROW()-2,COUNTA(helper!$D$3:$D3996))+1))</f>
        <v/>
      </c>
      <c r="D3632" s="3" t="str">
        <f t="array" ref="D3632">IF(B3632="","",INDEX(helper!$E$3:$E3996,MOD(ROW()-2,COUNTA(helper!$D$3:$D3996))+1))</f>
        <v/>
      </c>
      <c r="E3632" s="3" t="str">
        <f t="array" ref="E3632">IF(B3632="","",INDEX(helper!$F$3:$F3996,MOD(ROW()-2,COUNTA(helper!$D$3:$D3996))+1))</f>
        <v/>
      </c>
      <c r="F3632" s="3" t="str">
        <f>IF(B3632="","",SUMIFS('inventory ledger'!$H:$H,'inventory ledger'!$C:$C,C3632,'inventory ledger'!$D:$D,D3632,'inventory ledger'!$E:$E,E3632,'inventory ledger'!$A:$A,"&lt;="&amp;B3632+TIME(23,59,59))-SUMIFS('inventory ledger'!$I:$I,'inventory ledger'!$C:$C,C3632,'inventory ledger'!$D:$D,D3632,'inventory ledger'!$E:$E,E3632,'inventory ledger'!$A:$A,"&lt;="&amp;B3632+TIME(23,59,59)))</f>
        <v/>
      </c>
      <c r="G3632" s="3">
        <f>IFERROR(__xludf.DUMMYFUNCTION("IF(F3632&lt;=0,0,IFERROR(ROUNDUP(F3632/INDEX(FILTER('warehouse config'!$D:$D,('warehouse config'!$B:$B=C3632)*('warehouse config'!$C:$C=D3632)*('warehouse config'!$G:$G&lt;=B3632)*(('warehouse config'!$H:$H&gt;=B3632)+ISBLANK('warehouse config'!$H:$H))),1)),0))"),0.0)</f>
        <v>0</v>
      </c>
      <c r="H3632" s="3">
        <f>IFERROR(__xludf.DUMMYFUNCTION("IFERROR(INDEX(FILTER('cost master'!$E:$E,('cost master'!$B:$B=C3632)*('cost master'!$D:$D=""Storage cost per pallet / week"")*('cost master'!$G:$G&lt;=B3632)*(('cost master'!$H:$H&gt;=B3632)+ISBLANK('cost master'!$H:$H))),1),0)"),0.0)</f>
        <v>0</v>
      </c>
      <c r="I3632" s="3">
        <f t="shared" si="4"/>
        <v>0</v>
      </c>
      <c r="J3632" s="27">
        <f t="shared" si="5"/>
        <v>693947</v>
      </c>
      <c r="K3632" s="27">
        <f t="shared" si="6"/>
        <v>693977</v>
      </c>
    </row>
    <row r="3633" hidden="1">
      <c r="A3633" s="3" t="str">
        <f t="shared" si="3"/>
        <v/>
      </c>
      <c r="B3633" s="2" t="str">
        <f t="array" ref="B3633">INDEX(helper!$A$3:$A3996,ROUNDUP((ROW()-1)/COUNTA(helper!$D$3:$D3996),0))</f>
        <v/>
      </c>
      <c r="C3633" s="5" t="str">
        <f t="array" ref="C3633">IF(B3633="","",INDEX(helper!$D$3:$D3996,MOD(ROW()-2,COUNTA(helper!$D$3:$D3996))+1))</f>
        <v/>
      </c>
      <c r="D3633" s="3" t="str">
        <f t="array" ref="D3633">IF(B3633="","",INDEX(helper!$E$3:$E3996,MOD(ROW()-2,COUNTA(helper!$D$3:$D3996))+1))</f>
        <v/>
      </c>
      <c r="E3633" s="3" t="str">
        <f t="array" ref="E3633">IF(B3633="","",INDEX(helper!$F$3:$F3996,MOD(ROW()-2,COUNTA(helper!$D$3:$D3996))+1))</f>
        <v/>
      </c>
      <c r="F3633" s="3" t="str">
        <f>IF(B3633="","",SUMIFS('inventory ledger'!$H:$H,'inventory ledger'!$C:$C,C3633,'inventory ledger'!$D:$D,D3633,'inventory ledger'!$E:$E,E3633,'inventory ledger'!$A:$A,"&lt;="&amp;B3633+TIME(23,59,59))-SUMIFS('inventory ledger'!$I:$I,'inventory ledger'!$C:$C,C3633,'inventory ledger'!$D:$D,D3633,'inventory ledger'!$E:$E,E3633,'inventory ledger'!$A:$A,"&lt;="&amp;B3633+TIME(23,59,59)))</f>
        <v/>
      </c>
      <c r="G3633" s="3">
        <f>IFERROR(__xludf.DUMMYFUNCTION("IF(F3633&lt;=0,0,IFERROR(ROUNDUP(F3633/INDEX(FILTER('warehouse config'!$D:$D,('warehouse config'!$B:$B=C3633)*('warehouse config'!$C:$C=D3633)*('warehouse config'!$G:$G&lt;=B3633)*(('warehouse config'!$H:$H&gt;=B3633)+ISBLANK('warehouse config'!$H:$H))),1)),0))"),0.0)</f>
        <v>0</v>
      </c>
      <c r="H3633" s="3">
        <f>IFERROR(__xludf.DUMMYFUNCTION("IFERROR(INDEX(FILTER('cost master'!$E:$E,('cost master'!$B:$B=C3633)*('cost master'!$D:$D=""Storage cost per pallet / week"")*('cost master'!$G:$G&lt;=B3633)*(('cost master'!$H:$H&gt;=B3633)+ISBLANK('cost master'!$H:$H))),1),0)"),0.0)</f>
        <v>0</v>
      </c>
      <c r="I3633" s="3">
        <f t="shared" si="4"/>
        <v>0</v>
      </c>
      <c r="J3633" s="27">
        <f t="shared" si="5"/>
        <v>693947</v>
      </c>
      <c r="K3633" s="27">
        <f t="shared" si="6"/>
        <v>693977</v>
      </c>
    </row>
    <row r="3634" hidden="1">
      <c r="A3634" s="3" t="str">
        <f t="shared" si="3"/>
        <v/>
      </c>
      <c r="B3634" s="2" t="str">
        <f t="array" ref="B3634">INDEX(helper!$A$3:$A3996,ROUNDUP((ROW()-1)/COUNTA(helper!$D$3:$D3996),0))</f>
        <v/>
      </c>
      <c r="C3634" s="5" t="str">
        <f t="array" ref="C3634">IF(B3634="","",INDEX(helper!$D$3:$D3996,MOD(ROW()-2,COUNTA(helper!$D$3:$D3996))+1))</f>
        <v/>
      </c>
      <c r="D3634" s="3" t="str">
        <f t="array" ref="D3634">IF(B3634="","",INDEX(helper!$E$3:$E3996,MOD(ROW()-2,COUNTA(helper!$D$3:$D3996))+1))</f>
        <v/>
      </c>
      <c r="E3634" s="3" t="str">
        <f t="array" ref="E3634">IF(B3634="","",INDEX(helper!$F$3:$F3996,MOD(ROW()-2,COUNTA(helper!$D$3:$D3996))+1))</f>
        <v/>
      </c>
      <c r="F3634" s="3" t="str">
        <f>IF(B3634="","",SUMIFS('inventory ledger'!$H:$H,'inventory ledger'!$C:$C,C3634,'inventory ledger'!$D:$D,D3634,'inventory ledger'!$E:$E,E3634,'inventory ledger'!$A:$A,"&lt;="&amp;B3634+TIME(23,59,59))-SUMIFS('inventory ledger'!$I:$I,'inventory ledger'!$C:$C,C3634,'inventory ledger'!$D:$D,D3634,'inventory ledger'!$E:$E,E3634,'inventory ledger'!$A:$A,"&lt;="&amp;B3634+TIME(23,59,59)))</f>
        <v/>
      </c>
      <c r="G3634" s="3">
        <f>IFERROR(__xludf.DUMMYFUNCTION("IF(F3634&lt;=0,0,IFERROR(ROUNDUP(F3634/INDEX(FILTER('warehouse config'!$D:$D,('warehouse config'!$B:$B=C3634)*('warehouse config'!$C:$C=D3634)*('warehouse config'!$G:$G&lt;=B3634)*(('warehouse config'!$H:$H&gt;=B3634)+ISBLANK('warehouse config'!$H:$H))),1)),0))"),0.0)</f>
        <v>0</v>
      </c>
      <c r="H3634" s="3">
        <f>IFERROR(__xludf.DUMMYFUNCTION("IFERROR(INDEX(FILTER('cost master'!$E:$E,('cost master'!$B:$B=C3634)*('cost master'!$D:$D=""Storage cost per pallet / week"")*('cost master'!$G:$G&lt;=B3634)*(('cost master'!$H:$H&gt;=B3634)+ISBLANK('cost master'!$H:$H))),1),0)"),0.0)</f>
        <v>0</v>
      </c>
      <c r="I3634" s="3">
        <f t="shared" si="4"/>
        <v>0</v>
      </c>
      <c r="J3634" s="27">
        <f t="shared" si="5"/>
        <v>693947</v>
      </c>
      <c r="K3634" s="27">
        <f t="shared" si="6"/>
        <v>693977</v>
      </c>
    </row>
    <row r="3635" hidden="1">
      <c r="A3635" s="3" t="str">
        <f t="shared" si="3"/>
        <v/>
      </c>
      <c r="B3635" s="2" t="str">
        <f t="array" ref="B3635">INDEX(helper!$A$3:$A3996,ROUNDUP((ROW()-1)/COUNTA(helper!$D$3:$D3996),0))</f>
        <v/>
      </c>
      <c r="C3635" s="5" t="str">
        <f t="array" ref="C3635">IF(B3635="","",INDEX(helper!$D$3:$D3996,MOD(ROW()-2,COUNTA(helper!$D$3:$D3996))+1))</f>
        <v/>
      </c>
      <c r="D3635" s="3" t="str">
        <f t="array" ref="D3635">IF(B3635="","",INDEX(helper!$E$3:$E3996,MOD(ROW()-2,COUNTA(helper!$D$3:$D3996))+1))</f>
        <v/>
      </c>
      <c r="E3635" s="3" t="str">
        <f t="array" ref="E3635">IF(B3635="","",INDEX(helper!$F$3:$F3996,MOD(ROW()-2,COUNTA(helper!$D$3:$D3996))+1))</f>
        <v/>
      </c>
      <c r="F3635" s="3" t="str">
        <f>IF(B3635="","",SUMIFS('inventory ledger'!$H:$H,'inventory ledger'!$C:$C,C3635,'inventory ledger'!$D:$D,D3635,'inventory ledger'!$E:$E,E3635,'inventory ledger'!$A:$A,"&lt;="&amp;B3635+TIME(23,59,59))-SUMIFS('inventory ledger'!$I:$I,'inventory ledger'!$C:$C,C3635,'inventory ledger'!$D:$D,D3635,'inventory ledger'!$E:$E,E3635,'inventory ledger'!$A:$A,"&lt;="&amp;B3635+TIME(23,59,59)))</f>
        <v/>
      </c>
      <c r="G3635" s="3">
        <f>IFERROR(__xludf.DUMMYFUNCTION("IF(F3635&lt;=0,0,IFERROR(ROUNDUP(F3635/INDEX(FILTER('warehouse config'!$D:$D,('warehouse config'!$B:$B=C3635)*('warehouse config'!$C:$C=D3635)*('warehouse config'!$G:$G&lt;=B3635)*(('warehouse config'!$H:$H&gt;=B3635)+ISBLANK('warehouse config'!$H:$H))),1)),0))"),0.0)</f>
        <v>0</v>
      </c>
      <c r="H3635" s="3">
        <f>IFERROR(__xludf.DUMMYFUNCTION("IFERROR(INDEX(FILTER('cost master'!$E:$E,('cost master'!$B:$B=C3635)*('cost master'!$D:$D=""Storage cost per pallet / week"")*('cost master'!$G:$G&lt;=B3635)*(('cost master'!$H:$H&gt;=B3635)+ISBLANK('cost master'!$H:$H))),1),0)"),0.0)</f>
        <v>0</v>
      </c>
      <c r="I3635" s="3">
        <f t="shared" si="4"/>
        <v>0</v>
      </c>
      <c r="J3635" s="27">
        <f t="shared" si="5"/>
        <v>693947</v>
      </c>
      <c r="K3635" s="27">
        <f t="shared" si="6"/>
        <v>693977</v>
      </c>
    </row>
    <row r="3636" hidden="1">
      <c r="A3636" s="3" t="str">
        <f t="shared" si="3"/>
        <v/>
      </c>
      <c r="B3636" s="2" t="str">
        <f t="array" ref="B3636">INDEX(helper!$A$3:$A3996,ROUNDUP((ROW()-1)/COUNTA(helper!$D$3:$D3996),0))</f>
        <v/>
      </c>
      <c r="C3636" s="5" t="str">
        <f t="array" ref="C3636">IF(B3636="","",INDEX(helper!$D$3:$D3996,MOD(ROW()-2,COUNTA(helper!$D$3:$D3996))+1))</f>
        <v/>
      </c>
      <c r="D3636" s="3" t="str">
        <f t="array" ref="D3636">IF(B3636="","",INDEX(helper!$E$3:$E3996,MOD(ROW()-2,COUNTA(helper!$D$3:$D3996))+1))</f>
        <v/>
      </c>
      <c r="E3636" s="3" t="str">
        <f t="array" ref="E3636">IF(B3636="","",INDEX(helper!$F$3:$F3996,MOD(ROW()-2,COUNTA(helper!$D$3:$D3996))+1))</f>
        <v/>
      </c>
      <c r="F3636" s="3" t="str">
        <f>IF(B3636="","",SUMIFS('inventory ledger'!$H:$H,'inventory ledger'!$C:$C,C3636,'inventory ledger'!$D:$D,D3636,'inventory ledger'!$E:$E,E3636,'inventory ledger'!$A:$A,"&lt;="&amp;B3636+TIME(23,59,59))-SUMIFS('inventory ledger'!$I:$I,'inventory ledger'!$C:$C,C3636,'inventory ledger'!$D:$D,D3636,'inventory ledger'!$E:$E,E3636,'inventory ledger'!$A:$A,"&lt;="&amp;B3636+TIME(23,59,59)))</f>
        <v/>
      </c>
      <c r="G3636" s="3">
        <f>IFERROR(__xludf.DUMMYFUNCTION("IF(F3636&lt;=0,0,IFERROR(ROUNDUP(F3636/INDEX(FILTER('warehouse config'!$D:$D,('warehouse config'!$B:$B=C3636)*('warehouse config'!$C:$C=D3636)*('warehouse config'!$G:$G&lt;=B3636)*(('warehouse config'!$H:$H&gt;=B3636)+ISBLANK('warehouse config'!$H:$H))),1)),0))"),0.0)</f>
        <v>0</v>
      </c>
      <c r="H3636" s="3">
        <f>IFERROR(__xludf.DUMMYFUNCTION("IFERROR(INDEX(FILTER('cost master'!$E:$E,('cost master'!$B:$B=C3636)*('cost master'!$D:$D=""Storage cost per pallet / week"")*('cost master'!$G:$G&lt;=B3636)*(('cost master'!$H:$H&gt;=B3636)+ISBLANK('cost master'!$H:$H))),1),0)"),0.0)</f>
        <v>0</v>
      </c>
      <c r="I3636" s="3">
        <f t="shared" si="4"/>
        <v>0</v>
      </c>
      <c r="J3636" s="27">
        <f t="shared" si="5"/>
        <v>693947</v>
      </c>
      <c r="K3636" s="27">
        <f t="shared" si="6"/>
        <v>693977</v>
      </c>
    </row>
    <row r="3637" hidden="1">
      <c r="A3637" s="3" t="str">
        <f t="shared" si="3"/>
        <v/>
      </c>
      <c r="B3637" s="2" t="str">
        <f t="array" ref="B3637">INDEX(helper!$A$3:$A3996,ROUNDUP((ROW()-1)/COUNTA(helper!$D$3:$D3996),0))</f>
        <v/>
      </c>
      <c r="C3637" s="5" t="str">
        <f t="array" ref="C3637">IF(B3637="","",INDEX(helper!$D$3:$D3996,MOD(ROW()-2,COUNTA(helper!$D$3:$D3996))+1))</f>
        <v/>
      </c>
      <c r="D3637" s="3" t="str">
        <f t="array" ref="D3637">IF(B3637="","",INDEX(helper!$E$3:$E3996,MOD(ROW()-2,COUNTA(helper!$D$3:$D3996))+1))</f>
        <v/>
      </c>
      <c r="E3637" s="3" t="str">
        <f t="array" ref="E3637">IF(B3637="","",INDEX(helper!$F$3:$F3996,MOD(ROW()-2,COUNTA(helper!$D$3:$D3996))+1))</f>
        <v/>
      </c>
      <c r="F3637" s="3" t="str">
        <f>IF(B3637="","",SUMIFS('inventory ledger'!$H:$H,'inventory ledger'!$C:$C,C3637,'inventory ledger'!$D:$D,D3637,'inventory ledger'!$E:$E,E3637,'inventory ledger'!$A:$A,"&lt;="&amp;B3637+TIME(23,59,59))-SUMIFS('inventory ledger'!$I:$I,'inventory ledger'!$C:$C,C3637,'inventory ledger'!$D:$D,D3637,'inventory ledger'!$E:$E,E3637,'inventory ledger'!$A:$A,"&lt;="&amp;B3637+TIME(23,59,59)))</f>
        <v/>
      </c>
      <c r="G3637" s="3">
        <f>IFERROR(__xludf.DUMMYFUNCTION("IF(F3637&lt;=0,0,IFERROR(ROUNDUP(F3637/INDEX(FILTER('warehouse config'!$D:$D,('warehouse config'!$B:$B=C3637)*('warehouse config'!$C:$C=D3637)*('warehouse config'!$G:$G&lt;=B3637)*(('warehouse config'!$H:$H&gt;=B3637)+ISBLANK('warehouse config'!$H:$H))),1)),0))"),0.0)</f>
        <v>0</v>
      </c>
      <c r="H3637" s="3">
        <f>IFERROR(__xludf.DUMMYFUNCTION("IFERROR(INDEX(FILTER('cost master'!$E:$E,('cost master'!$B:$B=C3637)*('cost master'!$D:$D=""Storage cost per pallet / week"")*('cost master'!$G:$G&lt;=B3637)*(('cost master'!$H:$H&gt;=B3637)+ISBLANK('cost master'!$H:$H))),1),0)"),0.0)</f>
        <v>0</v>
      </c>
      <c r="I3637" s="3">
        <f t="shared" si="4"/>
        <v>0</v>
      </c>
      <c r="J3637" s="27">
        <f t="shared" si="5"/>
        <v>693947</v>
      </c>
      <c r="K3637" s="27">
        <f t="shared" si="6"/>
        <v>693977</v>
      </c>
    </row>
    <row r="3638" hidden="1">
      <c r="A3638" s="3" t="str">
        <f t="shared" si="3"/>
        <v/>
      </c>
      <c r="B3638" s="2" t="str">
        <f t="array" ref="B3638">INDEX(helper!$A$3:$A3996,ROUNDUP((ROW()-1)/COUNTA(helper!$D$3:$D3996),0))</f>
        <v/>
      </c>
      <c r="C3638" s="5" t="str">
        <f t="array" ref="C3638">IF(B3638="","",INDEX(helper!$D$3:$D3996,MOD(ROW()-2,COUNTA(helper!$D$3:$D3996))+1))</f>
        <v/>
      </c>
      <c r="D3638" s="3" t="str">
        <f t="array" ref="D3638">IF(B3638="","",INDEX(helper!$E$3:$E3996,MOD(ROW()-2,COUNTA(helper!$D$3:$D3996))+1))</f>
        <v/>
      </c>
      <c r="E3638" s="3" t="str">
        <f t="array" ref="E3638">IF(B3638="","",INDEX(helper!$F$3:$F3996,MOD(ROW()-2,COUNTA(helper!$D$3:$D3996))+1))</f>
        <v/>
      </c>
      <c r="F3638" s="3" t="str">
        <f>IF(B3638="","",SUMIFS('inventory ledger'!$H:$H,'inventory ledger'!$C:$C,C3638,'inventory ledger'!$D:$D,D3638,'inventory ledger'!$E:$E,E3638,'inventory ledger'!$A:$A,"&lt;="&amp;B3638+TIME(23,59,59))-SUMIFS('inventory ledger'!$I:$I,'inventory ledger'!$C:$C,C3638,'inventory ledger'!$D:$D,D3638,'inventory ledger'!$E:$E,E3638,'inventory ledger'!$A:$A,"&lt;="&amp;B3638+TIME(23,59,59)))</f>
        <v/>
      </c>
      <c r="G3638" s="3">
        <f>IFERROR(__xludf.DUMMYFUNCTION("IF(F3638&lt;=0,0,IFERROR(ROUNDUP(F3638/INDEX(FILTER('warehouse config'!$D:$D,('warehouse config'!$B:$B=C3638)*('warehouse config'!$C:$C=D3638)*('warehouse config'!$G:$G&lt;=B3638)*(('warehouse config'!$H:$H&gt;=B3638)+ISBLANK('warehouse config'!$H:$H))),1)),0))"),0.0)</f>
        <v>0</v>
      </c>
      <c r="H3638" s="3">
        <f>IFERROR(__xludf.DUMMYFUNCTION("IFERROR(INDEX(FILTER('cost master'!$E:$E,('cost master'!$B:$B=C3638)*('cost master'!$D:$D=""Storage cost per pallet / week"")*('cost master'!$G:$G&lt;=B3638)*(('cost master'!$H:$H&gt;=B3638)+ISBLANK('cost master'!$H:$H))),1),0)"),0.0)</f>
        <v>0</v>
      </c>
      <c r="I3638" s="3">
        <f t="shared" si="4"/>
        <v>0</v>
      </c>
      <c r="J3638" s="27">
        <f t="shared" si="5"/>
        <v>693947</v>
      </c>
      <c r="K3638" s="27">
        <f t="shared" si="6"/>
        <v>693977</v>
      </c>
    </row>
    <row r="3639" hidden="1">
      <c r="A3639" s="3" t="str">
        <f t="shared" si="3"/>
        <v/>
      </c>
      <c r="B3639" s="2" t="str">
        <f t="array" ref="B3639">INDEX(helper!$A$3:$A3996,ROUNDUP((ROW()-1)/COUNTA(helper!$D$3:$D3996),0))</f>
        <v/>
      </c>
      <c r="C3639" s="5" t="str">
        <f t="array" ref="C3639">IF(B3639="","",INDEX(helper!$D$3:$D3996,MOD(ROW()-2,COUNTA(helper!$D$3:$D3996))+1))</f>
        <v/>
      </c>
      <c r="D3639" s="3" t="str">
        <f t="array" ref="D3639">IF(B3639="","",INDEX(helper!$E$3:$E3996,MOD(ROW()-2,COUNTA(helper!$D$3:$D3996))+1))</f>
        <v/>
      </c>
      <c r="E3639" s="3" t="str">
        <f t="array" ref="E3639">IF(B3639="","",INDEX(helper!$F$3:$F3996,MOD(ROW()-2,COUNTA(helper!$D$3:$D3996))+1))</f>
        <v/>
      </c>
      <c r="F3639" s="3" t="str">
        <f>IF(B3639="","",SUMIFS('inventory ledger'!$H:$H,'inventory ledger'!$C:$C,C3639,'inventory ledger'!$D:$D,D3639,'inventory ledger'!$E:$E,E3639,'inventory ledger'!$A:$A,"&lt;="&amp;B3639+TIME(23,59,59))-SUMIFS('inventory ledger'!$I:$I,'inventory ledger'!$C:$C,C3639,'inventory ledger'!$D:$D,D3639,'inventory ledger'!$E:$E,E3639,'inventory ledger'!$A:$A,"&lt;="&amp;B3639+TIME(23,59,59)))</f>
        <v/>
      </c>
      <c r="G3639" s="3">
        <f>IFERROR(__xludf.DUMMYFUNCTION("IF(F3639&lt;=0,0,IFERROR(ROUNDUP(F3639/INDEX(FILTER('warehouse config'!$D:$D,('warehouse config'!$B:$B=C3639)*('warehouse config'!$C:$C=D3639)*('warehouse config'!$G:$G&lt;=B3639)*(('warehouse config'!$H:$H&gt;=B3639)+ISBLANK('warehouse config'!$H:$H))),1)),0))"),0.0)</f>
        <v>0</v>
      </c>
      <c r="H3639" s="3">
        <f>IFERROR(__xludf.DUMMYFUNCTION("IFERROR(INDEX(FILTER('cost master'!$E:$E,('cost master'!$B:$B=C3639)*('cost master'!$D:$D=""Storage cost per pallet / week"")*('cost master'!$G:$G&lt;=B3639)*(('cost master'!$H:$H&gt;=B3639)+ISBLANK('cost master'!$H:$H))),1),0)"),0.0)</f>
        <v>0</v>
      </c>
      <c r="I3639" s="3">
        <f t="shared" si="4"/>
        <v>0</v>
      </c>
      <c r="J3639" s="27">
        <f t="shared" si="5"/>
        <v>693947</v>
      </c>
      <c r="K3639" s="27">
        <f t="shared" si="6"/>
        <v>693977</v>
      </c>
    </row>
    <row r="3640" hidden="1">
      <c r="A3640" s="3" t="str">
        <f t="shared" si="3"/>
        <v/>
      </c>
      <c r="B3640" s="2" t="str">
        <f t="array" ref="B3640">INDEX(helper!$A$3:$A3996,ROUNDUP((ROW()-1)/COUNTA(helper!$D$3:$D3996),0))</f>
        <v/>
      </c>
      <c r="C3640" s="5" t="str">
        <f t="array" ref="C3640">IF(B3640="","",INDEX(helper!$D$3:$D3996,MOD(ROW()-2,COUNTA(helper!$D$3:$D3996))+1))</f>
        <v/>
      </c>
      <c r="D3640" s="3" t="str">
        <f t="array" ref="D3640">IF(B3640="","",INDEX(helper!$E$3:$E3996,MOD(ROW()-2,COUNTA(helper!$D$3:$D3996))+1))</f>
        <v/>
      </c>
      <c r="E3640" s="3" t="str">
        <f t="array" ref="E3640">IF(B3640="","",INDEX(helper!$F$3:$F3996,MOD(ROW()-2,COUNTA(helper!$D$3:$D3996))+1))</f>
        <v/>
      </c>
      <c r="F3640" s="3" t="str">
        <f>IF(B3640="","",SUMIFS('inventory ledger'!$H:$H,'inventory ledger'!$C:$C,C3640,'inventory ledger'!$D:$D,D3640,'inventory ledger'!$E:$E,E3640,'inventory ledger'!$A:$A,"&lt;="&amp;B3640+TIME(23,59,59))-SUMIFS('inventory ledger'!$I:$I,'inventory ledger'!$C:$C,C3640,'inventory ledger'!$D:$D,D3640,'inventory ledger'!$E:$E,E3640,'inventory ledger'!$A:$A,"&lt;="&amp;B3640+TIME(23,59,59)))</f>
        <v/>
      </c>
      <c r="G3640" s="3">
        <f>IFERROR(__xludf.DUMMYFUNCTION("IF(F3640&lt;=0,0,IFERROR(ROUNDUP(F3640/INDEX(FILTER('warehouse config'!$D:$D,('warehouse config'!$B:$B=C3640)*('warehouse config'!$C:$C=D3640)*('warehouse config'!$G:$G&lt;=B3640)*(('warehouse config'!$H:$H&gt;=B3640)+ISBLANK('warehouse config'!$H:$H))),1)),0))"),0.0)</f>
        <v>0</v>
      </c>
      <c r="H3640" s="3">
        <f>IFERROR(__xludf.DUMMYFUNCTION("IFERROR(INDEX(FILTER('cost master'!$E:$E,('cost master'!$B:$B=C3640)*('cost master'!$D:$D=""Storage cost per pallet / week"")*('cost master'!$G:$G&lt;=B3640)*(('cost master'!$H:$H&gt;=B3640)+ISBLANK('cost master'!$H:$H))),1),0)"),0.0)</f>
        <v>0</v>
      </c>
      <c r="I3640" s="3">
        <f t="shared" si="4"/>
        <v>0</v>
      </c>
      <c r="J3640" s="27">
        <f t="shared" si="5"/>
        <v>693947</v>
      </c>
      <c r="K3640" s="27">
        <f t="shared" si="6"/>
        <v>693977</v>
      </c>
    </row>
    <row r="3641" hidden="1">
      <c r="A3641" s="3" t="str">
        <f t="shared" si="3"/>
        <v/>
      </c>
      <c r="B3641" s="2" t="str">
        <f t="array" ref="B3641">INDEX(helper!$A$3:$A3996,ROUNDUP((ROW()-1)/COUNTA(helper!$D$3:$D3996),0))</f>
        <v/>
      </c>
      <c r="C3641" s="5" t="str">
        <f t="array" ref="C3641">IF(B3641="","",INDEX(helper!$D$3:$D3996,MOD(ROW()-2,COUNTA(helper!$D$3:$D3996))+1))</f>
        <v/>
      </c>
      <c r="D3641" s="3" t="str">
        <f t="array" ref="D3641">IF(B3641="","",INDEX(helper!$E$3:$E3996,MOD(ROW()-2,COUNTA(helper!$D$3:$D3996))+1))</f>
        <v/>
      </c>
      <c r="E3641" s="3" t="str">
        <f t="array" ref="E3641">IF(B3641="","",INDEX(helper!$F$3:$F3996,MOD(ROW()-2,COUNTA(helper!$D$3:$D3996))+1))</f>
        <v/>
      </c>
      <c r="F3641" s="3" t="str">
        <f>IF(B3641="","",SUMIFS('inventory ledger'!$H:$H,'inventory ledger'!$C:$C,C3641,'inventory ledger'!$D:$D,D3641,'inventory ledger'!$E:$E,E3641,'inventory ledger'!$A:$A,"&lt;="&amp;B3641+TIME(23,59,59))-SUMIFS('inventory ledger'!$I:$I,'inventory ledger'!$C:$C,C3641,'inventory ledger'!$D:$D,D3641,'inventory ledger'!$E:$E,E3641,'inventory ledger'!$A:$A,"&lt;="&amp;B3641+TIME(23,59,59)))</f>
        <v/>
      </c>
      <c r="G3641" s="3">
        <f>IFERROR(__xludf.DUMMYFUNCTION("IF(F3641&lt;=0,0,IFERROR(ROUNDUP(F3641/INDEX(FILTER('warehouse config'!$D:$D,('warehouse config'!$B:$B=C3641)*('warehouse config'!$C:$C=D3641)*('warehouse config'!$G:$G&lt;=B3641)*(('warehouse config'!$H:$H&gt;=B3641)+ISBLANK('warehouse config'!$H:$H))),1)),0))"),0.0)</f>
        <v>0</v>
      </c>
      <c r="H3641" s="3">
        <f>IFERROR(__xludf.DUMMYFUNCTION("IFERROR(INDEX(FILTER('cost master'!$E:$E,('cost master'!$B:$B=C3641)*('cost master'!$D:$D=""Storage cost per pallet / week"")*('cost master'!$G:$G&lt;=B3641)*(('cost master'!$H:$H&gt;=B3641)+ISBLANK('cost master'!$H:$H))),1),0)"),0.0)</f>
        <v>0</v>
      </c>
      <c r="I3641" s="3">
        <f t="shared" si="4"/>
        <v>0</v>
      </c>
      <c r="J3641" s="27">
        <f t="shared" si="5"/>
        <v>693947</v>
      </c>
      <c r="K3641" s="27">
        <f t="shared" si="6"/>
        <v>693977</v>
      </c>
    </row>
    <row r="3642" hidden="1">
      <c r="A3642" s="3" t="str">
        <f t="shared" si="3"/>
        <v/>
      </c>
      <c r="B3642" s="2" t="str">
        <f t="array" ref="B3642">INDEX(helper!$A$3:$A3996,ROUNDUP((ROW()-1)/COUNTA(helper!$D$3:$D3996),0))</f>
        <v/>
      </c>
      <c r="C3642" s="5" t="str">
        <f t="array" ref="C3642">IF(B3642="","",INDEX(helper!$D$3:$D3996,MOD(ROW()-2,COUNTA(helper!$D$3:$D3996))+1))</f>
        <v/>
      </c>
      <c r="D3642" s="3" t="str">
        <f t="array" ref="D3642">IF(B3642="","",INDEX(helper!$E$3:$E3996,MOD(ROW()-2,COUNTA(helper!$D$3:$D3996))+1))</f>
        <v/>
      </c>
      <c r="E3642" s="3" t="str">
        <f t="array" ref="E3642">IF(B3642="","",INDEX(helper!$F$3:$F3996,MOD(ROW()-2,COUNTA(helper!$D$3:$D3996))+1))</f>
        <v/>
      </c>
      <c r="F3642" s="3" t="str">
        <f>IF(B3642="","",SUMIFS('inventory ledger'!$H:$H,'inventory ledger'!$C:$C,C3642,'inventory ledger'!$D:$D,D3642,'inventory ledger'!$E:$E,E3642,'inventory ledger'!$A:$A,"&lt;="&amp;B3642+TIME(23,59,59))-SUMIFS('inventory ledger'!$I:$I,'inventory ledger'!$C:$C,C3642,'inventory ledger'!$D:$D,D3642,'inventory ledger'!$E:$E,E3642,'inventory ledger'!$A:$A,"&lt;="&amp;B3642+TIME(23,59,59)))</f>
        <v/>
      </c>
      <c r="G3642" s="3">
        <f>IFERROR(__xludf.DUMMYFUNCTION("IF(F3642&lt;=0,0,IFERROR(ROUNDUP(F3642/INDEX(FILTER('warehouse config'!$D:$D,('warehouse config'!$B:$B=C3642)*('warehouse config'!$C:$C=D3642)*('warehouse config'!$G:$G&lt;=B3642)*(('warehouse config'!$H:$H&gt;=B3642)+ISBLANK('warehouse config'!$H:$H))),1)),0))"),0.0)</f>
        <v>0</v>
      </c>
      <c r="H3642" s="3">
        <f>IFERROR(__xludf.DUMMYFUNCTION("IFERROR(INDEX(FILTER('cost master'!$E:$E,('cost master'!$B:$B=C3642)*('cost master'!$D:$D=""Storage cost per pallet / week"")*('cost master'!$G:$G&lt;=B3642)*(('cost master'!$H:$H&gt;=B3642)+ISBLANK('cost master'!$H:$H))),1),0)"),0.0)</f>
        <v>0</v>
      </c>
      <c r="I3642" s="3">
        <f t="shared" si="4"/>
        <v>0</v>
      </c>
      <c r="J3642" s="27">
        <f t="shared" si="5"/>
        <v>693947</v>
      </c>
      <c r="K3642" s="27">
        <f t="shared" si="6"/>
        <v>693977</v>
      </c>
    </row>
    <row r="3643" hidden="1">
      <c r="A3643" s="3" t="str">
        <f t="shared" si="3"/>
        <v/>
      </c>
      <c r="B3643" s="2" t="str">
        <f t="array" ref="B3643">INDEX(helper!$A$3:$A3996,ROUNDUP((ROW()-1)/COUNTA(helper!$D$3:$D3996),0))</f>
        <v/>
      </c>
      <c r="C3643" s="5" t="str">
        <f t="array" ref="C3643">IF(B3643="","",INDEX(helper!$D$3:$D3996,MOD(ROW()-2,COUNTA(helper!$D$3:$D3996))+1))</f>
        <v/>
      </c>
      <c r="D3643" s="3" t="str">
        <f t="array" ref="D3643">IF(B3643="","",INDEX(helper!$E$3:$E3996,MOD(ROW()-2,COUNTA(helper!$D$3:$D3996))+1))</f>
        <v/>
      </c>
      <c r="E3643" s="3" t="str">
        <f t="array" ref="E3643">IF(B3643="","",INDEX(helper!$F$3:$F3996,MOD(ROW()-2,COUNTA(helper!$D$3:$D3996))+1))</f>
        <v/>
      </c>
      <c r="F3643" s="3" t="str">
        <f>IF(B3643="","",SUMIFS('inventory ledger'!$H:$H,'inventory ledger'!$C:$C,C3643,'inventory ledger'!$D:$D,D3643,'inventory ledger'!$E:$E,E3643,'inventory ledger'!$A:$A,"&lt;="&amp;B3643+TIME(23,59,59))-SUMIFS('inventory ledger'!$I:$I,'inventory ledger'!$C:$C,C3643,'inventory ledger'!$D:$D,D3643,'inventory ledger'!$E:$E,E3643,'inventory ledger'!$A:$A,"&lt;="&amp;B3643+TIME(23,59,59)))</f>
        <v/>
      </c>
      <c r="G3643" s="3">
        <f>IFERROR(__xludf.DUMMYFUNCTION("IF(F3643&lt;=0,0,IFERROR(ROUNDUP(F3643/INDEX(FILTER('warehouse config'!$D:$D,('warehouse config'!$B:$B=C3643)*('warehouse config'!$C:$C=D3643)*('warehouse config'!$G:$G&lt;=B3643)*(('warehouse config'!$H:$H&gt;=B3643)+ISBLANK('warehouse config'!$H:$H))),1)),0))"),0.0)</f>
        <v>0</v>
      </c>
      <c r="H3643" s="3">
        <f>IFERROR(__xludf.DUMMYFUNCTION("IFERROR(INDEX(FILTER('cost master'!$E:$E,('cost master'!$B:$B=C3643)*('cost master'!$D:$D=""Storage cost per pallet / week"")*('cost master'!$G:$G&lt;=B3643)*(('cost master'!$H:$H&gt;=B3643)+ISBLANK('cost master'!$H:$H))),1),0)"),0.0)</f>
        <v>0</v>
      </c>
      <c r="I3643" s="3">
        <f t="shared" si="4"/>
        <v>0</v>
      </c>
      <c r="J3643" s="27">
        <f t="shared" si="5"/>
        <v>693947</v>
      </c>
      <c r="K3643" s="27">
        <f t="shared" si="6"/>
        <v>693977</v>
      </c>
    </row>
    <row r="3644" hidden="1">
      <c r="A3644" s="3" t="str">
        <f t="shared" si="3"/>
        <v/>
      </c>
      <c r="B3644" s="2" t="str">
        <f t="array" ref="B3644">INDEX(helper!$A$3:$A3996,ROUNDUP((ROW()-1)/COUNTA(helper!$D$3:$D3996),0))</f>
        <v/>
      </c>
      <c r="C3644" s="5" t="str">
        <f t="array" ref="C3644">IF(B3644="","",INDEX(helper!$D$3:$D3996,MOD(ROW()-2,COUNTA(helper!$D$3:$D3996))+1))</f>
        <v/>
      </c>
      <c r="D3644" s="3" t="str">
        <f t="array" ref="D3644">IF(B3644="","",INDEX(helper!$E$3:$E3996,MOD(ROW()-2,COUNTA(helper!$D$3:$D3996))+1))</f>
        <v/>
      </c>
      <c r="E3644" s="3" t="str">
        <f t="array" ref="E3644">IF(B3644="","",INDEX(helper!$F$3:$F3996,MOD(ROW()-2,COUNTA(helper!$D$3:$D3996))+1))</f>
        <v/>
      </c>
      <c r="F3644" s="3" t="str">
        <f>IF(B3644="","",SUMIFS('inventory ledger'!$H:$H,'inventory ledger'!$C:$C,C3644,'inventory ledger'!$D:$D,D3644,'inventory ledger'!$E:$E,E3644,'inventory ledger'!$A:$A,"&lt;="&amp;B3644+TIME(23,59,59))-SUMIFS('inventory ledger'!$I:$I,'inventory ledger'!$C:$C,C3644,'inventory ledger'!$D:$D,D3644,'inventory ledger'!$E:$E,E3644,'inventory ledger'!$A:$A,"&lt;="&amp;B3644+TIME(23,59,59)))</f>
        <v/>
      </c>
      <c r="G3644" s="3">
        <f>IFERROR(__xludf.DUMMYFUNCTION("IF(F3644&lt;=0,0,IFERROR(ROUNDUP(F3644/INDEX(FILTER('warehouse config'!$D:$D,('warehouse config'!$B:$B=C3644)*('warehouse config'!$C:$C=D3644)*('warehouse config'!$G:$G&lt;=B3644)*(('warehouse config'!$H:$H&gt;=B3644)+ISBLANK('warehouse config'!$H:$H))),1)),0))"),0.0)</f>
        <v>0</v>
      </c>
      <c r="H3644" s="3">
        <f>IFERROR(__xludf.DUMMYFUNCTION("IFERROR(INDEX(FILTER('cost master'!$E:$E,('cost master'!$B:$B=C3644)*('cost master'!$D:$D=""Storage cost per pallet / week"")*('cost master'!$G:$G&lt;=B3644)*(('cost master'!$H:$H&gt;=B3644)+ISBLANK('cost master'!$H:$H))),1),0)"),0.0)</f>
        <v>0</v>
      </c>
      <c r="I3644" s="3">
        <f t="shared" si="4"/>
        <v>0</v>
      </c>
      <c r="J3644" s="27">
        <f t="shared" si="5"/>
        <v>693947</v>
      </c>
      <c r="K3644" s="27">
        <f t="shared" si="6"/>
        <v>693977</v>
      </c>
    </row>
    <row r="3645" hidden="1">
      <c r="A3645" s="3" t="str">
        <f t="shared" si="3"/>
        <v/>
      </c>
      <c r="B3645" s="2" t="str">
        <f t="array" ref="B3645">INDEX(helper!$A$3:$A3996,ROUNDUP((ROW()-1)/COUNTA(helper!$D$3:$D3996),0))</f>
        <v/>
      </c>
      <c r="C3645" s="5" t="str">
        <f t="array" ref="C3645">IF(B3645="","",INDEX(helper!$D$3:$D3996,MOD(ROW()-2,COUNTA(helper!$D$3:$D3996))+1))</f>
        <v/>
      </c>
      <c r="D3645" s="3" t="str">
        <f t="array" ref="D3645">IF(B3645="","",INDEX(helper!$E$3:$E3996,MOD(ROW()-2,COUNTA(helper!$D$3:$D3996))+1))</f>
        <v/>
      </c>
      <c r="E3645" s="3" t="str">
        <f t="array" ref="E3645">IF(B3645="","",INDEX(helper!$F$3:$F3996,MOD(ROW()-2,COUNTA(helper!$D$3:$D3996))+1))</f>
        <v/>
      </c>
      <c r="F3645" s="3" t="str">
        <f>IF(B3645="","",SUMIFS('inventory ledger'!$H:$H,'inventory ledger'!$C:$C,C3645,'inventory ledger'!$D:$D,D3645,'inventory ledger'!$E:$E,E3645,'inventory ledger'!$A:$A,"&lt;="&amp;B3645+TIME(23,59,59))-SUMIFS('inventory ledger'!$I:$I,'inventory ledger'!$C:$C,C3645,'inventory ledger'!$D:$D,D3645,'inventory ledger'!$E:$E,E3645,'inventory ledger'!$A:$A,"&lt;="&amp;B3645+TIME(23,59,59)))</f>
        <v/>
      </c>
      <c r="G3645" s="3">
        <f>IFERROR(__xludf.DUMMYFUNCTION("IF(F3645&lt;=0,0,IFERROR(ROUNDUP(F3645/INDEX(FILTER('warehouse config'!$D:$D,('warehouse config'!$B:$B=C3645)*('warehouse config'!$C:$C=D3645)*('warehouse config'!$G:$G&lt;=B3645)*(('warehouse config'!$H:$H&gt;=B3645)+ISBLANK('warehouse config'!$H:$H))),1)),0))"),0.0)</f>
        <v>0</v>
      </c>
      <c r="H3645" s="3">
        <f>IFERROR(__xludf.DUMMYFUNCTION("IFERROR(INDEX(FILTER('cost master'!$E:$E,('cost master'!$B:$B=C3645)*('cost master'!$D:$D=""Storage cost per pallet / week"")*('cost master'!$G:$G&lt;=B3645)*(('cost master'!$H:$H&gt;=B3645)+ISBLANK('cost master'!$H:$H))),1),0)"),0.0)</f>
        <v>0</v>
      </c>
      <c r="I3645" s="3">
        <f t="shared" si="4"/>
        <v>0</v>
      </c>
      <c r="J3645" s="27">
        <f t="shared" si="5"/>
        <v>693947</v>
      </c>
      <c r="K3645" s="27">
        <f t="shared" si="6"/>
        <v>693977</v>
      </c>
    </row>
    <row r="3646" hidden="1">
      <c r="A3646" s="3" t="str">
        <f t="shared" si="3"/>
        <v/>
      </c>
      <c r="B3646" s="2" t="str">
        <f t="array" ref="B3646">INDEX(helper!$A$3:$A3996,ROUNDUP((ROW()-1)/COUNTA(helper!$D$3:$D3996),0))</f>
        <v/>
      </c>
      <c r="C3646" s="5" t="str">
        <f t="array" ref="C3646">IF(B3646="","",INDEX(helper!$D$3:$D3996,MOD(ROW()-2,COUNTA(helper!$D$3:$D3996))+1))</f>
        <v/>
      </c>
      <c r="D3646" s="3" t="str">
        <f t="array" ref="D3646">IF(B3646="","",INDEX(helper!$E$3:$E3996,MOD(ROW()-2,COUNTA(helper!$D$3:$D3996))+1))</f>
        <v/>
      </c>
      <c r="E3646" s="3" t="str">
        <f t="array" ref="E3646">IF(B3646="","",INDEX(helper!$F$3:$F3996,MOD(ROW()-2,COUNTA(helper!$D$3:$D3996))+1))</f>
        <v/>
      </c>
      <c r="F3646" s="3" t="str">
        <f>IF(B3646="","",SUMIFS('inventory ledger'!$H:$H,'inventory ledger'!$C:$C,C3646,'inventory ledger'!$D:$D,D3646,'inventory ledger'!$E:$E,E3646,'inventory ledger'!$A:$A,"&lt;="&amp;B3646+TIME(23,59,59))-SUMIFS('inventory ledger'!$I:$I,'inventory ledger'!$C:$C,C3646,'inventory ledger'!$D:$D,D3646,'inventory ledger'!$E:$E,E3646,'inventory ledger'!$A:$A,"&lt;="&amp;B3646+TIME(23,59,59)))</f>
        <v/>
      </c>
      <c r="G3646" s="3">
        <f>IFERROR(__xludf.DUMMYFUNCTION("IF(F3646&lt;=0,0,IFERROR(ROUNDUP(F3646/INDEX(FILTER('warehouse config'!$D:$D,('warehouse config'!$B:$B=C3646)*('warehouse config'!$C:$C=D3646)*('warehouse config'!$G:$G&lt;=B3646)*(('warehouse config'!$H:$H&gt;=B3646)+ISBLANK('warehouse config'!$H:$H))),1)),0))"),0.0)</f>
        <v>0</v>
      </c>
      <c r="H3646" s="3">
        <f>IFERROR(__xludf.DUMMYFUNCTION("IFERROR(INDEX(FILTER('cost master'!$E:$E,('cost master'!$B:$B=C3646)*('cost master'!$D:$D=""Storage cost per pallet / week"")*('cost master'!$G:$G&lt;=B3646)*(('cost master'!$H:$H&gt;=B3646)+ISBLANK('cost master'!$H:$H))),1),0)"),0.0)</f>
        <v>0</v>
      </c>
      <c r="I3646" s="3">
        <f t="shared" si="4"/>
        <v>0</v>
      </c>
      <c r="J3646" s="27">
        <f t="shared" si="5"/>
        <v>693947</v>
      </c>
      <c r="K3646" s="27">
        <f t="shared" si="6"/>
        <v>693977</v>
      </c>
    </row>
    <row r="3647" hidden="1">
      <c r="A3647" s="3" t="str">
        <f t="shared" si="3"/>
        <v/>
      </c>
      <c r="B3647" s="2" t="str">
        <f t="array" ref="B3647">INDEX(helper!$A$3:$A3996,ROUNDUP((ROW()-1)/COUNTA(helper!$D$3:$D3996),0))</f>
        <v/>
      </c>
      <c r="C3647" s="5" t="str">
        <f t="array" ref="C3647">IF(B3647="","",INDEX(helper!$D$3:$D3996,MOD(ROW()-2,COUNTA(helper!$D$3:$D3996))+1))</f>
        <v/>
      </c>
      <c r="D3647" s="3" t="str">
        <f t="array" ref="D3647">IF(B3647="","",INDEX(helper!$E$3:$E3996,MOD(ROW()-2,COUNTA(helper!$D$3:$D3996))+1))</f>
        <v/>
      </c>
      <c r="E3647" s="3" t="str">
        <f t="array" ref="E3647">IF(B3647="","",INDEX(helper!$F$3:$F3996,MOD(ROW()-2,COUNTA(helper!$D$3:$D3996))+1))</f>
        <v/>
      </c>
      <c r="F3647" s="3" t="str">
        <f>IF(B3647="","",SUMIFS('inventory ledger'!$H:$H,'inventory ledger'!$C:$C,C3647,'inventory ledger'!$D:$D,D3647,'inventory ledger'!$E:$E,E3647,'inventory ledger'!$A:$A,"&lt;="&amp;B3647+TIME(23,59,59))-SUMIFS('inventory ledger'!$I:$I,'inventory ledger'!$C:$C,C3647,'inventory ledger'!$D:$D,D3647,'inventory ledger'!$E:$E,E3647,'inventory ledger'!$A:$A,"&lt;="&amp;B3647+TIME(23,59,59)))</f>
        <v/>
      </c>
      <c r="G3647" s="3">
        <f>IFERROR(__xludf.DUMMYFUNCTION("IF(F3647&lt;=0,0,IFERROR(ROUNDUP(F3647/INDEX(FILTER('warehouse config'!$D:$D,('warehouse config'!$B:$B=C3647)*('warehouse config'!$C:$C=D3647)*('warehouse config'!$G:$G&lt;=B3647)*(('warehouse config'!$H:$H&gt;=B3647)+ISBLANK('warehouse config'!$H:$H))),1)),0))"),0.0)</f>
        <v>0</v>
      </c>
      <c r="H3647" s="3">
        <f>IFERROR(__xludf.DUMMYFUNCTION("IFERROR(INDEX(FILTER('cost master'!$E:$E,('cost master'!$B:$B=C3647)*('cost master'!$D:$D=""Storage cost per pallet / week"")*('cost master'!$G:$G&lt;=B3647)*(('cost master'!$H:$H&gt;=B3647)+ISBLANK('cost master'!$H:$H))),1),0)"),0.0)</f>
        <v>0</v>
      </c>
      <c r="I3647" s="3">
        <f t="shared" si="4"/>
        <v>0</v>
      </c>
      <c r="J3647" s="27">
        <f t="shared" si="5"/>
        <v>693947</v>
      </c>
      <c r="K3647" s="27">
        <f t="shared" si="6"/>
        <v>693977</v>
      </c>
    </row>
    <row r="3648" hidden="1">
      <c r="A3648" s="3" t="str">
        <f t="shared" si="3"/>
        <v/>
      </c>
      <c r="B3648" s="2" t="str">
        <f t="array" ref="B3648">INDEX(helper!$A$3:$A3996,ROUNDUP((ROW()-1)/COUNTA(helper!$D$3:$D3996),0))</f>
        <v/>
      </c>
      <c r="C3648" s="5" t="str">
        <f t="array" ref="C3648">IF(B3648="","",INDEX(helper!$D$3:$D3996,MOD(ROW()-2,COUNTA(helper!$D$3:$D3996))+1))</f>
        <v/>
      </c>
      <c r="D3648" s="3" t="str">
        <f t="array" ref="D3648">IF(B3648="","",INDEX(helper!$E$3:$E3996,MOD(ROW()-2,COUNTA(helper!$D$3:$D3996))+1))</f>
        <v/>
      </c>
      <c r="E3648" s="3" t="str">
        <f t="array" ref="E3648">IF(B3648="","",INDEX(helper!$F$3:$F3996,MOD(ROW()-2,COUNTA(helper!$D$3:$D3996))+1))</f>
        <v/>
      </c>
      <c r="F3648" s="3" t="str">
        <f>IF(B3648="","",SUMIFS('inventory ledger'!$H:$H,'inventory ledger'!$C:$C,C3648,'inventory ledger'!$D:$D,D3648,'inventory ledger'!$E:$E,E3648,'inventory ledger'!$A:$A,"&lt;="&amp;B3648+TIME(23,59,59))-SUMIFS('inventory ledger'!$I:$I,'inventory ledger'!$C:$C,C3648,'inventory ledger'!$D:$D,D3648,'inventory ledger'!$E:$E,E3648,'inventory ledger'!$A:$A,"&lt;="&amp;B3648+TIME(23,59,59)))</f>
        <v/>
      </c>
      <c r="G3648" s="3">
        <f>IFERROR(__xludf.DUMMYFUNCTION("IF(F3648&lt;=0,0,IFERROR(ROUNDUP(F3648/INDEX(FILTER('warehouse config'!$D:$D,('warehouse config'!$B:$B=C3648)*('warehouse config'!$C:$C=D3648)*('warehouse config'!$G:$G&lt;=B3648)*(('warehouse config'!$H:$H&gt;=B3648)+ISBLANK('warehouse config'!$H:$H))),1)),0))"),0.0)</f>
        <v>0</v>
      </c>
      <c r="H3648" s="3">
        <f>IFERROR(__xludf.DUMMYFUNCTION("IFERROR(INDEX(FILTER('cost master'!$E:$E,('cost master'!$B:$B=C3648)*('cost master'!$D:$D=""Storage cost per pallet / week"")*('cost master'!$G:$G&lt;=B3648)*(('cost master'!$H:$H&gt;=B3648)+ISBLANK('cost master'!$H:$H))),1),0)"),0.0)</f>
        <v>0</v>
      </c>
      <c r="I3648" s="3">
        <f t="shared" si="4"/>
        <v>0</v>
      </c>
      <c r="J3648" s="27">
        <f t="shared" si="5"/>
        <v>693947</v>
      </c>
      <c r="K3648" s="27">
        <f t="shared" si="6"/>
        <v>693977</v>
      </c>
    </row>
    <row r="3649" hidden="1">
      <c r="A3649" s="3" t="str">
        <f t="shared" si="3"/>
        <v/>
      </c>
      <c r="B3649" s="2" t="str">
        <f t="array" ref="B3649">INDEX(helper!$A$3:$A3996,ROUNDUP((ROW()-1)/COUNTA(helper!$D$3:$D3996),0))</f>
        <v/>
      </c>
      <c r="C3649" s="5" t="str">
        <f t="array" ref="C3649">IF(B3649="","",INDEX(helper!$D$3:$D3996,MOD(ROW()-2,COUNTA(helper!$D$3:$D3996))+1))</f>
        <v/>
      </c>
      <c r="D3649" s="3" t="str">
        <f t="array" ref="D3649">IF(B3649="","",INDEX(helper!$E$3:$E3996,MOD(ROW()-2,COUNTA(helper!$D$3:$D3996))+1))</f>
        <v/>
      </c>
      <c r="E3649" s="3" t="str">
        <f t="array" ref="E3649">IF(B3649="","",INDEX(helper!$F$3:$F3996,MOD(ROW()-2,COUNTA(helper!$D$3:$D3996))+1))</f>
        <v/>
      </c>
      <c r="F3649" s="3" t="str">
        <f>IF(B3649="","",SUMIFS('inventory ledger'!$H:$H,'inventory ledger'!$C:$C,C3649,'inventory ledger'!$D:$D,D3649,'inventory ledger'!$E:$E,E3649,'inventory ledger'!$A:$A,"&lt;="&amp;B3649+TIME(23,59,59))-SUMIFS('inventory ledger'!$I:$I,'inventory ledger'!$C:$C,C3649,'inventory ledger'!$D:$D,D3649,'inventory ledger'!$E:$E,E3649,'inventory ledger'!$A:$A,"&lt;="&amp;B3649+TIME(23,59,59)))</f>
        <v/>
      </c>
      <c r="G3649" s="3">
        <f>IFERROR(__xludf.DUMMYFUNCTION("IF(F3649&lt;=0,0,IFERROR(ROUNDUP(F3649/INDEX(FILTER('warehouse config'!$D:$D,('warehouse config'!$B:$B=C3649)*('warehouse config'!$C:$C=D3649)*('warehouse config'!$G:$G&lt;=B3649)*(('warehouse config'!$H:$H&gt;=B3649)+ISBLANK('warehouse config'!$H:$H))),1)),0))"),0.0)</f>
        <v>0</v>
      </c>
      <c r="H3649" s="3">
        <f>IFERROR(__xludf.DUMMYFUNCTION("IFERROR(INDEX(FILTER('cost master'!$E:$E,('cost master'!$B:$B=C3649)*('cost master'!$D:$D=""Storage cost per pallet / week"")*('cost master'!$G:$G&lt;=B3649)*(('cost master'!$H:$H&gt;=B3649)+ISBLANK('cost master'!$H:$H))),1),0)"),0.0)</f>
        <v>0</v>
      </c>
      <c r="I3649" s="3">
        <f t="shared" si="4"/>
        <v>0</v>
      </c>
      <c r="J3649" s="27">
        <f t="shared" si="5"/>
        <v>693947</v>
      </c>
      <c r="K3649" s="27">
        <f t="shared" si="6"/>
        <v>693977</v>
      </c>
    </row>
    <row r="3650" hidden="1">
      <c r="A3650" s="3" t="str">
        <f t="shared" si="3"/>
        <v/>
      </c>
      <c r="B3650" s="2" t="str">
        <f t="array" ref="B3650">INDEX(helper!$A$3:$A3996,ROUNDUP((ROW()-1)/COUNTA(helper!$D$3:$D3996),0))</f>
        <v/>
      </c>
      <c r="C3650" s="5" t="str">
        <f t="array" ref="C3650">IF(B3650="","",INDEX(helper!$D$3:$D3996,MOD(ROW()-2,COUNTA(helper!$D$3:$D3996))+1))</f>
        <v/>
      </c>
      <c r="D3650" s="3" t="str">
        <f t="array" ref="D3650">IF(B3650="","",INDEX(helper!$E$3:$E3996,MOD(ROW()-2,COUNTA(helper!$D$3:$D3996))+1))</f>
        <v/>
      </c>
      <c r="E3650" s="3" t="str">
        <f t="array" ref="E3650">IF(B3650="","",INDEX(helper!$F$3:$F3996,MOD(ROW()-2,COUNTA(helper!$D$3:$D3996))+1))</f>
        <v/>
      </c>
      <c r="F3650" s="3" t="str">
        <f>IF(B3650="","",SUMIFS('inventory ledger'!$H:$H,'inventory ledger'!$C:$C,C3650,'inventory ledger'!$D:$D,D3650,'inventory ledger'!$E:$E,E3650,'inventory ledger'!$A:$A,"&lt;="&amp;B3650+TIME(23,59,59))-SUMIFS('inventory ledger'!$I:$I,'inventory ledger'!$C:$C,C3650,'inventory ledger'!$D:$D,D3650,'inventory ledger'!$E:$E,E3650,'inventory ledger'!$A:$A,"&lt;="&amp;B3650+TIME(23,59,59)))</f>
        <v/>
      </c>
      <c r="G3650" s="3">
        <f>IFERROR(__xludf.DUMMYFUNCTION("IF(F3650&lt;=0,0,IFERROR(ROUNDUP(F3650/INDEX(FILTER('warehouse config'!$D:$D,('warehouse config'!$B:$B=C3650)*('warehouse config'!$C:$C=D3650)*('warehouse config'!$G:$G&lt;=B3650)*(('warehouse config'!$H:$H&gt;=B3650)+ISBLANK('warehouse config'!$H:$H))),1)),0))"),0.0)</f>
        <v>0</v>
      </c>
      <c r="H3650" s="3">
        <f>IFERROR(__xludf.DUMMYFUNCTION("IFERROR(INDEX(FILTER('cost master'!$E:$E,('cost master'!$B:$B=C3650)*('cost master'!$D:$D=""Storage cost per pallet / week"")*('cost master'!$G:$G&lt;=B3650)*(('cost master'!$H:$H&gt;=B3650)+ISBLANK('cost master'!$H:$H))),1),0)"),0.0)</f>
        <v>0</v>
      </c>
      <c r="I3650" s="3">
        <f t="shared" si="4"/>
        <v>0</v>
      </c>
      <c r="J3650" s="27">
        <f t="shared" si="5"/>
        <v>693947</v>
      </c>
      <c r="K3650" s="27">
        <f t="shared" si="6"/>
        <v>693977</v>
      </c>
    </row>
    <row r="3651" hidden="1">
      <c r="A3651" s="3" t="str">
        <f t="shared" si="3"/>
        <v/>
      </c>
      <c r="B3651" s="2" t="str">
        <f t="array" ref="B3651">INDEX(helper!$A$3:$A3996,ROUNDUP((ROW()-1)/COUNTA(helper!$D$3:$D3996),0))</f>
        <v/>
      </c>
      <c r="C3651" s="5" t="str">
        <f t="array" ref="C3651">IF(B3651="","",INDEX(helper!$D$3:$D3996,MOD(ROW()-2,COUNTA(helper!$D$3:$D3996))+1))</f>
        <v/>
      </c>
      <c r="D3651" s="3" t="str">
        <f t="array" ref="D3651">IF(B3651="","",INDEX(helper!$E$3:$E3996,MOD(ROW()-2,COUNTA(helper!$D$3:$D3996))+1))</f>
        <v/>
      </c>
      <c r="E3651" s="3" t="str">
        <f t="array" ref="E3651">IF(B3651="","",INDEX(helper!$F$3:$F3996,MOD(ROW()-2,COUNTA(helper!$D$3:$D3996))+1))</f>
        <v/>
      </c>
      <c r="F3651" s="3" t="str">
        <f>IF(B3651="","",SUMIFS('inventory ledger'!$H:$H,'inventory ledger'!$C:$C,C3651,'inventory ledger'!$D:$D,D3651,'inventory ledger'!$E:$E,E3651,'inventory ledger'!$A:$A,"&lt;="&amp;B3651+TIME(23,59,59))-SUMIFS('inventory ledger'!$I:$I,'inventory ledger'!$C:$C,C3651,'inventory ledger'!$D:$D,D3651,'inventory ledger'!$E:$E,E3651,'inventory ledger'!$A:$A,"&lt;="&amp;B3651+TIME(23,59,59)))</f>
        <v/>
      </c>
      <c r="G3651" s="3">
        <f>IFERROR(__xludf.DUMMYFUNCTION("IF(F3651&lt;=0,0,IFERROR(ROUNDUP(F3651/INDEX(FILTER('warehouse config'!$D:$D,('warehouse config'!$B:$B=C3651)*('warehouse config'!$C:$C=D3651)*('warehouse config'!$G:$G&lt;=B3651)*(('warehouse config'!$H:$H&gt;=B3651)+ISBLANK('warehouse config'!$H:$H))),1)),0))"),0.0)</f>
        <v>0</v>
      </c>
      <c r="H3651" s="3">
        <f>IFERROR(__xludf.DUMMYFUNCTION("IFERROR(INDEX(FILTER('cost master'!$E:$E,('cost master'!$B:$B=C3651)*('cost master'!$D:$D=""Storage cost per pallet / week"")*('cost master'!$G:$G&lt;=B3651)*(('cost master'!$H:$H&gt;=B3651)+ISBLANK('cost master'!$H:$H))),1),0)"),0.0)</f>
        <v>0</v>
      </c>
      <c r="I3651" s="3">
        <f t="shared" si="4"/>
        <v>0</v>
      </c>
      <c r="J3651" s="27">
        <f t="shared" si="5"/>
        <v>693947</v>
      </c>
      <c r="K3651" s="27">
        <f t="shared" si="6"/>
        <v>693977</v>
      </c>
    </row>
    <row r="3652" hidden="1">
      <c r="A3652" s="3" t="str">
        <f t="shared" si="3"/>
        <v/>
      </c>
      <c r="B3652" s="2" t="str">
        <f t="array" ref="B3652">INDEX(helper!$A$3:$A3996,ROUNDUP((ROW()-1)/COUNTA(helper!$D$3:$D3996),0))</f>
        <v/>
      </c>
      <c r="C3652" s="5" t="str">
        <f t="array" ref="C3652">IF(B3652="","",INDEX(helper!$D$3:$D3996,MOD(ROW()-2,COUNTA(helper!$D$3:$D3996))+1))</f>
        <v/>
      </c>
      <c r="D3652" s="3" t="str">
        <f t="array" ref="D3652">IF(B3652="","",INDEX(helper!$E$3:$E3996,MOD(ROW()-2,COUNTA(helper!$D$3:$D3996))+1))</f>
        <v/>
      </c>
      <c r="E3652" s="3" t="str">
        <f t="array" ref="E3652">IF(B3652="","",INDEX(helper!$F$3:$F3996,MOD(ROW()-2,COUNTA(helper!$D$3:$D3996))+1))</f>
        <v/>
      </c>
      <c r="F3652" s="3" t="str">
        <f>IF(B3652="","",SUMIFS('inventory ledger'!$H:$H,'inventory ledger'!$C:$C,C3652,'inventory ledger'!$D:$D,D3652,'inventory ledger'!$E:$E,E3652,'inventory ledger'!$A:$A,"&lt;="&amp;B3652+TIME(23,59,59))-SUMIFS('inventory ledger'!$I:$I,'inventory ledger'!$C:$C,C3652,'inventory ledger'!$D:$D,D3652,'inventory ledger'!$E:$E,E3652,'inventory ledger'!$A:$A,"&lt;="&amp;B3652+TIME(23,59,59)))</f>
        <v/>
      </c>
      <c r="G3652" s="3">
        <f>IFERROR(__xludf.DUMMYFUNCTION("IF(F3652&lt;=0,0,IFERROR(ROUNDUP(F3652/INDEX(FILTER('warehouse config'!$D:$D,('warehouse config'!$B:$B=C3652)*('warehouse config'!$C:$C=D3652)*('warehouse config'!$G:$G&lt;=B3652)*(('warehouse config'!$H:$H&gt;=B3652)+ISBLANK('warehouse config'!$H:$H))),1)),0))"),0.0)</f>
        <v>0</v>
      </c>
      <c r="H3652" s="3">
        <f>IFERROR(__xludf.DUMMYFUNCTION("IFERROR(INDEX(FILTER('cost master'!$E:$E,('cost master'!$B:$B=C3652)*('cost master'!$D:$D=""Storage cost per pallet / week"")*('cost master'!$G:$G&lt;=B3652)*(('cost master'!$H:$H&gt;=B3652)+ISBLANK('cost master'!$H:$H))),1),0)"),0.0)</f>
        <v>0</v>
      </c>
      <c r="I3652" s="3">
        <f t="shared" si="4"/>
        <v>0</v>
      </c>
      <c r="J3652" s="27">
        <f t="shared" si="5"/>
        <v>693947</v>
      </c>
      <c r="K3652" s="27">
        <f t="shared" si="6"/>
        <v>693977</v>
      </c>
    </row>
    <row r="3653" hidden="1">
      <c r="A3653" s="3" t="str">
        <f t="shared" si="3"/>
        <v/>
      </c>
      <c r="B3653" s="2" t="str">
        <f t="array" ref="B3653">INDEX(helper!$A$3:$A3996,ROUNDUP((ROW()-1)/COUNTA(helper!$D$3:$D3996),0))</f>
        <v/>
      </c>
      <c r="C3653" s="5" t="str">
        <f t="array" ref="C3653">IF(B3653="","",INDEX(helper!$D$3:$D3996,MOD(ROW()-2,COUNTA(helper!$D$3:$D3996))+1))</f>
        <v/>
      </c>
      <c r="D3653" s="3" t="str">
        <f t="array" ref="D3653">IF(B3653="","",INDEX(helper!$E$3:$E3996,MOD(ROW()-2,COUNTA(helper!$D$3:$D3996))+1))</f>
        <v/>
      </c>
      <c r="E3653" s="3" t="str">
        <f t="array" ref="E3653">IF(B3653="","",INDEX(helper!$F$3:$F3996,MOD(ROW()-2,COUNTA(helper!$D$3:$D3996))+1))</f>
        <v/>
      </c>
      <c r="F3653" s="3" t="str">
        <f>IF(B3653="","",SUMIFS('inventory ledger'!$H:$H,'inventory ledger'!$C:$C,C3653,'inventory ledger'!$D:$D,D3653,'inventory ledger'!$E:$E,E3653,'inventory ledger'!$A:$A,"&lt;="&amp;B3653+TIME(23,59,59))-SUMIFS('inventory ledger'!$I:$I,'inventory ledger'!$C:$C,C3653,'inventory ledger'!$D:$D,D3653,'inventory ledger'!$E:$E,E3653,'inventory ledger'!$A:$A,"&lt;="&amp;B3653+TIME(23,59,59)))</f>
        <v/>
      </c>
      <c r="G3653" s="3">
        <f>IFERROR(__xludf.DUMMYFUNCTION("IF(F3653&lt;=0,0,IFERROR(ROUNDUP(F3653/INDEX(FILTER('warehouse config'!$D:$D,('warehouse config'!$B:$B=C3653)*('warehouse config'!$C:$C=D3653)*('warehouse config'!$G:$G&lt;=B3653)*(('warehouse config'!$H:$H&gt;=B3653)+ISBLANK('warehouse config'!$H:$H))),1)),0))"),0.0)</f>
        <v>0</v>
      </c>
      <c r="H3653" s="3">
        <f>IFERROR(__xludf.DUMMYFUNCTION("IFERROR(INDEX(FILTER('cost master'!$E:$E,('cost master'!$B:$B=C3653)*('cost master'!$D:$D=""Storage cost per pallet / week"")*('cost master'!$G:$G&lt;=B3653)*(('cost master'!$H:$H&gt;=B3653)+ISBLANK('cost master'!$H:$H))),1),0)"),0.0)</f>
        <v>0</v>
      </c>
      <c r="I3653" s="3">
        <f t="shared" si="4"/>
        <v>0</v>
      </c>
      <c r="J3653" s="27">
        <f t="shared" si="5"/>
        <v>693947</v>
      </c>
      <c r="K3653" s="27">
        <f t="shared" si="6"/>
        <v>693977</v>
      </c>
    </row>
    <row r="3654" hidden="1">
      <c r="A3654" s="3" t="str">
        <f t="shared" si="3"/>
        <v/>
      </c>
      <c r="B3654" s="2" t="str">
        <f t="array" ref="B3654">INDEX(helper!$A$3:$A3996,ROUNDUP((ROW()-1)/COUNTA(helper!$D$3:$D3996),0))</f>
        <v/>
      </c>
      <c r="C3654" s="5" t="str">
        <f t="array" ref="C3654">IF(B3654="","",INDEX(helper!$D$3:$D3996,MOD(ROW()-2,COUNTA(helper!$D$3:$D3996))+1))</f>
        <v/>
      </c>
      <c r="D3654" s="3" t="str">
        <f t="array" ref="D3654">IF(B3654="","",INDEX(helper!$E$3:$E3996,MOD(ROW()-2,COUNTA(helper!$D$3:$D3996))+1))</f>
        <v/>
      </c>
      <c r="E3654" s="3" t="str">
        <f t="array" ref="E3654">IF(B3654="","",INDEX(helper!$F$3:$F3996,MOD(ROW()-2,COUNTA(helper!$D$3:$D3996))+1))</f>
        <v/>
      </c>
      <c r="F3654" s="3" t="str">
        <f>IF(B3654="","",SUMIFS('inventory ledger'!$H:$H,'inventory ledger'!$C:$C,C3654,'inventory ledger'!$D:$D,D3654,'inventory ledger'!$E:$E,E3654,'inventory ledger'!$A:$A,"&lt;="&amp;B3654+TIME(23,59,59))-SUMIFS('inventory ledger'!$I:$I,'inventory ledger'!$C:$C,C3654,'inventory ledger'!$D:$D,D3654,'inventory ledger'!$E:$E,E3654,'inventory ledger'!$A:$A,"&lt;="&amp;B3654+TIME(23,59,59)))</f>
        <v/>
      </c>
      <c r="G3654" s="3">
        <f>IFERROR(__xludf.DUMMYFUNCTION("IF(F3654&lt;=0,0,IFERROR(ROUNDUP(F3654/INDEX(FILTER('warehouse config'!$D:$D,('warehouse config'!$B:$B=C3654)*('warehouse config'!$C:$C=D3654)*('warehouse config'!$G:$G&lt;=B3654)*(('warehouse config'!$H:$H&gt;=B3654)+ISBLANK('warehouse config'!$H:$H))),1)),0))"),0.0)</f>
        <v>0</v>
      </c>
      <c r="H3654" s="3">
        <f>IFERROR(__xludf.DUMMYFUNCTION("IFERROR(INDEX(FILTER('cost master'!$E:$E,('cost master'!$B:$B=C3654)*('cost master'!$D:$D=""Storage cost per pallet / week"")*('cost master'!$G:$G&lt;=B3654)*(('cost master'!$H:$H&gt;=B3654)+ISBLANK('cost master'!$H:$H))),1),0)"),0.0)</f>
        <v>0</v>
      </c>
      <c r="I3654" s="3">
        <f t="shared" si="4"/>
        <v>0</v>
      </c>
      <c r="J3654" s="27">
        <f t="shared" si="5"/>
        <v>693947</v>
      </c>
      <c r="K3654" s="27">
        <f t="shared" si="6"/>
        <v>693977</v>
      </c>
    </row>
    <row r="3655" hidden="1">
      <c r="A3655" s="3" t="str">
        <f t="shared" si="3"/>
        <v/>
      </c>
      <c r="B3655" s="2" t="str">
        <f t="array" ref="B3655">INDEX(helper!$A$3:$A3996,ROUNDUP((ROW()-1)/COUNTA(helper!$D$3:$D3996),0))</f>
        <v/>
      </c>
      <c r="C3655" s="5" t="str">
        <f t="array" ref="C3655">IF(B3655="","",INDEX(helper!$D$3:$D3996,MOD(ROW()-2,COUNTA(helper!$D$3:$D3996))+1))</f>
        <v/>
      </c>
      <c r="D3655" s="3" t="str">
        <f t="array" ref="D3655">IF(B3655="","",INDEX(helper!$E$3:$E3996,MOD(ROW()-2,COUNTA(helper!$D$3:$D3996))+1))</f>
        <v/>
      </c>
      <c r="E3655" s="3" t="str">
        <f t="array" ref="E3655">IF(B3655="","",INDEX(helper!$F$3:$F3996,MOD(ROW()-2,COUNTA(helper!$D$3:$D3996))+1))</f>
        <v/>
      </c>
      <c r="F3655" s="3" t="str">
        <f>IF(B3655="","",SUMIFS('inventory ledger'!$H:$H,'inventory ledger'!$C:$C,C3655,'inventory ledger'!$D:$D,D3655,'inventory ledger'!$E:$E,E3655,'inventory ledger'!$A:$A,"&lt;="&amp;B3655+TIME(23,59,59))-SUMIFS('inventory ledger'!$I:$I,'inventory ledger'!$C:$C,C3655,'inventory ledger'!$D:$D,D3655,'inventory ledger'!$E:$E,E3655,'inventory ledger'!$A:$A,"&lt;="&amp;B3655+TIME(23,59,59)))</f>
        <v/>
      </c>
      <c r="G3655" s="3">
        <f>IFERROR(__xludf.DUMMYFUNCTION("IF(F3655&lt;=0,0,IFERROR(ROUNDUP(F3655/INDEX(FILTER('warehouse config'!$D:$D,('warehouse config'!$B:$B=C3655)*('warehouse config'!$C:$C=D3655)*('warehouse config'!$G:$G&lt;=B3655)*(('warehouse config'!$H:$H&gt;=B3655)+ISBLANK('warehouse config'!$H:$H))),1)),0))"),0.0)</f>
        <v>0</v>
      </c>
      <c r="H3655" s="3">
        <f>IFERROR(__xludf.DUMMYFUNCTION("IFERROR(INDEX(FILTER('cost master'!$E:$E,('cost master'!$B:$B=C3655)*('cost master'!$D:$D=""Storage cost per pallet / week"")*('cost master'!$G:$G&lt;=B3655)*(('cost master'!$H:$H&gt;=B3655)+ISBLANK('cost master'!$H:$H))),1),0)"),0.0)</f>
        <v>0</v>
      </c>
      <c r="I3655" s="3">
        <f t="shared" si="4"/>
        <v>0</v>
      </c>
      <c r="J3655" s="27">
        <f t="shared" si="5"/>
        <v>693947</v>
      </c>
      <c r="K3655" s="27">
        <f t="shared" si="6"/>
        <v>693977</v>
      </c>
    </row>
    <row r="3656" hidden="1">
      <c r="A3656" s="3" t="str">
        <f t="shared" si="3"/>
        <v/>
      </c>
      <c r="B3656" s="2" t="str">
        <f t="array" ref="B3656">INDEX(helper!$A$3:$A3996,ROUNDUP((ROW()-1)/COUNTA(helper!$D$3:$D3996),0))</f>
        <v/>
      </c>
      <c r="C3656" s="5" t="str">
        <f t="array" ref="C3656">IF(B3656="","",INDEX(helper!$D$3:$D3996,MOD(ROW()-2,COUNTA(helper!$D$3:$D3996))+1))</f>
        <v/>
      </c>
      <c r="D3656" s="3" t="str">
        <f t="array" ref="D3656">IF(B3656="","",INDEX(helper!$E$3:$E3996,MOD(ROW()-2,COUNTA(helper!$D$3:$D3996))+1))</f>
        <v/>
      </c>
      <c r="E3656" s="3" t="str">
        <f t="array" ref="E3656">IF(B3656="","",INDEX(helper!$F$3:$F3996,MOD(ROW()-2,COUNTA(helper!$D$3:$D3996))+1))</f>
        <v/>
      </c>
      <c r="F3656" s="3" t="str">
        <f>IF(B3656="","",SUMIFS('inventory ledger'!$H:$H,'inventory ledger'!$C:$C,C3656,'inventory ledger'!$D:$D,D3656,'inventory ledger'!$E:$E,E3656,'inventory ledger'!$A:$A,"&lt;="&amp;B3656+TIME(23,59,59))-SUMIFS('inventory ledger'!$I:$I,'inventory ledger'!$C:$C,C3656,'inventory ledger'!$D:$D,D3656,'inventory ledger'!$E:$E,E3656,'inventory ledger'!$A:$A,"&lt;="&amp;B3656+TIME(23,59,59)))</f>
        <v/>
      </c>
      <c r="G3656" s="3">
        <f>IFERROR(__xludf.DUMMYFUNCTION("IF(F3656&lt;=0,0,IFERROR(ROUNDUP(F3656/INDEX(FILTER('warehouse config'!$D:$D,('warehouse config'!$B:$B=C3656)*('warehouse config'!$C:$C=D3656)*('warehouse config'!$G:$G&lt;=B3656)*(('warehouse config'!$H:$H&gt;=B3656)+ISBLANK('warehouse config'!$H:$H))),1)),0))"),0.0)</f>
        <v>0</v>
      </c>
      <c r="H3656" s="3">
        <f>IFERROR(__xludf.DUMMYFUNCTION("IFERROR(INDEX(FILTER('cost master'!$E:$E,('cost master'!$B:$B=C3656)*('cost master'!$D:$D=""Storage cost per pallet / week"")*('cost master'!$G:$G&lt;=B3656)*(('cost master'!$H:$H&gt;=B3656)+ISBLANK('cost master'!$H:$H))),1),0)"),0.0)</f>
        <v>0</v>
      </c>
      <c r="I3656" s="3">
        <f t="shared" si="4"/>
        <v>0</v>
      </c>
      <c r="J3656" s="27">
        <f t="shared" si="5"/>
        <v>693947</v>
      </c>
      <c r="K3656" s="27">
        <f t="shared" si="6"/>
        <v>693977</v>
      </c>
    </row>
    <row r="3657" hidden="1">
      <c r="A3657" s="3" t="str">
        <f t="shared" si="3"/>
        <v/>
      </c>
      <c r="B3657" s="2" t="str">
        <f t="array" ref="B3657">INDEX(helper!$A$3:$A3996,ROUNDUP((ROW()-1)/COUNTA(helper!$D$3:$D3996),0))</f>
        <v/>
      </c>
      <c r="C3657" s="5" t="str">
        <f t="array" ref="C3657">IF(B3657="","",INDEX(helper!$D$3:$D3996,MOD(ROW()-2,COUNTA(helper!$D$3:$D3996))+1))</f>
        <v/>
      </c>
      <c r="D3657" s="3" t="str">
        <f t="array" ref="D3657">IF(B3657="","",INDEX(helper!$E$3:$E3996,MOD(ROW()-2,COUNTA(helper!$D$3:$D3996))+1))</f>
        <v/>
      </c>
      <c r="E3657" s="3" t="str">
        <f t="array" ref="E3657">IF(B3657="","",INDEX(helper!$F$3:$F3996,MOD(ROW()-2,COUNTA(helper!$D$3:$D3996))+1))</f>
        <v/>
      </c>
      <c r="F3657" s="3" t="str">
        <f>IF(B3657="","",SUMIFS('inventory ledger'!$H:$H,'inventory ledger'!$C:$C,C3657,'inventory ledger'!$D:$D,D3657,'inventory ledger'!$E:$E,E3657,'inventory ledger'!$A:$A,"&lt;="&amp;B3657+TIME(23,59,59))-SUMIFS('inventory ledger'!$I:$I,'inventory ledger'!$C:$C,C3657,'inventory ledger'!$D:$D,D3657,'inventory ledger'!$E:$E,E3657,'inventory ledger'!$A:$A,"&lt;="&amp;B3657+TIME(23,59,59)))</f>
        <v/>
      </c>
      <c r="G3657" s="3">
        <f>IFERROR(__xludf.DUMMYFUNCTION("IF(F3657&lt;=0,0,IFERROR(ROUNDUP(F3657/INDEX(FILTER('warehouse config'!$D:$D,('warehouse config'!$B:$B=C3657)*('warehouse config'!$C:$C=D3657)*('warehouse config'!$G:$G&lt;=B3657)*(('warehouse config'!$H:$H&gt;=B3657)+ISBLANK('warehouse config'!$H:$H))),1)),0))"),0.0)</f>
        <v>0</v>
      </c>
      <c r="H3657" s="3">
        <f>IFERROR(__xludf.DUMMYFUNCTION("IFERROR(INDEX(FILTER('cost master'!$E:$E,('cost master'!$B:$B=C3657)*('cost master'!$D:$D=""Storage cost per pallet / week"")*('cost master'!$G:$G&lt;=B3657)*(('cost master'!$H:$H&gt;=B3657)+ISBLANK('cost master'!$H:$H))),1),0)"),0.0)</f>
        <v>0</v>
      </c>
      <c r="I3657" s="3">
        <f t="shared" si="4"/>
        <v>0</v>
      </c>
      <c r="J3657" s="27">
        <f t="shared" si="5"/>
        <v>693947</v>
      </c>
      <c r="K3657" s="27">
        <f t="shared" si="6"/>
        <v>693977</v>
      </c>
    </row>
    <row r="3658" hidden="1">
      <c r="A3658" s="3" t="str">
        <f t="shared" si="3"/>
        <v/>
      </c>
      <c r="B3658" s="2" t="str">
        <f t="array" ref="B3658">INDEX(helper!$A$3:$A3996,ROUNDUP((ROW()-1)/COUNTA(helper!$D$3:$D3996),0))</f>
        <v/>
      </c>
      <c r="C3658" s="5" t="str">
        <f t="array" ref="C3658">IF(B3658="","",INDEX(helper!$D$3:$D3996,MOD(ROW()-2,COUNTA(helper!$D$3:$D3996))+1))</f>
        <v/>
      </c>
      <c r="D3658" s="3" t="str">
        <f t="array" ref="D3658">IF(B3658="","",INDEX(helper!$E$3:$E3996,MOD(ROW()-2,COUNTA(helper!$D$3:$D3996))+1))</f>
        <v/>
      </c>
      <c r="E3658" s="3" t="str">
        <f t="array" ref="E3658">IF(B3658="","",INDEX(helper!$F$3:$F3996,MOD(ROW()-2,COUNTA(helper!$D$3:$D3996))+1))</f>
        <v/>
      </c>
      <c r="F3658" s="3" t="str">
        <f>IF(B3658="","",SUMIFS('inventory ledger'!$H:$H,'inventory ledger'!$C:$C,C3658,'inventory ledger'!$D:$D,D3658,'inventory ledger'!$E:$E,E3658,'inventory ledger'!$A:$A,"&lt;="&amp;B3658+TIME(23,59,59))-SUMIFS('inventory ledger'!$I:$I,'inventory ledger'!$C:$C,C3658,'inventory ledger'!$D:$D,D3658,'inventory ledger'!$E:$E,E3658,'inventory ledger'!$A:$A,"&lt;="&amp;B3658+TIME(23,59,59)))</f>
        <v/>
      </c>
      <c r="G3658" s="3">
        <f>IFERROR(__xludf.DUMMYFUNCTION("IF(F3658&lt;=0,0,IFERROR(ROUNDUP(F3658/INDEX(FILTER('warehouse config'!$D:$D,('warehouse config'!$B:$B=C3658)*('warehouse config'!$C:$C=D3658)*('warehouse config'!$G:$G&lt;=B3658)*(('warehouse config'!$H:$H&gt;=B3658)+ISBLANK('warehouse config'!$H:$H))),1)),0))"),0.0)</f>
        <v>0</v>
      </c>
      <c r="H3658" s="3">
        <f>IFERROR(__xludf.DUMMYFUNCTION("IFERROR(INDEX(FILTER('cost master'!$E:$E,('cost master'!$B:$B=C3658)*('cost master'!$D:$D=""Storage cost per pallet / week"")*('cost master'!$G:$G&lt;=B3658)*(('cost master'!$H:$H&gt;=B3658)+ISBLANK('cost master'!$H:$H))),1),0)"),0.0)</f>
        <v>0</v>
      </c>
      <c r="I3658" s="3">
        <f t="shared" si="4"/>
        <v>0</v>
      </c>
      <c r="J3658" s="27">
        <f t="shared" si="5"/>
        <v>693947</v>
      </c>
      <c r="K3658" s="27">
        <f t="shared" si="6"/>
        <v>693977</v>
      </c>
    </row>
    <row r="3659" hidden="1">
      <c r="A3659" s="3" t="str">
        <f t="shared" si="3"/>
        <v/>
      </c>
      <c r="B3659" s="2" t="str">
        <f t="array" ref="B3659">INDEX(helper!$A$3:$A3996,ROUNDUP((ROW()-1)/COUNTA(helper!$D$3:$D3996),0))</f>
        <v/>
      </c>
      <c r="C3659" s="5" t="str">
        <f t="array" ref="C3659">IF(B3659="","",INDEX(helper!$D$3:$D3996,MOD(ROW()-2,COUNTA(helper!$D$3:$D3996))+1))</f>
        <v/>
      </c>
      <c r="D3659" s="3" t="str">
        <f t="array" ref="D3659">IF(B3659="","",INDEX(helper!$E$3:$E3996,MOD(ROW()-2,COUNTA(helper!$D$3:$D3996))+1))</f>
        <v/>
      </c>
      <c r="E3659" s="3" t="str">
        <f t="array" ref="E3659">IF(B3659="","",INDEX(helper!$F$3:$F3996,MOD(ROW()-2,COUNTA(helper!$D$3:$D3996))+1))</f>
        <v/>
      </c>
      <c r="F3659" s="3" t="str">
        <f>IF(B3659="","",SUMIFS('inventory ledger'!$H:$H,'inventory ledger'!$C:$C,C3659,'inventory ledger'!$D:$D,D3659,'inventory ledger'!$E:$E,E3659,'inventory ledger'!$A:$A,"&lt;="&amp;B3659+TIME(23,59,59))-SUMIFS('inventory ledger'!$I:$I,'inventory ledger'!$C:$C,C3659,'inventory ledger'!$D:$D,D3659,'inventory ledger'!$E:$E,E3659,'inventory ledger'!$A:$A,"&lt;="&amp;B3659+TIME(23,59,59)))</f>
        <v/>
      </c>
      <c r="G3659" s="3">
        <f>IFERROR(__xludf.DUMMYFUNCTION("IF(F3659&lt;=0,0,IFERROR(ROUNDUP(F3659/INDEX(FILTER('warehouse config'!$D:$D,('warehouse config'!$B:$B=C3659)*('warehouse config'!$C:$C=D3659)*('warehouse config'!$G:$G&lt;=B3659)*(('warehouse config'!$H:$H&gt;=B3659)+ISBLANK('warehouse config'!$H:$H))),1)),0))"),0.0)</f>
        <v>0</v>
      </c>
      <c r="H3659" s="3">
        <f>IFERROR(__xludf.DUMMYFUNCTION("IFERROR(INDEX(FILTER('cost master'!$E:$E,('cost master'!$B:$B=C3659)*('cost master'!$D:$D=""Storage cost per pallet / week"")*('cost master'!$G:$G&lt;=B3659)*(('cost master'!$H:$H&gt;=B3659)+ISBLANK('cost master'!$H:$H))),1),0)"),0.0)</f>
        <v>0</v>
      </c>
      <c r="I3659" s="3">
        <f t="shared" si="4"/>
        <v>0</v>
      </c>
      <c r="J3659" s="27">
        <f t="shared" si="5"/>
        <v>693947</v>
      </c>
      <c r="K3659" s="27">
        <f t="shared" si="6"/>
        <v>693977</v>
      </c>
    </row>
    <row r="3660" hidden="1">
      <c r="A3660" s="3" t="str">
        <f t="shared" si="3"/>
        <v/>
      </c>
      <c r="B3660" s="2" t="str">
        <f t="array" ref="B3660">INDEX(helper!$A$3:$A3996,ROUNDUP((ROW()-1)/COUNTA(helper!$D$3:$D3996),0))</f>
        <v/>
      </c>
      <c r="C3660" s="5" t="str">
        <f t="array" ref="C3660">IF(B3660="","",INDEX(helper!$D$3:$D3996,MOD(ROW()-2,COUNTA(helper!$D$3:$D3996))+1))</f>
        <v/>
      </c>
      <c r="D3660" s="3" t="str">
        <f t="array" ref="D3660">IF(B3660="","",INDEX(helper!$E$3:$E3996,MOD(ROW()-2,COUNTA(helper!$D$3:$D3996))+1))</f>
        <v/>
      </c>
      <c r="E3660" s="3" t="str">
        <f t="array" ref="E3660">IF(B3660="","",INDEX(helper!$F$3:$F3996,MOD(ROW()-2,COUNTA(helper!$D$3:$D3996))+1))</f>
        <v/>
      </c>
      <c r="F3660" s="3" t="str">
        <f>IF(B3660="","",SUMIFS('inventory ledger'!$H:$H,'inventory ledger'!$C:$C,C3660,'inventory ledger'!$D:$D,D3660,'inventory ledger'!$E:$E,E3660,'inventory ledger'!$A:$A,"&lt;="&amp;B3660+TIME(23,59,59))-SUMIFS('inventory ledger'!$I:$I,'inventory ledger'!$C:$C,C3660,'inventory ledger'!$D:$D,D3660,'inventory ledger'!$E:$E,E3660,'inventory ledger'!$A:$A,"&lt;="&amp;B3660+TIME(23,59,59)))</f>
        <v/>
      </c>
      <c r="G3660" s="3">
        <f>IFERROR(__xludf.DUMMYFUNCTION("IF(F3660&lt;=0,0,IFERROR(ROUNDUP(F3660/INDEX(FILTER('warehouse config'!$D:$D,('warehouse config'!$B:$B=C3660)*('warehouse config'!$C:$C=D3660)*('warehouse config'!$G:$G&lt;=B3660)*(('warehouse config'!$H:$H&gt;=B3660)+ISBLANK('warehouse config'!$H:$H))),1)),0))"),0.0)</f>
        <v>0</v>
      </c>
      <c r="H3660" s="3">
        <f>IFERROR(__xludf.DUMMYFUNCTION("IFERROR(INDEX(FILTER('cost master'!$E:$E,('cost master'!$B:$B=C3660)*('cost master'!$D:$D=""Storage cost per pallet / week"")*('cost master'!$G:$G&lt;=B3660)*(('cost master'!$H:$H&gt;=B3660)+ISBLANK('cost master'!$H:$H))),1),0)"),0.0)</f>
        <v>0</v>
      </c>
      <c r="I3660" s="3">
        <f t="shared" si="4"/>
        <v>0</v>
      </c>
      <c r="J3660" s="27">
        <f t="shared" si="5"/>
        <v>693947</v>
      </c>
      <c r="K3660" s="27">
        <f t="shared" si="6"/>
        <v>693977</v>
      </c>
    </row>
    <row r="3661" hidden="1">
      <c r="A3661" s="3" t="str">
        <f t="shared" si="3"/>
        <v/>
      </c>
      <c r="B3661" s="2" t="str">
        <f t="array" ref="B3661">INDEX(helper!$A$3:$A3996,ROUNDUP((ROW()-1)/COUNTA(helper!$D$3:$D3996),0))</f>
        <v/>
      </c>
      <c r="C3661" s="5" t="str">
        <f t="array" ref="C3661">IF(B3661="","",INDEX(helper!$D$3:$D3996,MOD(ROW()-2,COUNTA(helper!$D$3:$D3996))+1))</f>
        <v/>
      </c>
      <c r="D3661" s="3" t="str">
        <f t="array" ref="D3661">IF(B3661="","",INDEX(helper!$E$3:$E3996,MOD(ROW()-2,COUNTA(helper!$D$3:$D3996))+1))</f>
        <v/>
      </c>
      <c r="E3661" s="3" t="str">
        <f t="array" ref="E3661">IF(B3661="","",INDEX(helper!$F$3:$F3996,MOD(ROW()-2,COUNTA(helper!$D$3:$D3996))+1))</f>
        <v/>
      </c>
      <c r="F3661" s="3" t="str">
        <f>IF(B3661="","",SUMIFS('inventory ledger'!$H:$H,'inventory ledger'!$C:$C,C3661,'inventory ledger'!$D:$D,D3661,'inventory ledger'!$E:$E,E3661,'inventory ledger'!$A:$A,"&lt;="&amp;B3661+TIME(23,59,59))-SUMIFS('inventory ledger'!$I:$I,'inventory ledger'!$C:$C,C3661,'inventory ledger'!$D:$D,D3661,'inventory ledger'!$E:$E,E3661,'inventory ledger'!$A:$A,"&lt;="&amp;B3661+TIME(23,59,59)))</f>
        <v/>
      </c>
      <c r="G3661" s="3">
        <f>IFERROR(__xludf.DUMMYFUNCTION("IF(F3661&lt;=0,0,IFERROR(ROUNDUP(F3661/INDEX(FILTER('warehouse config'!$D:$D,('warehouse config'!$B:$B=C3661)*('warehouse config'!$C:$C=D3661)*('warehouse config'!$G:$G&lt;=B3661)*(('warehouse config'!$H:$H&gt;=B3661)+ISBLANK('warehouse config'!$H:$H))),1)),0))"),0.0)</f>
        <v>0</v>
      </c>
      <c r="H3661" s="3">
        <f>IFERROR(__xludf.DUMMYFUNCTION("IFERROR(INDEX(FILTER('cost master'!$E:$E,('cost master'!$B:$B=C3661)*('cost master'!$D:$D=""Storage cost per pallet / week"")*('cost master'!$G:$G&lt;=B3661)*(('cost master'!$H:$H&gt;=B3661)+ISBLANK('cost master'!$H:$H))),1),0)"),0.0)</f>
        <v>0</v>
      </c>
      <c r="I3661" s="3">
        <f t="shared" si="4"/>
        <v>0</v>
      </c>
      <c r="J3661" s="27">
        <f t="shared" si="5"/>
        <v>693947</v>
      </c>
      <c r="K3661" s="27">
        <f t="shared" si="6"/>
        <v>693977</v>
      </c>
    </row>
    <row r="3662" hidden="1">
      <c r="A3662" s="3" t="str">
        <f t="shared" si="3"/>
        <v/>
      </c>
      <c r="B3662" s="2" t="str">
        <f t="array" ref="B3662">INDEX(helper!$A$3:$A3996,ROUNDUP((ROW()-1)/COUNTA(helper!$D$3:$D3996),0))</f>
        <v/>
      </c>
      <c r="C3662" s="5" t="str">
        <f t="array" ref="C3662">IF(B3662="","",INDEX(helper!$D$3:$D3996,MOD(ROW()-2,COUNTA(helper!$D$3:$D3996))+1))</f>
        <v/>
      </c>
      <c r="D3662" s="3" t="str">
        <f t="array" ref="D3662">IF(B3662="","",INDEX(helper!$E$3:$E3996,MOD(ROW()-2,COUNTA(helper!$D$3:$D3996))+1))</f>
        <v/>
      </c>
      <c r="E3662" s="3" t="str">
        <f t="array" ref="E3662">IF(B3662="","",INDEX(helper!$F$3:$F3996,MOD(ROW()-2,COUNTA(helper!$D$3:$D3996))+1))</f>
        <v/>
      </c>
      <c r="F3662" s="3" t="str">
        <f>IF(B3662="","",SUMIFS('inventory ledger'!$H:$H,'inventory ledger'!$C:$C,C3662,'inventory ledger'!$D:$D,D3662,'inventory ledger'!$E:$E,E3662,'inventory ledger'!$A:$A,"&lt;="&amp;B3662+TIME(23,59,59))-SUMIFS('inventory ledger'!$I:$I,'inventory ledger'!$C:$C,C3662,'inventory ledger'!$D:$D,D3662,'inventory ledger'!$E:$E,E3662,'inventory ledger'!$A:$A,"&lt;="&amp;B3662+TIME(23,59,59)))</f>
        <v/>
      </c>
      <c r="G3662" s="3">
        <f>IFERROR(__xludf.DUMMYFUNCTION("IF(F3662&lt;=0,0,IFERROR(ROUNDUP(F3662/INDEX(FILTER('warehouse config'!$D:$D,('warehouse config'!$B:$B=C3662)*('warehouse config'!$C:$C=D3662)*('warehouse config'!$G:$G&lt;=B3662)*(('warehouse config'!$H:$H&gt;=B3662)+ISBLANK('warehouse config'!$H:$H))),1)),0))"),0.0)</f>
        <v>0</v>
      </c>
      <c r="H3662" s="3">
        <f>IFERROR(__xludf.DUMMYFUNCTION("IFERROR(INDEX(FILTER('cost master'!$E:$E,('cost master'!$B:$B=C3662)*('cost master'!$D:$D=""Storage cost per pallet / week"")*('cost master'!$G:$G&lt;=B3662)*(('cost master'!$H:$H&gt;=B3662)+ISBLANK('cost master'!$H:$H))),1),0)"),0.0)</f>
        <v>0</v>
      </c>
      <c r="I3662" s="3">
        <f t="shared" si="4"/>
        <v>0</v>
      </c>
      <c r="J3662" s="27">
        <f t="shared" si="5"/>
        <v>693947</v>
      </c>
      <c r="K3662" s="27">
        <f t="shared" si="6"/>
        <v>693977</v>
      </c>
    </row>
    <row r="3663" hidden="1">
      <c r="A3663" s="3" t="str">
        <f t="shared" si="3"/>
        <v/>
      </c>
      <c r="B3663" s="2" t="str">
        <f t="array" ref="B3663">INDEX(helper!$A$3:$A3996,ROUNDUP((ROW()-1)/COUNTA(helper!$D$3:$D3996),0))</f>
        <v/>
      </c>
      <c r="C3663" s="5" t="str">
        <f t="array" ref="C3663">IF(B3663="","",INDEX(helper!$D$3:$D3996,MOD(ROW()-2,COUNTA(helper!$D$3:$D3996))+1))</f>
        <v/>
      </c>
      <c r="D3663" s="3" t="str">
        <f t="array" ref="D3663">IF(B3663="","",INDEX(helper!$E$3:$E3996,MOD(ROW()-2,COUNTA(helper!$D$3:$D3996))+1))</f>
        <v/>
      </c>
      <c r="E3663" s="3" t="str">
        <f t="array" ref="E3663">IF(B3663="","",INDEX(helper!$F$3:$F3996,MOD(ROW()-2,COUNTA(helper!$D$3:$D3996))+1))</f>
        <v/>
      </c>
      <c r="F3663" s="3" t="str">
        <f>IF(B3663="","",SUMIFS('inventory ledger'!$H:$H,'inventory ledger'!$C:$C,C3663,'inventory ledger'!$D:$D,D3663,'inventory ledger'!$E:$E,E3663,'inventory ledger'!$A:$A,"&lt;="&amp;B3663+TIME(23,59,59))-SUMIFS('inventory ledger'!$I:$I,'inventory ledger'!$C:$C,C3663,'inventory ledger'!$D:$D,D3663,'inventory ledger'!$E:$E,E3663,'inventory ledger'!$A:$A,"&lt;="&amp;B3663+TIME(23,59,59)))</f>
        <v/>
      </c>
      <c r="G3663" s="3">
        <f>IFERROR(__xludf.DUMMYFUNCTION("IF(F3663&lt;=0,0,IFERROR(ROUNDUP(F3663/INDEX(FILTER('warehouse config'!$D:$D,('warehouse config'!$B:$B=C3663)*('warehouse config'!$C:$C=D3663)*('warehouse config'!$G:$G&lt;=B3663)*(('warehouse config'!$H:$H&gt;=B3663)+ISBLANK('warehouse config'!$H:$H))),1)),0))"),0.0)</f>
        <v>0</v>
      </c>
      <c r="H3663" s="3">
        <f>IFERROR(__xludf.DUMMYFUNCTION("IFERROR(INDEX(FILTER('cost master'!$E:$E,('cost master'!$B:$B=C3663)*('cost master'!$D:$D=""Storage cost per pallet / week"")*('cost master'!$G:$G&lt;=B3663)*(('cost master'!$H:$H&gt;=B3663)+ISBLANK('cost master'!$H:$H))),1),0)"),0.0)</f>
        <v>0</v>
      </c>
      <c r="I3663" s="3">
        <f t="shared" si="4"/>
        <v>0</v>
      </c>
      <c r="J3663" s="27">
        <f t="shared" si="5"/>
        <v>693947</v>
      </c>
      <c r="K3663" s="27">
        <f t="shared" si="6"/>
        <v>693977</v>
      </c>
    </row>
    <row r="3664" hidden="1">
      <c r="A3664" s="3" t="str">
        <f t="shared" si="3"/>
        <v/>
      </c>
      <c r="B3664" s="2" t="str">
        <f t="array" ref="B3664">INDEX(helper!$A$3:$A3996,ROUNDUP((ROW()-1)/COUNTA(helper!$D$3:$D3996),0))</f>
        <v/>
      </c>
      <c r="C3664" s="5" t="str">
        <f t="array" ref="C3664">IF(B3664="","",INDEX(helper!$D$3:$D3996,MOD(ROW()-2,COUNTA(helper!$D$3:$D3996))+1))</f>
        <v/>
      </c>
      <c r="D3664" s="3" t="str">
        <f t="array" ref="D3664">IF(B3664="","",INDEX(helper!$E$3:$E3996,MOD(ROW()-2,COUNTA(helper!$D$3:$D3996))+1))</f>
        <v/>
      </c>
      <c r="E3664" s="3" t="str">
        <f t="array" ref="E3664">IF(B3664="","",INDEX(helper!$F$3:$F3996,MOD(ROW()-2,COUNTA(helper!$D$3:$D3996))+1))</f>
        <v/>
      </c>
      <c r="F3664" s="3" t="str">
        <f>IF(B3664="","",SUMIFS('inventory ledger'!$H:$H,'inventory ledger'!$C:$C,C3664,'inventory ledger'!$D:$D,D3664,'inventory ledger'!$E:$E,E3664,'inventory ledger'!$A:$A,"&lt;="&amp;B3664+TIME(23,59,59))-SUMIFS('inventory ledger'!$I:$I,'inventory ledger'!$C:$C,C3664,'inventory ledger'!$D:$D,D3664,'inventory ledger'!$E:$E,E3664,'inventory ledger'!$A:$A,"&lt;="&amp;B3664+TIME(23,59,59)))</f>
        <v/>
      </c>
      <c r="G3664" s="3">
        <f>IFERROR(__xludf.DUMMYFUNCTION("IF(F3664&lt;=0,0,IFERROR(ROUNDUP(F3664/INDEX(FILTER('warehouse config'!$D:$D,('warehouse config'!$B:$B=C3664)*('warehouse config'!$C:$C=D3664)*('warehouse config'!$G:$G&lt;=B3664)*(('warehouse config'!$H:$H&gt;=B3664)+ISBLANK('warehouse config'!$H:$H))),1)),0))"),0.0)</f>
        <v>0</v>
      </c>
      <c r="H3664" s="3">
        <f>IFERROR(__xludf.DUMMYFUNCTION("IFERROR(INDEX(FILTER('cost master'!$E:$E,('cost master'!$B:$B=C3664)*('cost master'!$D:$D=""Storage cost per pallet / week"")*('cost master'!$G:$G&lt;=B3664)*(('cost master'!$H:$H&gt;=B3664)+ISBLANK('cost master'!$H:$H))),1),0)"),0.0)</f>
        <v>0</v>
      </c>
      <c r="I3664" s="3">
        <f t="shared" si="4"/>
        <v>0</v>
      </c>
      <c r="J3664" s="27">
        <f t="shared" si="5"/>
        <v>693947</v>
      </c>
      <c r="K3664" s="27">
        <f t="shared" si="6"/>
        <v>693977</v>
      </c>
    </row>
    <row r="3665" hidden="1">
      <c r="A3665" s="3" t="str">
        <f t="shared" si="3"/>
        <v/>
      </c>
      <c r="B3665" s="2" t="str">
        <f t="array" ref="B3665">INDEX(helper!$A$3:$A3996,ROUNDUP((ROW()-1)/COUNTA(helper!$D$3:$D3996),0))</f>
        <v/>
      </c>
      <c r="C3665" s="5" t="str">
        <f t="array" ref="C3665">IF(B3665="","",INDEX(helper!$D$3:$D3996,MOD(ROW()-2,COUNTA(helper!$D$3:$D3996))+1))</f>
        <v/>
      </c>
      <c r="D3665" s="3" t="str">
        <f t="array" ref="D3665">IF(B3665="","",INDEX(helper!$E$3:$E3996,MOD(ROW()-2,COUNTA(helper!$D$3:$D3996))+1))</f>
        <v/>
      </c>
      <c r="E3665" s="3" t="str">
        <f t="array" ref="E3665">IF(B3665="","",INDEX(helper!$F$3:$F3996,MOD(ROW()-2,COUNTA(helper!$D$3:$D3996))+1))</f>
        <v/>
      </c>
      <c r="F3665" s="3" t="str">
        <f>IF(B3665="","",SUMIFS('inventory ledger'!$H:$H,'inventory ledger'!$C:$C,C3665,'inventory ledger'!$D:$D,D3665,'inventory ledger'!$E:$E,E3665,'inventory ledger'!$A:$A,"&lt;="&amp;B3665+TIME(23,59,59))-SUMIFS('inventory ledger'!$I:$I,'inventory ledger'!$C:$C,C3665,'inventory ledger'!$D:$D,D3665,'inventory ledger'!$E:$E,E3665,'inventory ledger'!$A:$A,"&lt;="&amp;B3665+TIME(23,59,59)))</f>
        <v/>
      </c>
      <c r="G3665" s="3">
        <f>IFERROR(__xludf.DUMMYFUNCTION("IF(F3665&lt;=0,0,IFERROR(ROUNDUP(F3665/INDEX(FILTER('warehouse config'!$D:$D,('warehouse config'!$B:$B=C3665)*('warehouse config'!$C:$C=D3665)*('warehouse config'!$G:$G&lt;=B3665)*(('warehouse config'!$H:$H&gt;=B3665)+ISBLANK('warehouse config'!$H:$H))),1)),0))"),0.0)</f>
        <v>0</v>
      </c>
      <c r="H3665" s="3">
        <f>IFERROR(__xludf.DUMMYFUNCTION("IFERROR(INDEX(FILTER('cost master'!$E:$E,('cost master'!$B:$B=C3665)*('cost master'!$D:$D=""Storage cost per pallet / week"")*('cost master'!$G:$G&lt;=B3665)*(('cost master'!$H:$H&gt;=B3665)+ISBLANK('cost master'!$H:$H))),1),0)"),0.0)</f>
        <v>0</v>
      </c>
      <c r="I3665" s="3">
        <f t="shared" si="4"/>
        <v>0</v>
      </c>
      <c r="J3665" s="27">
        <f t="shared" si="5"/>
        <v>693947</v>
      </c>
      <c r="K3665" s="27">
        <f t="shared" si="6"/>
        <v>693977</v>
      </c>
    </row>
    <row r="3666" hidden="1">
      <c r="A3666" s="3" t="str">
        <f t="shared" si="3"/>
        <v/>
      </c>
      <c r="B3666" s="2" t="str">
        <f t="array" ref="B3666">INDEX(helper!$A$3:$A3996,ROUNDUP((ROW()-1)/COUNTA(helper!$D$3:$D3996),0))</f>
        <v/>
      </c>
      <c r="C3666" s="5" t="str">
        <f t="array" ref="C3666">IF(B3666="","",INDEX(helper!$D$3:$D3996,MOD(ROW()-2,COUNTA(helper!$D$3:$D3996))+1))</f>
        <v/>
      </c>
      <c r="D3666" s="3" t="str">
        <f t="array" ref="D3666">IF(B3666="","",INDEX(helper!$E$3:$E3996,MOD(ROW()-2,COUNTA(helper!$D$3:$D3996))+1))</f>
        <v/>
      </c>
      <c r="E3666" s="3" t="str">
        <f t="array" ref="E3666">IF(B3666="","",INDEX(helper!$F$3:$F3996,MOD(ROW()-2,COUNTA(helper!$D$3:$D3996))+1))</f>
        <v/>
      </c>
      <c r="F3666" s="3" t="str">
        <f>IF(B3666="","",SUMIFS('inventory ledger'!$H:$H,'inventory ledger'!$C:$C,C3666,'inventory ledger'!$D:$D,D3666,'inventory ledger'!$E:$E,E3666,'inventory ledger'!$A:$A,"&lt;="&amp;B3666+TIME(23,59,59))-SUMIFS('inventory ledger'!$I:$I,'inventory ledger'!$C:$C,C3666,'inventory ledger'!$D:$D,D3666,'inventory ledger'!$E:$E,E3666,'inventory ledger'!$A:$A,"&lt;="&amp;B3666+TIME(23,59,59)))</f>
        <v/>
      </c>
      <c r="G3666" s="3">
        <f>IFERROR(__xludf.DUMMYFUNCTION("IF(F3666&lt;=0,0,IFERROR(ROUNDUP(F3666/INDEX(FILTER('warehouse config'!$D:$D,('warehouse config'!$B:$B=C3666)*('warehouse config'!$C:$C=D3666)*('warehouse config'!$G:$G&lt;=B3666)*(('warehouse config'!$H:$H&gt;=B3666)+ISBLANK('warehouse config'!$H:$H))),1)),0))"),0.0)</f>
        <v>0</v>
      </c>
      <c r="H3666" s="3">
        <f>IFERROR(__xludf.DUMMYFUNCTION("IFERROR(INDEX(FILTER('cost master'!$E:$E,('cost master'!$B:$B=C3666)*('cost master'!$D:$D=""Storage cost per pallet / week"")*('cost master'!$G:$G&lt;=B3666)*(('cost master'!$H:$H&gt;=B3666)+ISBLANK('cost master'!$H:$H))),1),0)"),0.0)</f>
        <v>0</v>
      </c>
      <c r="I3666" s="3">
        <f t="shared" si="4"/>
        <v>0</v>
      </c>
      <c r="J3666" s="27">
        <f t="shared" si="5"/>
        <v>693947</v>
      </c>
      <c r="K3666" s="27">
        <f t="shared" si="6"/>
        <v>693977</v>
      </c>
    </row>
    <row r="3667" hidden="1">
      <c r="A3667" s="3" t="str">
        <f t="shared" si="3"/>
        <v/>
      </c>
      <c r="B3667" s="2" t="str">
        <f t="array" ref="B3667">INDEX(helper!$A$3:$A3996,ROUNDUP((ROW()-1)/COUNTA(helper!$D$3:$D3996),0))</f>
        <v/>
      </c>
      <c r="C3667" s="5" t="str">
        <f t="array" ref="C3667">IF(B3667="","",INDEX(helper!$D$3:$D3996,MOD(ROW()-2,COUNTA(helper!$D$3:$D3996))+1))</f>
        <v/>
      </c>
      <c r="D3667" s="3" t="str">
        <f t="array" ref="D3667">IF(B3667="","",INDEX(helper!$E$3:$E3996,MOD(ROW()-2,COUNTA(helper!$D$3:$D3996))+1))</f>
        <v/>
      </c>
      <c r="E3667" s="3" t="str">
        <f t="array" ref="E3667">IF(B3667="","",INDEX(helper!$F$3:$F3996,MOD(ROW()-2,COUNTA(helper!$D$3:$D3996))+1))</f>
        <v/>
      </c>
      <c r="F3667" s="3" t="str">
        <f>IF(B3667="","",SUMIFS('inventory ledger'!$H:$H,'inventory ledger'!$C:$C,C3667,'inventory ledger'!$D:$D,D3667,'inventory ledger'!$E:$E,E3667,'inventory ledger'!$A:$A,"&lt;="&amp;B3667+TIME(23,59,59))-SUMIFS('inventory ledger'!$I:$I,'inventory ledger'!$C:$C,C3667,'inventory ledger'!$D:$D,D3667,'inventory ledger'!$E:$E,E3667,'inventory ledger'!$A:$A,"&lt;="&amp;B3667+TIME(23,59,59)))</f>
        <v/>
      </c>
      <c r="G3667" s="3">
        <f>IFERROR(__xludf.DUMMYFUNCTION("IF(F3667&lt;=0,0,IFERROR(ROUNDUP(F3667/INDEX(FILTER('warehouse config'!$D:$D,('warehouse config'!$B:$B=C3667)*('warehouse config'!$C:$C=D3667)*('warehouse config'!$G:$G&lt;=B3667)*(('warehouse config'!$H:$H&gt;=B3667)+ISBLANK('warehouse config'!$H:$H))),1)),0))"),0.0)</f>
        <v>0</v>
      </c>
      <c r="H3667" s="3">
        <f>IFERROR(__xludf.DUMMYFUNCTION("IFERROR(INDEX(FILTER('cost master'!$E:$E,('cost master'!$B:$B=C3667)*('cost master'!$D:$D=""Storage cost per pallet / week"")*('cost master'!$G:$G&lt;=B3667)*(('cost master'!$H:$H&gt;=B3667)+ISBLANK('cost master'!$H:$H))),1),0)"),0.0)</f>
        <v>0</v>
      </c>
      <c r="I3667" s="3">
        <f t="shared" si="4"/>
        <v>0</v>
      </c>
      <c r="J3667" s="27">
        <f t="shared" si="5"/>
        <v>693947</v>
      </c>
      <c r="K3667" s="27">
        <f t="shared" si="6"/>
        <v>693977</v>
      </c>
    </row>
    <row r="3668" hidden="1">
      <c r="A3668" s="3" t="str">
        <f t="shared" si="3"/>
        <v/>
      </c>
      <c r="B3668" s="2" t="str">
        <f t="array" ref="B3668">INDEX(helper!$A$3:$A3996,ROUNDUP((ROW()-1)/COUNTA(helper!$D$3:$D3996),0))</f>
        <v/>
      </c>
      <c r="C3668" s="5" t="str">
        <f t="array" ref="C3668">IF(B3668="","",INDEX(helper!$D$3:$D3996,MOD(ROW()-2,COUNTA(helper!$D$3:$D3996))+1))</f>
        <v/>
      </c>
      <c r="D3668" s="3" t="str">
        <f t="array" ref="D3668">IF(B3668="","",INDEX(helper!$E$3:$E3996,MOD(ROW()-2,COUNTA(helper!$D$3:$D3996))+1))</f>
        <v/>
      </c>
      <c r="E3668" s="3" t="str">
        <f t="array" ref="E3668">IF(B3668="","",INDEX(helper!$F$3:$F3996,MOD(ROW()-2,COUNTA(helper!$D$3:$D3996))+1))</f>
        <v/>
      </c>
      <c r="F3668" s="3" t="str">
        <f>IF(B3668="","",SUMIFS('inventory ledger'!$H:$H,'inventory ledger'!$C:$C,C3668,'inventory ledger'!$D:$D,D3668,'inventory ledger'!$E:$E,E3668,'inventory ledger'!$A:$A,"&lt;="&amp;B3668+TIME(23,59,59))-SUMIFS('inventory ledger'!$I:$I,'inventory ledger'!$C:$C,C3668,'inventory ledger'!$D:$D,D3668,'inventory ledger'!$E:$E,E3668,'inventory ledger'!$A:$A,"&lt;="&amp;B3668+TIME(23,59,59)))</f>
        <v/>
      </c>
      <c r="G3668" s="3">
        <f>IFERROR(__xludf.DUMMYFUNCTION("IF(F3668&lt;=0,0,IFERROR(ROUNDUP(F3668/INDEX(FILTER('warehouse config'!$D:$D,('warehouse config'!$B:$B=C3668)*('warehouse config'!$C:$C=D3668)*('warehouse config'!$G:$G&lt;=B3668)*(('warehouse config'!$H:$H&gt;=B3668)+ISBLANK('warehouse config'!$H:$H))),1)),0))"),0.0)</f>
        <v>0</v>
      </c>
      <c r="H3668" s="3">
        <f>IFERROR(__xludf.DUMMYFUNCTION("IFERROR(INDEX(FILTER('cost master'!$E:$E,('cost master'!$B:$B=C3668)*('cost master'!$D:$D=""Storage cost per pallet / week"")*('cost master'!$G:$G&lt;=B3668)*(('cost master'!$H:$H&gt;=B3668)+ISBLANK('cost master'!$H:$H))),1),0)"),0.0)</f>
        <v>0</v>
      </c>
      <c r="I3668" s="3">
        <f t="shared" si="4"/>
        <v>0</v>
      </c>
      <c r="J3668" s="27">
        <f t="shared" si="5"/>
        <v>693947</v>
      </c>
      <c r="K3668" s="27">
        <f t="shared" si="6"/>
        <v>693977</v>
      </c>
    </row>
    <row r="3669" hidden="1">
      <c r="A3669" s="3" t="str">
        <f t="shared" si="3"/>
        <v/>
      </c>
      <c r="B3669" s="2" t="str">
        <f t="array" ref="B3669">INDEX(helper!$A$3:$A3996,ROUNDUP((ROW()-1)/COUNTA(helper!$D$3:$D3996),0))</f>
        <v/>
      </c>
      <c r="C3669" s="5" t="str">
        <f t="array" ref="C3669">IF(B3669="","",INDEX(helper!$D$3:$D3996,MOD(ROW()-2,COUNTA(helper!$D$3:$D3996))+1))</f>
        <v/>
      </c>
      <c r="D3669" s="3" t="str">
        <f t="array" ref="D3669">IF(B3669="","",INDEX(helper!$E$3:$E3996,MOD(ROW()-2,COUNTA(helper!$D$3:$D3996))+1))</f>
        <v/>
      </c>
      <c r="E3669" s="3" t="str">
        <f t="array" ref="E3669">IF(B3669="","",INDEX(helper!$F$3:$F3996,MOD(ROW()-2,COUNTA(helper!$D$3:$D3996))+1))</f>
        <v/>
      </c>
      <c r="F3669" s="3" t="str">
        <f>IF(B3669="","",SUMIFS('inventory ledger'!$H:$H,'inventory ledger'!$C:$C,C3669,'inventory ledger'!$D:$D,D3669,'inventory ledger'!$E:$E,E3669,'inventory ledger'!$A:$A,"&lt;="&amp;B3669+TIME(23,59,59))-SUMIFS('inventory ledger'!$I:$I,'inventory ledger'!$C:$C,C3669,'inventory ledger'!$D:$D,D3669,'inventory ledger'!$E:$E,E3669,'inventory ledger'!$A:$A,"&lt;="&amp;B3669+TIME(23,59,59)))</f>
        <v/>
      </c>
      <c r="G3669" s="3">
        <f>IFERROR(__xludf.DUMMYFUNCTION("IF(F3669&lt;=0,0,IFERROR(ROUNDUP(F3669/INDEX(FILTER('warehouse config'!$D:$D,('warehouse config'!$B:$B=C3669)*('warehouse config'!$C:$C=D3669)*('warehouse config'!$G:$G&lt;=B3669)*(('warehouse config'!$H:$H&gt;=B3669)+ISBLANK('warehouse config'!$H:$H))),1)),0))"),0.0)</f>
        <v>0</v>
      </c>
      <c r="H3669" s="3">
        <f>IFERROR(__xludf.DUMMYFUNCTION("IFERROR(INDEX(FILTER('cost master'!$E:$E,('cost master'!$B:$B=C3669)*('cost master'!$D:$D=""Storage cost per pallet / week"")*('cost master'!$G:$G&lt;=B3669)*(('cost master'!$H:$H&gt;=B3669)+ISBLANK('cost master'!$H:$H))),1),0)"),0.0)</f>
        <v>0</v>
      </c>
      <c r="I3669" s="3">
        <f t="shared" si="4"/>
        <v>0</v>
      </c>
      <c r="J3669" s="27">
        <f t="shared" si="5"/>
        <v>693947</v>
      </c>
      <c r="K3669" s="27">
        <f t="shared" si="6"/>
        <v>693977</v>
      </c>
    </row>
    <row r="3670" hidden="1">
      <c r="A3670" s="3" t="str">
        <f t="shared" si="3"/>
        <v/>
      </c>
      <c r="B3670" s="2" t="str">
        <f t="array" ref="B3670">INDEX(helper!$A$3:$A3996,ROUNDUP((ROW()-1)/COUNTA(helper!$D$3:$D3996),0))</f>
        <v/>
      </c>
      <c r="C3670" s="5" t="str">
        <f t="array" ref="C3670">IF(B3670="","",INDEX(helper!$D$3:$D3996,MOD(ROW()-2,COUNTA(helper!$D$3:$D3996))+1))</f>
        <v/>
      </c>
      <c r="D3670" s="3" t="str">
        <f t="array" ref="D3670">IF(B3670="","",INDEX(helper!$E$3:$E3996,MOD(ROW()-2,COUNTA(helper!$D$3:$D3996))+1))</f>
        <v/>
      </c>
      <c r="E3670" s="3" t="str">
        <f t="array" ref="E3670">IF(B3670="","",INDEX(helper!$F$3:$F3996,MOD(ROW()-2,COUNTA(helper!$D$3:$D3996))+1))</f>
        <v/>
      </c>
      <c r="F3670" s="3" t="str">
        <f>IF(B3670="","",SUMIFS('inventory ledger'!$H:$H,'inventory ledger'!$C:$C,C3670,'inventory ledger'!$D:$D,D3670,'inventory ledger'!$E:$E,E3670,'inventory ledger'!$A:$A,"&lt;="&amp;B3670+TIME(23,59,59))-SUMIFS('inventory ledger'!$I:$I,'inventory ledger'!$C:$C,C3670,'inventory ledger'!$D:$D,D3670,'inventory ledger'!$E:$E,E3670,'inventory ledger'!$A:$A,"&lt;="&amp;B3670+TIME(23,59,59)))</f>
        <v/>
      </c>
      <c r="G3670" s="3">
        <f>IFERROR(__xludf.DUMMYFUNCTION("IF(F3670&lt;=0,0,IFERROR(ROUNDUP(F3670/INDEX(FILTER('warehouse config'!$D:$D,('warehouse config'!$B:$B=C3670)*('warehouse config'!$C:$C=D3670)*('warehouse config'!$G:$G&lt;=B3670)*(('warehouse config'!$H:$H&gt;=B3670)+ISBLANK('warehouse config'!$H:$H))),1)),0))"),0.0)</f>
        <v>0</v>
      </c>
      <c r="H3670" s="3">
        <f>IFERROR(__xludf.DUMMYFUNCTION("IFERROR(INDEX(FILTER('cost master'!$E:$E,('cost master'!$B:$B=C3670)*('cost master'!$D:$D=""Storage cost per pallet / week"")*('cost master'!$G:$G&lt;=B3670)*(('cost master'!$H:$H&gt;=B3670)+ISBLANK('cost master'!$H:$H))),1),0)"),0.0)</f>
        <v>0</v>
      </c>
      <c r="I3670" s="3">
        <f t="shared" si="4"/>
        <v>0</v>
      </c>
      <c r="J3670" s="27">
        <f t="shared" si="5"/>
        <v>693947</v>
      </c>
      <c r="K3670" s="27">
        <f t="shared" si="6"/>
        <v>693977</v>
      </c>
    </row>
    <row r="3671" hidden="1">
      <c r="A3671" s="3" t="str">
        <f t="shared" si="3"/>
        <v/>
      </c>
      <c r="B3671" s="2" t="str">
        <f t="array" ref="B3671">INDEX(helper!$A$3:$A3996,ROUNDUP((ROW()-1)/COUNTA(helper!$D$3:$D3996),0))</f>
        <v/>
      </c>
      <c r="C3671" s="5" t="str">
        <f t="array" ref="C3671">IF(B3671="","",INDEX(helper!$D$3:$D3996,MOD(ROW()-2,COUNTA(helper!$D$3:$D3996))+1))</f>
        <v/>
      </c>
      <c r="D3671" s="3" t="str">
        <f t="array" ref="D3671">IF(B3671="","",INDEX(helper!$E$3:$E3996,MOD(ROW()-2,COUNTA(helper!$D$3:$D3996))+1))</f>
        <v/>
      </c>
      <c r="E3671" s="3" t="str">
        <f t="array" ref="E3671">IF(B3671="","",INDEX(helper!$F$3:$F3996,MOD(ROW()-2,COUNTA(helper!$D$3:$D3996))+1))</f>
        <v/>
      </c>
      <c r="F3671" s="3" t="str">
        <f>IF(B3671="","",SUMIFS('inventory ledger'!$H:$H,'inventory ledger'!$C:$C,C3671,'inventory ledger'!$D:$D,D3671,'inventory ledger'!$E:$E,E3671,'inventory ledger'!$A:$A,"&lt;="&amp;B3671+TIME(23,59,59))-SUMIFS('inventory ledger'!$I:$I,'inventory ledger'!$C:$C,C3671,'inventory ledger'!$D:$D,D3671,'inventory ledger'!$E:$E,E3671,'inventory ledger'!$A:$A,"&lt;="&amp;B3671+TIME(23,59,59)))</f>
        <v/>
      </c>
      <c r="G3671" s="3">
        <f>IFERROR(__xludf.DUMMYFUNCTION("IF(F3671&lt;=0,0,IFERROR(ROUNDUP(F3671/INDEX(FILTER('warehouse config'!$D:$D,('warehouse config'!$B:$B=C3671)*('warehouse config'!$C:$C=D3671)*('warehouse config'!$G:$G&lt;=B3671)*(('warehouse config'!$H:$H&gt;=B3671)+ISBLANK('warehouse config'!$H:$H))),1)),0))"),0.0)</f>
        <v>0</v>
      </c>
      <c r="H3671" s="3">
        <f>IFERROR(__xludf.DUMMYFUNCTION("IFERROR(INDEX(FILTER('cost master'!$E:$E,('cost master'!$B:$B=C3671)*('cost master'!$D:$D=""Storage cost per pallet / week"")*('cost master'!$G:$G&lt;=B3671)*(('cost master'!$H:$H&gt;=B3671)+ISBLANK('cost master'!$H:$H))),1),0)"),0.0)</f>
        <v>0</v>
      </c>
      <c r="I3671" s="3">
        <f t="shared" si="4"/>
        <v>0</v>
      </c>
      <c r="J3671" s="27">
        <f t="shared" si="5"/>
        <v>693947</v>
      </c>
      <c r="K3671" s="27">
        <f t="shared" si="6"/>
        <v>693977</v>
      </c>
    </row>
    <row r="3672" hidden="1">
      <c r="A3672" s="3" t="str">
        <f t="shared" si="3"/>
        <v/>
      </c>
      <c r="B3672" s="2" t="str">
        <f t="array" ref="B3672">INDEX(helper!$A$3:$A3996,ROUNDUP((ROW()-1)/COUNTA(helper!$D$3:$D3996),0))</f>
        <v/>
      </c>
      <c r="C3672" s="5" t="str">
        <f t="array" ref="C3672">IF(B3672="","",INDEX(helper!$D$3:$D3996,MOD(ROW()-2,COUNTA(helper!$D$3:$D3996))+1))</f>
        <v/>
      </c>
      <c r="D3672" s="3" t="str">
        <f t="array" ref="D3672">IF(B3672="","",INDEX(helper!$E$3:$E3996,MOD(ROW()-2,COUNTA(helper!$D$3:$D3996))+1))</f>
        <v/>
      </c>
      <c r="E3672" s="3" t="str">
        <f t="array" ref="E3672">IF(B3672="","",INDEX(helper!$F$3:$F3996,MOD(ROW()-2,COUNTA(helper!$D$3:$D3996))+1))</f>
        <v/>
      </c>
      <c r="F3672" s="3" t="str">
        <f>IF(B3672="","",SUMIFS('inventory ledger'!$H:$H,'inventory ledger'!$C:$C,C3672,'inventory ledger'!$D:$D,D3672,'inventory ledger'!$E:$E,E3672,'inventory ledger'!$A:$A,"&lt;="&amp;B3672+TIME(23,59,59))-SUMIFS('inventory ledger'!$I:$I,'inventory ledger'!$C:$C,C3672,'inventory ledger'!$D:$D,D3672,'inventory ledger'!$E:$E,E3672,'inventory ledger'!$A:$A,"&lt;="&amp;B3672+TIME(23,59,59)))</f>
        <v/>
      </c>
      <c r="G3672" s="3">
        <f>IFERROR(__xludf.DUMMYFUNCTION("IF(F3672&lt;=0,0,IFERROR(ROUNDUP(F3672/INDEX(FILTER('warehouse config'!$D:$D,('warehouse config'!$B:$B=C3672)*('warehouse config'!$C:$C=D3672)*('warehouse config'!$G:$G&lt;=B3672)*(('warehouse config'!$H:$H&gt;=B3672)+ISBLANK('warehouse config'!$H:$H))),1)),0))"),0.0)</f>
        <v>0</v>
      </c>
      <c r="H3672" s="3">
        <f>IFERROR(__xludf.DUMMYFUNCTION("IFERROR(INDEX(FILTER('cost master'!$E:$E,('cost master'!$B:$B=C3672)*('cost master'!$D:$D=""Storage cost per pallet / week"")*('cost master'!$G:$G&lt;=B3672)*(('cost master'!$H:$H&gt;=B3672)+ISBLANK('cost master'!$H:$H))),1),0)"),0.0)</f>
        <v>0</v>
      </c>
      <c r="I3672" s="3">
        <f t="shared" si="4"/>
        <v>0</v>
      </c>
      <c r="J3672" s="27">
        <f t="shared" si="5"/>
        <v>693947</v>
      </c>
      <c r="K3672" s="27">
        <f t="shared" si="6"/>
        <v>693977</v>
      </c>
    </row>
    <row r="3673" hidden="1">
      <c r="A3673" s="3" t="str">
        <f t="shared" si="3"/>
        <v/>
      </c>
      <c r="B3673" s="2" t="str">
        <f t="array" ref="B3673">INDEX(helper!$A$3:$A3996,ROUNDUP((ROW()-1)/COUNTA(helper!$D$3:$D3996),0))</f>
        <v/>
      </c>
      <c r="C3673" s="5" t="str">
        <f t="array" ref="C3673">IF(B3673="","",INDEX(helper!$D$3:$D3996,MOD(ROW()-2,COUNTA(helper!$D$3:$D3996))+1))</f>
        <v/>
      </c>
      <c r="D3673" s="3" t="str">
        <f t="array" ref="D3673">IF(B3673="","",INDEX(helper!$E$3:$E3996,MOD(ROW()-2,COUNTA(helper!$D$3:$D3996))+1))</f>
        <v/>
      </c>
      <c r="E3673" s="3" t="str">
        <f t="array" ref="E3673">IF(B3673="","",INDEX(helper!$F$3:$F3996,MOD(ROW()-2,COUNTA(helper!$D$3:$D3996))+1))</f>
        <v/>
      </c>
      <c r="F3673" s="3" t="str">
        <f>IF(B3673="","",SUMIFS('inventory ledger'!$H:$H,'inventory ledger'!$C:$C,C3673,'inventory ledger'!$D:$D,D3673,'inventory ledger'!$E:$E,E3673,'inventory ledger'!$A:$A,"&lt;="&amp;B3673+TIME(23,59,59))-SUMIFS('inventory ledger'!$I:$I,'inventory ledger'!$C:$C,C3673,'inventory ledger'!$D:$D,D3673,'inventory ledger'!$E:$E,E3673,'inventory ledger'!$A:$A,"&lt;="&amp;B3673+TIME(23,59,59)))</f>
        <v/>
      </c>
      <c r="G3673" s="3">
        <f>IFERROR(__xludf.DUMMYFUNCTION("IF(F3673&lt;=0,0,IFERROR(ROUNDUP(F3673/INDEX(FILTER('warehouse config'!$D:$D,('warehouse config'!$B:$B=C3673)*('warehouse config'!$C:$C=D3673)*('warehouse config'!$G:$G&lt;=B3673)*(('warehouse config'!$H:$H&gt;=B3673)+ISBLANK('warehouse config'!$H:$H))),1)),0))"),0.0)</f>
        <v>0</v>
      </c>
      <c r="H3673" s="3">
        <f>IFERROR(__xludf.DUMMYFUNCTION("IFERROR(INDEX(FILTER('cost master'!$E:$E,('cost master'!$B:$B=C3673)*('cost master'!$D:$D=""Storage cost per pallet / week"")*('cost master'!$G:$G&lt;=B3673)*(('cost master'!$H:$H&gt;=B3673)+ISBLANK('cost master'!$H:$H))),1),0)"),0.0)</f>
        <v>0</v>
      </c>
      <c r="I3673" s="3">
        <f t="shared" si="4"/>
        <v>0</v>
      </c>
      <c r="J3673" s="27">
        <f t="shared" si="5"/>
        <v>693947</v>
      </c>
      <c r="K3673" s="27">
        <f t="shared" si="6"/>
        <v>693977</v>
      </c>
    </row>
    <row r="3674" hidden="1">
      <c r="A3674" s="3" t="str">
        <f t="shared" si="3"/>
        <v/>
      </c>
      <c r="B3674" s="2" t="str">
        <f t="array" ref="B3674">INDEX(helper!$A$3:$A3996,ROUNDUP((ROW()-1)/COUNTA(helper!$D$3:$D3996),0))</f>
        <v/>
      </c>
      <c r="C3674" s="5" t="str">
        <f t="array" ref="C3674">IF(B3674="","",INDEX(helper!$D$3:$D3996,MOD(ROW()-2,COUNTA(helper!$D$3:$D3996))+1))</f>
        <v/>
      </c>
      <c r="D3674" s="3" t="str">
        <f t="array" ref="D3674">IF(B3674="","",INDEX(helper!$E$3:$E3996,MOD(ROW()-2,COUNTA(helper!$D$3:$D3996))+1))</f>
        <v/>
      </c>
      <c r="E3674" s="3" t="str">
        <f t="array" ref="E3674">IF(B3674="","",INDEX(helper!$F$3:$F3996,MOD(ROW()-2,COUNTA(helper!$D$3:$D3996))+1))</f>
        <v/>
      </c>
      <c r="F3674" s="3" t="str">
        <f>IF(B3674="","",SUMIFS('inventory ledger'!$H:$H,'inventory ledger'!$C:$C,C3674,'inventory ledger'!$D:$D,D3674,'inventory ledger'!$E:$E,E3674,'inventory ledger'!$A:$A,"&lt;="&amp;B3674+TIME(23,59,59))-SUMIFS('inventory ledger'!$I:$I,'inventory ledger'!$C:$C,C3674,'inventory ledger'!$D:$D,D3674,'inventory ledger'!$E:$E,E3674,'inventory ledger'!$A:$A,"&lt;="&amp;B3674+TIME(23,59,59)))</f>
        <v/>
      </c>
      <c r="G3674" s="3">
        <f>IFERROR(__xludf.DUMMYFUNCTION("IF(F3674&lt;=0,0,IFERROR(ROUNDUP(F3674/INDEX(FILTER('warehouse config'!$D:$D,('warehouse config'!$B:$B=C3674)*('warehouse config'!$C:$C=D3674)*('warehouse config'!$G:$G&lt;=B3674)*(('warehouse config'!$H:$H&gt;=B3674)+ISBLANK('warehouse config'!$H:$H))),1)),0))"),0.0)</f>
        <v>0</v>
      </c>
      <c r="H3674" s="3">
        <f>IFERROR(__xludf.DUMMYFUNCTION("IFERROR(INDEX(FILTER('cost master'!$E:$E,('cost master'!$B:$B=C3674)*('cost master'!$D:$D=""Storage cost per pallet / week"")*('cost master'!$G:$G&lt;=B3674)*(('cost master'!$H:$H&gt;=B3674)+ISBLANK('cost master'!$H:$H))),1),0)"),0.0)</f>
        <v>0</v>
      </c>
      <c r="I3674" s="3">
        <f t="shared" si="4"/>
        <v>0</v>
      </c>
      <c r="J3674" s="27">
        <f t="shared" si="5"/>
        <v>693947</v>
      </c>
      <c r="K3674" s="27">
        <f t="shared" si="6"/>
        <v>693977</v>
      </c>
    </row>
    <row r="3675" hidden="1">
      <c r="A3675" s="3" t="str">
        <f t="shared" si="3"/>
        <v/>
      </c>
      <c r="B3675" s="2" t="str">
        <f t="array" ref="B3675">INDEX(helper!$A$3:$A3996,ROUNDUP((ROW()-1)/COUNTA(helper!$D$3:$D3996),0))</f>
        <v/>
      </c>
      <c r="C3675" s="5" t="str">
        <f t="array" ref="C3675">IF(B3675="","",INDEX(helper!$D$3:$D3996,MOD(ROW()-2,COUNTA(helper!$D$3:$D3996))+1))</f>
        <v/>
      </c>
      <c r="D3675" s="3" t="str">
        <f t="array" ref="D3675">IF(B3675="","",INDEX(helper!$E$3:$E3996,MOD(ROW()-2,COUNTA(helper!$D$3:$D3996))+1))</f>
        <v/>
      </c>
      <c r="E3675" s="3" t="str">
        <f t="array" ref="E3675">IF(B3675="","",INDEX(helper!$F$3:$F3996,MOD(ROW()-2,COUNTA(helper!$D$3:$D3996))+1))</f>
        <v/>
      </c>
      <c r="F3675" s="3" t="str">
        <f>IF(B3675="","",SUMIFS('inventory ledger'!$H:$H,'inventory ledger'!$C:$C,C3675,'inventory ledger'!$D:$D,D3675,'inventory ledger'!$E:$E,E3675,'inventory ledger'!$A:$A,"&lt;="&amp;B3675+TIME(23,59,59))-SUMIFS('inventory ledger'!$I:$I,'inventory ledger'!$C:$C,C3675,'inventory ledger'!$D:$D,D3675,'inventory ledger'!$E:$E,E3675,'inventory ledger'!$A:$A,"&lt;="&amp;B3675+TIME(23,59,59)))</f>
        <v/>
      </c>
      <c r="G3675" s="3">
        <f>IFERROR(__xludf.DUMMYFUNCTION("IF(F3675&lt;=0,0,IFERROR(ROUNDUP(F3675/INDEX(FILTER('warehouse config'!$D:$D,('warehouse config'!$B:$B=C3675)*('warehouse config'!$C:$C=D3675)*('warehouse config'!$G:$G&lt;=B3675)*(('warehouse config'!$H:$H&gt;=B3675)+ISBLANK('warehouse config'!$H:$H))),1)),0))"),0.0)</f>
        <v>0</v>
      </c>
      <c r="H3675" s="3">
        <f>IFERROR(__xludf.DUMMYFUNCTION("IFERROR(INDEX(FILTER('cost master'!$E:$E,('cost master'!$B:$B=C3675)*('cost master'!$D:$D=""Storage cost per pallet / week"")*('cost master'!$G:$G&lt;=B3675)*(('cost master'!$H:$H&gt;=B3675)+ISBLANK('cost master'!$H:$H))),1),0)"),0.0)</f>
        <v>0</v>
      </c>
      <c r="I3675" s="3">
        <f t="shared" si="4"/>
        <v>0</v>
      </c>
      <c r="J3675" s="27">
        <f t="shared" si="5"/>
        <v>693947</v>
      </c>
      <c r="K3675" s="27">
        <f t="shared" si="6"/>
        <v>693977</v>
      </c>
    </row>
    <row r="3676" hidden="1">
      <c r="A3676" s="3" t="str">
        <f t="shared" si="3"/>
        <v/>
      </c>
      <c r="B3676" s="2" t="str">
        <f t="array" ref="B3676">INDEX(helper!$A$3:$A3996,ROUNDUP((ROW()-1)/COUNTA(helper!$D$3:$D3996),0))</f>
        <v/>
      </c>
      <c r="C3676" s="5" t="str">
        <f t="array" ref="C3676">IF(B3676="","",INDEX(helper!$D$3:$D3996,MOD(ROW()-2,COUNTA(helper!$D$3:$D3996))+1))</f>
        <v/>
      </c>
      <c r="D3676" s="3" t="str">
        <f t="array" ref="D3676">IF(B3676="","",INDEX(helper!$E$3:$E3996,MOD(ROW()-2,COUNTA(helper!$D$3:$D3996))+1))</f>
        <v/>
      </c>
      <c r="E3676" s="3" t="str">
        <f t="array" ref="E3676">IF(B3676="","",INDEX(helper!$F$3:$F3996,MOD(ROW()-2,COUNTA(helper!$D$3:$D3996))+1))</f>
        <v/>
      </c>
      <c r="F3676" s="3" t="str">
        <f>IF(B3676="","",SUMIFS('inventory ledger'!$H:$H,'inventory ledger'!$C:$C,C3676,'inventory ledger'!$D:$D,D3676,'inventory ledger'!$E:$E,E3676,'inventory ledger'!$A:$A,"&lt;="&amp;B3676+TIME(23,59,59))-SUMIFS('inventory ledger'!$I:$I,'inventory ledger'!$C:$C,C3676,'inventory ledger'!$D:$D,D3676,'inventory ledger'!$E:$E,E3676,'inventory ledger'!$A:$A,"&lt;="&amp;B3676+TIME(23,59,59)))</f>
        <v/>
      </c>
      <c r="G3676" s="3">
        <f>IFERROR(__xludf.DUMMYFUNCTION("IF(F3676&lt;=0,0,IFERROR(ROUNDUP(F3676/INDEX(FILTER('warehouse config'!$D:$D,('warehouse config'!$B:$B=C3676)*('warehouse config'!$C:$C=D3676)*('warehouse config'!$G:$G&lt;=B3676)*(('warehouse config'!$H:$H&gt;=B3676)+ISBLANK('warehouse config'!$H:$H))),1)),0))"),0.0)</f>
        <v>0</v>
      </c>
      <c r="H3676" s="3">
        <f>IFERROR(__xludf.DUMMYFUNCTION("IFERROR(INDEX(FILTER('cost master'!$E:$E,('cost master'!$B:$B=C3676)*('cost master'!$D:$D=""Storage cost per pallet / week"")*('cost master'!$G:$G&lt;=B3676)*(('cost master'!$H:$H&gt;=B3676)+ISBLANK('cost master'!$H:$H))),1),0)"),0.0)</f>
        <v>0</v>
      </c>
      <c r="I3676" s="3">
        <f t="shared" si="4"/>
        <v>0</v>
      </c>
      <c r="J3676" s="27">
        <f t="shared" si="5"/>
        <v>693947</v>
      </c>
      <c r="K3676" s="27">
        <f t="shared" si="6"/>
        <v>693977</v>
      </c>
    </row>
    <row r="3677" hidden="1">
      <c r="A3677" s="3" t="str">
        <f t="shared" si="3"/>
        <v/>
      </c>
      <c r="B3677" s="2" t="str">
        <f t="array" ref="B3677">INDEX(helper!$A$3:$A3996,ROUNDUP((ROW()-1)/COUNTA(helper!$D$3:$D3996),0))</f>
        <v/>
      </c>
      <c r="C3677" s="5" t="str">
        <f t="array" ref="C3677">IF(B3677="","",INDEX(helper!$D$3:$D3996,MOD(ROW()-2,COUNTA(helper!$D$3:$D3996))+1))</f>
        <v/>
      </c>
      <c r="D3677" s="3" t="str">
        <f t="array" ref="D3677">IF(B3677="","",INDEX(helper!$E$3:$E3996,MOD(ROW()-2,COUNTA(helper!$D$3:$D3996))+1))</f>
        <v/>
      </c>
      <c r="E3677" s="3" t="str">
        <f t="array" ref="E3677">IF(B3677="","",INDEX(helper!$F$3:$F3996,MOD(ROW()-2,COUNTA(helper!$D$3:$D3996))+1))</f>
        <v/>
      </c>
      <c r="F3677" s="3" t="str">
        <f>IF(B3677="","",SUMIFS('inventory ledger'!$H:$H,'inventory ledger'!$C:$C,C3677,'inventory ledger'!$D:$D,D3677,'inventory ledger'!$E:$E,E3677,'inventory ledger'!$A:$A,"&lt;="&amp;B3677+TIME(23,59,59))-SUMIFS('inventory ledger'!$I:$I,'inventory ledger'!$C:$C,C3677,'inventory ledger'!$D:$D,D3677,'inventory ledger'!$E:$E,E3677,'inventory ledger'!$A:$A,"&lt;="&amp;B3677+TIME(23,59,59)))</f>
        <v/>
      </c>
      <c r="G3677" s="3">
        <f>IFERROR(__xludf.DUMMYFUNCTION("IF(F3677&lt;=0,0,IFERROR(ROUNDUP(F3677/INDEX(FILTER('warehouse config'!$D:$D,('warehouse config'!$B:$B=C3677)*('warehouse config'!$C:$C=D3677)*('warehouse config'!$G:$G&lt;=B3677)*(('warehouse config'!$H:$H&gt;=B3677)+ISBLANK('warehouse config'!$H:$H))),1)),0))"),0.0)</f>
        <v>0</v>
      </c>
      <c r="H3677" s="3">
        <f>IFERROR(__xludf.DUMMYFUNCTION("IFERROR(INDEX(FILTER('cost master'!$E:$E,('cost master'!$B:$B=C3677)*('cost master'!$D:$D=""Storage cost per pallet / week"")*('cost master'!$G:$G&lt;=B3677)*(('cost master'!$H:$H&gt;=B3677)+ISBLANK('cost master'!$H:$H))),1),0)"),0.0)</f>
        <v>0</v>
      </c>
      <c r="I3677" s="3">
        <f t="shared" si="4"/>
        <v>0</v>
      </c>
      <c r="J3677" s="27">
        <f t="shared" si="5"/>
        <v>693947</v>
      </c>
      <c r="K3677" s="27">
        <f t="shared" si="6"/>
        <v>693977</v>
      </c>
    </row>
    <row r="3678" hidden="1">
      <c r="A3678" s="3" t="str">
        <f t="shared" si="3"/>
        <v/>
      </c>
      <c r="B3678" s="2" t="str">
        <f t="array" ref="B3678">INDEX(helper!$A$3:$A3996,ROUNDUP((ROW()-1)/COUNTA(helper!$D$3:$D3996),0))</f>
        <v/>
      </c>
      <c r="C3678" s="5" t="str">
        <f t="array" ref="C3678">IF(B3678="","",INDEX(helper!$D$3:$D3996,MOD(ROW()-2,COUNTA(helper!$D$3:$D3996))+1))</f>
        <v/>
      </c>
      <c r="D3678" s="3" t="str">
        <f t="array" ref="D3678">IF(B3678="","",INDEX(helper!$E$3:$E3996,MOD(ROW()-2,COUNTA(helper!$D$3:$D3996))+1))</f>
        <v/>
      </c>
      <c r="E3678" s="3" t="str">
        <f t="array" ref="E3678">IF(B3678="","",INDEX(helper!$F$3:$F3996,MOD(ROW()-2,COUNTA(helper!$D$3:$D3996))+1))</f>
        <v/>
      </c>
      <c r="F3678" s="3" t="str">
        <f>IF(B3678="","",SUMIFS('inventory ledger'!$H:$H,'inventory ledger'!$C:$C,C3678,'inventory ledger'!$D:$D,D3678,'inventory ledger'!$E:$E,E3678,'inventory ledger'!$A:$A,"&lt;="&amp;B3678+TIME(23,59,59))-SUMIFS('inventory ledger'!$I:$I,'inventory ledger'!$C:$C,C3678,'inventory ledger'!$D:$D,D3678,'inventory ledger'!$E:$E,E3678,'inventory ledger'!$A:$A,"&lt;="&amp;B3678+TIME(23,59,59)))</f>
        <v/>
      </c>
      <c r="G3678" s="3">
        <f>IFERROR(__xludf.DUMMYFUNCTION("IF(F3678&lt;=0,0,IFERROR(ROUNDUP(F3678/INDEX(FILTER('warehouse config'!$D:$D,('warehouse config'!$B:$B=C3678)*('warehouse config'!$C:$C=D3678)*('warehouse config'!$G:$G&lt;=B3678)*(('warehouse config'!$H:$H&gt;=B3678)+ISBLANK('warehouse config'!$H:$H))),1)),0))"),0.0)</f>
        <v>0</v>
      </c>
      <c r="H3678" s="3">
        <f>IFERROR(__xludf.DUMMYFUNCTION("IFERROR(INDEX(FILTER('cost master'!$E:$E,('cost master'!$B:$B=C3678)*('cost master'!$D:$D=""Storage cost per pallet / week"")*('cost master'!$G:$G&lt;=B3678)*(('cost master'!$H:$H&gt;=B3678)+ISBLANK('cost master'!$H:$H))),1),0)"),0.0)</f>
        <v>0</v>
      </c>
      <c r="I3678" s="3">
        <f t="shared" si="4"/>
        <v>0</v>
      </c>
      <c r="J3678" s="27">
        <f t="shared" si="5"/>
        <v>693947</v>
      </c>
      <c r="K3678" s="27">
        <f t="shared" si="6"/>
        <v>693977</v>
      </c>
    </row>
    <row r="3679" hidden="1">
      <c r="A3679" s="3" t="str">
        <f t="shared" si="3"/>
        <v/>
      </c>
      <c r="B3679" s="2" t="str">
        <f t="array" ref="B3679">INDEX(helper!$A$3:$A3996,ROUNDUP((ROW()-1)/COUNTA(helper!$D$3:$D3996),0))</f>
        <v/>
      </c>
      <c r="C3679" s="5" t="str">
        <f t="array" ref="C3679">IF(B3679="","",INDEX(helper!$D$3:$D3996,MOD(ROW()-2,COUNTA(helper!$D$3:$D3996))+1))</f>
        <v/>
      </c>
      <c r="D3679" s="3" t="str">
        <f t="array" ref="D3679">IF(B3679="","",INDEX(helper!$E$3:$E3996,MOD(ROW()-2,COUNTA(helper!$D$3:$D3996))+1))</f>
        <v/>
      </c>
      <c r="E3679" s="3" t="str">
        <f t="array" ref="E3679">IF(B3679="","",INDEX(helper!$F$3:$F3996,MOD(ROW()-2,COUNTA(helper!$D$3:$D3996))+1))</f>
        <v/>
      </c>
      <c r="F3679" s="3" t="str">
        <f>IF(B3679="","",SUMIFS('inventory ledger'!$H:$H,'inventory ledger'!$C:$C,C3679,'inventory ledger'!$D:$D,D3679,'inventory ledger'!$E:$E,E3679,'inventory ledger'!$A:$A,"&lt;="&amp;B3679+TIME(23,59,59))-SUMIFS('inventory ledger'!$I:$I,'inventory ledger'!$C:$C,C3679,'inventory ledger'!$D:$D,D3679,'inventory ledger'!$E:$E,E3679,'inventory ledger'!$A:$A,"&lt;="&amp;B3679+TIME(23,59,59)))</f>
        <v/>
      </c>
      <c r="G3679" s="3">
        <f>IFERROR(__xludf.DUMMYFUNCTION("IF(F3679&lt;=0,0,IFERROR(ROUNDUP(F3679/INDEX(FILTER('warehouse config'!$D:$D,('warehouse config'!$B:$B=C3679)*('warehouse config'!$C:$C=D3679)*('warehouse config'!$G:$G&lt;=B3679)*(('warehouse config'!$H:$H&gt;=B3679)+ISBLANK('warehouse config'!$H:$H))),1)),0))"),0.0)</f>
        <v>0</v>
      </c>
      <c r="H3679" s="3">
        <f>IFERROR(__xludf.DUMMYFUNCTION("IFERROR(INDEX(FILTER('cost master'!$E:$E,('cost master'!$B:$B=C3679)*('cost master'!$D:$D=""Storage cost per pallet / week"")*('cost master'!$G:$G&lt;=B3679)*(('cost master'!$H:$H&gt;=B3679)+ISBLANK('cost master'!$H:$H))),1),0)"),0.0)</f>
        <v>0</v>
      </c>
      <c r="I3679" s="3">
        <f t="shared" si="4"/>
        <v>0</v>
      </c>
      <c r="J3679" s="27">
        <f t="shared" si="5"/>
        <v>693947</v>
      </c>
      <c r="K3679" s="27">
        <f t="shared" si="6"/>
        <v>693977</v>
      </c>
    </row>
    <row r="3680" hidden="1">
      <c r="A3680" s="3" t="str">
        <f t="shared" si="3"/>
        <v/>
      </c>
      <c r="B3680" s="2" t="str">
        <f t="array" ref="B3680">INDEX(helper!$A$3:$A3996,ROUNDUP((ROW()-1)/COUNTA(helper!$D$3:$D3996),0))</f>
        <v/>
      </c>
      <c r="C3680" s="5" t="str">
        <f t="array" ref="C3680">IF(B3680="","",INDEX(helper!$D$3:$D3996,MOD(ROW()-2,COUNTA(helper!$D$3:$D3996))+1))</f>
        <v/>
      </c>
      <c r="D3680" s="3" t="str">
        <f t="array" ref="D3680">IF(B3680="","",INDEX(helper!$E$3:$E3996,MOD(ROW()-2,COUNTA(helper!$D$3:$D3996))+1))</f>
        <v/>
      </c>
      <c r="E3680" s="3" t="str">
        <f t="array" ref="E3680">IF(B3680="","",INDEX(helper!$F$3:$F3996,MOD(ROW()-2,COUNTA(helper!$D$3:$D3996))+1))</f>
        <v/>
      </c>
      <c r="F3680" s="3" t="str">
        <f>IF(B3680="","",SUMIFS('inventory ledger'!$H:$H,'inventory ledger'!$C:$C,C3680,'inventory ledger'!$D:$D,D3680,'inventory ledger'!$E:$E,E3680,'inventory ledger'!$A:$A,"&lt;="&amp;B3680+TIME(23,59,59))-SUMIFS('inventory ledger'!$I:$I,'inventory ledger'!$C:$C,C3680,'inventory ledger'!$D:$D,D3680,'inventory ledger'!$E:$E,E3680,'inventory ledger'!$A:$A,"&lt;="&amp;B3680+TIME(23,59,59)))</f>
        <v/>
      </c>
      <c r="G3680" s="3">
        <f>IFERROR(__xludf.DUMMYFUNCTION("IF(F3680&lt;=0,0,IFERROR(ROUNDUP(F3680/INDEX(FILTER('warehouse config'!$D:$D,('warehouse config'!$B:$B=C3680)*('warehouse config'!$C:$C=D3680)*('warehouse config'!$G:$G&lt;=B3680)*(('warehouse config'!$H:$H&gt;=B3680)+ISBLANK('warehouse config'!$H:$H))),1)),0))"),0.0)</f>
        <v>0</v>
      </c>
      <c r="H3680" s="3">
        <f>IFERROR(__xludf.DUMMYFUNCTION("IFERROR(INDEX(FILTER('cost master'!$E:$E,('cost master'!$B:$B=C3680)*('cost master'!$D:$D=""Storage cost per pallet / week"")*('cost master'!$G:$G&lt;=B3680)*(('cost master'!$H:$H&gt;=B3680)+ISBLANK('cost master'!$H:$H))),1),0)"),0.0)</f>
        <v>0</v>
      </c>
      <c r="I3680" s="3">
        <f t="shared" si="4"/>
        <v>0</v>
      </c>
      <c r="J3680" s="27">
        <f t="shared" si="5"/>
        <v>693947</v>
      </c>
      <c r="K3680" s="27">
        <f t="shared" si="6"/>
        <v>693977</v>
      </c>
    </row>
    <row r="3681" hidden="1">
      <c r="A3681" s="3" t="str">
        <f t="shared" si="3"/>
        <v/>
      </c>
      <c r="B3681" s="2" t="str">
        <f t="array" ref="B3681">INDEX(helper!$A$3:$A3996,ROUNDUP((ROW()-1)/COUNTA(helper!$D$3:$D3996),0))</f>
        <v/>
      </c>
      <c r="C3681" s="5" t="str">
        <f t="array" ref="C3681">IF(B3681="","",INDEX(helper!$D$3:$D3996,MOD(ROW()-2,COUNTA(helper!$D$3:$D3996))+1))</f>
        <v/>
      </c>
      <c r="D3681" s="3" t="str">
        <f t="array" ref="D3681">IF(B3681="","",INDEX(helper!$E$3:$E3996,MOD(ROW()-2,COUNTA(helper!$D$3:$D3996))+1))</f>
        <v/>
      </c>
      <c r="E3681" s="3" t="str">
        <f t="array" ref="E3681">IF(B3681="","",INDEX(helper!$F$3:$F3996,MOD(ROW()-2,COUNTA(helper!$D$3:$D3996))+1))</f>
        <v/>
      </c>
      <c r="F3681" s="3" t="str">
        <f>IF(B3681="","",SUMIFS('inventory ledger'!$H:$H,'inventory ledger'!$C:$C,C3681,'inventory ledger'!$D:$D,D3681,'inventory ledger'!$E:$E,E3681,'inventory ledger'!$A:$A,"&lt;="&amp;B3681+TIME(23,59,59))-SUMIFS('inventory ledger'!$I:$I,'inventory ledger'!$C:$C,C3681,'inventory ledger'!$D:$D,D3681,'inventory ledger'!$E:$E,E3681,'inventory ledger'!$A:$A,"&lt;="&amp;B3681+TIME(23,59,59)))</f>
        <v/>
      </c>
      <c r="G3681" s="3">
        <f>IFERROR(__xludf.DUMMYFUNCTION("IF(F3681&lt;=0,0,IFERROR(ROUNDUP(F3681/INDEX(FILTER('warehouse config'!$D:$D,('warehouse config'!$B:$B=C3681)*('warehouse config'!$C:$C=D3681)*('warehouse config'!$G:$G&lt;=B3681)*(('warehouse config'!$H:$H&gt;=B3681)+ISBLANK('warehouse config'!$H:$H))),1)),0))"),0.0)</f>
        <v>0</v>
      </c>
      <c r="H3681" s="3">
        <f>IFERROR(__xludf.DUMMYFUNCTION("IFERROR(INDEX(FILTER('cost master'!$E:$E,('cost master'!$B:$B=C3681)*('cost master'!$D:$D=""Storage cost per pallet / week"")*('cost master'!$G:$G&lt;=B3681)*(('cost master'!$H:$H&gt;=B3681)+ISBLANK('cost master'!$H:$H))),1),0)"),0.0)</f>
        <v>0</v>
      </c>
      <c r="I3681" s="3">
        <f t="shared" si="4"/>
        <v>0</v>
      </c>
      <c r="J3681" s="27">
        <f t="shared" si="5"/>
        <v>693947</v>
      </c>
      <c r="K3681" s="27">
        <f t="shared" si="6"/>
        <v>693977</v>
      </c>
    </row>
    <row r="3682" hidden="1">
      <c r="A3682" s="3" t="str">
        <f t="shared" si="3"/>
        <v/>
      </c>
      <c r="B3682" s="2" t="str">
        <f t="array" ref="B3682">INDEX(helper!$A$3:$A3996,ROUNDUP((ROW()-1)/COUNTA(helper!$D$3:$D3996),0))</f>
        <v/>
      </c>
      <c r="C3682" s="5" t="str">
        <f t="array" ref="C3682">IF(B3682="","",INDEX(helper!$D$3:$D3996,MOD(ROW()-2,COUNTA(helper!$D$3:$D3996))+1))</f>
        <v/>
      </c>
      <c r="D3682" s="3" t="str">
        <f t="array" ref="D3682">IF(B3682="","",INDEX(helper!$E$3:$E3996,MOD(ROW()-2,COUNTA(helper!$D$3:$D3996))+1))</f>
        <v/>
      </c>
      <c r="E3682" s="3" t="str">
        <f t="array" ref="E3682">IF(B3682="","",INDEX(helper!$F$3:$F3996,MOD(ROW()-2,COUNTA(helper!$D$3:$D3996))+1))</f>
        <v/>
      </c>
      <c r="F3682" s="3" t="str">
        <f>IF(B3682="","",SUMIFS('inventory ledger'!$H:$H,'inventory ledger'!$C:$C,C3682,'inventory ledger'!$D:$D,D3682,'inventory ledger'!$E:$E,E3682,'inventory ledger'!$A:$A,"&lt;="&amp;B3682+TIME(23,59,59))-SUMIFS('inventory ledger'!$I:$I,'inventory ledger'!$C:$C,C3682,'inventory ledger'!$D:$D,D3682,'inventory ledger'!$E:$E,E3682,'inventory ledger'!$A:$A,"&lt;="&amp;B3682+TIME(23,59,59)))</f>
        <v/>
      </c>
      <c r="G3682" s="3">
        <f>IFERROR(__xludf.DUMMYFUNCTION("IF(F3682&lt;=0,0,IFERROR(ROUNDUP(F3682/INDEX(FILTER('warehouse config'!$D:$D,('warehouse config'!$B:$B=C3682)*('warehouse config'!$C:$C=D3682)*('warehouse config'!$G:$G&lt;=B3682)*(('warehouse config'!$H:$H&gt;=B3682)+ISBLANK('warehouse config'!$H:$H))),1)),0))"),0.0)</f>
        <v>0</v>
      </c>
      <c r="H3682" s="3">
        <f>IFERROR(__xludf.DUMMYFUNCTION("IFERROR(INDEX(FILTER('cost master'!$E:$E,('cost master'!$B:$B=C3682)*('cost master'!$D:$D=""Storage cost per pallet / week"")*('cost master'!$G:$G&lt;=B3682)*(('cost master'!$H:$H&gt;=B3682)+ISBLANK('cost master'!$H:$H))),1),0)"),0.0)</f>
        <v>0</v>
      </c>
      <c r="I3682" s="3">
        <f t="shared" si="4"/>
        <v>0</v>
      </c>
      <c r="J3682" s="27">
        <f t="shared" si="5"/>
        <v>693947</v>
      </c>
      <c r="K3682" s="27">
        <f t="shared" si="6"/>
        <v>693977</v>
      </c>
    </row>
    <row r="3683" hidden="1">
      <c r="A3683" s="3" t="str">
        <f t="shared" si="3"/>
        <v/>
      </c>
      <c r="B3683" s="2" t="str">
        <f t="array" ref="B3683">INDEX(helper!$A$3:$A3996,ROUNDUP((ROW()-1)/COUNTA(helper!$D$3:$D3996),0))</f>
        <v/>
      </c>
      <c r="C3683" s="5" t="str">
        <f t="array" ref="C3683">IF(B3683="","",INDEX(helper!$D$3:$D3996,MOD(ROW()-2,COUNTA(helper!$D$3:$D3996))+1))</f>
        <v/>
      </c>
      <c r="D3683" s="3" t="str">
        <f t="array" ref="D3683">IF(B3683="","",INDEX(helper!$E$3:$E3996,MOD(ROW()-2,COUNTA(helper!$D$3:$D3996))+1))</f>
        <v/>
      </c>
      <c r="E3683" s="3" t="str">
        <f t="array" ref="E3683">IF(B3683="","",INDEX(helper!$F$3:$F3996,MOD(ROW()-2,COUNTA(helper!$D$3:$D3996))+1))</f>
        <v/>
      </c>
      <c r="F3683" s="3" t="str">
        <f>IF(B3683="","",SUMIFS('inventory ledger'!$H:$H,'inventory ledger'!$C:$C,C3683,'inventory ledger'!$D:$D,D3683,'inventory ledger'!$E:$E,E3683,'inventory ledger'!$A:$A,"&lt;="&amp;B3683+TIME(23,59,59))-SUMIFS('inventory ledger'!$I:$I,'inventory ledger'!$C:$C,C3683,'inventory ledger'!$D:$D,D3683,'inventory ledger'!$E:$E,E3683,'inventory ledger'!$A:$A,"&lt;="&amp;B3683+TIME(23,59,59)))</f>
        <v/>
      </c>
      <c r="G3683" s="3">
        <f>IFERROR(__xludf.DUMMYFUNCTION("IF(F3683&lt;=0,0,IFERROR(ROUNDUP(F3683/INDEX(FILTER('warehouse config'!$D:$D,('warehouse config'!$B:$B=C3683)*('warehouse config'!$C:$C=D3683)*('warehouse config'!$G:$G&lt;=B3683)*(('warehouse config'!$H:$H&gt;=B3683)+ISBLANK('warehouse config'!$H:$H))),1)),0))"),0.0)</f>
        <v>0</v>
      </c>
      <c r="H3683" s="3">
        <f>IFERROR(__xludf.DUMMYFUNCTION("IFERROR(INDEX(FILTER('cost master'!$E:$E,('cost master'!$B:$B=C3683)*('cost master'!$D:$D=""Storage cost per pallet / week"")*('cost master'!$G:$G&lt;=B3683)*(('cost master'!$H:$H&gt;=B3683)+ISBLANK('cost master'!$H:$H))),1),0)"),0.0)</f>
        <v>0</v>
      </c>
      <c r="I3683" s="3">
        <f t="shared" si="4"/>
        <v>0</v>
      </c>
      <c r="J3683" s="27">
        <f t="shared" si="5"/>
        <v>693947</v>
      </c>
      <c r="K3683" s="27">
        <f t="shared" si="6"/>
        <v>693977</v>
      </c>
    </row>
    <row r="3684" hidden="1">
      <c r="A3684" s="3" t="str">
        <f t="shared" si="3"/>
        <v/>
      </c>
      <c r="B3684" s="2" t="str">
        <f t="array" ref="B3684">INDEX(helper!$A$3:$A3996,ROUNDUP((ROW()-1)/COUNTA(helper!$D$3:$D3996),0))</f>
        <v/>
      </c>
      <c r="C3684" s="5" t="str">
        <f t="array" ref="C3684">IF(B3684="","",INDEX(helper!$D$3:$D3996,MOD(ROW()-2,COUNTA(helper!$D$3:$D3996))+1))</f>
        <v/>
      </c>
      <c r="D3684" s="3" t="str">
        <f t="array" ref="D3684">IF(B3684="","",INDEX(helper!$E$3:$E3996,MOD(ROW()-2,COUNTA(helper!$D$3:$D3996))+1))</f>
        <v/>
      </c>
      <c r="E3684" s="3" t="str">
        <f t="array" ref="E3684">IF(B3684="","",INDEX(helper!$F$3:$F3996,MOD(ROW()-2,COUNTA(helper!$D$3:$D3996))+1))</f>
        <v/>
      </c>
      <c r="F3684" s="3" t="str">
        <f>IF(B3684="","",SUMIFS('inventory ledger'!$H:$H,'inventory ledger'!$C:$C,C3684,'inventory ledger'!$D:$D,D3684,'inventory ledger'!$E:$E,E3684,'inventory ledger'!$A:$A,"&lt;="&amp;B3684+TIME(23,59,59))-SUMIFS('inventory ledger'!$I:$I,'inventory ledger'!$C:$C,C3684,'inventory ledger'!$D:$D,D3684,'inventory ledger'!$E:$E,E3684,'inventory ledger'!$A:$A,"&lt;="&amp;B3684+TIME(23,59,59)))</f>
        <v/>
      </c>
      <c r="G3684" s="3">
        <f>IFERROR(__xludf.DUMMYFUNCTION("IF(F3684&lt;=0,0,IFERROR(ROUNDUP(F3684/INDEX(FILTER('warehouse config'!$D:$D,('warehouse config'!$B:$B=C3684)*('warehouse config'!$C:$C=D3684)*('warehouse config'!$G:$G&lt;=B3684)*(('warehouse config'!$H:$H&gt;=B3684)+ISBLANK('warehouse config'!$H:$H))),1)),0))"),0.0)</f>
        <v>0</v>
      </c>
      <c r="H3684" s="3">
        <f>IFERROR(__xludf.DUMMYFUNCTION("IFERROR(INDEX(FILTER('cost master'!$E:$E,('cost master'!$B:$B=C3684)*('cost master'!$D:$D=""Storage cost per pallet / week"")*('cost master'!$G:$G&lt;=B3684)*(('cost master'!$H:$H&gt;=B3684)+ISBLANK('cost master'!$H:$H))),1),0)"),0.0)</f>
        <v>0</v>
      </c>
      <c r="I3684" s="3">
        <f t="shared" si="4"/>
        <v>0</v>
      </c>
      <c r="J3684" s="27">
        <f t="shared" si="5"/>
        <v>693947</v>
      </c>
      <c r="K3684" s="27">
        <f t="shared" si="6"/>
        <v>693977</v>
      </c>
    </row>
    <row r="3685" hidden="1">
      <c r="A3685" s="3" t="str">
        <f t="shared" si="3"/>
        <v/>
      </c>
      <c r="B3685" s="2" t="str">
        <f t="array" ref="B3685">INDEX(helper!$A$3:$A3996,ROUNDUP((ROW()-1)/COUNTA(helper!$D$3:$D3996),0))</f>
        <v/>
      </c>
      <c r="C3685" s="5" t="str">
        <f t="array" ref="C3685">IF(B3685="","",INDEX(helper!$D$3:$D3996,MOD(ROW()-2,COUNTA(helper!$D$3:$D3996))+1))</f>
        <v/>
      </c>
      <c r="D3685" s="3" t="str">
        <f t="array" ref="D3685">IF(B3685="","",INDEX(helper!$E$3:$E3996,MOD(ROW()-2,COUNTA(helper!$D$3:$D3996))+1))</f>
        <v/>
      </c>
      <c r="E3685" s="3" t="str">
        <f t="array" ref="E3685">IF(B3685="","",INDEX(helper!$F$3:$F3996,MOD(ROW()-2,COUNTA(helper!$D$3:$D3996))+1))</f>
        <v/>
      </c>
      <c r="F3685" s="3" t="str">
        <f>IF(B3685="","",SUMIFS('inventory ledger'!$H:$H,'inventory ledger'!$C:$C,C3685,'inventory ledger'!$D:$D,D3685,'inventory ledger'!$E:$E,E3685,'inventory ledger'!$A:$A,"&lt;="&amp;B3685+TIME(23,59,59))-SUMIFS('inventory ledger'!$I:$I,'inventory ledger'!$C:$C,C3685,'inventory ledger'!$D:$D,D3685,'inventory ledger'!$E:$E,E3685,'inventory ledger'!$A:$A,"&lt;="&amp;B3685+TIME(23,59,59)))</f>
        <v/>
      </c>
      <c r="G3685" s="3">
        <f>IFERROR(__xludf.DUMMYFUNCTION("IF(F3685&lt;=0,0,IFERROR(ROUNDUP(F3685/INDEX(FILTER('warehouse config'!$D:$D,('warehouse config'!$B:$B=C3685)*('warehouse config'!$C:$C=D3685)*('warehouse config'!$G:$G&lt;=B3685)*(('warehouse config'!$H:$H&gt;=B3685)+ISBLANK('warehouse config'!$H:$H))),1)),0))"),0.0)</f>
        <v>0</v>
      </c>
      <c r="H3685" s="3">
        <f>IFERROR(__xludf.DUMMYFUNCTION("IFERROR(INDEX(FILTER('cost master'!$E:$E,('cost master'!$B:$B=C3685)*('cost master'!$D:$D=""Storage cost per pallet / week"")*('cost master'!$G:$G&lt;=B3685)*(('cost master'!$H:$H&gt;=B3685)+ISBLANK('cost master'!$H:$H))),1),0)"),0.0)</f>
        <v>0</v>
      </c>
      <c r="I3685" s="3">
        <f t="shared" si="4"/>
        <v>0</v>
      </c>
      <c r="J3685" s="27">
        <f t="shared" si="5"/>
        <v>693947</v>
      </c>
      <c r="K3685" s="27">
        <f t="shared" si="6"/>
        <v>693977</v>
      </c>
    </row>
    <row r="3686" hidden="1">
      <c r="A3686" s="3" t="str">
        <f t="shared" si="3"/>
        <v/>
      </c>
      <c r="B3686" s="2" t="str">
        <f t="array" ref="B3686">INDEX(helper!$A$3:$A3996,ROUNDUP((ROW()-1)/COUNTA(helper!$D$3:$D3996),0))</f>
        <v/>
      </c>
      <c r="C3686" s="5" t="str">
        <f t="array" ref="C3686">IF(B3686="","",INDEX(helper!$D$3:$D3996,MOD(ROW()-2,COUNTA(helper!$D$3:$D3996))+1))</f>
        <v/>
      </c>
      <c r="D3686" s="3" t="str">
        <f t="array" ref="D3686">IF(B3686="","",INDEX(helper!$E$3:$E3996,MOD(ROW()-2,COUNTA(helper!$D$3:$D3996))+1))</f>
        <v/>
      </c>
      <c r="E3686" s="3" t="str">
        <f t="array" ref="E3686">IF(B3686="","",INDEX(helper!$F$3:$F3996,MOD(ROW()-2,COUNTA(helper!$D$3:$D3996))+1))</f>
        <v/>
      </c>
      <c r="F3686" s="3" t="str">
        <f>IF(B3686="","",SUMIFS('inventory ledger'!$H:$H,'inventory ledger'!$C:$C,C3686,'inventory ledger'!$D:$D,D3686,'inventory ledger'!$E:$E,E3686,'inventory ledger'!$A:$A,"&lt;="&amp;B3686+TIME(23,59,59))-SUMIFS('inventory ledger'!$I:$I,'inventory ledger'!$C:$C,C3686,'inventory ledger'!$D:$D,D3686,'inventory ledger'!$E:$E,E3686,'inventory ledger'!$A:$A,"&lt;="&amp;B3686+TIME(23,59,59)))</f>
        <v/>
      </c>
      <c r="G3686" s="3">
        <f>IFERROR(__xludf.DUMMYFUNCTION("IF(F3686&lt;=0,0,IFERROR(ROUNDUP(F3686/INDEX(FILTER('warehouse config'!$D:$D,('warehouse config'!$B:$B=C3686)*('warehouse config'!$C:$C=D3686)*('warehouse config'!$G:$G&lt;=B3686)*(('warehouse config'!$H:$H&gt;=B3686)+ISBLANK('warehouse config'!$H:$H))),1)),0))"),0.0)</f>
        <v>0</v>
      </c>
      <c r="H3686" s="3">
        <f>IFERROR(__xludf.DUMMYFUNCTION("IFERROR(INDEX(FILTER('cost master'!$E:$E,('cost master'!$B:$B=C3686)*('cost master'!$D:$D=""Storage cost per pallet / week"")*('cost master'!$G:$G&lt;=B3686)*(('cost master'!$H:$H&gt;=B3686)+ISBLANK('cost master'!$H:$H))),1),0)"),0.0)</f>
        <v>0</v>
      </c>
      <c r="I3686" s="3">
        <f t="shared" si="4"/>
        <v>0</v>
      </c>
      <c r="J3686" s="27">
        <f t="shared" si="5"/>
        <v>693947</v>
      </c>
      <c r="K3686" s="27">
        <f t="shared" si="6"/>
        <v>693977</v>
      </c>
    </row>
    <row r="3687" hidden="1">
      <c r="A3687" s="3" t="str">
        <f t="shared" si="3"/>
        <v/>
      </c>
      <c r="B3687" s="2" t="str">
        <f t="array" ref="B3687">INDEX(helper!$A$3:$A3996,ROUNDUP((ROW()-1)/COUNTA(helper!$D$3:$D3996),0))</f>
        <v/>
      </c>
      <c r="C3687" s="5" t="str">
        <f t="array" ref="C3687">IF(B3687="","",INDEX(helper!$D$3:$D3996,MOD(ROW()-2,COUNTA(helper!$D$3:$D3996))+1))</f>
        <v/>
      </c>
      <c r="D3687" s="3" t="str">
        <f t="array" ref="D3687">IF(B3687="","",INDEX(helper!$E$3:$E3996,MOD(ROW()-2,COUNTA(helper!$D$3:$D3996))+1))</f>
        <v/>
      </c>
      <c r="E3687" s="3" t="str">
        <f t="array" ref="E3687">IF(B3687="","",INDEX(helper!$F$3:$F3996,MOD(ROW()-2,COUNTA(helper!$D$3:$D3996))+1))</f>
        <v/>
      </c>
      <c r="F3687" s="3" t="str">
        <f>IF(B3687="","",SUMIFS('inventory ledger'!$H:$H,'inventory ledger'!$C:$C,C3687,'inventory ledger'!$D:$D,D3687,'inventory ledger'!$E:$E,E3687,'inventory ledger'!$A:$A,"&lt;="&amp;B3687+TIME(23,59,59))-SUMIFS('inventory ledger'!$I:$I,'inventory ledger'!$C:$C,C3687,'inventory ledger'!$D:$D,D3687,'inventory ledger'!$E:$E,E3687,'inventory ledger'!$A:$A,"&lt;="&amp;B3687+TIME(23,59,59)))</f>
        <v/>
      </c>
      <c r="G3687" s="3">
        <f>IFERROR(__xludf.DUMMYFUNCTION("IF(F3687&lt;=0,0,IFERROR(ROUNDUP(F3687/INDEX(FILTER('warehouse config'!$D:$D,('warehouse config'!$B:$B=C3687)*('warehouse config'!$C:$C=D3687)*('warehouse config'!$G:$G&lt;=B3687)*(('warehouse config'!$H:$H&gt;=B3687)+ISBLANK('warehouse config'!$H:$H))),1)),0))"),0.0)</f>
        <v>0</v>
      </c>
      <c r="H3687" s="3">
        <f>IFERROR(__xludf.DUMMYFUNCTION("IFERROR(INDEX(FILTER('cost master'!$E:$E,('cost master'!$B:$B=C3687)*('cost master'!$D:$D=""Storage cost per pallet / week"")*('cost master'!$G:$G&lt;=B3687)*(('cost master'!$H:$H&gt;=B3687)+ISBLANK('cost master'!$H:$H))),1),0)"),0.0)</f>
        <v>0</v>
      </c>
      <c r="I3687" s="3">
        <f t="shared" si="4"/>
        <v>0</v>
      </c>
      <c r="J3687" s="27">
        <f t="shared" si="5"/>
        <v>693947</v>
      </c>
      <c r="K3687" s="27">
        <f t="shared" si="6"/>
        <v>693977</v>
      </c>
    </row>
    <row r="3688" hidden="1">
      <c r="A3688" s="3" t="str">
        <f t="shared" si="3"/>
        <v/>
      </c>
      <c r="B3688" s="2" t="str">
        <f t="array" ref="B3688">INDEX(helper!$A$3:$A3996,ROUNDUP((ROW()-1)/COUNTA(helper!$D$3:$D3996),0))</f>
        <v/>
      </c>
      <c r="C3688" s="5" t="str">
        <f t="array" ref="C3688">IF(B3688="","",INDEX(helper!$D$3:$D3996,MOD(ROW()-2,COUNTA(helper!$D$3:$D3996))+1))</f>
        <v/>
      </c>
      <c r="D3688" s="3" t="str">
        <f t="array" ref="D3688">IF(B3688="","",INDEX(helper!$E$3:$E3996,MOD(ROW()-2,COUNTA(helper!$D$3:$D3996))+1))</f>
        <v/>
      </c>
      <c r="E3688" s="3" t="str">
        <f t="array" ref="E3688">IF(B3688="","",INDEX(helper!$F$3:$F3996,MOD(ROW()-2,COUNTA(helper!$D$3:$D3996))+1))</f>
        <v/>
      </c>
      <c r="F3688" s="3" t="str">
        <f>IF(B3688="","",SUMIFS('inventory ledger'!$H:$H,'inventory ledger'!$C:$C,C3688,'inventory ledger'!$D:$D,D3688,'inventory ledger'!$E:$E,E3688,'inventory ledger'!$A:$A,"&lt;="&amp;B3688+TIME(23,59,59))-SUMIFS('inventory ledger'!$I:$I,'inventory ledger'!$C:$C,C3688,'inventory ledger'!$D:$D,D3688,'inventory ledger'!$E:$E,E3688,'inventory ledger'!$A:$A,"&lt;="&amp;B3688+TIME(23,59,59)))</f>
        <v/>
      </c>
      <c r="G3688" s="3">
        <f>IFERROR(__xludf.DUMMYFUNCTION("IF(F3688&lt;=0,0,IFERROR(ROUNDUP(F3688/INDEX(FILTER('warehouse config'!$D:$D,('warehouse config'!$B:$B=C3688)*('warehouse config'!$C:$C=D3688)*('warehouse config'!$G:$G&lt;=B3688)*(('warehouse config'!$H:$H&gt;=B3688)+ISBLANK('warehouse config'!$H:$H))),1)),0))"),0.0)</f>
        <v>0</v>
      </c>
      <c r="H3688" s="3">
        <f>IFERROR(__xludf.DUMMYFUNCTION("IFERROR(INDEX(FILTER('cost master'!$E:$E,('cost master'!$B:$B=C3688)*('cost master'!$D:$D=""Storage cost per pallet / week"")*('cost master'!$G:$G&lt;=B3688)*(('cost master'!$H:$H&gt;=B3688)+ISBLANK('cost master'!$H:$H))),1),0)"),0.0)</f>
        <v>0</v>
      </c>
      <c r="I3688" s="3">
        <f t="shared" si="4"/>
        <v>0</v>
      </c>
      <c r="J3688" s="27">
        <f t="shared" si="5"/>
        <v>693947</v>
      </c>
      <c r="K3688" s="27">
        <f t="shared" si="6"/>
        <v>693977</v>
      </c>
    </row>
    <row r="3689" hidden="1">
      <c r="A3689" s="3" t="str">
        <f t="shared" si="3"/>
        <v/>
      </c>
      <c r="B3689" s="2" t="str">
        <f t="array" ref="B3689">INDEX(helper!$A$3:$A3996,ROUNDUP((ROW()-1)/COUNTA(helper!$D$3:$D3996),0))</f>
        <v/>
      </c>
      <c r="C3689" s="5" t="str">
        <f t="array" ref="C3689">IF(B3689="","",INDEX(helper!$D$3:$D3996,MOD(ROW()-2,COUNTA(helper!$D$3:$D3996))+1))</f>
        <v/>
      </c>
      <c r="D3689" s="3" t="str">
        <f t="array" ref="D3689">IF(B3689="","",INDEX(helper!$E$3:$E3996,MOD(ROW()-2,COUNTA(helper!$D$3:$D3996))+1))</f>
        <v/>
      </c>
      <c r="E3689" s="3" t="str">
        <f t="array" ref="E3689">IF(B3689="","",INDEX(helper!$F$3:$F3996,MOD(ROW()-2,COUNTA(helper!$D$3:$D3996))+1))</f>
        <v/>
      </c>
      <c r="F3689" s="3" t="str">
        <f>IF(B3689="","",SUMIFS('inventory ledger'!$H:$H,'inventory ledger'!$C:$C,C3689,'inventory ledger'!$D:$D,D3689,'inventory ledger'!$E:$E,E3689,'inventory ledger'!$A:$A,"&lt;="&amp;B3689+TIME(23,59,59))-SUMIFS('inventory ledger'!$I:$I,'inventory ledger'!$C:$C,C3689,'inventory ledger'!$D:$D,D3689,'inventory ledger'!$E:$E,E3689,'inventory ledger'!$A:$A,"&lt;="&amp;B3689+TIME(23,59,59)))</f>
        <v/>
      </c>
      <c r="G3689" s="3">
        <f>IFERROR(__xludf.DUMMYFUNCTION("IF(F3689&lt;=0,0,IFERROR(ROUNDUP(F3689/INDEX(FILTER('warehouse config'!$D:$D,('warehouse config'!$B:$B=C3689)*('warehouse config'!$C:$C=D3689)*('warehouse config'!$G:$G&lt;=B3689)*(('warehouse config'!$H:$H&gt;=B3689)+ISBLANK('warehouse config'!$H:$H))),1)),0))"),0.0)</f>
        <v>0</v>
      </c>
      <c r="H3689" s="3">
        <f>IFERROR(__xludf.DUMMYFUNCTION("IFERROR(INDEX(FILTER('cost master'!$E:$E,('cost master'!$B:$B=C3689)*('cost master'!$D:$D=""Storage cost per pallet / week"")*('cost master'!$G:$G&lt;=B3689)*(('cost master'!$H:$H&gt;=B3689)+ISBLANK('cost master'!$H:$H))),1),0)"),0.0)</f>
        <v>0</v>
      </c>
      <c r="I3689" s="3">
        <f t="shared" si="4"/>
        <v>0</v>
      </c>
      <c r="J3689" s="27">
        <f t="shared" si="5"/>
        <v>693947</v>
      </c>
      <c r="K3689" s="27">
        <f t="shared" si="6"/>
        <v>693977</v>
      </c>
    </row>
    <row r="3690" hidden="1">
      <c r="A3690" s="3" t="str">
        <f t="shared" si="3"/>
        <v/>
      </c>
      <c r="B3690" s="2" t="str">
        <f t="array" ref="B3690">INDEX(helper!$A$3:$A3996,ROUNDUP((ROW()-1)/COUNTA(helper!$D$3:$D3996),0))</f>
        <v/>
      </c>
      <c r="C3690" s="5" t="str">
        <f t="array" ref="C3690">IF(B3690="","",INDEX(helper!$D$3:$D3996,MOD(ROW()-2,COUNTA(helper!$D$3:$D3996))+1))</f>
        <v/>
      </c>
      <c r="D3690" s="3" t="str">
        <f t="array" ref="D3690">IF(B3690="","",INDEX(helper!$E$3:$E3996,MOD(ROW()-2,COUNTA(helper!$D$3:$D3996))+1))</f>
        <v/>
      </c>
      <c r="E3690" s="3" t="str">
        <f t="array" ref="E3690">IF(B3690="","",INDEX(helper!$F$3:$F3996,MOD(ROW()-2,COUNTA(helper!$D$3:$D3996))+1))</f>
        <v/>
      </c>
      <c r="F3690" s="3" t="str">
        <f>IF(B3690="","",SUMIFS('inventory ledger'!$H:$H,'inventory ledger'!$C:$C,C3690,'inventory ledger'!$D:$D,D3690,'inventory ledger'!$E:$E,E3690,'inventory ledger'!$A:$A,"&lt;="&amp;B3690+TIME(23,59,59))-SUMIFS('inventory ledger'!$I:$I,'inventory ledger'!$C:$C,C3690,'inventory ledger'!$D:$D,D3690,'inventory ledger'!$E:$E,E3690,'inventory ledger'!$A:$A,"&lt;="&amp;B3690+TIME(23,59,59)))</f>
        <v/>
      </c>
      <c r="G3690" s="3">
        <f>IFERROR(__xludf.DUMMYFUNCTION("IF(F3690&lt;=0,0,IFERROR(ROUNDUP(F3690/INDEX(FILTER('warehouse config'!$D:$D,('warehouse config'!$B:$B=C3690)*('warehouse config'!$C:$C=D3690)*('warehouse config'!$G:$G&lt;=B3690)*(('warehouse config'!$H:$H&gt;=B3690)+ISBLANK('warehouse config'!$H:$H))),1)),0))"),0.0)</f>
        <v>0</v>
      </c>
      <c r="H3690" s="3">
        <f>IFERROR(__xludf.DUMMYFUNCTION("IFERROR(INDEX(FILTER('cost master'!$E:$E,('cost master'!$B:$B=C3690)*('cost master'!$D:$D=""Storage cost per pallet / week"")*('cost master'!$G:$G&lt;=B3690)*(('cost master'!$H:$H&gt;=B3690)+ISBLANK('cost master'!$H:$H))),1),0)"),0.0)</f>
        <v>0</v>
      </c>
      <c r="I3690" s="3">
        <f t="shared" si="4"/>
        <v>0</v>
      </c>
      <c r="J3690" s="27">
        <f t="shared" si="5"/>
        <v>693947</v>
      </c>
      <c r="K3690" s="27">
        <f t="shared" si="6"/>
        <v>693977</v>
      </c>
    </row>
    <row r="3691" hidden="1">
      <c r="A3691" s="3" t="str">
        <f t="shared" si="3"/>
        <v/>
      </c>
      <c r="B3691" s="2" t="str">
        <f t="array" ref="B3691">INDEX(helper!$A$3:$A3996,ROUNDUP((ROW()-1)/COUNTA(helper!$D$3:$D3996),0))</f>
        <v/>
      </c>
      <c r="C3691" s="5" t="str">
        <f t="array" ref="C3691">IF(B3691="","",INDEX(helper!$D$3:$D3996,MOD(ROW()-2,COUNTA(helper!$D$3:$D3996))+1))</f>
        <v/>
      </c>
      <c r="D3691" s="3" t="str">
        <f t="array" ref="D3691">IF(B3691="","",INDEX(helper!$E$3:$E3996,MOD(ROW()-2,COUNTA(helper!$D$3:$D3996))+1))</f>
        <v/>
      </c>
      <c r="E3691" s="3" t="str">
        <f t="array" ref="E3691">IF(B3691="","",INDEX(helper!$F$3:$F3996,MOD(ROW()-2,COUNTA(helper!$D$3:$D3996))+1))</f>
        <v/>
      </c>
      <c r="F3691" s="3" t="str">
        <f>IF(B3691="","",SUMIFS('inventory ledger'!$H:$H,'inventory ledger'!$C:$C,C3691,'inventory ledger'!$D:$D,D3691,'inventory ledger'!$E:$E,E3691,'inventory ledger'!$A:$A,"&lt;="&amp;B3691+TIME(23,59,59))-SUMIFS('inventory ledger'!$I:$I,'inventory ledger'!$C:$C,C3691,'inventory ledger'!$D:$D,D3691,'inventory ledger'!$E:$E,E3691,'inventory ledger'!$A:$A,"&lt;="&amp;B3691+TIME(23,59,59)))</f>
        <v/>
      </c>
      <c r="G3691" s="3">
        <f>IFERROR(__xludf.DUMMYFUNCTION("IF(F3691&lt;=0,0,IFERROR(ROUNDUP(F3691/INDEX(FILTER('warehouse config'!$D:$D,('warehouse config'!$B:$B=C3691)*('warehouse config'!$C:$C=D3691)*('warehouse config'!$G:$G&lt;=B3691)*(('warehouse config'!$H:$H&gt;=B3691)+ISBLANK('warehouse config'!$H:$H))),1)),0))"),0.0)</f>
        <v>0</v>
      </c>
      <c r="H3691" s="3">
        <f>IFERROR(__xludf.DUMMYFUNCTION("IFERROR(INDEX(FILTER('cost master'!$E:$E,('cost master'!$B:$B=C3691)*('cost master'!$D:$D=""Storage cost per pallet / week"")*('cost master'!$G:$G&lt;=B3691)*(('cost master'!$H:$H&gt;=B3691)+ISBLANK('cost master'!$H:$H))),1),0)"),0.0)</f>
        <v>0</v>
      </c>
      <c r="I3691" s="3">
        <f t="shared" si="4"/>
        <v>0</v>
      </c>
      <c r="J3691" s="27">
        <f t="shared" si="5"/>
        <v>693947</v>
      </c>
      <c r="K3691" s="27">
        <f t="shared" si="6"/>
        <v>693977</v>
      </c>
    </row>
    <row r="3692" hidden="1">
      <c r="A3692" s="3" t="str">
        <f t="shared" si="3"/>
        <v/>
      </c>
      <c r="B3692" s="2" t="str">
        <f t="array" ref="B3692">INDEX(helper!$A$3:$A3996,ROUNDUP((ROW()-1)/COUNTA(helper!$D$3:$D3996),0))</f>
        <v/>
      </c>
      <c r="C3692" s="5" t="str">
        <f t="array" ref="C3692">IF(B3692="","",INDEX(helper!$D$3:$D3996,MOD(ROW()-2,COUNTA(helper!$D$3:$D3996))+1))</f>
        <v/>
      </c>
      <c r="D3692" s="3" t="str">
        <f t="array" ref="D3692">IF(B3692="","",INDEX(helper!$E$3:$E3996,MOD(ROW()-2,COUNTA(helper!$D$3:$D3996))+1))</f>
        <v/>
      </c>
      <c r="E3692" s="3" t="str">
        <f t="array" ref="E3692">IF(B3692="","",INDEX(helper!$F$3:$F3996,MOD(ROW()-2,COUNTA(helper!$D$3:$D3996))+1))</f>
        <v/>
      </c>
      <c r="F3692" s="3" t="str">
        <f>IF(B3692="","",SUMIFS('inventory ledger'!$H:$H,'inventory ledger'!$C:$C,C3692,'inventory ledger'!$D:$D,D3692,'inventory ledger'!$E:$E,E3692,'inventory ledger'!$A:$A,"&lt;="&amp;B3692+TIME(23,59,59))-SUMIFS('inventory ledger'!$I:$I,'inventory ledger'!$C:$C,C3692,'inventory ledger'!$D:$D,D3692,'inventory ledger'!$E:$E,E3692,'inventory ledger'!$A:$A,"&lt;="&amp;B3692+TIME(23,59,59)))</f>
        <v/>
      </c>
      <c r="G3692" s="3">
        <f>IFERROR(__xludf.DUMMYFUNCTION("IF(F3692&lt;=0,0,IFERROR(ROUNDUP(F3692/INDEX(FILTER('warehouse config'!$D:$D,('warehouse config'!$B:$B=C3692)*('warehouse config'!$C:$C=D3692)*('warehouse config'!$G:$G&lt;=B3692)*(('warehouse config'!$H:$H&gt;=B3692)+ISBLANK('warehouse config'!$H:$H))),1)),0))"),0.0)</f>
        <v>0</v>
      </c>
      <c r="H3692" s="3">
        <f>IFERROR(__xludf.DUMMYFUNCTION("IFERROR(INDEX(FILTER('cost master'!$E:$E,('cost master'!$B:$B=C3692)*('cost master'!$D:$D=""Storage cost per pallet / week"")*('cost master'!$G:$G&lt;=B3692)*(('cost master'!$H:$H&gt;=B3692)+ISBLANK('cost master'!$H:$H))),1),0)"),0.0)</f>
        <v>0</v>
      </c>
      <c r="I3692" s="3">
        <f t="shared" si="4"/>
        <v>0</v>
      </c>
      <c r="J3692" s="27">
        <f t="shared" si="5"/>
        <v>693947</v>
      </c>
      <c r="K3692" s="27">
        <f t="shared" si="6"/>
        <v>693977</v>
      </c>
    </row>
    <row r="3693" hidden="1">
      <c r="A3693" s="3" t="str">
        <f t="shared" si="3"/>
        <v/>
      </c>
      <c r="B3693" s="2" t="str">
        <f t="array" ref="B3693">INDEX(helper!$A$3:$A3996,ROUNDUP((ROW()-1)/COUNTA(helper!$D$3:$D3996),0))</f>
        <v/>
      </c>
      <c r="C3693" s="5" t="str">
        <f t="array" ref="C3693">IF(B3693="","",INDEX(helper!$D$3:$D3996,MOD(ROW()-2,COUNTA(helper!$D$3:$D3996))+1))</f>
        <v/>
      </c>
      <c r="D3693" s="3" t="str">
        <f t="array" ref="D3693">IF(B3693="","",INDEX(helper!$E$3:$E3996,MOD(ROW()-2,COUNTA(helper!$D$3:$D3996))+1))</f>
        <v/>
      </c>
      <c r="E3693" s="3" t="str">
        <f t="array" ref="E3693">IF(B3693="","",INDEX(helper!$F$3:$F3996,MOD(ROW()-2,COUNTA(helper!$D$3:$D3996))+1))</f>
        <v/>
      </c>
      <c r="F3693" s="3" t="str">
        <f>IF(B3693="","",SUMIFS('inventory ledger'!$H:$H,'inventory ledger'!$C:$C,C3693,'inventory ledger'!$D:$D,D3693,'inventory ledger'!$E:$E,E3693,'inventory ledger'!$A:$A,"&lt;="&amp;B3693+TIME(23,59,59))-SUMIFS('inventory ledger'!$I:$I,'inventory ledger'!$C:$C,C3693,'inventory ledger'!$D:$D,D3693,'inventory ledger'!$E:$E,E3693,'inventory ledger'!$A:$A,"&lt;="&amp;B3693+TIME(23,59,59)))</f>
        <v/>
      </c>
      <c r="G3693" s="3">
        <f>IFERROR(__xludf.DUMMYFUNCTION("IF(F3693&lt;=0,0,IFERROR(ROUNDUP(F3693/INDEX(FILTER('warehouse config'!$D:$D,('warehouse config'!$B:$B=C3693)*('warehouse config'!$C:$C=D3693)*('warehouse config'!$G:$G&lt;=B3693)*(('warehouse config'!$H:$H&gt;=B3693)+ISBLANK('warehouse config'!$H:$H))),1)),0))"),0.0)</f>
        <v>0</v>
      </c>
      <c r="H3693" s="3">
        <f>IFERROR(__xludf.DUMMYFUNCTION("IFERROR(INDEX(FILTER('cost master'!$E:$E,('cost master'!$B:$B=C3693)*('cost master'!$D:$D=""Storage cost per pallet / week"")*('cost master'!$G:$G&lt;=B3693)*(('cost master'!$H:$H&gt;=B3693)+ISBLANK('cost master'!$H:$H))),1),0)"),0.0)</f>
        <v>0</v>
      </c>
      <c r="I3693" s="3">
        <f t="shared" si="4"/>
        <v>0</v>
      </c>
      <c r="J3693" s="27">
        <f t="shared" si="5"/>
        <v>693947</v>
      </c>
      <c r="K3693" s="27">
        <f t="shared" si="6"/>
        <v>693977</v>
      </c>
    </row>
    <row r="3694" hidden="1">
      <c r="A3694" s="3" t="str">
        <f t="shared" si="3"/>
        <v/>
      </c>
      <c r="B3694" s="2" t="str">
        <f t="array" ref="B3694">INDEX(helper!$A$3:$A3996,ROUNDUP((ROW()-1)/COUNTA(helper!$D$3:$D3996),0))</f>
        <v/>
      </c>
      <c r="C3694" s="5" t="str">
        <f t="array" ref="C3694">IF(B3694="","",INDEX(helper!$D$3:$D3996,MOD(ROW()-2,COUNTA(helper!$D$3:$D3996))+1))</f>
        <v/>
      </c>
      <c r="D3694" s="3" t="str">
        <f t="array" ref="D3694">IF(B3694="","",INDEX(helper!$E$3:$E3996,MOD(ROW()-2,COUNTA(helper!$D$3:$D3996))+1))</f>
        <v/>
      </c>
      <c r="E3694" s="3" t="str">
        <f t="array" ref="E3694">IF(B3694="","",INDEX(helper!$F$3:$F3996,MOD(ROW()-2,COUNTA(helper!$D$3:$D3996))+1))</f>
        <v/>
      </c>
      <c r="F3694" s="3" t="str">
        <f>IF(B3694="","",SUMIFS('inventory ledger'!$H:$H,'inventory ledger'!$C:$C,C3694,'inventory ledger'!$D:$D,D3694,'inventory ledger'!$E:$E,E3694,'inventory ledger'!$A:$A,"&lt;="&amp;B3694+TIME(23,59,59))-SUMIFS('inventory ledger'!$I:$I,'inventory ledger'!$C:$C,C3694,'inventory ledger'!$D:$D,D3694,'inventory ledger'!$E:$E,E3694,'inventory ledger'!$A:$A,"&lt;="&amp;B3694+TIME(23,59,59)))</f>
        <v/>
      </c>
      <c r="G3694" s="3">
        <f>IFERROR(__xludf.DUMMYFUNCTION("IF(F3694&lt;=0,0,IFERROR(ROUNDUP(F3694/INDEX(FILTER('warehouse config'!$D:$D,('warehouse config'!$B:$B=C3694)*('warehouse config'!$C:$C=D3694)*('warehouse config'!$G:$G&lt;=B3694)*(('warehouse config'!$H:$H&gt;=B3694)+ISBLANK('warehouse config'!$H:$H))),1)),0))"),0.0)</f>
        <v>0</v>
      </c>
      <c r="H3694" s="3">
        <f>IFERROR(__xludf.DUMMYFUNCTION("IFERROR(INDEX(FILTER('cost master'!$E:$E,('cost master'!$B:$B=C3694)*('cost master'!$D:$D=""Storage cost per pallet / week"")*('cost master'!$G:$G&lt;=B3694)*(('cost master'!$H:$H&gt;=B3694)+ISBLANK('cost master'!$H:$H))),1),0)"),0.0)</f>
        <v>0</v>
      </c>
      <c r="I3694" s="3">
        <f t="shared" si="4"/>
        <v>0</v>
      </c>
      <c r="J3694" s="27">
        <f t="shared" si="5"/>
        <v>693947</v>
      </c>
      <c r="K3694" s="27">
        <f t="shared" si="6"/>
        <v>693977</v>
      </c>
    </row>
    <row r="3695" hidden="1">
      <c r="A3695" s="3" t="str">
        <f t="shared" si="3"/>
        <v/>
      </c>
      <c r="B3695" s="2" t="str">
        <f t="array" ref="B3695">INDEX(helper!$A$3:$A3996,ROUNDUP((ROW()-1)/COUNTA(helper!$D$3:$D3996),0))</f>
        <v/>
      </c>
      <c r="C3695" s="5" t="str">
        <f t="array" ref="C3695">IF(B3695="","",INDEX(helper!$D$3:$D3996,MOD(ROW()-2,COUNTA(helper!$D$3:$D3996))+1))</f>
        <v/>
      </c>
      <c r="D3695" s="3" t="str">
        <f t="array" ref="D3695">IF(B3695="","",INDEX(helper!$E$3:$E3996,MOD(ROW()-2,COUNTA(helper!$D$3:$D3996))+1))</f>
        <v/>
      </c>
      <c r="E3695" s="3" t="str">
        <f t="array" ref="E3695">IF(B3695="","",INDEX(helper!$F$3:$F3996,MOD(ROW()-2,COUNTA(helper!$D$3:$D3996))+1))</f>
        <v/>
      </c>
      <c r="F3695" s="3" t="str">
        <f>IF(B3695="","",SUMIFS('inventory ledger'!$H:$H,'inventory ledger'!$C:$C,C3695,'inventory ledger'!$D:$D,D3695,'inventory ledger'!$E:$E,E3695,'inventory ledger'!$A:$A,"&lt;="&amp;B3695+TIME(23,59,59))-SUMIFS('inventory ledger'!$I:$I,'inventory ledger'!$C:$C,C3695,'inventory ledger'!$D:$D,D3695,'inventory ledger'!$E:$E,E3695,'inventory ledger'!$A:$A,"&lt;="&amp;B3695+TIME(23,59,59)))</f>
        <v/>
      </c>
      <c r="G3695" s="3">
        <f>IFERROR(__xludf.DUMMYFUNCTION("IF(F3695&lt;=0,0,IFERROR(ROUNDUP(F3695/INDEX(FILTER('warehouse config'!$D:$D,('warehouse config'!$B:$B=C3695)*('warehouse config'!$C:$C=D3695)*('warehouse config'!$G:$G&lt;=B3695)*(('warehouse config'!$H:$H&gt;=B3695)+ISBLANK('warehouse config'!$H:$H))),1)),0))"),0.0)</f>
        <v>0</v>
      </c>
      <c r="H3695" s="3">
        <f>IFERROR(__xludf.DUMMYFUNCTION("IFERROR(INDEX(FILTER('cost master'!$E:$E,('cost master'!$B:$B=C3695)*('cost master'!$D:$D=""Storage cost per pallet / week"")*('cost master'!$G:$G&lt;=B3695)*(('cost master'!$H:$H&gt;=B3695)+ISBLANK('cost master'!$H:$H))),1),0)"),0.0)</f>
        <v>0</v>
      </c>
      <c r="I3695" s="3">
        <f t="shared" si="4"/>
        <v>0</v>
      </c>
      <c r="J3695" s="27">
        <f t="shared" si="5"/>
        <v>693947</v>
      </c>
      <c r="K3695" s="27">
        <f t="shared" si="6"/>
        <v>693977</v>
      </c>
    </row>
    <row r="3696" hidden="1">
      <c r="A3696" s="3" t="str">
        <f t="shared" si="3"/>
        <v/>
      </c>
      <c r="B3696" s="2" t="str">
        <f t="array" ref="B3696">INDEX(helper!$A$3:$A3996,ROUNDUP((ROW()-1)/COUNTA(helper!$D$3:$D3996),0))</f>
        <v/>
      </c>
      <c r="C3696" s="5" t="str">
        <f t="array" ref="C3696">IF(B3696="","",INDEX(helper!$D$3:$D3996,MOD(ROW()-2,COUNTA(helper!$D$3:$D3996))+1))</f>
        <v/>
      </c>
      <c r="D3696" s="3" t="str">
        <f t="array" ref="D3696">IF(B3696="","",INDEX(helper!$E$3:$E3996,MOD(ROW()-2,COUNTA(helper!$D$3:$D3996))+1))</f>
        <v/>
      </c>
      <c r="E3696" s="3" t="str">
        <f t="array" ref="E3696">IF(B3696="","",INDEX(helper!$F$3:$F3996,MOD(ROW()-2,COUNTA(helper!$D$3:$D3996))+1))</f>
        <v/>
      </c>
      <c r="F3696" s="3" t="str">
        <f>IF(B3696="","",SUMIFS('inventory ledger'!$H:$H,'inventory ledger'!$C:$C,C3696,'inventory ledger'!$D:$D,D3696,'inventory ledger'!$E:$E,E3696,'inventory ledger'!$A:$A,"&lt;="&amp;B3696+TIME(23,59,59))-SUMIFS('inventory ledger'!$I:$I,'inventory ledger'!$C:$C,C3696,'inventory ledger'!$D:$D,D3696,'inventory ledger'!$E:$E,E3696,'inventory ledger'!$A:$A,"&lt;="&amp;B3696+TIME(23,59,59)))</f>
        <v/>
      </c>
      <c r="G3696" s="3">
        <f>IFERROR(__xludf.DUMMYFUNCTION("IF(F3696&lt;=0,0,IFERROR(ROUNDUP(F3696/INDEX(FILTER('warehouse config'!$D:$D,('warehouse config'!$B:$B=C3696)*('warehouse config'!$C:$C=D3696)*('warehouse config'!$G:$G&lt;=B3696)*(('warehouse config'!$H:$H&gt;=B3696)+ISBLANK('warehouse config'!$H:$H))),1)),0))"),0.0)</f>
        <v>0</v>
      </c>
      <c r="H3696" s="3">
        <f>IFERROR(__xludf.DUMMYFUNCTION("IFERROR(INDEX(FILTER('cost master'!$E:$E,('cost master'!$B:$B=C3696)*('cost master'!$D:$D=""Storage cost per pallet / week"")*('cost master'!$G:$G&lt;=B3696)*(('cost master'!$H:$H&gt;=B3696)+ISBLANK('cost master'!$H:$H))),1),0)"),0.0)</f>
        <v>0</v>
      </c>
      <c r="I3696" s="3">
        <f t="shared" si="4"/>
        <v>0</v>
      </c>
      <c r="J3696" s="27">
        <f t="shared" si="5"/>
        <v>693947</v>
      </c>
      <c r="K3696" s="27">
        <f t="shared" si="6"/>
        <v>693977</v>
      </c>
    </row>
    <row r="3697" hidden="1">
      <c r="A3697" s="3" t="str">
        <f t="shared" si="3"/>
        <v/>
      </c>
      <c r="B3697" s="2" t="str">
        <f t="array" ref="B3697">INDEX(helper!$A$3:$A3996,ROUNDUP((ROW()-1)/COUNTA(helper!$D$3:$D3996),0))</f>
        <v/>
      </c>
      <c r="C3697" s="5" t="str">
        <f t="array" ref="C3697">IF(B3697="","",INDEX(helper!$D$3:$D3996,MOD(ROW()-2,COUNTA(helper!$D$3:$D3996))+1))</f>
        <v/>
      </c>
      <c r="D3697" s="3" t="str">
        <f t="array" ref="D3697">IF(B3697="","",INDEX(helper!$E$3:$E3996,MOD(ROW()-2,COUNTA(helper!$D$3:$D3996))+1))</f>
        <v/>
      </c>
      <c r="E3697" s="3" t="str">
        <f t="array" ref="E3697">IF(B3697="","",INDEX(helper!$F$3:$F3996,MOD(ROW()-2,COUNTA(helper!$D$3:$D3996))+1))</f>
        <v/>
      </c>
      <c r="F3697" s="3" t="str">
        <f>IF(B3697="","",SUMIFS('inventory ledger'!$H:$H,'inventory ledger'!$C:$C,C3697,'inventory ledger'!$D:$D,D3697,'inventory ledger'!$E:$E,E3697,'inventory ledger'!$A:$A,"&lt;="&amp;B3697+TIME(23,59,59))-SUMIFS('inventory ledger'!$I:$I,'inventory ledger'!$C:$C,C3697,'inventory ledger'!$D:$D,D3697,'inventory ledger'!$E:$E,E3697,'inventory ledger'!$A:$A,"&lt;="&amp;B3697+TIME(23,59,59)))</f>
        <v/>
      </c>
      <c r="G3697" s="3">
        <f>IFERROR(__xludf.DUMMYFUNCTION("IF(F3697&lt;=0,0,IFERROR(ROUNDUP(F3697/INDEX(FILTER('warehouse config'!$D:$D,('warehouse config'!$B:$B=C3697)*('warehouse config'!$C:$C=D3697)*('warehouse config'!$G:$G&lt;=B3697)*(('warehouse config'!$H:$H&gt;=B3697)+ISBLANK('warehouse config'!$H:$H))),1)),0))"),0.0)</f>
        <v>0</v>
      </c>
      <c r="H3697" s="3">
        <f>IFERROR(__xludf.DUMMYFUNCTION("IFERROR(INDEX(FILTER('cost master'!$E:$E,('cost master'!$B:$B=C3697)*('cost master'!$D:$D=""Storage cost per pallet / week"")*('cost master'!$G:$G&lt;=B3697)*(('cost master'!$H:$H&gt;=B3697)+ISBLANK('cost master'!$H:$H))),1),0)"),0.0)</f>
        <v>0</v>
      </c>
      <c r="I3697" s="3">
        <f t="shared" si="4"/>
        <v>0</v>
      </c>
      <c r="J3697" s="27">
        <f t="shared" si="5"/>
        <v>693947</v>
      </c>
      <c r="K3697" s="27">
        <f t="shared" si="6"/>
        <v>693977</v>
      </c>
    </row>
    <row r="3698" hidden="1">
      <c r="A3698" s="3" t="str">
        <f t="shared" si="3"/>
        <v/>
      </c>
      <c r="B3698" s="2" t="str">
        <f t="array" ref="B3698">INDEX(helper!$A$3:$A3996,ROUNDUP((ROW()-1)/COUNTA(helper!$D$3:$D3996),0))</f>
        <v/>
      </c>
      <c r="C3698" s="5" t="str">
        <f t="array" ref="C3698">IF(B3698="","",INDEX(helper!$D$3:$D3996,MOD(ROW()-2,COUNTA(helper!$D$3:$D3996))+1))</f>
        <v/>
      </c>
      <c r="D3698" s="3" t="str">
        <f t="array" ref="D3698">IF(B3698="","",INDEX(helper!$E$3:$E3996,MOD(ROW()-2,COUNTA(helper!$D$3:$D3996))+1))</f>
        <v/>
      </c>
      <c r="E3698" s="3" t="str">
        <f t="array" ref="E3698">IF(B3698="","",INDEX(helper!$F$3:$F3996,MOD(ROW()-2,COUNTA(helper!$D$3:$D3996))+1))</f>
        <v/>
      </c>
      <c r="F3698" s="3" t="str">
        <f>IF(B3698="","",SUMIFS('inventory ledger'!$H:$H,'inventory ledger'!$C:$C,C3698,'inventory ledger'!$D:$D,D3698,'inventory ledger'!$E:$E,E3698,'inventory ledger'!$A:$A,"&lt;="&amp;B3698+TIME(23,59,59))-SUMIFS('inventory ledger'!$I:$I,'inventory ledger'!$C:$C,C3698,'inventory ledger'!$D:$D,D3698,'inventory ledger'!$E:$E,E3698,'inventory ledger'!$A:$A,"&lt;="&amp;B3698+TIME(23,59,59)))</f>
        <v/>
      </c>
      <c r="G3698" s="3">
        <f>IFERROR(__xludf.DUMMYFUNCTION("IF(F3698&lt;=0,0,IFERROR(ROUNDUP(F3698/INDEX(FILTER('warehouse config'!$D:$D,('warehouse config'!$B:$B=C3698)*('warehouse config'!$C:$C=D3698)*('warehouse config'!$G:$G&lt;=B3698)*(('warehouse config'!$H:$H&gt;=B3698)+ISBLANK('warehouse config'!$H:$H))),1)),0))"),0.0)</f>
        <v>0</v>
      </c>
      <c r="H3698" s="3">
        <f>IFERROR(__xludf.DUMMYFUNCTION("IFERROR(INDEX(FILTER('cost master'!$E:$E,('cost master'!$B:$B=C3698)*('cost master'!$D:$D=""Storage cost per pallet / week"")*('cost master'!$G:$G&lt;=B3698)*(('cost master'!$H:$H&gt;=B3698)+ISBLANK('cost master'!$H:$H))),1),0)"),0.0)</f>
        <v>0</v>
      </c>
      <c r="I3698" s="3">
        <f t="shared" si="4"/>
        <v>0</v>
      </c>
      <c r="J3698" s="27">
        <f t="shared" si="5"/>
        <v>693947</v>
      </c>
      <c r="K3698" s="27">
        <f t="shared" si="6"/>
        <v>693977</v>
      </c>
    </row>
    <row r="3699" hidden="1">
      <c r="A3699" s="3" t="str">
        <f t="shared" si="3"/>
        <v/>
      </c>
      <c r="B3699" s="2" t="str">
        <f t="array" ref="B3699">INDEX(helper!$A$3:$A3996,ROUNDUP((ROW()-1)/COUNTA(helper!$D$3:$D3996),0))</f>
        <v/>
      </c>
      <c r="C3699" s="5" t="str">
        <f t="array" ref="C3699">IF(B3699="","",INDEX(helper!$D$3:$D3996,MOD(ROW()-2,COUNTA(helper!$D$3:$D3996))+1))</f>
        <v/>
      </c>
      <c r="D3699" s="3" t="str">
        <f t="array" ref="D3699">IF(B3699="","",INDEX(helper!$E$3:$E3996,MOD(ROW()-2,COUNTA(helper!$D$3:$D3996))+1))</f>
        <v/>
      </c>
      <c r="E3699" s="3" t="str">
        <f t="array" ref="E3699">IF(B3699="","",INDEX(helper!$F$3:$F3996,MOD(ROW()-2,COUNTA(helper!$D$3:$D3996))+1))</f>
        <v/>
      </c>
      <c r="F3699" s="3" t="str">
        <f>IF(B3699="","",SUMIFS('inventory ledger'!$H:$H,'inventory ledger'!$C:$C,C3699,'inventory ledger'!$D:$D,D3699,'inventory ledger'!$E:$E,E3699,'inventory ledger'!$A:$A,"&lt;="&amp;B3699+TIME(23,59,59))-SUMIFS('inventory ledger'!$I:$I,'inventory ledger'!$C:$C,C3699,'inventory ledger'!$D:$D,D3699,'inventory ledger'!$E:$E,E3699,'inventory ledger'!$A:$A,"&lt;="&amp;B3699+TIME(23,59,59)))</f>
        <v/>
      </c>
      <c r="G3699" s="3">
        <f>IFERROR(__xludf.DUMMYFUNCTION("IF(F3699&lt;=0,0,IFERROR(ROUNDUP(F3699/INDEX(FILTER('warehouse config'!$D:$D,('warehouse config'!$B:$B=C3699)*('warehouse config'!$C:$C=D3699)*('warehouse config'!$G:$G&lt;=B3699)*(('warehouse config'!$H:$H&gt;=B3699)+ISBLANK('warehouse config'!$H:$H))),1)),0))"),0.0)</f>
        <v>0</v>
      </c>
      <c r="H3699" s="3">
        <f>IFERROR(__xludf.DUMMYFUNCTION("IFERROR(INDEX(FILTER('cost master'!$E:$E,('cost master'!$B:$B=C3699)*('cost master'!$D:$D=""Storage cost per pallet / week"")*('cost master'!$G:$G&lt;=B3699)*(('cost master'!$H:$H&gt;=B3699)+ISBLANK('cost master'!$H:$H))),1),0)"),0.0)</f>
        <v>0</v>
      </c>
      <c r="I3699" s="3">
        <f t="shared" si="4"/>
        <v>0</v>
      </c>
      <c r="J3699" s="27">
        <f t="shared" si="5"/>
        <v>693947</v>
      </c>
      <c r="K3699" s="27">
        <f t="shared" si="6"/>
        <v>693977</v>
      </c>
    </row>
    <row r="3700" hidden="1">
      <c r="A3700" s="3" t="str">
        <f t="shared" si="3"/>
        <v/>
      </c>
      <c r="B3700" s="2" t="str">
        <f t="array" ref="B3700">INDEX(helper!$A$3:$A3996,ROUNDUP((ROW()-1)/COUNTA(helper!$D$3:$D3996),0))</f>
        <v/>
      </c>
      <c r="C3700" s="5" t="str">
        <f t="array" ref="C3700">IF(B3700="","",INDEX(helper!$D$3:$D3996,MOD(ROW()-2,COUNTA(helper!$D$3:$D3996))+1))</f>
        <v/>
      </c>
      <c r="D3700" s="3" t="str">
        <f t="array" ref="D3700">IF(B3700="","",INDEX(helper!$E$3:$E3996,MOD(ROW()-2,COUNTA(helper!$D$3:$D3996))+1))</f>
        <v/>
      </c>
      <c r="E3700" s="3" t="str">
        <f t="array" ref="E3700">IF(B3700="","",INDEX(helper!$F$3:$F3996,MOD(ROW()-2,COUNTA(helper!$D$3:$D3996))+1))</f>
        <v/>
      </c>
      <c r="F3700" s="3" t="str">
        <f>IF(B3700="","",SUMIFS('inventory ledger'!$H:$H,'inventory ledger'!$C:$C,C3700,'inventory ledger'!$D:$D,D3700,'inventory ledger'!$E:$E,E3700,'inventory ledger'!$A:$A,"&lt;="&amp;B3700+TIME(23,59,59))-SUMIFS('inventory ledger'!$I:$I,'inventory ledger'!$C:$C,C3700,'inventory ledger'!$D:$D,D3700,'inventory ledger'!$E:$E,E3700,'inventory ledger'!$A:$A,"&lt;="&amp;B3700+TIME(23,59,59)))</f>
        <v/>
      </c>
      <c r="G3700" s="3">
        <f>IFERROR(__xludf.DUMMYFUNCTION("IF(F3700&lt;=0,0,IFERROR(ROUNDUP(F3700/INDEX(FILTER('warehouse config'!$D:$D,('warehouse config'!$B:$B=C3700)*('warehouse config'!$C:$C=D3700)*('warehouse config'!$G:$G&lt;=B3700)*(('warehouse config'!$H:$H&gt;=B3700)+ISBLANK('warehouse config'!$H:$H))),1)),0))"),0.0)</f>
        <v>0</v>
      </c>
      <c r="H3700" s="3">
        <f>IFERROR(__xludf.DUMMYFUNCTION("IFERROR(INDEX(FILTER('cost master'!$E:$E,('cost master'!$B:$B=C3700)*('cost master'!$D:$D=""Storage cost per pallet / week"")*('cost master'!$G:$G&lt;=B3700)*(('cost master'!$H:$H&gt;=B3700)+ISBLANK('cost master'!$H:$H))),1),0)"),0.0)</f>
        <v>0</v>
      </c>
      <c r="I3700" s="3">
        <f t="shared" si="4"/>
        <v>0</v>
      </c>
      <c r="J3700" s="27">
        <f t="shared" si="5"/>
        <v>693947</v>
      </c>
      <c r="K3700" s="27">
        <f t="shared" si="6"/>
        <v>693977</v>
      </c>
    </row>
    <row r="3701" hidden="1">
      <c r="A3701" s="3" t="str">
        <f t="shared" si="3"/>
        <v/>
      </c>
      <c r="B3701" s="2" t="str">
        <f t="array" ref="B3701">INDEX(helper!$A$3:$A3996,ROUNDUP((ROW()-1)/COUNTA(helper!$D$3:$D3996),0))</f>
        <v/>
      </c>
      <c r="C3701" s="5" t="str">
        <f t="array" ref="C3701">IF(B3701="","",INDEX(helper!$D$3:$D3996,MOD(ROW()-2,COUNTA(helper!$D$3:$D3996))+1))</f>
        <v/>
      </c>
      <c r="D3701" s="3" t="str">
        <f t="array" ref="D3701">IF(B3701="","",INDEX(helper!$E$3:$E3996,MOD(ROW()-2,COUNTA(helper!$D$3:$D3996))+1))</f>
        <v/>
      </c>
      <c r="E3701" s="3" t="str">
        <f t="array" ref="E3701">IF(B3701="","",INDEX(helper!$F$3:$F3996,MOD(ROW()-2,COUNTA(helper!$D$3:$D3996))+1))</f>
        <v/>
      </c>
      <c r="F3701" s="3" t="str">
        <f>IF(B3701="","",SUMIFS('inventory ledger'!$H:$H,'inventory ledger'!$C:$C,C3701,'inventory ledger'!$D:$D,D3701,'inventory ledger'!$E:$E,E3701,'inventory ledger'!$A:$A,"&lt;="&amp;B3701+TIME(23,59,59))-SUMIFS('inventory ledger'!$I:$I,'inventory ledger'!$C:$C,C3701,'inventory ledger'!$D:$D,D3701,'inventory ledger'!$E:$E,E3701,'inventory ledger'!$A:$A,"&lt;="&amp;B3701+TIME(23,59,59)))</f>
        <v/>
      </c>
      <c r="G3701" s="3">
        <f>IFERROR(__xludf.DUMMYFUNCTION("IF(F3701&lt;=0,0,IFERROR(ROUNDUP(F3701/INDEX(FILTER('warehouse config'!$D:$D,('warehouse config'!$B:$B=C3701)*('warehouse config'!$C:$C=D3701)*('warehouse config'!$G:$G&lt;=B3701)*(('warehouse config'!$H:$H&gt;=B3701)+ISBLANK('warehouse config'!$H:$H))),1)),0))"),0.0)</f>
        <v>0</v>
      </c>
      <c r="H3701" s="3">
        <f>IFERROR(__xludf.DUMMYFUNCTION("IFERROR(INDEX(FILTER('cost master'!$E:$E,('cost master'!$B:$B=C3701)*('cost master'!$D:$D=""Storage cost per pallet / week"")*('cost master'!$G:$G&lt;=B3701)*(('cost master'!$H:$H&gt;=B3701)+ISBLANK('cost master'!$H:$H))),1),0)"),0.0)</f>
        <v>0</v>
      </c>
      <c r="I3701" s="3">
        <f t="shared" si="4"/>
        <v>0</v>
      </c>
      <c r="J3701" s="27">
        <f t="shared" si="5"/>
        <v>693947</v>
      </c>
      <c r="K3701" s="27">
        <f t="shared" si="6"/>
        <v>693977</v>
      </c>
    </row>
    <row r="3702" hidden="1">
      <c r="A3702" s="3" t="str">
        <f t="shared" si="3"/>
        <v/>
      </c>
      <c r="B3702" s="2" t="str">
        <f t="array" ref="B3702">INDEX(helper!$A$3:$A3996,ROUNDUP((ROW()-1)/COUNTA(helper!$D$3:$D3996),0))</f>
        <v/>
      </c>
      <c r="C3702" s="5" t="str">
        <f t="array" ref="C3702">IF(B3702="","",INDEX(helper!$D$3:$D3996,MOD(ROW()-2,COUNTA(helper!$D$3:$D3996))+1))</f>
        <v/>
      </c>
      <c r="D3702" s="3" t="str">
        <f t="array" ref="D3702">IF(B3702="","",INDEX(helper!$E$3:$E3996,MOD(ROW()-2,COUNTA(helper!$D$3:$D3996))+1))</f>
        <v/>
      </c>
      <c r="E3702" s="3" t="str">
        <f t="array" ref="E3702">IF(B3702="","",INDEX(helper!$F$3:$F3996,MOD(ROW()-2,COUNTA(helper!$D$3:$D3996))+1))</f>
        <v/>
      </c>
      <c r="F3702" s="3" t="str">
        <f>IF(B3702="","",SUMIFS('inventory ledger'!$H:$H,'inventory ledger'!$C:$C,C3702,'inventory ledger'!$D:$D,D3702,'inventory ledger'!$E:$E,E3702,'inventory ledger'!$A:$A,"&lt;="&amp;B3702+TIME(23,59,59))-SUMIFS('inventory ledger'!$I:$I,'inventory ledger'!$C:$C,C3702,'inventory ledger'!$D:$D,D3702,'inventory ledger'!$E:$E,E3702,'inventory ledger'!$A:$A,"&lt;="&amp;B3702+TIME(23,59,59)))</f>
        <v/>
      </c>
      <c r="G3702" s="3">
        <f>IFERROR(__xludf.DUMMYFUNCTION("IF(F3702&lt;=0,0,IFERROR(ROUNDUP(F3702/INDEX(FILTER('warehouse config'!$D:$D,('warehouse config'!$B:$B=C3702)*('warehouse config'!$C:$C=D3702)*('warehouse config'!$G:$G&lt;=B3702)*(('warehouse config'!$H:$H&gt;=B3702)+ISBLANK('warehouse config'!$H:$H))),1)),0))"),0.0)</f>
        <v>0</v>
      </c>
      <c r="H3702" s="3">
        <f>IFERROR(__xludf.DUMMYFUNCTION("IFERROR(INDEX(FILTER('cost master'!$E:$E,('cost master'!$B:$B=C3702)*('cost master'!$D:$D=""Storage cost per pallet / week"")*('cost master'!$G:$G&lt;=B3702)*(('cost master'!$H:$H&gt;=B3702)+ISBLANK('cost master'!$H:$H))),1),0)"),0.0)</f>
        <v>0</v>
      </c>
      <c r="I3702" s="3">
        <f t="shared" si="4"/>
        <v>0</v>
      </c>
      <c r="J3702" s="27">
        <f t="shared" si="5"/>
        <v>693947</v>
      </c>
      <c r="K3702" s="27">
        <f t="shared" si="6"/>
        <v>693977</v>
      </c>
    </row>
    <row r="3703" hidden="1">
      <c r="A3703" s="3" t="str">
        <f t="shared" si="3"/>
        <v/>
      </c>
      <c r="B3703" s="2" t="str">
        <f t="array" ref="B3703">INDEX(helper!$A$3:$A3996,ROUNDUP((ROW()-1)/COUNTA(helper!$D$3:$D3996),0))</f>
        <v/>
      </c>
      <c r="C3703" s="5" t="str">
        <f t="array" ref="C3703">IF(B3703="","",INDEX(helper!$D$3:$D3996,MOD(ROW()-2,COUNTA(helper!$D$3:$D3996))+1))</f>
        <v/>
      </c>
      <c r="D3703" s="3" t="str">
        <f t="array" ref="D3703">IF(B3703="","",INDEX(helper!$E$3:$E3996,MOD(ROW()-2,COUNTA(helper!$D$3:$D3996))+1))</f>
        <v/>
      </c>
      <c r="E3703" s="3" t="str">
        <f t="array" ref="E3703">IF(B3703="","",INDEX(helper!$F$3:$F3996,MOD(ROW()-2,COUNTA(helper!$D$3:$D3996))+1))</f>
        <v/>
      </c>
      <c r="F3703" s="3" t="str">
        <f>IF(B3703="","",SUMIFS('inventory ledger'!$H:$H,'inventory ledger'!$C:$C,C3703,'inventory ledger'!$D:$D,D3703,'inventory ledger'!$E:$E,E3703,'inventory ledger'!$A:$A,"&lt;="&amp;B3703+TIME(23,59,59))-SUMIFS('inventory ledger'!$I:$I,'inventory ledger'!$C:$C,C3703,'inventory ledger'!$D:$D,D3703,'inventory ledger'!$E:$E,E3703,'inventory ledger'!$A:$A,"&lt;="&amp;B3703+TIME(23,59,59)))</f>
        <v/>
      </c>
      <c r="G3703" s="3">
        <f>IFERROR(__xludf.DUMMYFUNCTION("IF(F3703&lt;=0,0,IFERROR(ROUNDUP(F3703/INDEX(FILTER('warehouse config'!$D:$D,('warehouse config'!$B:$B=C3703)*('warehouse config'!$C:$C=D3703)*('warehouse config'!$G:$G&lt;=B3703)*(('warehouse config'!$H:$H&gt;=B3703)+ISBLANK('warehouse config'!$H:$H))),1)),0))"),0.0)</f>
        <v>0</v>
      </c>
      <c r="H3703" s="3">
        <f>IFERROR(__xludf.DUMMYFUNCTION("IFERROR(INDEX(FILTER('cost master'!$E:$E,('cost master'!$B:$B=C3703)*('cost master'!$D:$D=""Storage cost per pallet / week"")*('cost master'!$G:$G&lt;=B3703)*(('cost master'!$H:$H&gt;=B3703)+ISBLANK('cost master'!$H:$H))),1),0)"),0.0)</f>
        <v>0</v>
      </c>
      <c r="I3703" s="3">
        <f t="shared" si="4"/>
        <v>0</v>
      </c>
      <c r="J3703" s="27">
        <f t="shared" si="5"/>
        <v>693947</v>
      </c>
      <c r="K3703" s="27">
        <f t="shared" si="6"/>
        <v>693977</v>
      </c>
    </row>
    <row r="3704" hidden="1">
      <c r="A3704" s="3" t="str">
        <f t="shared" si="3"/>
        <v/>
      </c>
      <c r="B3704" s="2" t="str">
        <f t="array" ref="B3704">INDEX(helper!$A$3:$A3996,ROUNDUP((ROW()-1)/COUNTA(helper!$D$3:$D3996),0))</f>
        <v/>
      </c>
      <c r="C3704" s="5" t="str">
        <f t="array" ref="C3704">IF(B3704="","",INDEX(helper!$D$3:$D3996,MOD(ROW()-2,COUNTA(helper!$D$3:$D3996))+1))</f>
        <v/>
      </c>
      <c r="D3704" s="3" t="str">
        <f t="array" ref="D3704">IF(B3704="","",INDEX(helper!$E$3:$E3996,MOD(ROW()-2,COUNTA(helper!$D$3:$D3996))+1))</f>
        <v/>
      </c>
      <c r="E3704" s="3" t="str">
        <f t="array" ref="E3704">IF(B3704="","",INDEX(helper!$F$3:$F3996,MOD(ROW()-2,COUNTA(helper!$D$3:$D3996))+1))</f>
        <v/>
      </c>
      <c r="F3704" s="3" t="str">
        <f>IF(B3704="","",SUMIFS('inventory ledger'!$H:$H,'inventory ledger'!$C:$C,C3704,'inventory ledger'!$D:$D,D3704,'inventory ledger'!$E:$E,E3704,'inventory ledger'!$A:$A,"&lt;="&amp;B3704+TIME(23,59,59))-SUMIFS('inventory ledger'!$I:$I,'inventory ledger'!$C:$C,C3704,'inventory ledger'!$D:$D,D3704,'inventory ledger'!$E:$E,E3704,'inventory ledger'!$A:$A,"&lt;="&amp;B3704+TIME(23,59,59)))</f>
        <v/>
      </c>
      <c r="G3704" s="3">
        <f>IFERROR(__xludf.DUMMYFUNCTION("IF(F3704&lt;=0,0,IFERROR(ROUNDUP(F3704/INDEX(FILTER('warehouse config'!$D:$D,('warehouse config'!$B:$B=C3704)*('warehouse config'!$C:$C=D3704)*('warehouse config'!$G:$G&lt;=B3704)*(('warehouse config'!$H:$H&gt;=B3704)+ISBLANK('warehouse config'!$H:$H))),1)),0))"),0.0)</f>
        <v>0</v>
      </c>
      <c r="H3704" s="3">
        <f>IFERROR(__xludf.DUMMYFUNCTION("IFERROR(INDEX(FILTER('cost master'!$E:$E,('cost master'!$B:$B=C3704)*('cost master'!$D:$D=""Storage cost per pallet / week"")*('cost master'!$G:$G&lt;=B3704)*(('cost master'!$H:$H&gt;=B3704)+ISBLANK('cost master'!$H:$H))),1),0)"),0.0)</f>
        <v>0</v>
      </c>
      <c r="I3704" s="3">
        <f t="shared" si="4"/>
        <v>0</v>
      </c>
      <c r="J3704" s="27">
        <f t="shared" si="5"/>
        <v>693947</v>
      </c>
      <c r="K3704" s="27">
        <f t="shared" si="6"/>
        <v>693977</v>
      </c>
    </row>
    <row r="3705" hidden="1">
      <c r="A3705" s="3" t="str">
        <f t="shared" si="3"/>
        <v/>
      </c>
      <c r="B3705" s="2" t="str">
        <f t="array" ref="B3705">INDEX(helper!$A$3:$A3996,ROUNDUP((ROW()-1)/COUNTA(helper!$D$3:$D3996),0))</f>
        <v/>
      </c>
      <c r="C3705" s="5" t="str">
        <f t="array" ref="C3705">IF(B3705="","",INDEX(helper!$D$3:$D3996,MOD(ROW()-2,COUNTA(helper!$D$3:$D3996))+1))</f>
        <v/>
      </c>
      <c r="D3705" s="3" t="str">
        <f t="array" ref="D3705">IF(B3705="","",INDEX(helper!$E$3:$E3996,MOD(ROW()-2,COUNTA(helper!$D$3:$D3996))+1))</f>
        <v/>
      </c>
      <c r="E3705" s="3" t="str">
        <f t="array" ref="E3705">IF(B3705="","",INDEX(helper!$F$3:$F3996,MOD(ROW()-2,COUNTA(helper!$D$3:$D3996))+1))</f>
        <v/>
      </c>
      <c r="F3705" s="3" t="str">
        <f>IF(B3705="","",SUMIFS('inventory ledger'!$H:$H,'inventory ledger'!$C:$C,C3705,'inventory ledger'!$D:$D,D3705,'inventory ledger'!$E:$E,E3705,'inventory ledger'!$A:$A,"&lt;="&amp;B3705+TIME(23,59,59))-SUMIFS('inventory ledger'!$I:$I,'inventory ledger'!$C:$C,C3705,'inventory ledger'!$D:$D,D3705,'inventory ledger'!$E:$E,E3705,'inventory ledger'!$A:$A,"&lt;="&amp;B3705+TIME(23,59,59)))</f>
        <v/>
      </c>
      <c r="G3705" s="3">
        <f>IFERROR(__xludf.DUMMYFUNCTION("IF(F3705&lt;=0,0,IFERROR(ROUNDUP(F3705/INDEX(FILTER('warehouse config'!$D:$D,('warehouse config'!$B:$B=C3705)*('warehouse config'!$C:$C=D3705)*('warehouse config'!$G:$G&lt;=B3705)*(('warehouse config'!$H:$H&gt;=B3705)+ISBLANK('warehouse config'!$H:$H))),1)),0))"),0.0)</f>
        <v>0</v>
      </c>
      <c r="H3705" s="3">
        <f>IFERROR(__xludf.DUMMYFUNCTION("IFERROR(INDEX(FILTER('cost master'!$E:$E,('cost master'!$B:$B=C3705)*('cost master'!$D:$D=""Storage cost per pallet / week"")*('cost master'!$G:$G&lt;=B3705)*(('cost master'!$H:$H&gt;=B3705)+ISBLANK('cost master'!$H:$H))),1),0)"),0.0)</f>
        <v>0</v>
      </c>
      <c r="I3705" s="3">
        <f t="shared" si="4"/>
        <v>0</v>
      </c>
      <c r="J3705" s="27">
        <f t="shared" si="5"/>
        <v>693947</v>
      </c>
      <c r="K3705" s="27">
        <f t="shared" si="6"/>
        <v>693977</v>
      </c>
    </row>
    <row r="3706" hidden="1">
      <c r="A3706" s="3" t="str">
        <f t="shared" si="3"/>
        <v/>
      </c>
      <c r="B3706" s="2" t="str">
        <f t="array" ref="B3706">INDEX(helper!$A$3:$A3996,ROUNDUP((ROW()-1)/COUNTA(helper!$D$3:$D3996),0))</f>
        <v/>
      </c>
      <c r="C3706" s="5" t="str">
        <f t="array" ref="C3706">IF(B3706="","",INDEX(helper!$D$3:$D3996,MOD(ROW()-2,COUNTA(helper!$D$3:$D3996))+1))</f>
        <v/>
      </c>
      <c r="D3706" s="3" t="str">
        <f t="array" ref="D3706">IF(B3706="","",INDEX(helper!$E$3:$E3996,MOD(ROW()-2,COUNTA(helper!$D$3:$D3996))+1))</f>
        <v/>
      </c>
      <c r="E3706" s="3" t="str">
        <f t="array" ref="E3706">IF(B3706="","",INDEX(helper!$F$3:$F3996,MOD(ROW()-2,COUNTA(helper!$D$3:$D3996))+1))</f>
        <v/>
      </c>
      <c r="F3706" s="3" t="str">
        <f>IF(B3706="","",SUMIFS('inventory ledger'!$H:$H,'inventory ledger'!$C:$C,C3706,'inventory ledger'!$D:$D,D3706,'inventory ledger'!$E:$E,E3706,'inventory ledger'!$A:$A,"&lt;="&amp;B3706+TIME(23,59,59))-SUMIFS('inventory ledger'!$I:$I,'inventory ledger'!$C:$C,C3706,'inventory ledger'!$D:$D,D3706,'inventory ledger'!$E:$E,E3706,'inventory ledger'!$A:$A,"&lt;="&amp;B3706+TIME(23,59,59)))</f>
        <v/>
      </c>
      <c r="G3706" s="3">
        <f>IFERROR(__xludf.DUMMYFUNCTION("IF(F3706&lt;=0,0,IFERROR(ROUNDUP(F3706/INDEX(FILTER('warehouse config'!$D:$D,('warehouse config'!$B:$B=C3706)*('warehouse config'!$C:$C=D3706)*('warehouse config'!$G:$G&lt;=B3706)*(('warehouse config'!$H:$H&gt;=B3706)+ISBLANK('warehouse config'!$H:$H))),1)),0))"),0.0)</f>
        <v>0</v>
      </c>
      <c r="H3706" s="3">
        <f>IFERROR(__xludf.DUMMYFUNCTION("IFERROR(INDEX(FILTER('cost master'!$E:$E,('cost master'!$B:$B=C3706)*('cost master'!$D:$D=""Storage cost per pallet / week"")*('cost master'!$G:$G&lt;=B3706)*(('cost master'!$H:$H&gt;=B3706)+ISBLANK('cost master'!$H:$H))),1),0)"),0.0)</f>
        <v>0</v>
      </c>
      <c r="I3706" s="3">
        <f t="shared" si="4"/>
        <v>0</v>
      </c>
      <c r="J3706" s="27">
        <f t="shared" si="5"/>
        <v>693947</v>
      </c>
      <c r="K3706" s="27">
        <f t="shared" si="6"/>
        <v>693977</v>
      </c>
    </row>
    <row r="3707" hidden="1">
      <c r="A3707" s="3" t="str">
        <f t="shared" si="3"/>
        <v/>
      </c>
      <c r="B3707" s="2" t="str">
        <f t="array" ref="B3707">INDEX(helper!$A$3:$A3996,ROUNDUP((ROW()-1)/COUNTA(helper!$D$3:$D3996),0))</f>
        <v/>
      </c>
      <c r="C3707" s="5" t="str">
        <f t="array" ref="C3707">IF(B3707="","",INDEX(helper!$D$3:$D3996,MOD(ROW()-2,COUNTA(helper!$D$3:$D3996))+1))</f>
        <v/>
      </c>
      <c r="D3707" s="3" t="str">
        <f t="array" ref="D3707">IF(B3707="","",INDEX(helper!$E$3:$E3996,MOD(ROW()-2,COUNTA(helper!$D$3:$D3996))+1))</f>
        <v/>
      </c>
      <c r="E3707" s="3" t="str">
        <f t="array" ref="E3707">IF(B3707="","",INDEX(helper!$F$3:$F3996,MOD(ROW()-2,COUNTA(helper!$D$3:$D3996))+1))</f>
        <v/>
      </c>
      <c r="F3707" s="3" t="str">
        <f>IF(B3707="","",SUMIFS('inventory ledger'!$H:$H,'inventory ledger'!$C:$C,C3707,'inventory ledger'!$D:$D,D3707,'inventory ledger'!$E:$E,E3707,'inventory ledger'!$A:$A,"&lt;="&amp;B3707+TIME(23,59,59))-SUMIFS('inventory ledger'!$I:$I,'inventory ledger'!$C:$C,C3707,'inventory ledger'!$D:$D,D3707,'inventory ledger'!$E:$E,E3707,'inventory ledger'!$A:$A,"&lt;="&amp;B3707+TIME(23,59,59)))</f>
        <v/>
      </c>
      <c r="G3707" s="3">
        <f>IFERROR(__xludf.DUMMYFUNCTION("IF(F3707&lt;=0,0,IFERROR(ROUNDUP(F3707/INDEX(FILTER('warehouse config'!$D:$D,('warehouse config'!$B:$B=C3707)*('warehouse config'!$C:$C=D3707)*('warehouse config'!$G:$G&lt;=B3707)*(('warehouse config'!$H:$H&gt;=B3707)+ISBLANK('warehouse config'!$H:$H))),1)),0))"),0.0)</f>
        <v>0</v>
      </c>
      <c r="H3707" s="3">
        <f>IFERROR(__xludf.DUMMYFUNCTION("IFERROR(INDEX(FILTER('cost master'!$E:$E,('cost master'!$B:$B=C3707)*('cost master'!$D:$D=""Storage cost per pallet / week"")*('cost master'!$G:$G&lt;=B3707)*(('cost master'!$H:$H&gt;=B3707)+ISBLANK('cost master'!$H:$H))),1),0)"),0.0)</f>
        <v>0</v>
      </c>
      <c r="I3707" s="3">
        <f t="shared" si="4"/>
        <v>0</v>
      </c>
      <c r="J3707" s="27">
        <f t="shared" si="5"/>
        <v>693947</v>
      </c>
      <c r="K3707" s="27">
        <f t="shared" si="6"/>
        <v>693977</v>
      </c>
    </row>
    <row r="3708" hidden="1">
      <c r="A3708" s="3" t="str">
        <f t="shared" si="3"/>
        <v/>
      </c>
      <c r="B3708" s="2" t="str">
        <f t="array" ref="B3708">INDEX(helper!$A$3:$A3996,ROUNDUP((ROW()-1)/COUNTA(helper!$D$3:$D3996),0))</f>
        <v/>
      </c>
      <c r="C3708" s="5" t="str">
        <f t="array" ref="C3708">IF(B3708="","",INDEX(helper!$D$3:$D3996,MOD(ROW()-2,COUNTA(helper!$D$3:$D3996))+1))</f>
        <v/>
      </c>
      <c r="D3708" s="3" t="str">
        <f t="array" ref="D3708">IF(B3708="","",INDEX(helper!$E$3:$E3996,MOD(ROW()-2,COUNTA(helper!$D$3:$D3996))+1))</f>
        <v/>
      </c>
      <c r="E3708" s="3" t="str">
        <f t="array" ref="E3708">IF(B3708="","",INDEX(helper!$F$3:$F3996,MOD(ROW()-2,COUNTA(helper!$D$3:$D3996))+1))</f>
        <v/>
      </c>
      <c r="F3708" s="3" t="str">
        <f>IF(B3708="","",SUMIFS('inventory ledger'!$H:$H,'inventory ledger'!$C:$C,C3708,'inventory ledger'!$D:$D,D3708,'inventory ledger'!$E:$E,E3708,'inventory ledger'!$A:$A,"&lt;="&amp;B3708+TIME(23,59,59))-SUMIFS('inventory ledger'!$I:$I,'inventory ledger'!$C:$C,C3708,'inventory ledger'!$D:$D,D3708,'inventory ledger'!$E:$E,E3708,'inventory ledger'!$A:$A,"&lt;="&amp;B3708+TIME(23,59,59)))</f>
        <v/>
      </c>
      <c r="G3708" s="3">
        <f>IFERROR(__xludf.DUMMYFUNCTION("IF(F3708&lt;=0,0,IFERROR(ROUNDUP(F3708/INDEX(FILTER('warehouse config'!$D:$D,('warehouse config'!$B:$B=C3708)*('warehouse config'!$C:$C=D3708)*('warehouse config'!$G:$G&lt;=B3708)*(('warehouse config'!$H:$H&gt;=B3708)+ISBLANK('warehouse config'!$H:$H))),1)),0))"),0.0)</f>
        <v>0</v>
      </c>
      <c r="H3708" s="3">
        <f>IFERROR(__xludf.DUMMYFUNCTION("IFERROR(INDEX(FILTER('cost master'!$E:$E,('cost master'!$B:$B=C3708)*('cost master'!$D:$D=""Storage cost per pallet / week"")*('cost master'!$G:$G&lt;=B3708)*(('cost master'!$H:$H&gt;=B3708)+ISBLANK('cost master'!$H:$H))),1),0)"),0.0)</f>
        <v>0</v>
      </c>
      <c r="I3708" s="3">
        <f t="shared" si="4"/>
        <v>0</v>
      </c>
      <c r="J3708" s="27">
        <f t="shared" si="5"/>
        <v>693947</v>
      </c>
      <c r="K3708" s="27">
        <f t="shared" si="6"/>
        <v>693977</v>
      </c>
    </row>
    <row r="3709" hidden="1">
      <c r="A3709" s="3" t="str">
        <f t="shared" si="3"/>
        <v/>
      </c>
      <c r="B3709" s="2" t="str">
        <f t="array" ref="B3709">INDEX(helper!$A$3:$A3996,ROUNDUP((ROW()-1)/COUNTA(helper!$D$3:$D3996),0))</f>
        <v/>
      </c>
      <c r="C3709" s="5" t="str">
        <f t="array" ref="C3709">IF(B3709="","",INDEX(helper!$D$3:$D3996,MOD(ROW()-2,COUNTA(helper!$D$3:$D3996))+1))</f>
        <v/>
      </c>
      <c r="D3709" s="3" t="str">
        <f t="array" ref="D3709">IF(B3709="","",INDEX(helper!$E$3:$E3996,MOD(ROW()-2,COUNTA(helper!$D$3:$D3996))+1))</f>
        <v/>
      </c>
      <c r="E3709" s="3" t="str">
        <f t="array" ref="E3709">IF(B3709="","",INDEX(helper!$F$3:$F3996,MOD(ROW()-2,COUNTA(helper!$D$3:$D3996))+1))</f>
        <v/>
      </c>
      <c r="F3709" s="3" t="str">
        <f>IF(B3709="","",SUMIFS('inventory ledger'!$H:$H,'inventory ledger'!$C:$C,C3709,'inventory ledger'!$D:$D,D3709,'inventory ledger'!$E:$E,E3709,'inventory ledger'!$A:$A,"&lt;="&amp;B3709+TIME(23,59,59))-SUMIFS('inventory ledger'!$I:$I,'inventory ledger'!$C:$C,C3709,'inventory ledger'!$D:$D,D3709,'inventory ledger'!$E:$E,E3709,'inventory ledger'!$A:$A,"&lt;="&amp;B3709+TIME(23,59,59)))</f>
        <v/>
      </c>
      <c r="G3709" s="3">
        <f>IFERROR(__xludf.DUMMYFUNCTION("IF(F3709&lt;=0,0,IFERROR(ROUNDUP(F3709/INDEX(FILTER('warehouse config'!$D:$D,('warehouse config'!$B:$B=C3709)*('warehouse config'!$C:$C=D3709)*('warehouse config'!$G:$G&lt;=B3709)*(('warehouse config'!$H:$H&gt;=B3709)+ISBLANK('warehouse config'!$H:$H))),1)),0))"),0.0)</f>
        <v>0</v>
      </c>
      <c r="H3709" s="3">
        <f>IFERROR(__xludf.DUMMYFUNCTION("IFERROR(INDEX(FILTER('cost master'!$E:$E,('cost master'!$B:$B=C3709)*('cost master'!$D:$D=""Storage cost per pallet / week"")*('cost master'!$G:$G&lt;=B3709)*(('cost master'!$H:$H&gt;=B3709)+ISBLANK('cost master'!$H:$H))),1),0)"),0.0)</f>
        <v>0</v>
      </c>
      <c r="I3709" s="3">
        <f t="shared" si="4"/>
        <v>0</v>
      </c>
      <c r="J3709" s="27">
        <f t="shared" si="5"/>
        <v>693947</v>
      </c>
      <c r="K3709" s="27">
        <f t="shared" si="6"/>
        <v>693977</v>
      </c>
    </row>
    <row r="3710" hidden="1">
      <c r="A3710" s="3" t="str">
        <f t="shared" si="3"/>
        <v/>
      </c>
      <c r="B3710" s="2" t="str">
        <f t="array" ref="B3710">INDEX(helper!$A$3:$A3996,ROUNDUP((ROW()-1)/COUNTA(helper!$D$3:$D3996),0))</f>
        <v/>
      </c>
      <c r="C3710" s="5" t="str">
        <f t="array" ref="C3710">IF(B3710="","",INDEX(helper!$D$3:$D3996,MOD(ROW()-2,COUNTA(helper!$D$3:$D3996))+1))</f>
        <v/>
      </c>
      <c r="D3710" s="3" t="str">
        <f t="array" ref="D3710">IF(B3710="","",INDEX(helper!$E$3:$E3996,MOD(ROW()-2,COUNTA(helper!$D$3:$D3996))+1))</f>
        <v/>
      </c>
      <c r="E3710" s="3" t="str">
        <f t="array" ref="E3710">IF(B3710="","",INDEX(helper!$F$3:$F3996,MOD(ROW()-2,COUNTA(helper!$D$3:$D3996))+1))</f>
        <v/>
      </c>
      <c r="F3710" s="3" t="str">
        <f>IF(B3710="","",SUMIFS('inventory ledger'!$H:$H,'inventory ledger'!$C:$C,C3710,'inventory ledger'!$D:$D,D3710,'inventory ledger'!$E:$E,E3710,'inventory ledger'!$A:$A,"&lt;="&amp;B3710+TIME(23,59,59))-SUMIFS('inventory ledger'!$I:$I,'inventory ledger'!$C:$C,C3710,'inventory ledger'!$D:$D,D3710,'inventory ledger'!$E:$E,E3710,'inventory ledger'!$A:$A,"&lt;="&amp;B3710+TIME(23,59,59)))</f>
        <v/>
      </c>
      <c r="G3710" s="3">
        <f>IFERROR(__xludf.DUMMYFUNCTION("IF(F3710&lt;=0,0,IFERROR(ROUNDUP(F3710/INDEX(FILTER('warehouse config'!$D:$D,('warehouse config'!$B:$B=C3710)*('warehouse config'!$C:$C=D3710)*('warehouse config'!$G:$G&lt;=B3710)*(('warehouse config'!$H:$H&gt;=B3710)+ISBLANK('warehouse config'!$H:$H))),1)),0))"),0.0)</f>
        <v>0</v>
      </c>
      <c r="H3710" s="3">
        <f>IFERROR(__xludf.DUMMYFUNCTION("IFERROR(INDEX(FILTER('cost master'!$E:$E,('cost master'!$B:$B=C3710)*('cost master'!$D:$D=""Storage cost per pallet / week"")*('cost master'!$G:$G&lt;=B3710)*(('cost master'!$H:$H&gt;=B3710)+ISBLANK('cost master'!$H:$H))),1),0)"),0.0)</f>
        <v>0</v>
      </c>
      <c r="I3710" s="3">
        <f t="shared" si="4"/>
        <v>0</v>
      </c>
      <c r="J3710" s="27">
        <f t="shared" si="5"/>
        <v>693947</v>
      </c>
      <c r="K3710" s="27">
        <f t="shared" si="6"/>
        <v>693977</v>
      </c>
    </row>
    <row r="3711" hidden="1">
      <c r="A3711" s="3" t="str">
        <f t="shared" si="3"/>
        <v/>
      </c>
      <c r="B3711" s="2" t="str">
        <f t="array" ref="B3711">INDEX(helper!$A$3:$A3996,ROUNDUP((ROW()-1)/COUNTA(helper!$D$3:$D3996),0))</f>
        <v/>
      </c>
      <c r="C3711" s="5" t="str">
        <f t="array" ref="C3711">IF(B3711="","",INDEX(helper!$D$3:$D3996,MOD(ROW()-2,COUNTA(helper!$D$3:$D3996))+1))</f>
        <v/>
      </c>
      <c r="D3711" s="3" t="str">
        <f t="array" ref="D3711">IF(B3711="","",INDEX(helper!$E$3:$E3996,MOD(ROW()-2,COUNTA(helper!$D$3:$D3996))+1))</f>
        <v/>
      </c>
      <c r="E3711" s="3" t="str">
        <f t="array" ref="E3711">IF(B3711="","",INDEX(helper!$F$3:$F3996,MOD(ROW()-2,COUNTA(helper!$D$3:$D3996))+1))</f>
        <v/>
      </c>
      <c r="F3711" s="3" t="str">
        <f>IF(B3711="","",SUMIFS('inventory ledger'!$H:$H,'inventory ledger'!$C:$C,C3711,'inventory ledger'!$D:$D,D3711,'inventory ledger'!$E:$E,E3711,'inventory ledger'!$A:$A,"&lt;="&amp;B3711+TIME(23,59,59))-SUMIFS('inventory ledger'!$I:$I,'inventory ledger'!$C:$C,C3711,'inventory ledger'!$D:$D,D3711,'inventory ledger'!$E:$E,E3711,'inventory ledger'!$A:$A,"&lt;="&amp;B3711+TIME(23,59,59)))</f>
        <v/>
      </c>
      <c r="G3711" s="3">
        <f>IFERROR(__xludf.DUMMYFUNCTION("IF(F3711&lt;=0,0,IFERROR(ROUNDUP(F3711/INDEX(FILTER('warehouse config'!$D:$D,('warehouse config'!$B:$B=C3711)*('warehouse config'!$C:$C=D3711)*('warehouse config'!$G:$G&lt;=B3711)*(('warehouse config'!$H:$H&gt;=B3711)+ISBLANK('warehouse config'!$H:$H))),1)),0))"),0.0)</f>
        <v>0</v>
      </c>
      <c r="H3711" s="3">
        <f>IFERROR(__xludf.DUMMYFUNCTION("IFERROR(INDEX(FILTER('cost master'!$E:$E,('cost master'!$B:$B=C3711)*('cost master'!$D:$D=""Storage cost per pallet / week"")*('cost master'!$G:$G&lt;=B3711)*(('cost master'!$H:$H&gt;=B3711)+ISBLANK('cost master'!$H:$H))),1),0)"),0.0)</f>
        <v>0</v>
      </c>
      <c r="I3711" s="3">
        <f t="shared" si="4"/>
        <v>0</v>
      </c>
      <c r="J3711" s="27">
        <f t="shared" si="5"/>
        <v>693947</v>
      </c>
      <c r="K3711" s="27">
        <f t="shared" si="6"/>
        <v>693977</v>
      </c>
    </row>
    <row r="3712" hidden="1">
      <c r="A3712" s="3" t="str">
        <f t="shared" si="3"/>
        <v/>
      </c>
      <c r="B3712" s="2" t="str">
        <f t="array" ref="B3712">INDEX(helper!$A$3:$A3996,ROUNDUP((ROW()-1)/COUNTA(helper!$D$3:$D3996),0))</f>
        <v/>
      </c>
      <c r="C3712" s="5" t="str">
        <f t="array" ref="C3712">IF(B3712="","",INDEX(helper!$D$3:$D3996,MOD(ROW()-2,COUNTA(helper!$D$3:$D3996))+1))</f>
        <v/>
      </c>
      <c r="D3712" s="3" t="str">
        <f t="array" ref="D3712">IF(B3712="","",INDEX(helper!$E$3:$E3996,MOD(ROW()-2,COUNTA(helper!$D$3:$D3996))+1))</f>
        <v/>
      </c>
      <c r="E3712" s="3" t="str">
        <f t="array" ref="E3712">IF(B3712="","",INDEX(helper!$F$3:$F3996,MOD(ROW()-2,COUNTA(helper!$D$3:$D3996))+1))</f>
        <v/>
      </c>
      <c r="F3712" s="3" t="str">
        <f>IF(B3712="","",SUMIFS('inventory ledger'!$H:$H,'inventory ledger'!$C:$C,C3712,'inventory ledger'!$D:$D,D3712,'inventory ledger'!$E:$E,E3712,'inventory ledger'!$A:$A,"&lt;="&amp;B3712+TIME(23,59,59))-SUMIFS('inventory ledger'!$I:$I,'inventory ledger'!$C:$C,C3712,'inventory ledger'!$D:$D,D3712,'inventory ledger'!$E:$E,E3712,'inventory ledger'!$A:$A,"&lt;="&amp;B3712+TIME(23,59,59)))</f>
        <v/>
      </c>
      <c r="G3712" s="3">
        <f>IFERROR(__xludf.DUMMYFUNCTION("IF(F3712&lt;=0,0,IFERROR(ROUNDUP(F3712/INDEX(FILTER('warehouse config'!$D:$D,('warehouse config'!$B:$B=C3712)*('warehouse config'!$C:$C=D3712)*('warehouse config'!$G:$G&lt;=B3712)*(('warehouse config'!$H:$H&gt;=B3712)+ISBLANK('warehouse config'!$H:$H))),1)),0))"),0.0)</f>
        <v>0</v>
      </c>
      <c r="H3712" s="3">
        <f>IFERROR(__xludf.DUMMYFUNCTION("IFERROR(INDEX(FILTER('cost master'!$E:$E,('cost master'!$B:$B=C3712)*('cost master'!$D:$D=""Storage cost per pallet / week"")*('cost master'!$G:$G&lt;=B3712)*(('cost master'!$H:$H&gt;=B3712)+ISBLANK('cost master'!$H:$H))),1),0)"),0.0)</f>
        <v>0</v>
      </c>
      <c r="I3712" s="3">
        <f t="shared" si="4"/>
        <v>0</v>
      </c>
      <c r="J3712" s="27">
        <f t="shared" si="5"/>
        <v>693947</v>
      </c>
      <c r="K3712" s="27">
        <f t="shared" si="6"/>
        <v>693977</v>
      </c>
    </row>
    <row r="3713" hidden="1">
      <c r="A3713" s="3" t="str">
        <f t="shared" si="3"/>
        <v/>
      </c>
      <c r="B3713" s="2" t="str">
        <f t="array" ref="B3713">INDEX(helper!$A$3:$A3996,ROUNDUP((ROW()-1)/COUNTA(helper!$D$3:$D3996),0))</f>
        <v/>
      </c>
      <c r="C3713" s="5" t="str">
        <f t="array" ref="C3713">IF(B3713="","",INDEX(helper!$D$3:$D3996,MOD(ROW()-2,COUNTA(helper!$D$3:$D3996))+1))</f>
        <v/>
      </c>
      <c r="D3713" s="3" t="str">
        <f t="array" ref="D3713">IF(B3713="","",INDEX(helper!$E$3:$E3996,MOD(ROW()-2,COUNTA(helper!$D$3:$D3996))+1))</f>
        <v/>
      </c>
      <c r="E3713" s="3" t="str">
        <f t="array" ref="E3713">IF(B3713="","",INDEX(helper!$F$3:$F3996,MOD(ROW()-2,COUNTA(helper!$D$3:$D3996))+1))</f>
        <v/>
      </c>
      <c r="F3713" s="3" t="str">
        <f>IF(B3713="","",SUMIFS('inventory ledger'!$H:$H,'inventory ledger'!$C:$C,C3713,'inventory ledger'!$D:$D,D3713,'inventory ledger'!$E:$E,E3713,'inventory ledger'!$A:$A,"&lt;="&amp;B3713+TIME(23,59,59))-SUMIFS('inventory ledger'!$I:$I,'inventory ledger'!$C:$C,C3713,'inventory ledger'!$D:$D,D3713,'inventory ledger'!$E:$E,E3713,'inventory ledger'!$A:$A,"&lt;="&amp;B3713+TIME(23,59,59)))</f>
        <v/>
      </c>
      <c r="G3713" s="3">
        <f>IFERROR(__xludf.DUMMYFUNCTION("IF(F3713&lt;=0,0,IFERROR(ROUNDUP(F3713/INDEX(FILTER('warehouse config'!$D:$D,('warehouse config'!$B:$B=C3713)*('warehouse config'!$C:$C=D3713)*('warehouse config'!$G:$G&lt;=B3713)*(('warehouse config'!$H:$H&gt;=B3713)+ISBLANK('warehouse config'!$H:$H))),1)),0))"),0.0)</f>
        <v>0</v>
      </c>
      <c r="H3713" s="3">
        <f>IFERROR(__xludf.DUMMYFUNCTION("IFERROR(INDEX(FILTER('cost master'!$E:$E,('cost master'!$B:$B=C3713)*('cost master'!$D:$D=""Storage cost per pallet / week"")*('cost master'!$G:$G&lt;=B3713)*(('cost master'!$H:$H&gt;=B3713)+ISBLANK('cost master'!$H:$H))),1),0)"),0.0)</f>
        <v>0</v>
      </c>
      <c r="I3713" s="3">
        <f t="shared" si="4"/>
        <v>0</v>
      </c>
      <c r="J3713" s="27">
        <f t="shared" si="5"/>
        <v>693947</v>
      </c>
      <c r="K3713" s="27">
        <f t="shared" si="6"/>
        <v>693977</v>
      </c>
    </row>
    <row r="3714" hidden="1">
      <c r="A3714" s="3" t="str">
        <f t="shared" si="3"/>
        <v/>
      </c>
      <c r="B3714" s="2" t="str">
        <f t="array" ref="B3714">INDEX(helper!$A$3:$A3996,ROUNDUP((ROW()-1)/COUNTA(helper!$D$3:$D3996),0))</f>
        <v/>
      </c>
      <c r="C3714" s="5" t="str">
        <f t="array" ref="C3714">IF(B3714="","",INDEX(helper!$D$3:$D3996,MOD(ROW()-2,COUNTA(helper!$D$3:$D3996))+1))</f>
        <v/>
      </c>
      <c r="D3714" s="3" t="str">
        <f t="array" ref="D3714">IF(B3714="","",INDEX(helper!$E$3:$E3996,MOD(ROW()-2,COUNTA(helper!$D$3:$D3996))+1))</f>
        <v/>
      </c>
      <c r="E3714" s="3" t="str">
        <f t="array" ref="E3714">IF(B3714="","",INDEX(helper!$F$3:$F3996,MOD(ROW()-2,COUNTA(helper!$D$3:$D3996))+1))</f>
        <v/>
      </c>
      <c r="F3714" s="3" t="str">
        <f>IF(B3714="","",SUMIFS('inventory ledger'!$H:$H,'inventory ledger'!$C:$C,C3714,'inventory ledger'!$D:$D,D3714,'inventory ledger'!$E:$E,E3714,'inventory ledger'!$A:$A,"&lt;="&amp;B3714+TIME(23,59,59))-SUMIFS('inventory ledger'!$I:$I,'inventory ledger'!$C:$C,C3714,'inventory ledger'!$D:$D,D3714,'inventory ledger'!$E:$E,E3714,'inventory ledger'!$A:$A,"&lt;="&amp;B3714+TIME(23,59,59)))</f>
        <v/>
      </c>
      <c r="G3714" s="3">
        <f>IFERROR(__xludf.DUMMYFUNCTION("IF(F3714&lt;=0,0,IFERROR(ROUNDUP(F3714/INDEX(FILTER('warehouse config'!$D:$D,('warehouse config'!$B:$B=C3714)*('warehouse config'!$C:$C=D3714)*('warehouse config'!$G:$G&lt;=B3714)*(('warehouse config'!$H:$H&gt;=B3714)+ISBLANK('warehouse config'!$H:$H))),1)),0))"),0.0)</f>
        <v>0</v>
      </c>
      <c r="H3714" s="3">
        <f>IFERROR(__xludf.DUMMYFUNCTION("IFERROR(INDEX(FILTER('cost master'!$E:$E,('cost master'!$B:$B=C3714)*('cost master'!$D:$D=""Storage cost per pallet / week"")*('cost master'!$G:$G&lt;=B3714)*(('cost master'!$H:$H&gt;=B3714)+ISBLANK('cost master'!$H:$H))),1),0)"),0.0)</f>
        <v>0</v>
      </c>
      <c r="I3714" s="3">
        <f t="shared" si="4"/>
        <v>0</v>
      </c>
      <c r="J3714" s="27">
        <f t="shared" si="5"/>
        <v>693947</v>
      </c>
      <c r="K3714" s="27">
        <f t="shared" si="6"/>
        <v>693977</v>
      </c>
    </row>
    <row r="3715" hidden="1">
      <c r="A3715" s="3" t="str">
        <f t="shared" si="3"/>
        <v/>
      </c>
      <c r="B3715" s="2" t="str">
        <f t="array" ref="B3715">INDEX(helper!$A$3:$A3996,ROUNDUP((ROW()-1)/COUNTA(helper!$D$3:$D3996),0))</f>
        <v/>
      </c>
      <c r="C3715" s="5" t="str">
        <f t="array" ref="C3715">IF(B3715="","",INDEX(helper!$D$3:$D3996,MOD(ROW()-2,COUNTA(helper!$D$3:$D3996))+1))</f>
        <v/>
      </c>
      <c r="D3715" s="3" t="str">
        <f t="array" ref="D3715">IF(B3715="","",INDEX(helper!$E$3:$E3996,MOD(ROW()-2,COUNTA(helper!$D$3:$D3996))+1))</f>
        <v/>
      </c>
      <c r="E3715" s="3" t="str">
        <f t="array" ref="E3715">IF(B3715="","",INDEX(helper!$F$3:$F3996,MOD(ROW()-2,COUNTA(helper!$D$3:$D3996))+1))</f>
        <v/>
      </c>
      <c r="F3715" s="3" t="str">
        <f>IF(B3715="","",SUMIFS('inventory ledger'!$H:$H,'inventory ledger'!$C:$C,C3715,'inventory ledger'!$D:$D,D3715,'inventory ledger'!$E:$E,E3715,'inventory ledger'!$A:$A,"&lt;="&amp;B3715+TIME(23,59,59))-SUMIFS('inventory ledger'!$I:$I,'inventory ledger'!$C:$C,C3715,'inventory ledger'!$D:$D,D3715,'inventory ledger'!$E:$E,E3715,'inventory ledger'!$A:$A,"&lt;="&amp;B3715+TIME(23,59,59)))</f>
        <v/>
      </c>
      <c r="G3715" s="3">
        <f>IFERROR(__xludf.DUMMYFUNCTION("IF(F3715&lt;=0,0,IFERROR(ROUNDUP(F3715/INDEX(FILTER('warehouse config'!$D:$D,('warehouse config'!$B:$B=C3715)*('warehouse config'!$C:$C=D3715)*('warehouse config'!$G:$G&lt;=B3715)*(('warehouse config'!$H:$H&gt;=B3715)+ISBLANK('warehouse config'!$H:$H))),1)),0))"),0.0)</f>
        <v>0</v>
      </c>
      <c r="H3715" s="3">
        <f>IFERROR(__xludf.DUMMYFUNCTION("IFERROR(INDEX(FILTER('cost master'!$E:$E,('cost master'!$B:$B=C3715)*('cost master'!$D:$D=""Storage cost per pallet / week"")*('cost master'!$G:$G&lt;=B3715)*(('cost master'!$H:$H&gt;=B3715)+ISBLANK('cost master'!$H:$H))),1),0)"),0.0)</f>
        <v>0</v>
      </c>
      <c r="I3715" s="3">
        <f t="shared" si="4"/>
        <v>0</v>
      </c>
      <c r="J3715" s="27">
        <f t="shared" si="5"/>
        <v>693947</v>
      </c>
      <c r="K3715" s="27">
        <f t="shared" si="6"/>
        <v>693977</v>
      </c>
    </row>
    <row r="3716" hidden="1">
      <c r="A3716" s="3" t="str">
        <f t="shared" si="3"/>
        <v/>
      </c>
      <c r="B3716" s="2" t="str">
        <f t="array" ref="B3716">INDEX(helper!$A$3:$A3996,ROUNDUP((ROW()-1)/COUNTA(helper!$D$3:$D3996),0))</f>
        <v/>
      </c>
      <c r="C3716" s="5" t="str">
        <f t="array" ref="C3716">IF(B3716="","",INDEX(helper!$D$3:$D3996,MOD(ROW()-2,COUNTA(helper!$D$3:$D3996))+1))</f>
        <v/>
      </c>
      <c r="D3716" s="3" t="str">
        <f t="array" ref="D3716">IF(B3716="","",INDEX(helper!$E$3:$E3996,MOD(ROW()-2,COUNTA(helper!$D$3:$D3996))+1))</f>
        <v/>
      </c>
      <c r="E3716" s="3" t="str">
        <f t="array" ref="E3716">IF(B3716="","",INDEX(helper!$F$3:$F3996,MOD(ROW()-2,COUNTA(helper!$D$3:$D3996))+1))</f>
        <v/>
      </c>
      <c r="F3716" s="3" t="str">
        <f>IF(B3716="","",SUMIFS('inventory ledger'!$H:$H,'inventory ledger'!$C:$C,C3716,'inventory ledger'!$D:$D,D3716,'inventory ledger'!$E:$E,E3716,'inventory ledger'!$A:$A,"&lt;="&amp;B3716+TIME(23,59,59))-SUMIFS('inventory ledger'!$I:$I,'inventory ledger'!$C:$C,C3716,'inventory ledger'!$D:$D,D3716,'inventory ledger'!$E:$E,E3716,'inventory ledger'!$A:$A,"&lt;="&amp;B3716+TIME(23,59,59)))</f>
        <v/>
      </c>
      <c r="G3716" s="3">
        <f>IFERROR(__xludf.DUMMYFUNCTION("IF(F3716&lt;=0,0,IFERROR(ROUNDUP(F3716/INDEX(FILTER('warehouse config'!$D:$D,('warehouse config'!$B:$B=C3716)*('warehouse config'!$C:$C=D3716)*('warehouse config'!$G:$G&lt;=B3716)*(('warehouse config'!$H:$H&gt;=B3716)+ISBLANK('warehouse config'!$H:$H))),1)),0))"),0.0)</f>
        <v>0</v>
      </c>
      <c r="H3716" s="3">
        <f>IFERROR(__xludf.DUMMYFUNCTION("IFERROR(INDEX(FILTER('cost master'!$E:$E,('cost master'!$B:$B=C3716)*('cost master'!$D:$D=""Storage cost per pallet / week"")*('cost master'!$G:$G&lt;=B3716)*(('cost master'!$H:$H&gt;=B3716)+ISBLANK('cost master'!$H:$H))),1),0)"),0.0)</f>
        <v>0</v>
      </c>
      <c r="I3716" s="3">
        <f t="shared" si="4"/>
        <v>0</v>
      </c>
      <c r="J3716" s="27">
        <f t="shared" si="5"/>
        <v>693947</v>
      </c>
      <c r="K3716" s="27">
        <f t="shared" si="6"/>
        <v>693977</v>
      </c>
    </row>
    <row r="3717" hidden="1">
      <c r="A3717" s="3" t="str">
        <f t="shared" si="3"/>
        <v/>
      </c>
      <c r="B3717" s="2" t="str">
        <f t="array" ref="B3717">INDEX(helper!$A$3:$A3996,ROUNDUP((ROW()-1)/COUNTA(helper!$D$3:$D3996),0))</f>
        <v/>
      </c>
      <c r="C3717" s="5" t="str">
        <f t="array" ref="C3717">IF(B3717="","",INDEX(helper!$D$3:$D3996,MOD(ROW()-2,COUNTA(helper!$D$3:$D3996))+1))</f>
        <v/>
      </c>
      <c r="D3717" s="3" t="str">
        <f t="array" ref="D3717">IF(B3717="","",INDEX(helper!$E$3:$E3996,MOD(ROW()-2,COUNTA(helper!$D$3:$D3996))+1))</f>
        <v/>
      </c>
      <c r="E3717" s="3" t="str">
        <f t="array" ref="E3717">IF(B3717="","",INDEX(helper!$F$3:$F3996,MOD(ROW()-2,COUNTA(helper!$D$3:$D3996))+1))</f>
        <v/>
      </c>
      <c r="F3717" s="3" t="str">
        <f>IF(B3717="","",SUMIFS('inventory ledger'!$H:$H,'inventory ledger'!$C:$C,C3717,'inventory ledger'!$D:$D,D3717,'inventory ledger'!$E:$E,E3717,'inventory ledger'!$A:$A,"&lt;="&amp;B3717+TIME(23,59,59))-SUMIFS('inventory ledger'!$I:$I,'inventory ledger'!$C:$C,C3717,'inventory ledger'!$D:$D,D3717,'inventory ledger'!$E:$E,E3717,'inventory ledger'!$A:$A,"&lt;="&amp;B3717+TIME(23,59,59)))</f>
        <v/>
      </c>
      <c r="G3717" s="3">
        <f>IFERROR(__xludf.DUMMYFUNCTION("IF(F3717&lt;=0,0,IFERROR(ROUNDUP(F3717/INDEX(FILTER('warehouse config'!$D:$D,('warehouse config'!$B:$B=C3717)*('warehouse config'!$C:$C=D3717)*('warehouse config'!$G:$G&lt;=B3717)*(('warehouse config'!$H:$H&gt;=B3717)+ISBLANK('warehouse config'!$H:$H))),1)),0))"),0.0)</f>
        <v>0</v>
      </c>
      <c r="H3717" s="3">
        <f>IFERROR(__xludf.DUMMYFUNCTION("IFERROR(INDEX(FILTER('cost master'!$E:$E,('cost master'!$B:$B=C3717)*('cost master'!$D:$D=""Storage cost per pallet / week"")*('cost master'!$G:$G&lt;=B3717)*(('cost master'!$H:$H&gt;=B3717)+ISBLANK('cost master'!$H:$H))),1),0)"),0.0)</f>
        <v>0</v>
      </c>
      <c r="I3717" s="3">
        <f t="shared" si="4"/>
        <v>0</v>
      </c>
      <c r="J3717" s="27">
        <f t="shared" si="5"/>
        <v>693947</v>
      </c>
      <c r="K3717" s="27">
        <f t="shared" si="6"/>
        <v>693977</v>
      </c>
    </row>
    <row r="3718" hidden="1">
      <c r="A3718" s="3" t="str">
        <f t="shared" si="3"/>
        <v/>
      </c>
      <c r="B3718" s="2" t="str">
        <f t="array" ref="B3718">INDEX(helper!$A$3:$A3996,ROUNDUP((ROW()-1)/COUNTA(helper!$D$3:$D3996),0))</f>
        <v/>
      </c>
      <c r="C3718" s="5" t="str">
        <f t="array" ref="C3718">IF(B3718="","",INDEX(helper!$D$3:$D3996,MOD(ROW()-2,COUNTA(helper!$D$3:$D3996))+1))</f>
        <v/>
      </c>
      <c r="D3718" s="3" t="str">
        <f t="array" ref="D3718">IF(B3718="","",INDEX(helper!$E$3:$E3996,MOD(ROW()-2,COUNTA(helper!$D$3:$D3996))+1))</f>
        <v/>
      </c>
      <c r="E3718" s="3" t="str">
        <f t="array" ref="E3718">IF(B3718="","",INDEX(helper!$F$3:$F3996,MOD(ROW()-2,COUNTA(helper!$D$3:$D3996))+1))</f>
        <v/>
      </c>
      <c r="F3718" s="3" t="str">
        <f>IF(B3718="","",SUMIFS('inventory ledger'!$H:$H,'inventory ledger'!$C:$C,C3718,'inventory ledger'!$D:$D,D3718,'inventory ledger'!$E:$E,E3718,'inventory ledger'!$A:$A,"&lt;="&amp;B3718+TIME(23,59,59))-SUMIFS('inventory ledger'!$I:$I,'inventory ledger'!$C:$C,C3718,'inventory ledger'!$D:$D,D3718,'inventory ledger'!$E:$E,E3718,'inventory ledger'!$A:$A,"&lt;="&amp;B3718+TIME(23,59,59)))</f>
        <v/>
      </c>
      <c r="G3718" s="3">
        <f>IFERROR(__xludf.DUMMYFUNCTION("IF(F3718&lt;=0,0,IFERROR(ROUNDUP(F3718/INDEX(FILTER('warehouse config'!$D:$D,('warehouse config'!$B:$B=C3718)*('warehouse config'!$C:$C=D3718)*('warehouse config'!$G:$G&lt;=B3718)*(('warehouse config'!$H:$H&gt;=B3718)+ISBLANK('warehouse config'!$H:$H))),1)),0))"),0.0)</f>
        <v>0</v>
      </c>
      <c r="H3718" s="3">
        <f>IFERROR(__xludf.DUMMYFUNCTION("IFERROR(INDEX(FILTER('cost master'!$E:$E,('cost master'!$B:$B=C3718)*('cost master'!$D:$D=""Storage cost per pallet / week"")*('cost master'!$G:$G&lt;=B3718)*(('cost master'!$H:$H&gt;=B3718)+ISBLANK('cost master'!$H:$H))),1),0)"),0.0)</f>
        <v>0</v>
      </c>
      <c r="I3718" s="3">
        <f t="shared" si="4"/>
        <v>0</v>
      </c>
      <c r="J3718" s="27">
        <f t="shared" si="5"/>
        <v>693947</v>
      </c>
      <c r="K3718" s="27">
        <f t="shared" si="6"/>
        <v>693977</v>
      </c>
    </row>
    <row r="3719" hidden="1">
      <c r="A3719" s="3" t="str">
        <f t="shared" si="3"/>
        <v/>
      </c>
      <c r="B3719" s="2" t="str">
        <f t="array" ref="B3719">INDEX(helper!$A$3:$A3996,ROUNDUP((ROW()-1)/COUNTA(helper!$D$3:$D3996),0))</f>
        <v/>
      </c>
      <c r="C3719" s="5" t="str">
        <f t="array" ref="C3719">IF(B3719="","",INDEX(helper!$D$3:$D3996,MOD(ROW()-2,COUNTA(helper!$D$3:$D3996))+1))</f>
        <v/>
      </c>
      <c r="D3719" s="3" t="str">
        <f t="array" ref="D3719">IF(B3719="","",INDEX(helper!$E$3:$E3996,MOD(ROW()-2,COUNTA(helper!$D$3:$D3996))+1))</f>
        <v/>
      </c>
      <c r="E3719" s="3" t="str">
        <f t="array" ref="E3719">IF(B3719="","",INDEX(helper!$F$3:$F3996,MOD(ROW()-2,COUNTA(helper!$D$3:$D3996))+1))</f>
        <v/>
      </c>
      <c r="F3719" s="3" t="str">
        <f>IF(B3719="","",SUMIFS('inventory ledger'!$H:$H,'inventory ledger'!$C:$C,C3719,'inventory ledger'!$D:$D,D3719,'inventory ledger'!$E:$E,E3719,'inventory ledger'!$A:$A,"&lt;="&amp;B3719+TIME(23,59,59))-SUMIFS('inventory ledger'!$I:$I,'inventory ledger'!$C:$C,C3719,'inventory ledger'!$D:$D,D3719,'inventory ledger'!$E:$E,E3719,'inventory ledger'!$A:$A,"&lt;="&amp;B3719+TIME(23,59,59)))</f>
        <v/>
      </c>
      <c r="G3719" s="3">
        <f>IFERROR(__xludf.DUMMYFUNCTION("IF(F3719&lt;=0,0,IFERROR(ROUNDUP(F3719/INDEX(FILTER('warehouse config'!$D:$D,('warehouse config'!$B:$B=C3719)*('warehouse config'!$C:$C=D3719)*('warehouse config'!$G:$G&lt;=B3719)*(('warehouse config'!$H:$H&gt;=B3719)+ISBLANK('warehouse config'!$H:$H))),1)),0))"),0.0)</f>
        <v>0</v>
      </c>
      <c r="H3719" s="3">
        <f>IFERROR(__xludf.DUMMYFUNCTION("IFERROR(INDEX(FILTER('cost master'!$E:$E,('cost master'!$B:$B=C3719)*('cost master'!$D:$D=""Storage cost per pallet / week"")*('cost master'!$G:$G&lt;=B3719)*(('cost master'!$H:$H&gt;=B3719)+ISBLANK('cost master'!$H:$H))),1),0)"),0.0)</f>
        <v>0</v>
      </c>
      <c r="I3719" s="3">
        <f t="shared" si="4"/>
        <v>0</v>
      </c>
      <c r="J3719" s="27">
        <f t="shared" si="5"/>
        <v>693947</v>
      </c>
      <c r="K3719" s="27">
        <f t="shared" si="6"/>
        <v>693977</v>
      </c>
    </row>
    <row r="3720" hidden="1">
      <c r="A3720" s="3" t="str">
        <f t="shared" si="3"/>
        <v/>
      </c>
      <c r="B3720" s="2" t="str">
        <f t="array" ref="B3720">INDEX(helper!$A$3:$A3996,ROUNDUP((ROW()-1)/COUNTA(helper!$D$3:$D3996),0))</f>
        <v/>
      </c>
      <c r="C3720" s="5" t="str">
        <f t="array" ref="C3720">IF(B3720="","",INDEX(helper!$D$3:$D3996,MOD(ROW()-2,COUNTA(helper!$D$3:$D3996))+1))</f>
        <v/>
      </c>
      <c r="D3720" s="3" t="str">
        <f t="array" ref="D3720">IF(B3720="","",INDEX(helper!$E$3:$E3996,MOD(ROW()-2,COUNTA(helper!$D$3:$D3996))+1))</f>
        <v/>
      </c>
      <c r="E3720" s="3" t="str">
        <f t="array" ref="E3720">IF(B3720="","",INDEX(helper!$F$3:$F3996,MOD(ROW()-2,COUNTA(helper!$D$3:$D3996))+1))</f>
        <v/>
      </c>
      <c r="F3720" s="3" t="str">
        <f>IF(B3720="","",SUMIFS('inventory ledger'!$H:$H,'inventory ledger'!$C:$C,C3720,'inventory ledger'!$D:$D,D3720,'inventory ledger'!$E:$E,E3720,'inventory ledger'!$A:$A,"&lt;="&amp;B3720+TIME(23,59,59))-SUMIFS('inventory ledger'!$I:$I,'inventory ledger'!$C:$C,C3720,'inventory ledger'!$D:$D,D3720,'inventory ledger'!$E:$E,E3720,'inventory ledger'!$A:$A,"&lt;="&amp;B3720+TIME(23,59,59)))</f>
        <v/>
      </c>
      <c r="G3720" s="3">
        <f>IFERROR(__xludf.DUMMYFUNCTION("IF(F3720&lt;=0,0,IFERROR(ROUNDUP(F3720/INDEX(FILTER('warehouse config'!$D:$D,('warehouse config'!$B:$B=C3720)*('warehouse config'!$C:$C=D3720)*('warehouse config'!$G:$G&lt;=B3720)*(('warehouse config'!$H:$H&gt;=B3720)+ISBLANK('warehouse config'!$H:$H))),1)),0))"),0.0)</f>
        <v>0</v>
      </c>
      <c r="H3720" s="3">
        <f>IFERROR(__xludf.DUMMYFUNCTION("IFERROR(INDEX(FILTER('cost master'!$E:$E,('cost master'!$B:$B=C3720)*('cost master'!$D:$D=""Storage cost per pallet / week"")*('cost master'!$G:$G&lt;=B3720)*(('cost master'!$H:$H&gt;=B3720)+ISBLANK('cost master'!$H:$H))),1),0)"),0.0)</f>
        <v>0</v>
      </c>
      <c r="I3720" s="3">
        <f t="shared" si="4"/>
        <v>0</v>
      </c>
      <c r="J3720" s="27">
        <f t="shared" si="5"/>
        <v>693947</v>
      </c>
      <c r="K3720" s="27">
        <f t="shared" si="6"/>
        <v>693977</v>
      </c>
    </row>
    <row r="3721" hidden="1">
      <c r="A3721" s="3" t="str">
        <f t="shared" si="3"/>
        <v/>
      </c>
      <c r="B3721" s="2" t="str">
        <f t="array" ref="B3721">INDEX(helper!$A$3:$A3996,ROUNDUP((ROW()-1)/COUNTA(helper!$D$3:$D3996),0))</f>
        <v/>
      </c>
      <c r="C3721" s="5" t="str">
        <f t="array" ref="C3721">IF(B3721="","",INDEX(helper!$D$3:$D3996,MOD(ROW()-2,COUNTA(helper!$D$3:$D3996))+1))</f>
        <v/>
      </c>
      <c r="D3721" s="3" t="str">
        <f t="array" ref="D3721">IF(B3721="","",INDEX(helper!$E$3:$E3996,MOD(ROW()-2,COUNTA(helper!$D$3:$D3996))+1))</f>
        <v/>
      </c>
      <c r="E3721" s="3" t="str">
        <f t="array" ref="E3721">IF(B3721="","",INDEX(helper!$F$3:$F3996,MOD(ROW()-2,COUNTA(helper!$D$3:$D3996))+1))</f>
        <v/>
      </c>
      <c r="F3721" s="3" t="str">
        <f>IF(B3721="","",SUMIFS('inventory ledger'!$H:$H,'inventory ledger'!$C:$C,C3721,'inventory ledger'!$D:$D,D3721,'inventory ledger'!$E:$E,E3721,'inventory ledger'!$A:$A,"&lt;="&amp;B3721+TIME(23,59,59))-SUMIFS('inventory ledger'!$I:$I,'inventory ledger'!$C:$C,C3721,'inventory ledger'!$D:$D,D3721,'inventory ledger'!$E:$E,E3721,'inventory ledger'!$A:$A,"&lt;="&amp;B3721+TIME(23,59,59)))</f>
        <v/>
      </c>
      <c r="G3721" s="3">
        <f>IFERROR(__xludf.DUMMYFUNCTION("IF(F3721&lt;=0,0,IFERROR(ROUNDUP(F3721/INDEX(FILTER('warehouse config'!$D:$D,('warehouse config'!$B:$B=C3721)*('warehouse config'!$C:$C=D3721)*('warehouse config'!$G:$G&lt;=B3721)*(('warehouse config'!$H:$H&gt;=B3721)+ISBLANK('warehouse config'!$H:$H))),1)),0))"),0.0)</f>
        <v>0</v>
      </c>
      <c r="H3721" s="3">
        <f>IFERROR(__xludf.DUMMYFUNCTION("IFERROR(INDEX(FILTER('cost master'!$E:$E,('cost master'!$B:$B=C3721)*('cost master'!$D:$D=""Storage cost per pallet / week"")*('cost master'!$G:$G&lt;=B3721)*(('cost master'!$H:$H&gt;=B3721)+ISBLANK('cost master'!$H:$H))),1),0)"),0.0)</f>
        <v>0</v>
      </c>
      <c r="I3721" s="3">
        <f t="shared" si="4"/>
        <v>0</v>
      </c>
      <c r="J3721" s="27">
        <f t="shared" si="5"/>
        <v>693947</v>
      </c>
      <c r="K3721" s="27">
        <f t="shared" si="6"/>
        <v>693977</v>
      </c>
    </row>
    <row r="3722" hidden="1">
      <c r="A3722" s="3" t="str">
        <f t="shared" si="3"/>
        <v/>
      </c>
      <c r="B3722" s="2" t="str">
        <f t="array" ref="B3722">INDEX(helper!$A$3:$A3996,ROUNDUP((ROW()-1)/COUNTA(helper!$D$3:$D3996),0))</f>
        <v/>
      </c>
      <c r="C3722" s="5" t="str">
        <f t="array" ref="C3722">IF(B3722="","",INDEX(helper!$D$3:$D3996,MOD(ROW()-2,COUNTA(helper!$D$3:$D3996))+1))</f>
        <v/>
      </c>
      <c r="D3722" s="3" t="str">
        <f t="array" ref="D3722">IF(B3722="","",INDEX(helper!$E$3:$E3996,MOD(ROW()-2,COUNTA(helper!$D$3:$D3996))+1))</f>
        <v/>
      </c>
      <c r="E3722" s="3" t="str">
        <f t="array" ref="E3722">IF(B3722="","",INDEX(helper!$F$3:$F3996,MOD(ROW()-2,COUNTA(helper!$D$3:$D3996))+1))</f>
        <v/>
      </c>
      <c r="F3722" s="3" t="str">
        <f>IF(B3722="","",SUMIFS('inventory ledger'!$H:$H,'inventory ledger'!$C:$C,C3722,'inventory ledger'!$D:$D,D3722,'inventory ledger'!$E:$E,E3722,'inventory ledger'!$A:$A,"&lt;="&amp;B3722+TIME(23,59,59))-SUMIFS('inventory ledger'!$I:$I,'inventory ledger'!$C:$C,C3722,'inventory ledger'!$D:$D,D3722,'inventory ledger'!$E:$E,E3722,'inventory ledger'!$A:$A,"&lt;="&amp;B3722+TIME(23,59,59)))</f>
        <v/>
      </c>
      <c r="G3722" s="3">
        <f>IFERROR(__xludf.DUMMYFUNCTION("IF(F3722&lt;=0,0,IFERROR(ROUNDUP(F3722/INDEX(FILTER('warehouse config'!$D:$D,('warehouse config'!$B:$B=C3722)*('warehouse config'!$C:$C=D3722)*('warehouse config'!$G:$G&lt;=B3722)*(('warehouse config'!$H:$H&gt;=B3722)+ISBLANK('warehouse config'!$H:$H))),1)),0))"),0.0)</f>
        <v>0</v>
      </c>
      <c r="H3722" s="3">
        <f>IFERROR(__xludf.DUMMYFUNCTION("IFERROR(INDEX(FILTER('cost master'!$E:$E,('cost master'!$B:$B=C3722)*('cost master'!$D:$D=""Storage cost per pallet / week"")*('cost master'!$G:$G&lt;=B3722)*(('cost master'!$H:$H&gt;=B3722)+ISBLANK('cost master'!$H:$H))),1),0)"),0.0)</f>
        <v>0</v>
      </c>
      <c r="I3722" s="3">
        <f t="shared" si="4"/>
        <v>0</v>
      </c>
      <c r="J3722" s="27">
        <f t="shared" si="5"/>
        <v>693947</v>
      </c>
      <c r="K3722" s="27">
        <f t="shared" si="6"/>
        <v>693977</v>
      </c>
    </row>
    <row r="3723" hidden="1">
      <c r="A3723" s="3" t="str">
        <f t="shared" si="3"/>
        <v/>
      </c>
      <c r="B3723" s="2" t="str">
        <f t="array" ref="B3723">INDEX(helper!$A$3:$A3996,ROUNDUP((ROW()-1)/COUNTA(helper!$D$3:$D3996),0))</f>
        <v/>
      </c>
      <c r="C3723" s="5" t="str">
        <f t="array" ref="C3723">IF(B3723="","",INDEX(helper!$D$3:$D3996,MOD(ROW()-2,COUNTA(helper!$D$3:$D3996))+1))</f>
        <v/>
      </c>
      <c r="D3723" s="3" t="str">
        <f t="array" ref="D3723">IF(B3723="","",INDEX(helper!$E$3:$E3996,MOD(ROW()-2,COUNTA(helper!$D$3:$D3996))+1))</f>
        <v/>
      </c>
      <c r="E3723" s="3" t="str">
        <f t="array" ref="E3723">IF(B3723="","",INDEX(helper!$F$3:$F3996,MOD(ROW()-2,COUNTA(helper!$D$3:$D3996))+1))</f>
        <v/>
      </c>
      <c r="F3723" s="3" t="str">
        <f>IF(B3723="","",SUMIFS('inventory ledger'!$H:$H,'inventory ledger'!$C:$C,C3723,'inventory ledger'!$D:$D,D3723,'inventory ledger'!$E:$E,E3723,'inventory ledger'!$A:$A,"&lt;="&amp;B3723+TIME(23,59,59))-SUMIFS('inventory ledger'!$I:$I,'inventory ledger'!$C:$C,C3723,'inventory ledger'!$D:$D,D3723,'inventory ledger'!$E:$E,E3723,'inventory ledger'!$A:$A,"&lt;="&amp;B3723+TIME(23,59,59)))</f>
        <v/>
      </c>
      <c r="G3723" s="3">
        <f>IFERROR(__xludf.DUMMYFUNCTION("IF(F3723&lt;=0,0,IFERROR(ROUNDUP(F3723/INDEX(FILTER('warehouse config'!$D:$D,('warehouse config'!$B:$B=C3723)*('warehouse config'!$C:$C=D3723)*('warehouse config'!$G:$G&lt;=B3723)*(('warehouse config'!$H:$H&gt;=B3723)+ISBLANK('warehouse config'!$H:$H))),1)),0))"),0.0)</f>
        <v>0</v>
      </c>
      <c r="H3723" s="3">
        <f>IFERROR(__xludf.DUMMYFUNCTION("IFERROR(INDEX(FILTER('cost master'!$E:$E,('cost master'!$B:$B=C3723)*('cost master'!$D:$D=""Storage cost per pallet / week"")*('cost master'!$G:$G&lt;=B3723)*(('cost master'!$H:$H&gt;=B3723)+ISBLANK('cost master'!$H:$H))),1),0)"),0.0)</f>
        <v>0</v>
      </c>
      <c r="I3723" s="3">
        <f t="shared" si="4"/>
        <v>0</v>
      </c>
      <c r="J3723" s="27">
        <f t="shared" si="5"/>
        <v>693947</v>
      </c>
      <c r="K3723" s="27">
        <f t="shared" si="6"/>
        <v>693977</v>
      </c>
    </row>
    <row r="3724" hidden="1">
      <c r="A3724" s="3" t="str">
        <f t="shared" si="3"/>
        <v/>
      </c>
      <c r="B3724" s="2" t="str">
        <f t="array" ref="B3724">INDEX(helper!$A$3:$A3996,ROUNDUP((ROW()-1)/COUNTA(helper!$D$3:$D3996),0))</f>
        <v/>
      </c>
      <c r="C3724" s="5" t="str">
        <f t="array" ref="C3724">IF(B3724="","",INDEX(helper!$D$3:$D3996,MOD(ROW()-2,COUNTA(helper!$D$3:$D3996))+1))</f>
        <v/>
      </c>
      <c r="D3724" s="3" t="str">
        <f t="array" ref="D3724">IF(B3724="","",INDEX(helper!$E$3:$E3996,MOD(ROW()-2,COUNTA(helper!$D$3:$D3996))+1))</f>
        <v/>
      </c>
      <c r="E3724" s="3" t="str">
        <f t="array" ref="E3724">IF(B3724="","",INDEX(helper!$F$3:$F3996,MOD(ROW()-2,COUNTA(helper!$D$3:$D3996))+1))</f>
        <v/>
      </c>
      <c r="F3724" s="3" t="str">
        <f>IF(B3724="","",SUMIFS('inventory ledger'!$H:$H,'inventory ledger'!$C:$C,C3724,'inventory ledger'!$D:$D,D3724,'inventory ledger'!$E:$E,E3724,'inventory ledger'!$A:$A,"&lt;="&amp;B3724+TIME(23,59,59))-SUMIFS('inventory ledger'!$I:$I,'inventory ledger'!$C:$C,C3724,'inventory ledger'!$D:$D,D3724,'inventory ledger'!$E:$E,E3724,'inventory ledger'!$A:$A,"&lt;="&amp;B3724+TIME(23,59,59)))</f>
        <v/>
      </c>
      <c r="G3724" s="3">
        <f>IFERROR(__xludf.DUMMYFUNCTION("IF(F3724&lt;=0,0,IFERROR(ROUNDUP(F3724/INDEX(FILTER('warehouse config'!$D:$D,('warehouse config'!$B:$B=C3724)*('warehouse config'!$C:$C=D3724)*('warehouse config'!$G:$G&lt;=B3724)*(('warehouse config'!$H:$H&gt;=B3724)+ISBLANK('warehouse config'!$H:$H))),1)),0))"),0.0)</f>
        <v>0</v>
      </c>
      <c r="H3724" s="3">
        <f>IFERROR(__xludf.DUMMYFUNCTION("IFERROR(INDEX(FILTER('cost master'!$E:$E,('cost master'!$B:$B=C3724)*('cost master'!$D:$D=""Storage cost per pallet / week"")*('cost master'!$G:$G&lt;=B3724)*(('cost master'!$H:$H&gt;=B3724)+ISBLANK('cost master'!$H:$H))),1),0)"),0.0)</f>
        <v>0</v>
      </c>
      <c r="I3724" s="3">
        <f t="shared" si="4"/>
        <v>0</v>
      </c>
      <c r="J3724" s="27">
        <f t="shared" si="5"/>
        <v>693947</v>
      </c>
      <c r="K3724" s="27">
        <f t="shared" si="6"/>
        <v>693977</v>
      </c>
    </row>
    <row r="3725" hidden="1">
      <c r="A3725" s="3" t="str">
        <f t="shared" si="3"/>
        <v/>
      </c>
      <c r="B3725" s="2" t="str">
        <f t="array" ref="B3725">INDEX(helper!$A$3:$A3996,ROUNDUP((ROW()-1)/COUNTA(helper!$D$3:$D3996),0))</f>
        <v/>
      </c>
      <c r="C3725" s="5" t="str">
        <f t="array" ref="C3725">IF(B3725="","",INDEX(helper!$D$3:$D3996,MOD(ROW()-2,COUNTA(helper!$D$3:$D3996))+1))</f>
        <v/>
      </c>
      <c r="D3725" s="3" t="str">
        <f t="array" ref="D3725">IF(B3725="","",INDEX(helper!$E$3:$E3996,MOD(ROW()-2,COUNTA(helper!$D$3:$D3996))+1))</f>
        <v/>
      </c>
      <c r="E3725" s="3" t="str">
        <f t="array" ref="E3725">IF(B3725="","",INDEX(helper!$F$3:$F3996,MOD(ROW()-2,COUNTA(helper!$D$3:$D3996))+1))</f>
        <v/>
      </c>
      <c r="F3725" s="3" t="str">
        <f>IF(B3725="","",SUMIFS('inventory ledger'!$H:$H,'inventory ledger'!$C:$C,C3725,'inventory ledger'!$D:$D,D3725,'inventory ledger'!$E:$E,E3725,'inventory ledger'!$A:$A,"&lt;="&amp;B3725+TIME(23,59,59))-SUMIFS('inventory ledger'!$I:$I,'inventory ledger'!$C:$C,C3725,'inventory ledger'!$D:$D,D3725,'inventory ledger'!$E:$E,E3725,'inventory ledger'!$A:$A,"&lt;="&amp;B3725+TIME(23,59,59)))</f>
        <v/>
      </c>
      <c r="G3725" s="3">
        <f>IFERROR(__xludf.DUMMYFUNCTION("IF(F3725&lt;=0,0,IFERROR(ROUNDUP(F3725/INDEX(FILTER('warehouse config'!$D:$D,('warehouse config'!$B:$B=C3725)*('warehouse config'!$C:$C=D3725)*('warehouse config'!$G:$G&lt;=B3725)*(('warehouse config'!$H:$H&gt;=B3725)+ISBLANK('warehouse config'!$H:$H))),1)),0))"),0.0)</f>
        <v>0</v>
      </c>
      <c r="H3725" s="3">
        <f>IFERROR(__xludf.DUMMYFUNCTION("IFERROR(INDEX(FILTER('cost master'!$E:$E,('cost master'!$B:$B=C3725)*('cost master'!$D:$D=""Storage cost per pallet / week"")*('cost master'!$G:$G&lt;=B3725)*(('cost master'!$H:$H&gt;=B3725)+ISBLANK('cost master'!$H:$H))),1),0)"),0.0)</f>
        <v>0</v>
      </c>
      <c r="I3725" s="3">
        <f t="shared" si="4"/>
        <v>0</v>
      </c>
      <c r="J3725" s="27">
        <f t="shared" si="5"/>
        <v>693947</v>
      </c>
      <c r="K3725" s="27">
        <f t="shared" si="6"/>
        <v>693977</v>
      </c>
    </row>
    <row r="3726" hidden="1">
      <c r="A3726" s="3" t="str">
        <f t="shared" si="3"/>
        <v/>
      </c>
      <c r="B3726" s="2" t="str">
        <f t="array" ref="B3726">INDEX(helper!$A$3:$A3996,ROUNDUP((ROW()-1)/COUNTA(helper!$D$3:$D3996),0))</f>
        <v/>
      </c>
      <c r="C3726" s="5" t="str">
        <f t="array" ref="C3726">IF(B3726="","",INDEX(helper!$D$3:$D3996,MOD(ROW()-2,COUNTA(helper!$D$3:$D3996))+1))</f>
        <v/>
      </c>
      <c r="D3726" s="3" t="str">
        <f t="array" ref="D3726">IF(B3726="","",INDEX(helper!$E$3:$E3996,MOD(ROW()-2,COUNTA(helper!$D$3:$D3996))+1))</f>
        <v/>
      </c>
      <c r="E3726" s="3" t="str">
        <f t="array" ref="E3726">IF(B3726="","",INDEX(helper!$F$3:$F3996,MOD(ROW()-2,COUNTA(helper!$D$3:$D3996))+1))</f>
        <v/>
      </c>
      <c r="F3726" s="3" t="str">
        <f>IF(B3726="","",SUMIFS('inventory ledger'!$H:$H,'inventory ledger'!$C:$C,C3726,'inventory ledger'!$D:$D,D3726,'inventory ledger'!$E:$E,E3726,'inventory ledger'!$A:$A,"&lt;="&amp;B3726+TIME(23,59,59))-SUMIFS('inventory ledger'!$I:$I,'inventory ledger'!$C:$C,C3726,'inventory ledger'!$D:$D,D3726,'inventory ledger'!$E:$E,E3726,'inventory ledger'!$A:$A,"&lt;="&amp;B3726+TIME(23,59,59)))</f>
        <v/>
      </c>
      <c r="G3726" s="3">
        <f>IFERROR(__xludf.DUMMYFUNCTION("IF(F3726&lt;=0,0,IFERROR(ROUNDUP(F3726/INDEX(FILTER('warehouse config'!$D:$D,('warehouse config'!$B:$B=C3726)*('warehouse config'!$C:$C=D3726)*('warehouse config'!$G:$G&lt;=B3726)*(('warehouse config'!$H:$H&gt;=B3726)+ISBLANK('warehouse config'!$H:$H))),1)),0))"),0.0)</f>
        <v>0</v>
      </c>
      <c r="H3726" s="3">
        <f>IFERROR(__xludf.DUMMYFUNCTION("IFERROR(INDEX(FILTER('cost master'!$E:$E,('cost master'!$B:$B=C3726)*('cost master'!$D:$D=""Storage cost per pallet / week"")*('cost master'!$G:$G&lt;=B3726)*(('cost master'!$H:$H&gt;=B3726)+ISBLANK('cost master'!$H:$H))),1),0)"),0.0)</f>
        <v>0</v>
      </c>
      <c r="I3726" s="3">
        <f t="shared" si="4"/>
        <v>0</v>
      </c>
      <c r="J3726" s="27">
        <f t="shared" si="5"/>
        <v>693947</v>
      </c>
      <c r="K3726" s="27">
        <f t="shared" si="6"/>
        <v>693977</v>
      </c>
    </row>
    <row r="3727" hidden="1">
      <c r="A3727" s="3" t="str">
        <f t="shared" si="3"/>
        <v/>
      </c>
      <c r="B3727" s="2" t="str">
        <f t="array" ref="B3727">INDEX(helper!$A$3:$A3996,ROUNDUP((ROW()-1)/COUNTA(helper!$D$3:$D3996),0))</f>
        <v/>
      </c>
      <c r="C3727" s="5" t="str">
        <f t="array" ref="C3727">IF(B3727="","",INDEX(helper!$D$3:$D3996,MOD(ROW()-2,COUNTA(helper!$D$3:$D3996))+1))</f>
        <v/>
      </c>
      <c r="D3727" s="3" t="str">
        <f t="array" ref="D3727">IF(B3727="","",INDEX(helper!$E$3:$E3996,MOD(ROW()-2,COUNTA(helper!$D$3:$D3996))+1))</f>
        <v/>
      </c>
      <c r="E3727" s="3" t="str">
        <f t="array" ref="E3727">IF(B3727="","",INDEX(helper!$F$3:$F3996,MOD(ROW()-2,COUNTA(helper!$D$3:$D3996))+1))</f>
        <v/>
      </c>
      <c r="F3727" s="3" t="str">
        <f>IF(B3727="","",SUMIFS('inventory ledger'!$H:$H,'inventory ledger'!$C:$C,C3727,'inventory ledger'!$D:$D,D3727,'inventory ledger'!$E:$E,E3727,'inventory ledger'!$A:$A,"&lt;="&amp;B3727+TIME(23,59,59))-SUMIFS('inventory ledger'!$I:$I,'inventory ledger'!$C:$C,C3727,'inventory ledger'!$D:$D,D3727,'inventory ledger'!$E:$E,E3727,'inventory ledger'!$A:$A,"&lt;="&amp;B3727+TIME(23,59,59)))</f>
        <v/>
      </c>
      <c r="G3727" s="3">
        <f>IFERROR(__xludf.DUMMYFUNCTION("IF(F3727&lt;=0,0,IFERROR(ROUNDUP(F3727/INDEX(FILTER('warehouse config'!$D:$D,('warehouse config'!$B:$B=C3727)*('warehouse config'!$C:$C=D3727)*('warehouse config'!$G:$G&lt;=B3727)*(('warehouse config'!$H:$H&gt;=B3727)+ISBLANK('warehouse config'!$H:$H))),1)),0))"),0.0)</f>
        <v>0</v>
      </c>
      <c r="H3727" s="3">
        <f>IFERROR(__xludf.DUMMYFUNCTION("IFERROR(INDEX(FILTER('cost master'!$E:$E,('cost master'!$B:$B=C3727)*('cost master'!$D:$D=""Storage cost per pallet / week"")*('cost master'!$G:$G&lt;=B3727)*(('cost master'!$H:$H&gt;=B3727)+ISBLANK('cost master'!$H:$H))),1),0)"),0.0)</f>
        <v>0</v>
      </c>
      <c r="I3727" s="3">
        <f t="shared" si="4"/>
        <v>0</v>
      </c>
      <c r="J3727" s="27">
        <f t="shared" si="5"/>
        <v>693947</v>
      </c>
      <c r="K3727" s="27">
        <f t="shared" si="6"/>
        <v>693977</v>
      </c>
    </row>
    <row r="3728" hidden="1">
      <c r="A3728" s="3" t="str">
        <f t="shared" si="3"/>
        <v/>
      </c>
      <c r="B3728" s="2" t="str">
        <f t="array" ref="B3728">INDEX(helper!$A$3:$A3996,ROUNDUP((ROW()-1)/COUNTA(helper!$D$3:$D3996),0))</f>
        <v/>
      </c>
      <c r="C3728" s="5" t="str">
        <f t="array" ref="C3728">IF(B3728="","",INDEX(helper!$D$3:$D3996,MOD(ROW()-2,COUNTA(helper!$D$3:$D3996))+1))</f>
        <v/>
      </c>
      <c r="D3728" s="3" t="str">
        <f t="array" ref="D3728">IF(B3728="","",INDEX(helper!$E$3:$E3996,MOD(ROW()-2,COUNTA(helper!$D$3:$D3996))+1))</f>
        <v/>
      </c>
      <c r="E3728" s="3" t="str">
        <f t="array" ref="E3728">IF(B3728="","",INDEX(helper!$F$3:$F3996,MOD(ROW()-2,COUNTA(helper!$D$3:$D3996))+1))</f>
        <v/>
      </c>
      <c r="F3728" s="3" t="str">
        <f>IF(B3728="","",SUMIFS('inventory ledger'!$H:$H,'inventory ledger'!$C:$C,C3728,'inventory ledger'!$D:$D,D3728,'inventory ledger'!$E:$E,E3728,'inventory ledger'!$A:$A,"&lt;="&amp;B3728+TIME(23,59,59))-SUMIFS('inventory ledger'!$I:$I,'inventory ledger'!$C:$C,C3728,'inventory ledger'!$D:$D,D3728,'inventory ledger'!$E:$E,E3728,'inventory ledger'!$A:$A,"&lt;="&amp;B3728+TIME(23,59,59)))</f>
        <v/>
      </c>
      <c r="G3728" s="3">
        <f>IFERROR(__xludf.DUMMYFUNCTION("IF(F3728&lt;=0,0,IFERROR(ROUNDUP(F3728/INDEX(FILTER('warehouse config'!$D:$D,('warehouse config'!$B:$B=C3728)*('warehouse config'!$C:$C=D3728)*('warehouse config'!$G:$G&lt;=B3728)*(('warehouse config'!$H:$H&gt;=B3728)+ISBLANK('warehouse config'!$H:$H))),1)),0))"),0.0)</f>
        <v>0</v>
      </c>
      <c r="H3728" s="3">
        <f>IFERROR(__xludf.DUMMYFUNCTION("IFERROR(INDEX(FILTER('cost master'!$E:$E,('cost master'!$B:$B=C3728)*('cost master'!$D:$D=""Storage cost per pallet / week"")*('cost master'!$G:$G&lt;=B3728)*(('cost master'!$H:$H&gt;=B3728)+ISBLANK('cost master'!$H:$H))),1),0)"),0.0)</f>
        <v>0</v>
      </c>
      <c r="I3728" s="3">
        <f t="shared" si="4"/>
        <v>0</v>
      </c>
      <c r="J3728" s="27">
        <f t="shared" si="5"/>
        <v>693947</v>
      </c>
      <c r="K3728" s="27">
        <f t="shared" si="6"/>
        <v>693977</v>
      </c>
    </row>
    <row r="3729" hidden="1">
      <c r="A3729" s="3" t="str">
        <f t="shared" si="3"/>
        <v/>
      </c>
      <c r="B3729" s="2" t="str">
        <f t="array" ref="B3729">INDEX(helper!$A$3:$A3996,ROUNDUP((ROW()-1)/COUNTA(helper!$D$3:$D3996),0))</f>
        <v/>
      </c>
      <c r="C3729" s="5" t="str">
        <f t="array" ref="C3729">IF(B3729="","",INDEX(helper!$D$3:$D3996,MOD(ROW()-2,COUNTA(helper!$D$3:$D3996))+1))</f>
        <v/>
      </c>
      <c r="D3729" s="3" t="str">
        <f t="array" ref="D3729">IF(B3729="","",INDEX(helper!$E$3:$E3996,MOD(ROW()-2,COUNTA(helper!$D$3:$D3996))+1))</f>
        <v/>
      </c>
      <c r="E3729" s="3" t="str">
        <f t="array" ref="E3729">IF(B3729="","",INDEX(helper!$F$3:$F3996,MOD(ROW()-2,COUNTA(helper!$D$3:$D3996))+1))</f>
        <v/>
      </c>
      <c r="F3729" s="3" t="str">
        <f>IF(B3729="","",SUMIFS('inventory ledger'!$H:$H,'inventory ledger'!$C:$C,C3729,'inventory ledger'!$D:$D,D3729,'inventory ledger'!$E:$E,E3729,'inventory ledger'!$A:$A,"&lt;="&amp;B3729+TIME(23,59,59))-SUMIFS('inventory ledger'!$I:$I,'inventory ledger'!$C:$C,C3729,'inventory ledger'!$D:$D,D3729,'inventory ledger'!$E:$E,E3729,'inventory ledger'!$A:$A,"&lt;="&amp;B3729+TIME(23,59,59)))</f>
        <v/>
      </c>
      <c r="G3729" s="3">
        <f>IFERROR(__xludf.DUMMYFUNCTION("IF(F3729&lt;=0,0,IFERROR(ROUNDUP(F3729/INDEX(FILTER('warehouse config'!$D:$D,('warehouse config'!$B:$B=C3729)*('warehouse config'!$C:$C=D3729)*('warehouse config'!$G:$G&lt;=B3729)*(('warehouse config'!$H:$H&gt;=B3729)+ISBLANK('warehouse config'!$H:$H))),1)),0))"),0.0)</f>
        <v>0</v>
      </c>
      <c r="H3729" s="3">
        <f>IFERROR(__xludf.DUMMYFUNCTION("IFERROR(INDEX(FILTER('cost master'!$E:$E,('cost master'!$B:$B=C3729)*('cost master'!$D:$D=""Storage cost per pallet / week"")*('cost master'!$G:$G&lt;=B3729)*(('cost master'!$H:$H&gt;=B3729)+ISBLANK('cost master'!$H:$H))),1),0)"),0.0)</f>
        <v>0</v>
      </c>
      <c r="I3729" s="3">
        <f t="shared" si="4"/>
        <v>0</v>
      </c>
      <c r="J3729" s="27">
        <f t="shared" si="5"/>
        <v>693947</v>
      </c>
      <c r="K3729" s="27">
        <f t="shared" si="6"/>
        <v>693977</v>
      </c>
    </row>
    <row r="3730" hidden="1">
      <c r="A3730" s="3" t="str">
        <f t="shared" si="3"/>
        <v/>
      </c>
      <c r="B3730" s="2" t="str">
        <f t="array" ref="B3730">INDEX(helper!$A$3:$A3996,ROUNDUP((ROW()-1)/COUNTA(helper!$D$3:$D3996),0))</f>
        <v/>
      </c>
      <c r="C3730" s="5" t="str">
        <f t="array" ref="C3730">IF(B3730="","",INDEX(helper!$D$3:$D3996,MOD(ROW()-2,COUNTA(helper!$D$3:$D3996))+1))</f>
        <v/>
      </c>
      <c r="D3730" s="3" t="str">
        <f t="array" ref="D3730">IF(B3730="","",INDEX(helper!$E$3:$E3996,MOD(ROW()-2,COUNTA(helper!$D$3:$D3996))+1))</f>
        <v/>
      </c>
      <c r="E3730" s="3" t="str">
        <f t="array" ref="E3730">IF(B3730="","",INDEX(helper!$F$3:$F3996,MOD(ROW()-2,COUNTA(helper!$D$3:$D3996))+1))</f>
        <v/>
      </c>
      <c r="F3730" s="3" t="str">
        <f>IF(B3730="","",SUMIFS('inventory ledger'!$H:$H,'inventory ledger'!$C:$C,C3730,'inventory ledger'!$D:$D,D3730,'inventory ledger'!$E:$E,E3730,'inventory ledger'!$A:$A,"&lt;="&amp;B3730+TIME(23,59,59))-SUMIFS('inventory ledger'!$I:$I,'inventory ledger'!$C:$C,C3730,'inventory ledger'!$D:$D,D3730,'inventory ledger'!$E:$E,E3730,'inventory ledger'!$A:$A,"&lt;="&amp;B3730+TIME(23,59,59)))</f>
        <v/>
      </c>
      <c r="G3730" s="3">
        <f>IFERROR(__xludf.DUMMYFUNCTION("IF(F3730&lt;=0,0,IFERROR(ROUNDUP(F3730/INDEX(FILTER('warehouse config'!$D:$D,('warehouse config'!$B:$B=C3730)*('warehouse config'!$C:$C=D3730)*('warehouse config'!$G:$G&lt;=B3730)*(('warehouse config'!$H:$H&gt;=B3730)+ISBLANK('warehouse config'!$H:$H))),1)),0))"),0.0)</f>
        <v>0</v>
      </c>
      <c r="H3730" s="3">
        <f>IFERROR(__xludf.DUMMYFUNCTION("IFERROR(INDEX(FILTER('cost master'!$E:$E,('cost master'!$B:$B=C3730)*('cost master'!$D:$D=""Storage cost per pallet / week"")*('cost master'!$G:$G&lt;=B3730)*(('cost master'!$H:$H&gt;=B3730)+ISBLANK('cost master'!$H:$H))),1),0)"),0.0)</f>
        <v>0</v>
      </c>
      <c r="I3730" s="3">
        <f t="shared" si="4"/>
        <v>0</v>
      </c>
      <c r="J3730" s="27">
        <f t="shared" si="5"/>
        <v>693947</v>
      </c>
      <c r="K3730" s="27">
        <f t="shared" si="6"/>
        <v>693977</v>
      </c>
    </row>
    <row r="3731" hidden="1">
      <c r="A3731" s="3" t="str">
        <f t="shared" si="3"/>
        <v/>
      </c>
      <c r="B3731" s="2" t="str">
        <f t="array" ref="B3731">INDEX(helper!$A$3:$A3996,ROUNDUP((ROW()-1)/COUNTA(helper!$D$3:$D3996),0))</f>
        <v/>
      </c>
      <c r="C3731" s="5" t="str">
        <f t="array" ref="C3731">IF(B3731="","",INDEX(helper!$D$3:$D3996,MOD(ROW()-2,COUNTA(helper!$D$3:$D3996))+1))</f>
        <v/>
      </c>
      <c r="D3731" s="3" t="str">
        <f t="array" ref="D3731">IF(B3731="","",INDEX(helper!$E$3:$E3996,MOD(ROW()-2,COUNTA(helper!$D$3:$D3996))+1))</f>
        <v/>
      </c>
      <c r="E3731" s="3" t="str">
        <f t="array" ref="E3731">IF(B3731="","",INDEX(helper!$F$3:$F3996,MOD(ROW()-2,COUNTA(helper!$D$3:$D3996))+1))</f>
        <v/>
      </c>
      <c r="F3731" s="3" t="str">
        <f>IF(B3731="","",SUMIFS('inventory ledger'!$H:$H,'inventory ledger'!$C:$C,C3731,'inventory ledger'!$D:$D,D3731,'inventory ledger'!$E:$E,E3731,'inventory ledger'!$A:$A,"&lt;="&amp;B3731+TIME(23,59,59))-SUMIFS('inventory ledger'!$I:$I,'inventory ledger'!$C:$C,C3731,'inventory ledger'!$D:$D,D3731,'inventory ledger'!$E:$E,E3731,'inventory ledger'!$A:$A,"&lt;="&amp;B3731+TIME(23,59,59)))</f>
        <v/>
      </c>
      <c r="G3731" s="3">
        <f>IFERROR(__xludf.DUMMYFUNCTION("IF(F3731&lt;=0,0,IFERROR(ROUNDUP(F3731/INDEX(FILTER('warehouse config'!$D:$D,('warehouse config'!$B:$B=C3731)*('warehouse config'!$C:$C=D3731)*('warehouse config'!$G:$G&lt;=B3731)*(('warehouse config'!$H:$H&gt;=B3731)+ISBLANK('warehouse config'!$H:$H))),1)),0))"),0.0)</f>
        <v>0</v>
      </c>
      <c r="H3731" s="3">
        <f>IFERROR(__xludf.DUMMYFUNCTION("IFERROR(INDEX(FILTER('cost master'!$E:$E,('cost master'!$B:$B=C3731)*('cost master'!$D:$D=""Storage cost per pallet / week"")*('cost master'!$G:$G&lt;=B3731)*(('cost master'!$H:$H&gt;=B3731)+ISBLANK('cost master'!$H:$H))),1),0)"),0.0)</f>
        <v>0</v>
      </c>
      <c r="I3731" s="3">
        <f t="shared" si="4"/>
        <v>0</v>
      </c>
      <c r="J3731" s="27">
        <f t="shared" si="5"/>
        <v>693947</v>
      </c>
      <c r="K3731" s="27">
        <f t="shared" si="6"/>
        <v>693977</v>
      </c>
    </row>
    <row r="3732" hidden="1">
      <c r="A3732" s="3" t="str">
        <f t="shared" si="3"/>
        <v/>
      </c>
      <c r="B3732" s="2" t="str">
        <f t="array" ref="B3732">INDEX(helper!$A$3:$A3996,ROUNDUP((ROW()-1)/COUNTA(helper!$D$3:$D3996),0))</f>
        <v/>
      </c>
      <c r="C3732" s="5" t="str">
        <f t="array" ref="C3732">IF(B3732="","",INDEX(helper!$D$3:$D3996,MOD(ROW()-2,COUNTA(helper!$D$3:$D3996))+1))</f>
        <v/>
      </c>
      <c r="D3732" s="3" t="str">
        <f t="array" ref="D3732">IF(B3732="","",INDEX(helper!$E$3:$E3996,MOD(ROW()-2,COUNTA(helper!$D$3:$D3996))+1))</f>
        <v/>
      </c>
      <c r="E3732" s="3" t="str">
        <f t="array" ref="E3732">IF(B3732="","",INDEX(helper!$F$3:$F3996,MOD(ROW()-2,COUNTA(helper!$D$3:$D3996))+1))</f>
        <v/>
      </c>
      <c r="F3732" s="3" t="str">
        <f>IF(B3732="","",SUMIFS('inventory ledger'!$H:$H,'inventory ledger'!$C:$C,C3732,'inventory ledger'!$D:$D,D3732,'inventory ledger'!$E:$E,E3732,'inventory ledger'!$A:$A,"&lt;="&amp;B3732+TIME(23,59,59))-SUMIFS('inventory ledger'!$I:$I,'inventory ledger'!$C:$C,C3732,'inventory ledger'!$D:$D,D3732,'inventory ledger'!$E:$E,E3732,'inventory ledger'!$A:$A,"&lt;="&amp;B3732+TIME(23,59,59)))</f>
        <v/>
      </c>
      <c r="G3732" s="3">
        <f>IFERROR(__xludf.DUMMYFUNCTION("IF(F3732&lt;=0,0,IFERROR(ROUNDUP(F3732/INDEX(FILTER('warehouse config'!$D:$D,('warehouse config'!$B:$B=C3732)*('warehouse config'!$C:$C=D3732)*('warehouse config'!$G:$G&lt;=B3732)*(('warehouse config'!$H:$H&gt;=B3732)+ISBLANK('warehouse config'!$H:$H))),1)),0))"),0.0)</f>
        <v>0</v>
      </c>
      <c r="H3732" s="3">
        <f>IFERROR(__xludf.DUMMYFUNCTION("IFERROR(INDEX(FILTER('cost master'!$E:$E,('cost master'!$B:$B=C3732)*('cost master'!$D:$D=""Storage cost per pallet / week"")*('cost master'!$G:$G&lt;=B3732)*(('cost master'!$H:$H&gt;=B3732)+ISBLANK('cost master'!$H:$H))),1),0)"),0.0)</f>
        <v>0</v>
      </c>
      <c r="I3732" s="3">
        <f t="shared" si="4"/>
        <v>0</v>
      </c>
      <c r="J3732" s="27">
        <f t="shared" si="5"/>
        <v>693947</v>
      </c>
      <c r="K3732" s="27">
        <f t="shared" si="6"/>
        <v>693977</v>
      </c>
    </row>
    <row r="3733" hidden="1">
      <c r="A3733" s="3" t="str">
        <f t="shared" si="3"/>
        <v/>
      </c>
      <c r="B3733" s="2" t="str">
        <f t="array" ref="B3733">INDEX(helper!$A$3:$A3996,ROUNDUP((ROW()-1)/COUNTA(helper!$D$3:$D3996),0))</f>
        <v/>
      </c>
      <c r="C3733" s="5" t="str">
        <f t="array" ref="C3733">IF(B3733="","",INDEX(helper!$D$3:$D3996,MOD(ROW()-2,COUNTA(helper!$D$3:$D3996))+1))</f>
        <v/>
      </c>
      <c r="D3733" s="3" t="str">
        <f t="array" ref="D3733">IF(B3733="","",INDEX(helper!$E$3:$E3996,MOD(ROW()-2,COUNTA(helper!$D$3:$D3996))+1))</f>
        <v/>
      </c>
      <c r="E3733" s="3" t="str">
        <f t="array" ref="E3733">IF(B3733="","",INDEX(helper!$F$3:$F3996,MOD(ROW()-2,COUNTA(helper!$D$3:$D3996))+1))</f>
        <v/>
      </c>
      <c r="F3733" s="3" t="str">
        <f>IF(B3733="","",SUMIFS('inventory ledger'!$H:$H,'inventory ledger'!$C:$C,C3733,'inventory ledger'!$D:$D,D3733,'inventory ledger'!$E:$E,E3733,'inventory ledger'!$A:$A,"&lt;="&amp;B3733+TIME(23,59,59))-SUMIFS('inventory ledger'!$I:$I,'inventory ledger'!$C:$C,C3733,'inventory ledger'!$D:$D,D3733,'inventory ledger'!$E:$E,E3733,'inventory ledger'!$A:$A,"&lt;="&amp;B3733+TIME(23,59,59)))</f>
        <v/>
      </c>
      <c r="G3733" s="3">
        <f>IFERROR(__xludf.DUMMYFUNCTION("IF(F3733&lt;=0,0,IFERROR(ROUNDUP(F3733/INDEX(FILTER('warehouse config'!$D:$D,('warehouse config'!$B:$B=C3733)*('warehouse config'!$C:$C=D3733)*('warehouse config'!$G:$G&lt;=B3733)*(('warehouse config'!$H:$H&gt;=B3733)+ISBLANK('warehouse config'!$H:$H))),1)),0))"),0.0)</f>
        <v>0</v>
      </c>
      <c r="H3733" s="3">
        <f>IFERROR(__xludf.DUMMYFUNCTION("IFERROR(INDEX(FILTER('cost master'!$E:$E,('cost master'!$B:$B=C3733)*('cost master'!$D:$D=""Storage cost per pallet / week"")*('cost master'!$G:$G&lt;=B3733)*(('cost master'!$H:$H&gt;=B3733)+ISBLANK('cost master'!$H:$H))),1),0)"),0.0)</f>
        <v>0</v>
      </c>
      <c r="I3733" s="3">
        <f t="shared" si="4"/>
        <v>0</v>
      </c>
      <c r="J3733" s="27">
        <f t="shared" si="5"/>
        <v>693947</v>
      </c>
      <c r="K3733" s="27">
        <f t="shared" si="6"/>
        <v>693977</v>
      </c>
    </row>
    <row r="3734" hidden="1">
      <c r="A3734" s="3" t="str">
        <f t="shared" si="3"/>
        <v/>
      </c>
      <c r="B3734" s="2" t="str">
        <f t="array" ref="B3734">INDEX(helper!$A$3:$A3996,ROUNDUP((ROW()-1)/COUNTA(helper!$D$3:$D3996),0))</f>
        <v/>
      </c>
      <c r="C3734" s="5" t="str">
        <f t="array" ref="C3734">IF(B3734="","",INDEX(helper!$D$3:$D3996,MOD(ROW()-2,COUNTA(helper!$D$3:$D3996))+1))</f>
        <v/>
      </c>
      <c r="D3734" s="3" t="str">
        <f t="array" ref="D3734">IF(B3734="","",INDEX(helper!$E$3:$E3996,MOD(ROW()-2,COUNTA(helper!$D$3:$D3996))+1))</f>
        <v/>
      </c>
      <c r="E3734" s="3" t="str">
        <f t="array" ref="E3734">IF(B3734="","",INDEX(helper!$F$3:$F3996,MOD(ROW()-2,COUNTA(helper!$D$3:$D3996))+1))</f>
        <v/>
      </c>
      <c r="F3734" s="3" t="str">
        <f>IF(B3734="","",SUMIFS('inventory ledger'!$H:$H,'inventory ledger'!$C:$C,C3734,'inventory ledger'!$D:$D,D3734,'inventory ledger'!$E:$E,E3734,'inventory ledger'!$A:$A,"&lt;="&amp;B3734+TIME(23,59,59))-SUMIFS('inventory ledger'!$I:$I,'inventory ledger'!$C:$C,C3734,'inventory ledger'!$D:$D,D3734,'inventory ledger'!$E:$E,E3734,'inventory ledger'!$A:$A,"&lt;="&amp;B3734+TIME(23,59,59)))</f>
        <v/>
      </c>
      <c r="G3734" s="3">
        <f>IFERROR(__xludf.DUMMYFUNCTION("IF(F3734&lt;=0,0,IFERROR(ROUNDUP(F3734/INDEX(FILTER('warehouse config'!$D:$D,('warehouse config'!$B:$B=C3734)*('warehouse config'!$C:$C=D3734)*('warehouse config'!$G:$G&lt;=B3734)*(('warehouse config'!$H:$H&gt;=B3734)+ISBLANK('warehouse config'!$H:$H))),1)),0))"),0.0)</f>
        <v>0</v>
      </c>
      <c r="H3734" s="3">
        <f>IFERROR(__xludf.DUMMYFUNCTION("IFERROR(INDEX(FILTER('cost master'!$E:$E,('cost master'!$B:$B=C3734)*('cost master'!$D:$D=""Storage cost per pallet / week"")*('cost master'!$G:$G&lt;=B3734)*(('cost master'!$H:$H&gt;=B3734)+ISBLANK('cost master'!$H:$H))),1),0)"),0.0)</f>
        <v>0</v>
      </c>
      <c r="I3734" s="3">
        <f t="shared" si="4"/>
        <v>0</v>
      </c>
      <c r="J3734" s="27">
        <f t="shared" si="5"/>
        <v>693947</v>
      </c>
      <c r="K3734" s="27">
        <f t="shared" si="6"/>
        <v>693977</v>
      </c>
    </row>
    <row r="3735" hidden="1">
      <c r="A3735" s="3" t="str">
        <f t="shared" si="3"/>
        <v/>
      </c>
      <c r="B3735" s="2" t="str">
        <f t="array" ref="B3735">INDEX(helper!$A$3:$A3996,ROUNDUP((ROW()-1)/COUNTA(helper!$D$3:$D3996),0))</f>
        <v/>
      </c>
      <c r="C3735" s="5" t="str">
        <f t="array" ref="C3735">IF(B3735="","",INDEX(helper!$D$3:$D3996,MOD(ROW()-2,COUNTA(helper!$D$3:$D3996))+1))</f>
        <v/>
      </c>
      <c r="D3735" s="3" t="str">
        <f t="array" ref="D3735">IF(B3735="","",INDEX(helper!$E$3:$E3996,MOD(ROW()-2,COUNTA(helper!$D$3:$D3996))+1))</f>
        <v/>
      </c>
      <c r="E3735" s="3" t="str">
        <f t="array" ref="E3735">IF(B3735="","",INDEX(helper!$F$3:$F3996,MOD(ROW()-2,COUNTA(helper!$D$3:$D3996))+1))</f>
        <v/>
      </c>
      <c r="F3735" s="3" t="str">
        <f>IF(B3735="","",SUMIFS('inventory ledger'!$H:$H,'inventory ledger'!$C:$C,C3735,'inventory ledger'!$D:$D,D3735,'inventory ledger'!$E:$E,E3735,'inventory ledger'!$A:$A,"&lt;="&amp;B3735+TIME(23,59,59))-SUMIFS('inventory ledger'!$I:$I,'inventory ledger'!$C:$C,C3735,'inventory ledger'!$D:$D,D3735,'inventory ledger'!$E:$E,E3735,'inventory ledger'!$A:$A,"&lt;="&amp;B3735+TIME(23,59,59)))</f>
        <v/>
      </c>
      <c r="G3735" s="3">
        <f>IFERROR(__xludf.DUMMYFUNCTION("IF(F3735&lt;=0,0,IFERROR(ROUNDUP(F3735/INDEX(FILTER('warehouse config'!$D:$D,('warehouse config'!$B:$B=C3735)*('warehouse config'!$C:$C=D3735)*('warehouse config'!$G:$G&lt;=B3735)*(('warehouse config'!$H:$H&gt;=B3735)+ISBLANK('warehouse config'!$H:$H))),1)),0))"),0.0)</f>
        <v>0</v>
      </c>
      <c r="H3735" s="3">
        <f>IFERROR(__xludf.DUMMYFUNCTION("IFERROR(INDEX(FILTER('cost master'!$E:$E,('cost master'!$B:$B=C3735)*('cost master'!$D:$D=""Storage cost per pallet / week"")*('cost master'!$G:$G&lt;=B3735)*(('cost master'!$H:$H&gt;=B3735)+ISBLANK('cost master'!$H:$H))),1),0)"),0.0)</f>
        <v>0</v>
      </c>
      <c r="I3735" s="3">
        <f t="shared" si="4"/>
        <v>0</v>
      </c>
      <c r="J3735" s="27">
        <f t="shared" si="5"/>
        <v>693947</v>
      </c>
      <c r="K3735" s="27">
        <f t="shared" si="6"/>
        <v>693977</v>
      </c>
    </row>
    <row r="3736" hidden="1">
      <c r="A3736" s="3" t="str">
        <f t="shared" si="3"/>
        <v/>
      </c>
      <c r="B3736" s="2" t="str">
        <f t="array" ref="B3736">INDEX(helper!$A$3:$A3996,ROUNDUP((ROW()-1)/COUNTA(helper!$D$3:$D3996),0))</f>
        <v/>
      </c>
      <c r="C3736" s="5" t="str">
        <f t="array" ref="C3736">IF(B3736="","",INDEX(helper!$D$3:$D3996,MOD(ROW()-2,COUNTA(helper!$D$3:$D3996))+1))</f>
        <v/>
      </c>
      <c r="D3736" s="3" t="str">
        <f t="array" ref="D3736">IF(B3736="","",INDEX(helper!$E$3:$E3996,MOD(ROW()-2,COUNTA(helper!$D$3:$D3996))+1))</f>
        <v/>
      </c>
      <c r="E3736" s="3" t="str">
        <f t="array" ref="E3736">IF(B3736="","",INDEX(helper!$F$3:$F3996,MOD(ROW()-2,COUNTA(helper!$D$3:$D3996))+1))</f>
        <v/>
      </c>
      <c r="F3736" s="3" t="str">
        <f>IF(B3736="","",SUMIFS('inventory ledger'!$H:$H,'inventory ledger'!$C:$C,C3736,'inventory ledger'!$D:$D,D3736,'inventory ledger'!$E:$E,E3736,'inventory ledger'!$A:$A,"&lt;="&amp;B3736+TIME(23,59,59))-SUMIFS('inventory ledger'!$I:$I,'inventory ledger'!$C:$C,C3736,'inventory ledger'!$D:$D,D3736,'inventory ledger'!$E:$E,E3736,'inventory ledger'!$A:$A,"&lt;="&amp;B3736+TIME(23,59,59)))</f>
        <v/>
      </c>
      <c r="G3736" s="3">
        <f>IFERROR(__xludf.DUMMYFUNCTION("IF(F3736&lt;=0,0,IFERROR(ROUNDUP(F3736/INDEX(FILTER('warehouse config'!$D:$D,('warehouse config'!$B:$B=C3736)*('warehouse config'!$C:$C=D3736)*('warehouse config'!$G:$G&lt;=B3736)*(('warehouse config'!$H:$H&gt;=B3736)+ISBLANK('warehouse config'!$H:$H))),1)),0))"),0.0)</f>
        <v>0</v>
      </c>
      <c r="H3736" s="3">
        <f>IFERROR(__xludf.DUMMYFUNCTION("IFERROR(INDEX(FILTER('cost master'!$E:$E,('cost master'!$B:$B=C3736)*('cost master'!$D:$D=""Storage cost per pallet / week"")*('cost master'!$G:$G&lt;=B3736)*(('cost master'!$H:$H&gt;=B3736)+ISBLANK('cost master'!$H:$H))),1),0)"),0.0)</f>
        <v>0</v>
      </c>
      <c r="I3736" s="3">
        <f t="shared" si="4"/>
        <v>0</v>
      </c>
      <c r="J3736" s="27">
        <f t="shared" si="5"/>
        <v>693947</v>
      </c>
      <c r="K3736" s="27">
        <f t="shared" si="6"/>
        <v>693977</v>
      </c>
    </row>
    <row r="3737" hidden="1">
      <c r="A3737" s="3" t="str">
        <f t="shared" si="3"/>
        <v/>
      </c>
      <c r="B3737" s="2" t="str">
        <f t="array" ref="B3737">INDEX(helper!$A$3:$A3996,ROUNDUP((ROW()-1)/COUNTA(helper!$D$3:$D3996),0))</f>
        <v/>
      </c>
      <c r="C3737" s="5" t="str">
        <f t="array" ref="C3737">IF(B3737="","",INDEX(helper!$D$3:$D3996,MOD(ROW()-2,COUNTA(helper!$D$3:$D3996))+1))</f>
        <v/>
      </c>
      <c r="D3737" s="3" t="str">
        <f t="array" ref="D3737">IF(B3737="","",INDEX(helper!$E$3:$E3996,MOD(ROW()-2,COUNTA(helper!$D$3:$D3996))+1))</f>
        <v/>
      </c>
      <c r="E3737" s="3" t="str">
        <f t="array" ref="E3737">IF(B3737="","",INDEX(helper!$F$3:$F3996,MOD(ROW()-2,COUNTA(helper!$D$3:$D3996))+1))</f>
        <v/>
      </c>
      <c r="F3737" s="3" t="str">
        <f>IF(B3737="","",SUMIFS('inventory ledger'!$H:$H,'inventory ledger'!$C:$C,C3737,'inventory ledger'!$D:$D,D3737,'inventory ledger'!$E:$E,E3737,'inventory ledger'!$A:$A,"&lt;="&amp;B3737+TIME(23,59,59))-SUMIFS('inventory ledger'!$I:$I,'inventory ledger'!$C:$C,C3737,'inventory ledger'!$D:$D,D3737,'inventory ledger'!$E:$E,E3737,'inventory ledger'!$A:$A,"&lt;="&amp;B3737+TIME(23,59,59)))</f>
        <v/>
      </c>
      <c r="G3737" s="3">
        <f>IFERROR(__xludf.DUMMYFUNCTION("IF(F3737&lt;=0,0,IFERROR(ROUNDUP(F3737/INDEX(FILTER('warehouse config'!$D:$D,('warehouse config'!$B:$B=C3737)*('warehouse config'!$C:$C=D3737)*('warehouse config'!$G:$G&lt;=B3737)*(('warehouse config'!$H:$H&gt;=B3737)+ISBLANK('warehouse config'!$H:$H))),1)),0))"),0.0)</f>
        <v>0</v>
      </c>
      <c r="H3737" s="3">
        <f>IFERROR(__xludf.DUMMYFUNCTION("IFERROR(INDEX(FILTER('cost master'!$E:$E,('cost master'!$B:$B=C3737)*('cost master'!$D:$D=""Storage cost per pallet / week"")*('cost master'!$G:$G&lt;=B3737)*(('cost master'!$H:$H&gt;=B3737)+ISBLANK('cost master'!$H:$H))),1),0)"),0.0)</f>
        <v>0</v>
      </c>
      <c r="I3737" s="3">
        <f t="shared" si="4"/>
        <v>0</v>
      </c>
      <c r="J3737" s="27">
        <f t="shared" si="5"/>
        <v>693947</v>
      </c>
      <c r="K3737" s="27">
        <f t="shared" si="6"/>
        <v>693977</v>
      </c>
    </row>
    <row r="3738" hidden="1">
      <c r="A3738" s="3" t="str">
        <f t="shared" si="3"/>
        <v/>
      </c>
      <c r="B3738" s="2" t="str">
        <f t="array" ref="B3738">INDEX(helper!$A$3:$A3996,ROUNDUP((ROW()-1)/COUNTA(helper!$D$3:$D3996),0))</f>
        <v/>
      </c>
      <c r="C3738" s="5" t="str">
        <f t="array" ref="C3738">IF(B3738="","",INDEX(helper!$D$3:$D3996,MOD(ROW()-2,COUNTA(helper!$D$3:$D3996))+1))</f>
        <v/>
      </c>
      <c r="D3738" s="3" t="str">
        <f t="array" ref="D3738">IF(B3738="","",INDEX(helper!$E$3:$E3996,MOD(ROW()-2,COUNTA(helper!$D$3:$D3996))+1))</f>
        <v/>
      </c>
      <c r="E3738" s="3" t="str">
        <f t="array" ref="E3738">IF(B3738="","",INDEX(helper!$F$3:$F3996,MOD(ROW()-2,COUNTA(helper!$D$3:$D3996))+1))</f>
        <v/>
      </c>
      <c r="F3738" s="3" t="str">
        <f>IF(B3738="","",SUMIFS('inventory ledger'!$H:$H,'inventory ledger'!$C:$C,C3738,'inventory ledger'!$D:$D,D3738,'inventory ledger'!$E:$E,E3738,'inventory ledger'!$A:$A,"&lt;="&amp;B3738+TIME(23,59,59))-SUMIFS('inventory ledger'!$I:$I,'inventory ledger'!$C:$C,C3738,'inventory ledger'!$D:$D,D3738,'inventory ledger'!$E:$E,E3738,'inventory ledger'!$A:$A,"&lt;="&amp;B3738+TIME(23,59,59)))</f>
        <v/>
      </c>
      <c r="G3738" s="3">
        <f>IFERROR(__xludf.DUMMYFUNCTION("IF(F3738&lt;=0,0,IFERROR(ROUNDUP(F3738/INDEX(FILTER('warehouse config'!$D:$D,('warehouse config'!$B:$B=C3738)*('warehouse config'!$C:$C=D3738)*('warehouse config'!$G:$G&lt;=B3738)*(('warehouse config'!$H:$H&gt;=B3738)+ISBLANK('warehouse config'!$H:$H))),1)),0))"),0.0)</f>
        <v>0</v>
      </c>
      <c r="H3738" s="3">
        <f>IFERROR(__xludf.DUMMYFUNCTION("IFERROR(INDEX(FILTER('cost master'!$E:$E,('cost master'!$B:$B=C3738)*('cost master'!$D:$D=""Storage cost per pallet / week"")*('cost master'!$G:$G&lt;=B3738)*(('cost master'!$H:$H&gt;=B3738)+ISBLANK('cost master'!$H:$H))),1),0)"),0.0)</f>
        <v>0</v>
      </c>
      <c r="I3738" s="3">
        <f t="shared" si="4"/>
        <v>0</v>
      </c>
      <c r="J3738" s="27">
        <f t="shared" si="5"/>
        <v>693947</v>
      </c>
      <c r="K3738" s="27">
        <f t="shared" si="6"/>
        <v>693977</v>
      </c>
    </row>
    <row r="3739" hidden="1">
      <c r="A3739" s="3" t="str">
        <f t="shared" si="3"/>
        <v/>
      </c>
      <c r="B3739" s="2" t="str">
        <f t="array" ref="B3739">INDEX(helper!$A$3:$A3996,ROUNDUP((ROW()-1)/COUNTA(helper!$D$3:$D3996),0))</f>
        <v/>
      </c>
      <c r="C3739" s="5" t="str">
        <f t="array" ref="C3739">IF(B3739="","",INDEX(helper!$D$3:$D3996,MOD(ROW()-2,COUNTA(helper!$D$3:$D3996))+1))</f>
        <v/>
      </c>
      <c r="D3739" s="3" t="str">
        <f t="array" ref="D3739">IF(B3739="","",INDEX(helper!$E$3:$E3996,MOD(ROW()-2,COUNTA(helper!$D$3:$D3996))+1))</f>
        <v/>
      </c>
      <c r="E3739" s="3" t="str">
        <f t="array" ref="E3739">IF(B3739="","",INDEX(helper!$F$3:$F3996,MOD(ROW()-2,COUNTA(helper!$D$3:$D3996))+1))</f>
        <v/>
      </c>
      <c r="F3739" s="3" t="str">
        <f>IF(B3739="","",SUMIFS('inventory ledger'!$H:$H,'inventory ledger'!$C:$C,C3739,'inventory ledger'!$D:$D,D3739,'inventory ledger'!$E:$E,E3739,'inventory ledger'!$A:$A,"&lt;="&amp;B3739+TIME(23,59,59))-SUMIFS('inventory ledger'!$I:$I,'inventory ledger'!$C:$C,C3739,'inventory ledger'!$D:$D,D3739,'inventory ledger'!$E:$E,E3739,'inventory ledger'!$A:$A,"&lt;="&amp;B3739+TIME(23,59,59)))</f>
        <v/>
      </c>
      <c r="G3739" s="3">
        <f>IFERROR(__xludf.DUMMYFUNCTION("IF(F3739&lt;=0,0,IFERROR(ROUNDUP(F3739/INDEX(FILTER('warehouse config'!$D:$D,('warehouse config'!$B:$B=C3739)*('warehouse config'!$C:$C=D3739)*('warehouse config'!$G:$G&lt;=B3739)*(('warehouse config'!$H:$H&gt;=B3739)+ISBLANK('warehouse config'!$H:$H))),1)),0))"),0.0)</f>
        <v>0</v>
      </c>
      <c r="H3739" s="3">
        <f>IFERROR(__xludf.DUMMYFUNCTION("IFERROR(INDEX(FILTER('cost master'!$E:$E,('cost master'!$B:$B=C3739)*('cost master'!$D:$D=""Storage cost per pallet / week"")*('cost master'!$G:$G&lt;=B3739)*(('cost master'!$H:$H&gt;=B3739)+ISBLANK('cost master'!$H:$H))),1),0)"),0.0)</f>
        <v>0</v>
      </c>
      <c r="I3739" s="3">
        <f t="shared" si="4"/>
        <v>0</v>
      </c>
      <c r="J3739" s="27">
        <f t="shared" si="5"/>
        <v>693947</v>
      </c>
      <c r="K3739" s="27">
        <f t="shared" si="6"/>
        <v>693977</v>
      </c>
    </row>
    <row r="3740" hidden="1">
      <c r="A3740" s="3" t="str">
        <f t="shared" si="3"/>
        <v/>
      </c>
      <c r="B3740" s="2" t="str">
        <f t="array" ref="B3740">INDEX(helper!$A$3:$A3996,ROUNDUP((ROW()-1)/COUNTA(helper!$D$3:$D3996),0))</f>
        <v/>
      </c>
      <c r="C3740" s="5" t="str">
        <f t="array" ref="C3740">IF(B3740="","",INDEX(helper!$D$3:$D3996,MOD(ROW()-2,COUNTA(helper!$D$3:$D3996))+1))</f>
        <v/>
      </c>
      <c r="D3740" s="3" t="str">
        <f t="array" ref="D3740">IF(B3740="","",INDEX(helper!$E$3:$E3996,MOD(ROW()-2,COUNTA(helper!$D$3:$D3996))+1))</f>
        <v/>
      </c>
      <c r="E3740" s="3" t="str">
        <f t="array" ref="E3740">IF(B3740="","",INDEX(helper!$F$3:$F3996,MOD(ROW()-2,COUNTA(helper!$D$3:$D3996))+1))</f>
        <v/>
      </c>
      <c r="F3740" s="3" t="str">
        <f>IF(B3740="","",SUMIFS('inventory ledger'!$H:$H,'inventory ledger'!$C:$C,C3740,'inventory ledger'!$D:$D,D3740,'inventory ledger'!$E:$E,E3740,'inventory ledger'!$A:$A,"&lt;="&amp;B3740+TIME(23,59,59))-SUMIFS('inventory ledger'!$I:$I,'inventory ledger'!$C:$C,C3740,'inventory ledger'!$D:$D,D3740,'inventory ledger'!$E:$E,E3740,'inventory ledger'!$A:$A,"&lt;="&amp;B3740+TIME(23,59,59)))</f>
        <v/>
      </c>
      <c r="G3740" s="3">
        <f>IFERROR(__xludf.DUMMYFUNCTION("IF(F3740&lt;=0,0,IFERROR(ROUNDUP(F3740/INDEX(FILTER('warehouse config'!$D:$D,('warehouse config'!$B:$B=C3740)*('warehouse config'!$C:$C=D3740)*('warehouse config'!$G:$G&lt;=B3740)*(('warehouse config'!$H:$H&gt;=B3740)+ISBLANK('warehouse config'!$H:$H))),1)),0))"),0.0)</f>
        <v>0</v>
      </c>
      <c r="H3740" s="3">
        <f>IFERROR(__xludf.DUMMYFUNCTION("IFERROR(INDEX(FILTER('cost master'!$E:$E,('cost master'!$B:$B=C3740)*('cost master'!$D:$D=""Storage cost per pallet / week"")*('cost master'!$G:$G&lt;=B3740)*(('cost master'!$H:$H&gt;=B3740)+ISBLANK('cost master'!$H:$H))),1),0)"),0.0)</f>
        <v>0</v>
      </c>
      <c r="I3740" s="3">
        <f t="shared" si="4"/>
        <v>0</v>
      </c>
      <c r="J3740" s="27">
        <f t="shared" si="5"/>
        <v>693947</v>
      </c>
      <c r="K3740" s="27">
        <f t="shared" si="6"/>
        <v>693977</v>
      </c>
    </row>
    <row r="3741" hidden="1">
      <c r="A3741" s="3" t="str">
        <f t="shared" si="3"/>
        <v/>
      </c>
      <c r="B3741" s="2" t="str">
        <f t="array" ref="B3741">INDEX(helper!$A$3:$A3996,ROUNDUP((ROW()-1)/COUNTA(helper!$D$3:$D3996),0))</f>
        <v/>
      </c>
      <c r="C3741" s="5" t="str">
        <f t="array" ref="C3741">IF(B3741="","",INDEX(helper!$D$3:$D3996,MOD(ROW()-2,COUNTA(helper!$D$3:$D3996))+1))</f>
        <v/>
      </c>
      <c r="D3741" s="3" t="str">
        <f t="array" ref="D3741">IF(B3741="","",INDEX(helper!$E$3:$E3996,MOD(ROW()-2,COUNTA(helper!$D$3:$D3996))+1))</f>
        <v/>
      </c>
      <c r="E3741" s="3" t="str">
        <f t="array" ref="E3741">IF(B3741="","",INDEX(helper!$F$3:$F3996,MOD(ROW()-2,COUNTA(helper!$D$3:$D3996))+1))</f>
        <v/>
      </c>
      <c r="F3741" s="3" t="str">
        <f>IF(B3741="","",SUMIFS('inventory ledger'!$H:$H,'inventory ledger'!$C:$C,C3741,'inventory ledger'!$D:$D,D3741,'inventory ledger'!$E:$E,E3741,'inventory ledger'!$A:$A,"&lt;="&amp;B3741+TIME(23,59,59))-SUMIFS('inventory ledger'!$I:$I,'inventory ledger'!$C:$C,C3741,'inventory ledger'!$D:$D,D3741,'inventory ledger'!$E:$E,E3741,'inventory ledger'!$A:$A,"&lt;="&amp;B3741+TIME(23,59,59)))</f>
        <v/>
      </c>
      <c r="G3741" s="3">
        <f>IFERROR(__xludf.DUMMYFUNCTION("IF(F3741&lt;=0,0,IFERROR(ROUNDUP(F3741/INDEX(FILTER('warehouse config'!$D:$D,('warehouse config'!$B:$B=C3741)*('warehouse config'!$C:$C=D3741)*('warehouse config'!$G:$G&lt;=B3741)*(('warehouse config'!$H:$H&gt;=B3741)+ISBLANK('warehouse config'!$H:$H))),1)),0))"),0.0)</f>
        <v>0</v>
      </c>
      <c r="H3741" s="3">
        <f>IFERROR(__xludf.DUMMYFUNCTION("IFERROR(INDEX(FILTER('cost master'!$E:$E,('cost master'!$B:$B=C3741)*('cost master'!$D:$D=""Storage cost per pallet / week"")*('cost master'!$G:$G&lt;=B3741)*(('cost master'!$H:$H&gt;=B3741)+ISBLANK('cost master'!$H:$H))),1),0)"),0.0)</f>
        <v>0</v>
      </c>
      <c r="I3741" s="3">
        <f t="shared" si="4"/>
        <v>0</v>
      </c>
      <c r="J3741" s="27">
        <f t="shared" si="5"/>
        <v>693947</v>
      </c>
      <c r="K3741" s="27">
        <f t="shared" si="6"/>
        <v>693977</v>
      </c>
    </row>
    <row r="3742" hidden="1">
      <c r="A3742" s="3" t="str">
        <f t="shared" si="3"/>
        <v/>
      </c>
      <c r="B3742" s="2" t="str">
        <f t="array" ref="B3742">INDEX(helper!$A$3:$A3996,ROUNDUP((ROW()-1)/COUNTA(helper!$D$3:$D3996),0))</f>
        <v/>
      </c>
      <c r="C3742" s="5" t="str">
        <f t="array" ref="C3742">IF(B3742="","",INDEX(helper!$D$3:$D3996,MOD(ROW()-2,COUNTA(helper!$D$3:$D3996))+1))</f>
        <v/>
      </c>
      <c r="D3742" s="3" t="str">
        <f t="array" ref="D3742">IF(B3742="","",INDEX(helper!$E$3:$E3996,MOD(ROW()-2,COUNTA(helper!$D$3:$D3996))+1))</f>
        <v/>
      </c>
      <c r="E3742" s="3" t="str">
        <f t="array" ref="E3742">IF(B3742="","",INDEX(helper!$F$3:$F3996,MOD(ROW()-2,COUNTA(helper!$D$3:$D3996))+1))</f>
        <v/>
      </c>
      <c r="F3742" s="3" t="str">
        <f>IF(B3742="","",SUMIFS('inventory ledger'!$H:$H,'inventory ledger'!$C:$C,C3742,'inventory ledger'!$D:$D,D3742,'inventory ledger'!$E:$E,E3742,'inventory ledger'!$A:$A,"&lt;="&amp;B3742+TIME(23,59,59))-SUMIFS('inventory ledger'!$I:$I,'inventory ledger'!$C:$C,C3742,'inventory ledger'!$D:$D,D3742,'inventory ledger'!$E:$E,E3742,'inventory ledger'!$A:$A,"&lt;="&amp;B3742+TIME(23,59,59)))</f>
        <v/>
      </c>
      <c r="G3742" s="3">
        <f>IFERROR(__xludf.DUMMYFUNCTION("IF(F3742&lt;=0,0,IFERROR(ROUNDUP(F3742/INDEX(FILTER('warehouse config'!$D:$D,('warehouse config'!$B:$B=C3742)*('warehouse config'!$C:$C=D3742)*('warehouse config'!$G:$G&lt;=B3742)*(('warehouse config'!$H:$H&gt;=B3742)+ISBLANK('warehouse config'!$H:$H))),1)),0))"),0.0)</f>
        <v>0</v>
      </c>
      <c r="H3742" s="3">
        <f>IFERROR(__xludf.DUMMYFUNCTION("IFERROR(INDEX(FILTER('cost master'!$E:$E,('cost master'!$B:$B=C3742)*('cost master'!$D:$D=""Storage cost per pallet / week"")*('cost master'!$G:$G&lt;=B3742)*(('cost master'!$H:$H&gt;=B3742)+ISBLANK('cost master'!$H:$H))),1),0)"),0.0)</f>
        <v>0</v>
      </c>
      <c r="I3742" s="3">
        <f t="shared" si="4"/>
        <v>0</v>
      </c>
      <c r="J3742" s="27">
        <f t="shared" si="5"/>
        <v>693947</v>
      </c>
      <c r="K3742" s="27">
        <f t="shared" si="6"/>
        <v>693977</v>
      </c>
    </row>
    <row r="3743" hidden="1">
      <c r="A3743" s="3" t="str">
        <f t="shared" si="3"/>
        <v/>
      </c>
      <c r="B3743" s="2" t="str">
        <f t="array" ref="B3743">INDEX(helper!$A$3:$A3996,ROUNDUP((ROW()-1)/COUNTA(helper!$D$3:$D3996),0))</f>
        <v/>
      </c>
      <c r="C3743" s="5" t="str">
        <f t="array" ref="C3743">IF(B3743="","",INDEX(helper!$D$3:$D3996,MOD(ROW()-2,COUNTA(helper!$D$3:$D3996))+1))</f>
        <v/>
      </c>
      <c r="D3743" s="3" t="str">
        <f t="array" ref="D3743">IF(B3743="","",INDEX(helper!$E$3:$E3996,MOD(ROW()-2,COUNTA(helper!$D$3:$D3996))+1))</f>
        <v/>
      </c>
      <c r="E3743" s="3" t="str">
        <f t="array" ref="E3743">IF(B3743="","",INDEX(helper!$F$3:$F3996,MOD(ROW()-2,COUNTA(helper!$D$3:$D3996))+1))</f>
        <v/>
      </c>
      <c r="F3743" s="3" t="str">
        <f>IF(B3743="","",SUMIFS('inventory ledger'!$H:$H,'inventory ledger'!$C:$C,C3743,'inventory ledger'!$D:$D,D3743,'inventory ledger'!$E:$E,E3743,'inventory ledger'!$A:$A,"&lt;="&amp;B3743+TIME(23,59,59))-SUMIFS('inventory ledger'!$I:$I,'inventory ledger'!$C:$C,C3743,'inventory ledger'!$D:$D,D3743,'inventory ledger'!$E:$E,E3743,'inventory ledger'!$A:$A,"&lt;="&amp;B3743+TIME(23,59,59)))</f>
        <v/>
      </c>
      <c r="G3743" s="3">
        <f>IFERROR(__xludf.DUMMYFUNCTION("IF(F3743&lt;=0,0,IFERROR(ROUNDUP(F3743/INDEX(FILTER('warehouse config'!$D:$D,('warehouse config'!$B:$B=C3743)*('warehouse config'!$C:$C=D3743)*('warehouse config'!$G:$G&lt;=B3743)*(('warehouse config'!$H:$H&gt;=B3743)+ISBLANK('warehouse config'!$H:$H))),1)),0))"),0.0)</f>
        <v>0</v>
      </c>
      <c r="H3743" s="3">
        <f>IFERROR(__xludf.DUMMYFUNCTION("IFERROR(INDEX(FILTER('cost master'!$E:$E,('cost master'!$B:$B=C3743)*('cost master'!$D:$D=""Storage cost per pallet / week"")*('cost master'!$G:$G&lt;=B3743)*(('cost master'!$H:$H&gt;=B3743)+ISBLANK('cost master'!$H:$H))),1),0)"),0.0)</f>
        <v>0</v>
      </c>
      <c r="I3743" s="3">
        <f t="shared" si="4"/>
        <v>0</v>
      </c>
      <c r="J3743" s="27">
        <f t="shared" si="5"/>
        <v>693947</v>
      </c>
      <c r="K3743" s="27">
        <f t="shared" si="6"/>
        <v>693977</v>
      </c>
    </row>
    <row r="3744" hidden="1">
      <c r="A3744" s="3" t="str">
        <f t="shared" si="3"/>
        <v/>
      </c>
      <c r="B3744" s="2" t="str">
        <f t="array" ref="B3744">INDEX(helper!$A$3:$A3996,ROUNDUP((ROW()-1)/COUNTA(helper!$D$3:$D3996),0))</f>
        <v/>
      </c>
      <c r="C3744" s="5" t="str">
        <f t="array" ref="C3744">IF(B3744="","",INDEX(helper!$D$3:$D3996,MOD(ROW()-2,COUNTA(helper!$D$3:$D3996))+1))</f>
        <v/>
      </c>
      <c r="D3744" s="3" t="str">
        <f t="array" ref="D3744">IF(B3744="","",INDEX(helper!$E$3:$E3996,MOD(ROW()-2,COUNTA(helper!$D$3:$D3996))+1))</f>
        <v/>
      </c>
      <c r="E3744" s="3" t="str">
        <f t="array" ref="E3744">IF(B3744="","",INDEX(helper!$F$3:$F3996,MOD(ROW()-2,COUNTA(helper!$D$3:$D3996))+1))</f>
        <v/>
      </c>
      <c r="F3744" s="3" t="str">
        <f>IF(B3744="","",SUMIFS('inventory ledger'!$H:$H,'inventory ledger'!$C:$C,C3744,'inventory ledger'!$D:$D,D3744,'inventory ledger'!$E:$E,E3744,'inventory ledger'!$A:$A,"&lt;="&amp;B3744+TIME(23,59,59))-SUMIFS('inventory ledger'!$I:$I,'inventory ledger'!$C:$C,C3744,'inventory ledger'!$D:$D,D3744,'inventory ledger'!$E:$E,E3744,'inventory ledger'!$A:$A,"&lt;="&amp;B3744+TIME(23,59,59)))</f>
        <v/>
      </c>
      <c r="G3744" s="3">
        <f>IFERROR(__xludf.DUMMYFUNCTION("IF(F3744&lt;=0,0,IFERROR(ROUNDUP(F3744/INDEX(FILTER('warehouse config'!$D:$D,('warehouse config'!$B:$B=C3744)*('warehouse config'!$C:$C=D3744)*('warehouse config'!$G:$G&lt;=B3744)*(('warehouse config'!$H:$H&gt;=B3744)+ISBLANK('warehouse config'!$H:$H))),1)),0))"),0.0)</f>
        <v>0</v>
      </c>
      <c r="H3744" s="3">
        <f>IFERROR(__xludf.DUMMYFUNCTION("IFERROR(INDEX(FILTER('cost master'!$E:$E,('cost master'!$B:$B=C3744)*('cost master'!$D:$D=""Storage cost per pallet / week"")*('cost master'!$G:$G&lt;=B3744)*(('cost master'!$H:$H&gt;=B3744)+ISBLANK('cost master'!$H:$H))),1),0)"),0.0)</f>
        <v>0</v>
      </c>
      <c r="I3744" s="3">
        <f t="shared" si="4"/>
        <v>0</v>
      </c>
      <c r="J3744" s="27">
        <f t="shared" si="5"/>
        <v>693947</v>
      </c>
      <c r="K3744" s="27">
        <f t="shared" si="6"/>
        <v>693977</v>
      </c>
    </row>
    <row r="3745" hidden="1">
      <c r="A3745" s="3" t="str">
        <f t="shared" si="3"/>
        <v/>
      </c>
      <c r="B3745" s="2" t="str">
        <f t="array" ref="B3745">INDEX(helper!$A$3:$A3996,ROUNDUP((ROW()-1)/COUNTA(helper!$D$3:$D3996),0))</f>
        <v/>
      </c>
      <c r="C3745" s="5" t="str">
        <f t="array" ref="C3745">IF(B3745="","",INDEX(helper!$D$3:$D3996,MOD(ROW()-2,COUNTA(helper!$D$3:$D3996))+1))</f>
        <v/>
      </c>
      <c r="D3745" s="3" t="str">
        <f t="array" ref="D3745">IF(B3745="","",INDEX(helper!$E$3:$E3996,MOD(ROW()-2,COUNTA(helper!$D$3:$D3996))+1))</f>
        <v/>
      </c>
      <c r="E3745" s="3" t="str">
        <f t="array" ref="E3745">IF(B3745="","",INDEX(helper!$F$3:$F3996,MOD(ROW()-2,COUNTA(helper!$D$3:$D3996))+1))</f>
        <v/>
      </c>
      <c r="F3745" s="3" t="str">
        <f>IF(B3745="","",SUMIFS('inventory ledger'!$H:$H,'inventory ledger'!$C:$C,C3745,'inventory ledger'!$D:$D,D3745,'inventory ledger'!$E:$E,E3745,'inventory ledger'!$A:$A,"&lt;="&amp;B3745+TIME(23,59,59))-SUMIFS('inventory ledger'!$I:$I,'inventory ledger'!$C:$C,C3745,'inventory ledger'!$D:$D,D3745,'inventory ledger'!$E:$E,E3745,'inventory ledger'!$A:$A,"&lt;="&amp;B3745+TIME(23,59,59)))</f>
        <v/>
      </c>
      <c r="G3745" s="3">
        <f>IFERROR(__xludf.DUMMYFUNCTION("IF(F3745&lt;=0,0,IFERROR(ROUNDUP(F3745/INDEX(FILTER('warehouse config'!$D:$D,('warehouse config'!$B:$B=C3745)*('warehouse config'!$C:$C=D3745)*('warehouse config'!$G:$G&lt;=B3745)*(('warehouse config'!$H:$H&gt;=B3745)+ISBLANK('warehouse config'!$H:$H))),1)),0))"),0.0)</f>
        <v>0</v>
      </c>
      <c r="H3745" s="3">
        <f>IFERROR(__xludf.DUMMYFUNCTION("IFERROR(INDEX(FILTER('cost master'!$E:$E,('cost master'!$B:$B=C3745)*('cost master'!$D:$D=""Storage cost per pallet / week"")*('cost master'!$G:$G&lt;=B3745)*(('cost master'!$H:$H&gt;=B3745)+ISBLANK('cost master'!$H:$H))),1),0)"),0.0)</f>
        <v>0</v>
      </c>
      <c r="I3745" s="3">
        <f t="shared" si="4"/>
        <v>0</v>
      </c>
      <c r="J3745" s="27">
        <f t="shared" si="5"/>
        <v>693947</v>
      </c>
      <c r="K3745" s="27">
        <f t="shared" si="6"/>
        <v>693977</v>
      </c>
    </row>
    <row r="3746" hidden="1">
      <c r="A3746" s="3" t="str">
        <f t="shared" si="3"/>
        <v/>
      </c>
      <c r="B3746" s="2" t="str">
        <f t="array" ref="B3746">INDEX(helper!$A$3:$A3996,ROUNDUP((ROW()-1)/COUNTA(helper!$D$3:$D3996),0))</f>
        <v/>
      </c>
      <c r="C3746" s="5" t="str">
        <f t="array" ref="C3746">IF(B3746="","",INDEX(helper!$D$3:$D3996,MOD(ROW()-2,COUNTA(helper!$D$3:$D3996))+1))</f>
        <v/>
      </c>
      <c r="D3746" s="3" t="str">
        <f t="array" ref="D3746">IF(B3746="","",INDEX(helper!$E$3:$E3996,MOD(ROW()-2,COUNTA(helper!$D$3:$D3996))+1))</f>
        <v/>
      </c>
      <c r="E3746" s="3" t="str">
        <f t="array" ref="E3746">IF(B3746="","",INDEX(helper!$F$3:$F3996,MOD(ROW()-2,COUNTA(helper!$D$3:$D3996))+1))</f>
        <v/>
      </c>
      <c r="F3746" s="3" t="str">
        <f>IF(B3746="","",SUMIFS('inventory ledger'!$H:$H,'inventory ledger'!$C:$C,C3746,'inventory ledger'!$D:$D,D3746,'inventory ledger'!$E:$E,E3746,'inventory ledger'!$A:$A,"&lt;="&amp;B3746+TIME(23,59,59))-SUMIFS('inventory ledger'!$I:$I,'inventory ledger'!$C:$C,C3746,'inventory ledger'!$D:$D,D3746,'inventory ledger'!$E:$E,E3746,'inventory ledger'!$A:$A,"&lt;="&amp;B3746+TIME(23,59,59)))</f>
        <v/>
      </c>
      <c r="G3746" s="3">
        <f>IFERROR(__xludf.DUMMYFUNCTION("IF(F3746&lt;=0,0,IFERROR(ROUNDUP(F3746/INDEX(FILTER('warehouse config'!$D:$D,('warehouse config'!$B:$B=C3746)*('warehouse config'!$C:$C=D3746)*('warehouse config'!$G:$G&lt;=B3746)*(('warehouse config'!$H:$H&gt;=B3746)+ISBLANK('warehouse config'!$H:$H))),1)),0))"),0.0)</f>
        <v>0</v>
      </c>
      <c r="H3746" s="3">
        <f>IFERROR(__xludf.DUMMYFUNCTION("IFERROR(INDEX(FILTER('cost master'!$E:$E,('cost master'!$B:$B=C3746)*('cost master'!$D:$D=""Storage cost per pallet / week"")*('cost master'!$G:$G&lt;=B3746)*(('cost master'!$H:$H&gt;=B3746)+ISBLANK('cost master'!$H:$H))),1),0)"),0.0)</f>
        <v>0</v>
      </c>
      <c r="I3746" s="3">
        <f t="shared" si="4"/>
        <v>0</v>
      </c>
      <c r="J3746" s="27">
        <f t="shared" si="5"/>
        <v>693947</v>
      </c>
      <c r="K3746" s="27">
        <f t="shared" si="6"/>
        <v>693977</v>
      </c>
    </row>
    <row r="3747" hidden="1">
      <c r="A3747" s="3" t="str">
        <f t="shared" si="3"/>
        <v/>
      </c>
      <c r="B3747" s="2" t="str">
        <f t="array" ref="B3747">INDEX(helper!$A$3:$A3996,ROUNDUP((ROW()-1)/COUNTA(helper!$D$3:$D3996),0))</f>
        <v/>
      </c>
      <c r="C3747" s="5" t="str">
        <f t="array" ref="C3747">IF(B3747="","",INDEX(helper!$D$3:$D3996,MOD(ROW()-2,COUNTA(helper!$D$3:$D3996))+1))</f>
        <v/>
      </c>
      <c r="D3747" s="3" t="str">
        <f t="array" ref="D3747">IF(B3747="","",INDEX(helper!$E$3:$E3996,MOD(ROW()-2,COUNTA(helper!$D$3:$D3996))+1))</f>
        <v/>
      </c>
      <c r="E3747" s="3" t="str">
        <f t="array" ref="E3747">IF(B3747="","",INDEX(helper!$F$3:$F3996,MOD(ROW()-2,COUNTA(helper!$D$3:$D3996))+1))</f>
        <v/>
      </c>
      <c r="F3747" s="3" t="str">
        <f>IF(B3747="","",SUMIFS('inventory ledger'!$H:$H,'inventory ledger'!$C:$C,C3747,'inventory ledger'!$D:$D,D3747,'inventory ledger'!$E:$E,E3747,'inventory ledger'!$A:$A,"&lt;="&amp;B3747+TIME(23,59,59))-SUMIFS('inventory ledger'!$I:$I,'inventory ledger'!$C:$C,C3747,'inventory ledger'!$D:$D,D3747,'inventory ledger'!$E:$E,E3747,'inventory ledger'!$A:$A,"&lt;="&amp;B3747+TIME(23,59,59)))</f>
        <v/>
      </c>
      <c r="G3747" s="3">
        <f>IFERROR(__xludf.DUMMYFUNCTION("IF(F3747&lt;=0,0,IFERROR(ROUNDUP(F3747/INDEX(FILTER('warehouse config'!$D:$D,('warehouse config'!$B:$B=C3747)*('warehouse config'!$C:$C=D3747)*('warehouse config'!$G:$G&lt;=B3747)*(('warehouse config'!$H:$H&gt;=B3747)+ISBLANK('warehouse config'!$H:$H))),1)),0))"),0.0)</f>
        <v>0</v>
      </c>
      <c r="H3747" s="3">
        <f>IFERROR(__xludf.DUMMYFUNCTION("IFERROR(INDEX(FILTER('cost master'!$E:$E,('cost master'!$B:$B=C3747)*('cost master'!$D:$D=""Storage cost per pallet / week"")*('cost master'!$G:$G&lt;=B3747)*(('cost master'!$H:$H&gt;=B3747)+ISBLANK('cost master'!$H:$H))),1),0)"),0.0)</f>
        <v>0</v>
      </c>
      <c r="I3747" s="3">
        <f t="shared" si="4"/>
        <v>0</v>
      </c>
      <c r="J3747" s="27">
        <f t="shared" si="5"/>
        <v>693947</v>
      </c>
      <c r="K3747" s="27">
        <f t="shared" si="6"/>
        <v>693977</v>
      </c>
    </row>
    <row r="3748" hidden="1">
      <c r="A3748" s="3" t="str">
        <f t="shared" si="3"/>
        <v/>
      </c>
      <c r="B3748" s="2" t="str">
        <f t="array" ref="B3748">INDEX(helper!$A$3:$A3996,ROUNDUP((ROW()-1)/COUNTA(helper!$D$3:$D3996),0))</f>
        <v/>
      </c>
      <c r="C3748" s="5" t="str">
        <f t="array" ref="C3748">IF(B3748="","",INDEX(helper!$D$3:$D3996,MOD(ROW()-2,COUNTA(helper!$D$3:$D3996))+1))</f>
        <v/>
      </c>
      <c r="D3748" s="3" t="str">
        <f t="array" ref="D3748">IF(B3748="","",INDEX(helper!$E$3:$E3996,MOD(ROW()-2,COUNTA(helper!$D$3:$D3996))+1))</f>
        <v/>
      </c>
      <c r="E3748" s="3" t="str">
        <f t="array" ref="E3748">IF(B3748="","",INDEX(helper!$F$3:$F3996,MOD(ROW()-2,COUNTA(helper!$D$3:$D3996))+1))</f>
        <v/>
      </c>
      <c r="F3748" s="3" t="str">
        <f>IF(B3748="","",SUMIFS('inventory ledger'!$H:$H,'inventory ledger'!$C:$C,C3748,'inventory ledger'!$D:$D,D3748,'inventory ledger'!$E:$E,E3748,'inventory ledger'!$A:$A,"&lt;="&amp;B3748+TIME(23,59,59))-SUMIFS('inventory ledger'!$I:$I,'inventory ledger'!$C:$C,C3748,'inventory ledger'!$D:$D,D3748,'inventory ledger'!$E:$E,E3748,'inventory ledger'!$A:$A,"&lt;="&amp;B3748+TIME(23,59,59)))</f>
        <v/>
      </c>
      <c r="G3748" s="3">
        <f>IFERROR(__xludf.DUMMYFUNCTION("IF(F3748&lt;=0,0,IFERROR(ROUNDUP(F3748/INDEX(FILTER('warehouse config'!$D:$D,('warehouse config'!$B:$B=C3748)*('warehouse config'!$C:$C=D3748)*('warehouse config'!$G:$G&lt;=B3748)*(('warehouse config'!$H:$H&gt;=B3748)+ISBLANK('warehouse config'!$H:$H))),1)),0))"),0.0)</f>
        <v>0</v>
      </c>
      <c r="H3748" s="3">
        <f>IFERROR(__xludf.DUMMYFUNCTION("IFERROR(INDEX(FILTER('cost master'!$E:$E,('cost master'!$B:$B=C3748)*('cost master'!$D:$D=""Storage cost per pallet / week"")*('cost master'!$G:$G&lt;=B3748)*(('cost master'!$H:$H&gt;=B3748)+ISBLANK('cost master'!$H:$H))),1),0)"),0.0)</f>
        <v>0</v>
      </c>
      <c r="I3748" s="3">
        <f t="shared" si="4"/>
        <v>0</v>
      </c>
      <c r="J3748" s="27">
        <f t="shared" si="5"/>
        <v>693947</v>
      </c>
      <c r="K3748" s="27">
        <f t="shared" si="6"/>
        <v>693977</v>
      </c>
    </row>
    <row r="3749" hidden="1">
      <c r="A3749" s="3" t="str">
        <f t="shared" si="3"/>
        <v/>
      </c>
      <c r="B3749" s="2" t="str">
        <f t="array" ref="B3749">INDEX(helper!$A$3:$A3996,ROUNDUP((ROW()-1)/COUNTA(helper!$D$3:$D3996),0))</f>
        <v/>
      </c>
      <c r="C3749" s="5" t="str">
        <f t="array" ref="C3749">IF(B3749="","",INDEX(helper!$D$3:$D3996,MOD(ROW()-2,COUNTA(helper!$D$3:$D3996))+1))</f>
        <v/>
      </c>
      <c r="D3749" s="3" t="str">
        <f t="array" ref="D3749">IF(B3749="","",INDEX(helper!$E$3:$E3996,MOD(ROW()-2,COUNTA(helper!$D$3:$D3996))+1))</f>
        <v/>
      </c>
      <c r="E3749" s="3" t="str">
        <f t="array" ref="E3749">IF(B3749="","",INDEX(helper!$F$3:$F3996,MOD(ROW()-2,COUNTA(helper!$D$3:$D3996))+1))</f>
        <v/>
      </c>
      <c r="F3749" s="3" t="str">
        <f>IF(B3749="","",SUMIFS('inventory ledger'!$H:$H,'inventory ledger'!$C:$C,C3749,'inventory ledger'!$D:$D,D3749,'inventory ledger'!$E:$E,E3749,'inventory ledger'!$A:$A,"&lt;="&amp;B3749+TIME(23,59,59))-SUMIFS('inventory ledger'!$I:$I,'inventory ledger'!$C:$C,C3749,'inventory ledger'!$D:$D,D3749,'inventory ledger'!$E:$E,E3749,'inventory ledger'!$A:$A,"&lt;="&amp;B3749+TIME(23,59,59)))</f>
        <v/>
      </c>
      <c r="G3749" s="3">
        <f>IFERROR(__xludf.DUMMYFUNCTION("IF(F3749&lt;=0,0,IFERROR(ROUNDUP(F3749/INDEX(FILTER('warehouse config'!$D:$D,('warehouse config'!$B:$B=C3749)*('warehouse config'!$C:$C=D3749)*('warehouse config'!$G:$G&lt;=B3749)*(('warehouse config'!$H:$H&gt;=B3749)+ISBLANK('warehouse config'!$H:$H))),1)),0))"),0.0)</f>
        <v>0</v>
      </c>
      <c r="H3749" s="3">
        <f>IFERROR(__xludf.DUMMYFUNCTION("IFERROR(INDEX(FILTER('cost master'!$E:$E,('cost master'!$B:$B=C3749)*('cost master'!$D:$D=""Storage cost per pallet / week"")*('cost master'!$G:$G&lt;=B3749)*(('cost master'!$H:$H&gt;=B3749)+ISBLANK('cost master'!$H:$H))),1),0)"),0.0)</f>
        <v>0</v>
      </c>
      <c r="I3749" s="3">
        <f t="shared" si="4"/>
        <v>0</v>
      </c>
      <c r="J3749" s="27">
        <f t="shared" si="5"/>
        <v>693947</v>
      </c>
      <c r="K3749" s="27">
        <f t="shared" si="6"/>
        <v>693977</v>
      </c>
    </row>
    <row r="3750" hidden="1">
      <c r="A3750" s="3" t="str">
        <f t="shared" si="3"/>
        <v/>
      </c>
      <c r="B3750" s="2" t="str">
        <f t="array" ref="B3750">INDEX(helper!$A$3:$A3996,ROUNDUP((ROW()-1)/COUNTA(helper!$D$3:$D3996),0))</f>
        <v/>
      </c>
      <c r="C3750" s="5" t="str">
        <f t="array" ref="C3750">IF(B3750="","",INDEX(helper!$D$3:$D3996,MOD(ROW()-2,COUNTA(helper!$D$3:$D3996))+1))</f>
        <v/>
      </c>
      <c r="D3750" s="3" t="str">
        <f t="array" ref="D3750">IF(B3750="","",INDEX(helper!$E$3:$E3996,MOD(ROW()-2,COUNTA(helper!$D$3:$D3996))+1))</f>
        <v/>
      </c>
      <c r="E3750" s="3" t="str">
        <f t="array" ref="E3750">IF(B3750="","",INDEX(helper!$F$3:$F3996,MOD(ROW()-2,COUNTA(helper!$D$3:$D3996))+1))</f>
        <v/>
      </c>
      <c r="F3750" s="3" t="str">
        <f>IF(B3750="","",SUMIFS('inventory ledger'!$H:$H,'inventory ledger'!$C:$C,C3750,'inventory ledger'!$D:$D,D3750,'inventory ledger'!$E:$E,E3750,'inventory ledger'!$A:$A,"&lt;="&amp;B3750+TIME(23,59,59))-SUMIFS('inventory ledger'!$I:$I,'inventory ledger'!$C:$C,C3750,'inventory ledger'!$D:$D,D3750,'inventory ledger'!$E:$E,E3750,'inventory ledger'!$A:$A,"&lt;="&amp;B3750+TIME(23,59,59)))</f>
        <v/>
      </c>
      <c r="G3750" s="3">
        <f>IFERROR(__xludf.DUMMYFUNCTION("IF(F3750&lt;=0,0,IFERROR(ROUNDUP(F3750/INDEX(FILTER('warehouse config'!$D:$D,('warehouse config'!$B:$B=C3750)*('warehouse config'!$C:$C=D3750)*('warehouse config'!$G:$G&lt;=B3750)*(('warehouse config'!$H:$H&gt;=B3750)+ISBLANK('warehouse config'!$H:$H))),1)),0))"),0.0)</f>
        <v>0</v>
      </c>
      <c r="H3750" s="3">
        <f>IFERROR(__xludf.DUMMYFUNCTION("IFERROR(INDEX(FILTER('cost master'!$E:$E,('cost master'!$B:$B=C3750)*('cost master'!$D:$D=""Storage cost per pallet / week"")*('cost master'!$G:$G&lt;=B3750)*(('cost master'!$H:$H&gt;=B3750)+ISBLANK('cost master'!$H:$H))),1),0)"),0.0)</f>
        <v>0</v>
      </c>
      <c r="I3750" s="3">
        <f t="shared" si="4"/>
        <v>0</v>
      </c>
      <c r="J3750" s="27">
        <f t="shared" si="5"/>
        <v>693947</v>
      </c>
      <c r="K3750" s="27">
        <f t="shared" si="6"/>
        <v>693977</v>
      </c>
    </row>
    <row r="3751" hidden="1">
      <c r="A3751" s="3" t="str">
        <f t="shared" si="3"/>
        <v/>
      </c>
      <c r="B3751" s="2" t="str">
        <f t="array" ref="B3751">INDEX(helper!$A$3:$A3996,ROUNDUP((ROW()-1)/COUNTA(helper!$D$3:$D3996),0))</f>
        <v/>
      </c>
      <c r="C3751" s="5" t="str">
        <f t="array" ref="C3751">IF(B3751="","",INDEX(helper!$D$3:$D3996,MOD(ROW()-2,COUNTA(helper!$D$3:$D3996))+1))</f>
        <v/>
      </c>
      <c r="D3751" s="3" t="str">
        <f t="array" ref="D3751">IF(B3751="","",INDEX(helper!$E$3:$E3996,MOD(ROW()-2,COUNTA(helper!$D$3:$D3996))+1))</f>
        <v/>
      </c>
      <c r="E3751" s="3" t="str">
        <f t="array" ref="E3751">IF(B3751="","",INDEX(helper!$F$3:$F3996,MOD(ROW()-2,COUNTA(helper!$D$3:$D3996))+1))</f>
        <v/>
      </c>
      <c r="F3751" s="3" t="str">
        <f>IF(B3751="","",SUMIFS('inventory ledger'!$H:$H,'inventory ledger'!$C:$C,C3751,'inventory ledger'!$D:$D,D3751,'inventory ledger'!$E:$E,E3751,'inventory ledger'!$A:$A,"&lt;="&amp;B3751+TIME(23,59,59))-SUMIFS('inventory ledger'!$I:$I,'inventory ledger'!$C:$C,C3751,'inventory ledger'!$D:$D,D3751,'inventory ledger'!$E:$E,E3751,'inventory ledger'!$A:$A,"&lt;="&amp;B3751+TIME(23,59,59)))</f>
        <v/>
      </c>
      <c r="G3751" s="3">
        <f>IFERROR(__xludf.DUMMYFUNCTION("IF(F3751&lt;=0,0,IFERROR(ROUNDUP(F3751/INDEX(FILTER('warehouse config'!$D:$D,('warehouse config'!$B:$B=C3751)*('warehouse config'!$C:$C=D3751)*('warehouse config'!$G:$G&lt;=B3751)*(('warehouse config'!$H:$H&gt;=B3751)+ISBLANK('warehouse config'!$H:$H))),1)),0))"),0.0)</f>
        <v>0</v>
      </c>
      <c r="H3751" s="3">
        <f>IFERROR(__xludf.DUMMYFUNCTION("IFERROR(INDEX(FILTER('cost master'!$E:$E,('cost master'!$B:$B=C3751)*('cost master'!$D:$D=""Storage cost per pallet / week"")*('cost master'!$G:$G&lt;=B3751)*(('cost master'!$H:$H&gt;=B3751)+ISBLANK('cost master'!$H:$H))),1),0)"),0.0)</f>
        <v>0</v>
      </c>
      <c r="I3751" s="3">
        <f t="shared" si="4"/>
        <v>0</v>
      </c>
      <c r="J3751" s="27">
        <f t="shared" si="5"/>
        <v>693947</v>
      </c>
      <c r="K3751" s="27">
        <f t="shared" si="6"/>
        <v>693977</v>
      </c>
    </row>
    <row r="3752" hidden="1">
      <c r="A3752" s="3" t="str">
        <f t="shared" si="3"/>
        <v/>
      </c>
      <c r="B3752" s="2" t="str">
        <f t="array" ref="B3752">INDEX(helper!$A$3:$A3996,ROUNDUP((ROW()-1)/COUNTA(helper!$D$3:$D3996),0))</f>
        <v/>
      </c>
      <c r="C3752" s="5" t="str">
        <f t="array" ref="C3752">IF(B3752="","",INDEX(helper!$D$3:$D3996,MOD(ROW()-2,COUNTA(helper!$D$3:$D3996))+1))</f>
        <v/>
      </c>
      <c r="D3752" s="3" t="str">
        <f t="array" ref="D3752">IF(B3752="","",INDEX(helper!$E$3:$E3996,MOD(ROW()-2,COUNTA(helper!$D$3:$D3996))+1))</f>
        <v/>
      </c>
      <c r="E3752" s="3" t="str">
        <f t="array" ref="E3752">IF(B3752="","",INDEX(helper!$F$3:$F3996,MOD(ROW()-2,COUNTA(helper!$D$3:$D3996))+1))</f>
        <v/>
      </c>
      <c r="F3752" s="3" t="str">
        <f>IF(B3752="","",SUMIFS('inventory ledger'!$H:$H,'inventory ledger'!$C:$C,C3752,'inventory ledger'!$D:$D,D3752,'inventory ledger'!$E:$E,E3752,'inventory ledger'!$A:$A,"&lt;="&amp;B3752+TIME(23,59,59))-SUMIFS('inventory ledger'!$I:$I,'inventory ledger'!$C:$C,C3752,'inventory ledger'!$D:$D,D3752,'inventory ledger'!$E:$E,E3752,'inventory ledger'!$A:$A,"&lt;="&amp;B3752+TIME(23,59,59)))</f>
        <v/>
      </c>
      <c r="G3752" s="3">
        <f>IFERROR(__xludf.DUMMYFUNCTION("IF(F3752&lt;=0,0,IFERROR(ROUNDUP(F3752/INDEX(FILTER('warehouse config'!$D:$D,('warehouse config'!$B:$B=C3752)*('warehouse config'!$C:$C=D3752)*('warehouse config'!$G:$G&lt;=B3752)*(('warehouse config'!$H:$H&gt;=B3752)+ISBLANK('warehouse config'!$H:$H))),1)),0))"),0.0)</f>
        <v>0</v>
      </c>
      <c r="H3752" s="3">
        <f>IFERROR(__xludf.DUMMYFUNCTION("IFERROR(INDEX(FILTER('cost master'!$E:$E,('cost master'!$B:$B=C3752)*('cost master'!$D:$D=""Storage cost per pallet / week"")*('cost master'!$G:$G&lt;=B3752)*(('cost master'!$H:$H&gt;=B3752)+ISBLANK('cost master'!$H:$H))),1),0)"),0.0)</f>
        <v>0</v>
      </c>
      <c r="I3752" s="3">
        <f t="shared" si="4"/>
        <v>0</v>
      </c>
      <c r="J3752" s="27">
        <f t="shared" si="5"/>
        <v>693947</v>
      </c>
      <c r="K3752" s="27">
        <f t="shared" si="6"/>
        <v>693977</v>
      </c>
    </row>
    <row r="3753" hidden="1">
      <c r="A3753" s="3" t="str">
        <f t="shared" si="3"/>
        <v/>
      </c>
      <c r="B3753" s="2" t="str">
        <f t="array" ref="B3753">INDEX(helper!$A$3:$A3996,ROUNDUP((ROW()-1)/COUNTA(helper!$D$3:$D3996),0))</f>
        <v/>
      </c>
      <c r="C3753" s="5" t="str">
        <f t="array" ref="C3753">IF(B3753="","",INDEX(helper!$D$3:$D3996,MOD(ROW()-2,COUNTA(helper!$D$3:$D3996))+1))</f>
        <v/>
      </c>
      <c r="D3753" s="3" t="str">
        <f t="array" ref="D3753">IF(B3753="","",INDEX(helper!$E$3:$E3996,MOD(ROW()-2,COUNTA(helper!$D$3:$D3996))+1))</f>
        <v/>
      </c>
      <c r="E3753" s="3" t="str">
        <f t="array" ref="E3753">IF(B3753="","",INDEX(helper!$F$3:$F3996,MOD(ROW()-2,COUNTA(helper!$D$3:$D3996))+1))</f>
        <v/>
      </c>
      <c r="F3753" s="3" t="str">
        <f>IF(B3753="","",SUMIFS('inventory ledger'!$H:$H,'inventory ledger'!$C:$C,C3753,'inventory ledger'!$D:$D,D3753,'inventory ledger'!$E:$E,E3753,'inventory ledger'!$A:$A,"&lt;="&amp;B3753+TIME(23,59,59))-SUMIFS('inventory ledger'!$I:$I,'inventory ledger'!$C:$C,C3753,'inventory ledger'!$D:$D,D3753,'inventory ledger'!$E:$E,E3753,'inventory ledger'!$A:$A,"&lt;="&amp;B3753+TIME(23,59,59)))</f>
        <v/>
      </c>
      <c r="G3753" s="3">
        <f>IFERROR(__xludf.DUMMYFUNCTION("IF(F3753&lt;=0,0,IFERROR(ROUNDUP(F3753/INDEX(FILTER('warehouse config'!$D:$D,('warehouse config'!$B:$B=C3753)*('warehouse config'!$C:$C=D3753)*('warehouse config'!$G:$G&lt;=B3753)*(('warehouse config'!$H:$H&gt;=B3753)+ISBLANK('warehouse config'!$H:$H))),1)),0))"),0.0)</f>
        <v>0</v>
      </c>
      <c r="H3753" s="3">
        <f>IFERROR(__xludf.DUMMYFUNCTION("IFERROR(INDEX(FILTER('cost master'!$E:$E,('cost master'!$B:$B=C3753)*('cost master'!$D:$D=""Storage cost per pallet / week"")*('cost master'!$G:$G&lt;=B3753)*(('cost master'!$H:$H&gt;=B3753)+ISBLANK('cost master'!$H:$H))),1),0)"),0.0)</f>
        <v>0</v>
      </c>
      <c r="I3753" s="3">
        <f t="shared" si="4"/>
        <v>0</v>
      </c>
      <c r="J3753" s="27">
        <f t="shared" si="5"/>
        <v>693947</v>
      </c>
      <c r="K3753" s="27">
        <f t="shared" si="6"/>
        <v>693977</v>
      </c>
    </row>
    <row r="3754" hidden="1">
      <c r="A3754" s="3" t="str">
        <f t="shared" si="3"/>
        <v/>
      </c>
      <c r="B3754" s="2" t="str">
        <f t="array" ref="B3754">INDEX(helper!$A$3:$A3996,ROUNDUP((ROW()-1)/COUNTA(helper!$D$3:$D3996),0))</f>
        <v/>
      </c>
      <c r="C3754" s="5" t="str">
        <f t="array" ref="C3754">IF(B3754="","",INDEX(helper!$D$3:$D3996,MOD(ROW()-2,COUNTA(helper!$D$3:$D3996))+1))</f>
        <v/>
      </c>
      <c r="D3754" s="3" t="str">
        <f t="array" ref="D3754">IF(B3754="","",INDEX(helper!$E$3:$E3996,MOD(ROW()-2,COUNTA(helper!$D$3:$D3996))+1))</f>
        <v/>
      </c>
      <c r="E3754" s="3" t="str">
        <f t="array" ref="E3754">IF(B3754="","",INDEX(helper!$F$3:$F3996,MOD(ROW()-2,COUNTA(helper!$D$3:$D3996))+1))</f>
        <v/>
      </c>
      <c r="F3754" s="3" t="str">
        <f>IF(B3754="","",SUMIFS('inventory ledger'!$H:$H,'inventory ledger'!$C:$C,C3754,'inventory ledger'!$D:$D,D3754,'inventory ledger'!$E:$E,E3754,'inventory ledger'!$A:$A,"&lt;="&amp;B3754+TIME(23,59,59))-SUMIFS('inventory ledger'!$I:$I,'inventory ledger'!$C:$C,C3754,'inventory ledger'!$D:$D,D3754,'inventory ledger'!$E:$E,E3754,'inventory ledger'!$A:$A,"&lt;="&amp;B3754+TIME(23,59,59)))</f>
        <v/>
      </c>
      <c r="G3754" s="3">
        <f>IFERROR(__xludf.DUMMYFUNCTION("IF(F3754&lt;=0,0,IFERROR(ROUNDUP(F3754/INDEX(FILTER('warehouse config'!$D:$D,('warehouse config'!$B:$B=C3754)*('warehouse config'!$C:$C=D3754)*('warehouse config'!$G:$G&lt;=B3754)*(('warehouse config'!$H:$H&gt;=B3754)+ISBLANK('warehouse config'!$H:$H))),1)),0))"),0.0)</f>
        <v>0</v>
      </c>
      <c r="H3754" s="3">
        <f>IFERROR(__xludf.DUMMYFUNCTION("IFERROR(INDEX(FILTER('cost master'!$E:$E,('cost master'!$B:$B=C3754)*('cost master'!$D:$D=""Storage cost per pallet / week"")*('cost master'!$G:$G&lt;=B3754)*(('cost master'!$H:$H&gt;=B3754)+ISBLANK('cost master'!$H:$H))),1),0)"),0.0)</f>
        <v>0</v>
      </c>
      <c r="I3754" s="3">
        <f t="shared" si="4"/>
        <v>0</v>
      </c>
      <c r="J3754" s="27">
        <f t="shared" si="5"/>
        <v>693947</v>
      </c>
      <c r="K3754" s="27">
        <f t="shared" si="6"/>
        <v>693977</v>
      </c>
    </row>
    <row r="3755" hidden="1">
      <c r="A3755" s="3" t="str">
        <f t="shared" si="3"/>
        <v/>
      </c>
      <c r="B3755" s="2" t="str">
        <f t="array" ref="B3755">INDEX(helper!$A$3:$A3996,ROUNDUP((ROW()-1)/COUNTA(helper!$D$3:$D3996),0))</f>
        <v/>
      </c>
      <c r="C3755" s="5" t="str">
        <f t="array" ref="C3755">IF(B3755="","",INDEX(helper!$D$3:$D3996,MOD(ROW()-2,COUNTA(helper!$D$3:$D3996))+1))</f>
        <v/>
      </c>
      <c r="D3755" s="3" t="str">
        <f t="array" ref="D3755">IF(B3755="","",INDEX(helper!$E$3:$E3996,MOD(ROW()-2,COUNTA(helper!$D$3:$D3996))+1))</f>
        <v/>
      </c>
      <c r="E3755" s="3" t="str">
        <f t="array" ref="E3755">IF(B3755="","",INDEX(helper!$F$3:$F3996,MOD(ROW()-2,COUNTA(helper!$D$3:$D3996))+1))</f>
        <v/>
      </c>
      <c r="F3755" s="3" t="str">
        <f>IF(B3755="","",SUMIFS('inventory ledger'!$H:$H,'inventory ledger'!$C:$C,C3755,'inventory ledger'!$D:$D,D3755,'inventory ledger'!$E:$E,E3755,'inventory ledger'!$A:$A,"&lt;="&amp;B3755+TIME(23,59,59))-SUMIFS('inventory ledger'!$I:$I,'inventory ledger'!$C:$C,C3755,'inventory ledger'!$D:$D,D3755,'inventory ledger'!$E:$E,E3755,'inventory ledger'!$A:$A,"&lt;="&amp;B3755+TIME(23,59,59)))</f>
        <v/>
      </c>
      <c r="G3755" s="3">
        <f>IFERROR(__xludf.DUMMYFUNCTION("IF(F3755&lt;=0,0,IFERROR(ROUNDUP(F3755/INDEX(FILTER('warehouse config'!$D:$D,('warehouse config'!$B:$B=C3755)*('warehouse config'!$C:$C=D3755)*('warehouse config'!$G:$G&lt;=B3755)*(('warehouse config'!$H:$H&gt;=B3755)+ISBLANK('warehouse config'!$H:$H))),1)),0))"),0.0)</f>
        <v>0</v>
      </c>
      <c r="H3755" s="3">
        <f>IFERROR(__xludf.DUMMYFUNCTION("IFERROR(INDEX(FILTER('cost master'!$E:$E,('cost master'!$B:$B=C3755)*('cost master'!$D:$D=""Storage cost per pallet / week"")*('cost master'!$G:$G&lt;=B3755)*(('cost master'!$H:$H&gt;=B3755)+ISBLANK('cost master'!$H:$H))),1),0)"),0.0)</f>
        <v>0</v>
      </c>
      <c r="I3755" s="3">
        <f t="shared" si="4"/>
        <v>0</v>
      </c>
      <c r="J3755" s="27">
        <f t="shared" si="5"/>
        <v>693947</v>
      </c>
      <c r="K3755" s="27">
        <f t="shared" si="6"/>
        <v>693977</v>
      </c>
    </row>
    <row r="3756" hidden="1">
      <c r="A3756" s="3" t="str">
        <f t="shared" si="3"/>
        <v/>
      </c>
      <c r="B3756" s="2" t="str">
        <f t="array" ref="B3756">INDEX(helper!$A$3:$A3996,ROUNDUP((ROW()-1)/COUNTA(helper!$D$3:$D3996),0))</f>
        <v/>
      </c>
      <c r="C3756" s="5" t="str">
        <f t="array" ref="C3756">IF(B3756="","",INDEX(helper!$D$3:$D3996,MOD(ROW()-2,COUNTA(helper!$D$3:$D3996))+1))</f>
        <v/>
      </c>
      <c r="D3756" s="3" t="str">
        <f t="array" ref="D3756">IF(B3756="","",INDEX(helper!$E$3:$E3996,MOD(ROW()-2,COUNTA(helper!$D$3:$D3996))+1))</f>
        <v/>
      </c>
      <c r="E3756" s="3" t="str">
        <f t="array" ref="E3756">IF(B3756="","",INDEX(helper!$F$3:$F3996,MOD(ROW()-2,COUNTA(helper!$D$3:$D3996))+1))</f>
        <v/>
      </c>
      <c r="F3756" s="3" t="str">
        <f>IF(B3756="","",SUMIFS('inventory ledger'!$H:$H,'inventory ledger'!$C:$C,C3756,'inventory ledger'!$D:$D,D3756,'inventory ledger'!$E:$E,E3756,'inventory ledger'!$A:$A,"&lt;="&amp;B3756+TIME(23,59,59))-SUMIFS('inventory ledger'!$I:$I,'inventory ledger'!$C:$C,C3756,'inventory ledger'!$D:$D,D3756,'inventory ledger'!$E:$E,E3756,'inventory ledger'!$A:$A,"&lt;="&amp;B3756+TIME(23,59,59)))</f>
        <v/>
      </c>
      <c r="G3756" s="3">
        <f>IFERROR(__xludf.DUMMYFUNCTION("IF(F3756&lt;=0,0,IFERROR(ROUNDUP(F3756/INDEX(FILTER('warehouse config'!$D:$D,('warehouse config'!$B:$B=C3756)*('warehouse config'!$C:$C=D3756)*('warehouse config'!$G:$G&lt;=B3756)*(('warehouse config'!$H:$H&gt;=B3756)+ISBLANK('warehouse config'!$H:$H))),1)),0))"),0.0)</f>
        <v>0</v>
      </c>
      <c r="H3756" s="3">
        <f>IFERROR(__xludf.DUMMYFUNCTION("IFERROR(INDEX(FILTER('cost master'!$E:$E,('cost master'!$B:$B=C3756)*('cost master'!$D:$D=""Storage cost per pallet / week"")*('cost master'!$G:$G&lt;=B3756)*(('cost master'!$H:$H&gt;=B3756)+ISBLANK('cost master'!$H:$H))),1),0)"),0.0)</f>
        <v>0</v>
      </c>
      <c r="I3756" s="3">
        <f t="shared" si="4"/>
        <v>0</v>
      </c>
      <c r="J3756" s="27">
        <f t="shared" si="5"/>
        <v>693947</v>
      </c>
      <c r="K3756" s="27">
        <f t="shared" si="6"/>
        <v>693977</v>
      </c>
    </row>
    <row r="3757" hidden="1">
      <c r="A3757" s="3" t="str">
        <f t="shared" si="3"/>
        <v/>
      </c>
      <c r="B3757" s="2" t="str">
        <f t="array" ref="B3757">INDEX(helper!$A$3:$A3996,ROUNDUP((ROW()-1)/COUNTA(helper!$D$3:$D3996),0))</f>
        <v/>
      </c>
      <c r="C3757" s="5" t="str">
        <f t="array" ref="C3757">IF(B3757="","",INDEX(helper!$D$3:$D3996,MOD(ROW()-2,COUNTA(helper!$D$3:$D3996))+1))</f>
        <v/>
      </c>
      <c r="D3757" s="3" t="str">
        <f t="array" ref="D3757">IF(B3757="","",INDEX(helper!$E$3:$E3996,MOD(ROW()-2,COUNTA(helper!$D$3:$D3996))+1))</f>
        <v/>
      </c>
      <c r="E3757" s="3" t="str">
        <f t="array" ref="E3757">IF(B3757="","",INDEX(helper!$F$3:$F3996,MOD(ROW()-2,COUNTA(helper!$D$3:$D3996))+1))</f>
        <v/>
      </c>
      <c r="F3757" s="3" t="str">
        <f>IF(B3757="","",SUMIFS('inventory ledger'!$H:$H,'inventory ledger'!$C:$C,C3757,'inventory ledger'!$D:$D,D3757,'inventory ledger'!$E:$E,E3757,'inventory ledger'!$A:$A,"&lt;="&amp;B3757+TIME(23,59,59))-SUMIFS('inventory ledger'!$I:$I,'inventory ledger'!$C:$C,C3757,'inventory ledger'!$D:$D,D3757,'inventory ledger'!$E:$E,E3757,'inventory ledger'!$A:$A,"&lt;="&amp;B3757+TIME(23,59,59)))</f>
        <v/>
      </c>
      <c r="G3757" s="3">
        <f>IFERROR(__xludf.DUMMYFUNCTION("IF(F3757&lt;=0,0,IFERROR(ROUNDUP(F3757/INDEX(FILTER('warehouse config'!$D:$D,('warehouse config'!$B:$B=C3757)*('warehouse config'!$C:$C=D3757)*('warehouse config'!$G:$G&lt;=B3757)*(('warehouse config'!$H:$H&gt;=B3757)+ISBLANK('warehouse config'!$H:$H))),1)),0))"),0.0)</f>
        <v>0</v>
      </c>
      <c r="H3757" s="3">
        <f>IFERROR(__xludf.DUMMYFUNCTION("IFERROR(INDEX(FILTER('cost master'!$E:$E,('cost master'!$B:$B=C3757)*('cost master'!$D:$D=""Storage cost per pallet / week"")*('cost master'!$G:$G&lt;=B3757)*(('cost master'!$H:$H&gt;=B3757)+ISBLANK('cost master'!$H:$H))),1),0)"),0.0)</f>
        <v>0</v>
      </c>
      <c r="I3757" s="3">
        <f t="shared" si="4"/>
        <v>0</v>
      </c>
      <c r="J3757" s="27">
        <f t="shared" si="5"/>
        <v>693947</v>
      </c>
      <c r="K3757" s="27">
        <f t="shared" si="6"/>
        <v>693977</v>
      </c>
    </row>
    <row r="3758" hidden="1">
      <c r="A3758" s="3" t="str">
        <f t="shared" si="3"/>
        <v/>
      </c>
      <c r="B3758" s="2" t="str">
        <f t="array" ref="B3758">INDEX(helper!$A$3:$A3996,ROUNDUP((ROW()-1)/COUNTA(helper!$D$3:$D3996),0))</f>
        <v/>
      </c>
      <c r="C3758" s="5" t="str">
        <f t="array" ref="C3758">IF(B3758="","",INDEX(helper!$D$3:$D3996,MOD(ROW()-2,COUNTA(helper!$D$3:$D3996))+1))</f>
        <v/>
      </c>
      <c r="D3758" s="3" t="str">
        <f t="array" ref="D3758">IF(B3758="","",INDEX(helper!$E$3:$E3996,MOD(ROW()-2,COUNTA(helper!$D$3:$D3996))+1))</f>
        <v/>
      </c>
      <c r="E3758" s="3" t="str">
        <f t="array" ref="E3758">IF(B3758="","",INDEX(helper!$F$3:$F3996,MOD(ROW()-2,COUNTA(helper!$D$3:$D3996))+1))</f>
        <v/>
      </c>
      <c r="F3758" s="3" t="str">
        <f>IF(B3758="","",SUMIFS('inventory ledger'!$H:$H,'inventory ledger'!$C:$C,C3758,'inventory ledger'!$D:$D,D3758,'inventory ledger'!$E:$E,E3758,'inventory ledger'!$A:$A,"&lt;="&amp;B3758+TIME(23,59,59))-SUMIFS('inventory ledger'!$I:$I,'inventory ledger'!$C:$C,C3758,'inventory ledger'!$D:$D,D3758,'inventory ledger'!$E:$E,E3758,'inventory ledger'!$A:$A,"&lt;="&amp;B3758+TIME(23,59,59)))</f>
        <v/>
      </c>
      <c r="G3758" s="3">
        <f>IFERROR(__xludf.DUMMYFUNCTION("IF(F3758&lt;=0,0,IFERROR(ROUNDUP(F3758/INDEX(FILTER('warehouse config'!$D:$D,('warehouse config'!$B:$B=C3758)*('warehouse config'!$C:$C=D3758)*('warehouse config'!$G:$G&lt;=B3758)*(('warehouse config'!$H:$H&gt;=B3758)+ISBLANK('warehouse config'!$H:$H))),1)),0))"),0.0)</f>
        <v>0</v>
      </c>
      <c r="H3758" s="3">
        <f>IFERROR(__xludf.DUMMYFUNCTION("IFERROR(INDEX(FILTER('cost master'!$E:$E,('cost master'!$B:$B=C3758)*('cost master'!$D:$D=""Storage cost per pallet / week"")*('cost master'!$G:$G&lt;=B3758)*(('cost master'!$H:$H&gt;=B3758)+ISBLANK('cost master'!$H:$H))),1),0)"),0.0)</f>
        <v>0</v>
      </c>
      <c r="I3758" s="3">
        <f t="shared" si="4"/>
        <v>0</v>
      </c>
      <c r="J3758" s="27">
        <f t="shared" si="5"/>
        <v>693947</v>
      </c>
      <c r="K3758" s="27">
        <f t="shared" si="6"/>
        <v>693977</v>
      </c>
    </row>
    <row r="3759" hidden="1">
      <c r="A3759" s="3" t="str">
        <f t="shared" si="3"/>
        <v/>
      </c>
      <c r="B3759" s="2" t="str">
        <f t="array" ref="B3759">INDEX(helper!$A$3:$A3996,ROUNDUP((ROW()-1)/COUNTA(helper!$D$3:$D3996),0))</f>
        <v/>
      </c>
      <c r="C3759" s="5" t="str">
        <f t="array" ref="C3759">IF(B3759="","",INDEX(helper!$D$3:$D3996,MOD(ROW()-2,COUNTA(helper!$D$3:$D3996))+1))</f>
        <v/>
      </c>
      <c r="D3759" s="3" t="str">
        <f t="array" ref="D3759">IF(B3759="","",INDEX(helper!$E$3:$E3996,MOD(ROW()-2,COUNTA(helper!$D$3:$D3996))+1))</f>
        <v/>
      </c>
      <c r="E3759" s="3" t="str">
        <f t="array" ref="E3759">IF(B3759="","",INDEX(helper!$F$3:$F3996,MOD(ROW()-2,COUNTA(helper!$D$3:$D3996))+1))</f>
        <v/>
      </c>
      <c r="F3759" s="3" t="str">
        <f>IF(B3759="","",SUMIFS('inventory ledger'!$H:$H,'inventory ledger'!$C:$C,C3759,'inventory ledger'!$D:$D,D3759,'inventory ledger'!$E:$E,E3759,'inventory ledger'!$A:$A,"&lt;="&amp;B3759+TIME(23,59,59))-SUMIFS('inventory ledger'!$I:$I,'inventory ledger'!$C:$C,C3759,'inventory ledger'!$D:$D,D3759,'inventory ledger'!$E:$E,E3759,'inventory ledger'!$A:$A,"&lt;="&amp;B3759+TIME(23,59,59)))</f>
        <v/>
      </c>
      <c r="G3759" s="3">
        <f>IFERROR(__xludf.DUMMYFUNCTION("IF(F3759&lt;=0,0,IFERROR(ROUNDUP(F3759/INDEX(FILTER('warehouse config'!$D:$D,('warehouse config'!$B:$B=C3759)*('warehouse config'!$C:$C=D3759)*('warehouse config'!$G:$G&lt;=B3759)*(('warehouse config'!$H:$H&gt;=B3759)+ISBLANK('warehouse config'!$H:$H))),1)),0))"),0.0)</f>
        <v>0</v>
      </c>
      <c r="H3759" s="3">
        <f>IFERROR(__xludf.DUMMYFUNCTION("IFERROR(INDEX(FILTER('cost master'!$E:$E,('cost master'!$B:$B=C3759)*('cost master'!$D:$D=""Storage cost per pallet / week"")*('cost master'!$G:$G&lt;=B3759)*(('cost master'!$H:$H&gt;=B3759)+ISBLANK('cost master'!$H:$H))),1),0)"),0.0)</f>
        <v>0</v>
      </c>
      <c r="I3759" s="3">
        <f t="shared" si="4"/>
        <v>0</v>
      </c>
      <c r="J3759" s="27">
        <f t="shared" si="5"/>
        <v>693947</v>
      </c>
      <c r="K3759" s="27">
        <f t="shared" si="6"/>
        <v>693977</v>
      </c>
    </row>
    <row r="3760" hidden="1">
      <c r="A3760" s="3" t="str">
        <f t="shared" si="3"/>
        <v/>
      </c>
      <c r="B3760" s="2" t="str">
        <f t="array" ref="B3760">INDEX(helper!$A$3:$A3996,ROUNDUP((ROW()-1)/COUNTA(helper!$D$3:$D3996),0))</f>
        <v/>
      </c>
      <c r="C3760" s="5" t="str">
        <f t="array" ref="C3760">IF(B3760="","",INDEX(helper!$D$3:$D3996,MOD(ROW()-2,COUNTA(helper!$D$3:$D3996))+1))</f>
        <v/>
      </c>
      <c r="D3760" s="3" t="str">
        <f t="array" ref="D3760">IF(B3760="","",INDEX(helper!$E$3:$E3996,MOD(ROW()-2,COUNTA(helper!$D$3:$D3996))+1))</f>
        <v/>
      </c>
      <c r="E3760" s="3" t="str">
        <f t="array" ref="E3760">IF(B3760="","",INDEX(helper!$F$3:$F3996,MOD(ROW()-2,COUNTA(helper!$D$3:$D3996))+1))</f>
        <v/>
      </c>
      <c r="F3760" s="3" t="str">
        <f>IF(B3760="","",SUMIFS('inventory ledger'!$H:$H,'inventory ledger'!$C:$C,C3760,'inventory ledger'!$D:$D,D3760,'inventory ledger'!$E:$E,E3760,'inventory ledger'!$A:$A,"&lt;="&amp;B3760+TIME(23,59,59))-SUMIFS('inventory ledger'!$I:$I,'inventory ledger'!$C:$C,C3760,'inventory ledger'!$D:$D,D3760,'inventory ledger'!$E:$E,E3760,'inventory ledger'!$A:$A,"&lt;="&amp;B3760+TIME(23,59,59)))</f>
        <v/>
      </c>
      <c r="G3760" s="3">
        <f>IFERROR(__xludf.DUMMYFUNCTION("IF(F3760&lt;=0,0,IFERROR(ROUNDUP(F3760/INDEX(FILTER('warehouse config'!$D:$D,('warehouse config'!$B:$B=C3760)*('warehouse config'!$C:$C=D3760)*('warehouse config'!$G:$G&lt;=B3760)*(('warehouse config'!$H:$H&gt;=B3760)+ISBLANK('warehouse config'!$H:$H))),1)),0))"),0.0)</f>
        <v>0</v>
      </c>
      <c r="H3760" s="3">
        <f>IFERROR(__xludf.DUMMYFUNCTION("IFERROR(INDEX(FILTER('cost master'!$E:$E,('cost master'!$B:$B=C3760)*('cost master'!$D:$D=""Storage cost per pallet / week"")*('cost master'!$G:$G&lt;=B3760)*(('cost master'!$H:$H&gt;=B3760)+ISBLANK('cost master'!$H:$H))),1),0)"),0.0)</f>
        <v>0</v>
      </c>
      <c r="I3760" s="3">
        <f t="shared" si="4"/>
        <v>0</v>
      </c>
      <c r="J3760" s="27">
        <f t="shared" si="5"/>
        <v>693947</v>
      </c>
      <c r="K3760" s="27">
        <f t="shared" si="6"/>
        <v>693977</v>
      </c>
    </row>
    <row r="3761" hidden="1">
      <c r="A3761" s="3" t="str">
        <f t="shared" si="3"/>
        <v/>
      </c>
      <c r="B3761" s="2" t="str">
        <f t="array" ref="B3761">INDEX(helper!$A$3:$A3996,ROUNDUP((ROW()-1)/COUNTA(helper!$D$3:$D3996),0))</f>
        <v/>
      </c>
      <c r="C3761" s="5" t="str">
        <f t="array" ref="C3761">IF(B3761="","",INDEX(helper!$D$3:$D3996,MOD(ROW()-2,COUNTA(helper!$D$3:$D3996))+1))</f>
        <v/>
      </c>
      <c r="D3761" s="3" t="str">
        <f t="array" ref="D3761">IF(B3761="","",INDEX(helper!$E$3:$E3996,MOD(ROW()-2,COUNTA(helper!$D$3:$D3996))+1))</f>
        <v/>
      </c>
      <c r="E3761" s="3" t="str">
        <f t="array" ref="E3761">IF(B3761="","",INDEX(helper!$F$3:$F3996,MOD(ROW()-2,COUNTA(helper!$D$3:$D3996))+1))</f>
        <v/>
      </c>
      <c r="F3761" s="3" t="str">
        <f>IF(B3761="","",SUMIFS('inventory ledger'!$H:$H,'inventory ledger'!$C:$C,C3761,'inventory ledger'!$D:$D,D3761,'inventory ledger'!$E:$E,E3761,'inventory ledger'!$A:$A,"&lt;="&amp;B3761+TIME(23,59,59))-SUMIFS('inventory ledger'!$I:$I,'inventory ledger'!$C:$C,C3761,'inventory ledger'!$D:$D,D3761,'inventory ledger'!$E:$E,E3761,'inventory ledger'!$A:$A,"&lt;="&amp;B3761+TIME(23,59,59)))</f>
        <v/>
      </c>
      <c r="G3761" s="3">
        <f>IFERROR(__xludf.DUMMYFUNCTION("IF(F3761&lt;=0,0,IFERROR(ROUNDUP(F3761/INDEX(FILTER('warehouse config'!$D:$D,('warehouse config'!$B:$B=C3761)*('warehouse config'!$C:$C=D3761)*('warehouse config'!$G:$G&lt;=B3761)*(('warehouse config'!$H:$H&gt;=B3761)+ISBLANK('warehouse config'!$H:$H))),1)),0))"),0.0)</f>
        <v>0</v>
      </c>
      <c r="H3761" s="3">
        <f>IFERROR(__xludf.DUMMYFUNCTION("IFERROR(INDEX(FILTER('cost master'!$E:$E,('cost master'!$B:$B=C3761)*('cost master'!$D:$D=""Storage cost per pallet / week"")*('cost master'!$G:$G&lt;=B3761)*(('cost master'!$H:$H&gt;=B3761)+ISBLANK('cost master'!$H:$H))),1),0)"),0.0)</f>
        <v>0</v>
      </c>
      <c r="I3761" s="3">
        <f t="shared" si="4"/>
        <v>0</v>
      </c>
      <c r="J3761" s="27">
        <f t="shared" si="5"/>
        <v>693947</v>
      </c>
      <c r="K3761" s="27">
        <f t="shared" si="6"/>
        <v>693977</v>
      </c>
    </row>
    <row r="3762" hidden="1">
      <c r="A3762" s="3" t="str">
        <f t="shared" si="3"/>
        <v/>
      </c>
      <c r="B3762" s="2" t="str">
        <f t="array" ref="B3762">INDEX(helper!$A$3:$A3996,ROUNDUP((ROW()-1)/COUNTA(helper!$D$3:$D3996),0))</f>
        <v/>
      </c>
      <c r="C3762" s="5" t="str">
        <f t="array" ref="C3762">IF(B3762="","",INDEX(helper!$D$3:$D3996,MOD(ROW()-2,COUNTA(helper!$D$3:$D3996))+1))</f>
        <v/>
      </c>
      <c r="D3762" s="3" t="str">
        <f t="array" ref="D3762">IF(B3762="","",INDEX(helper!$E$3:$E3996,MOD(ROW()-2,COUNTA(helper!$D$3:$D3996))+1))</f>
        <v/>
      </c>
      <c r="E3762" s="3" t="str">
        <f t="array" ref="E3762">IF(B3762="","",INDEX(helper!$F$3:$F3996,MOD(ROW()-2,COUNTA(helper!$D$3:$D3996))+1))</f>
        <v/>
      </c>
      <c r="F3762" s="3" t="str">
        <f>IF(B3762="","",SUMIFS('inventory ledger'!$H:$H,'inventory ledger'!$C:$C,C3762,'inventory ledger'!$D:$D,D3762,'inventory ledger'!$E:$E,E3762,'inventory ledger'!$A:$A,"&lt;="&amp;B3762+TIME(23,59,59))-SUMIFS('inventory ledger'!$I:$I,'inventory ledger'!$C:$C,C3762,'inventory ledger'!$D:$D,D3762,'inventory ledger'!$E:$E,E3762,'inventory ledger'!$A:$A,"&lt;="&amp;B3762+TIME(23,59,59)))</f>
        <v/>
      </c>
      <c r="G3762" s="3">
        <f>IFERROR(__xludf.DUMMYFUNCTION("IF(F3762&lt;=0,0,IFERROR(ROUNDUP(F3762/INDEX(FILTER('warehouse config'!$D:$D,('warehouse config'!$B:$B=C3762)*('warehouse config'!$C:$C=D3762)*('warehouse config'!$G:$G&lt;=B3762)*(('warehouse config'!$H:$H&gt;=B3762)+ISBLANK('warehouse config'!$H:$H))),1)),0))"),0.0)</f>
        <v>0</v>
      </c>
      <c r="H3762" s="3">
        <f>IFERROR(__xludf.DUMMYFUNCTION("IFERROR(INDEX(FILTER('cost master'!$E:$E,('cost master'!$B:$B=C3762)*('cost master'!$D:$D=""Storage cost per pallet / week"")*('cost master'!$G:$G&lt;=B3762)*(('cost master'!$H:$H&gt;=B3762)+ISBLANK('cost master'!$H:$H))),1),0)"),0.0)</f>
        <v>0</v>
      </c>
      <c r="I3762" s="3">
        <f t="shared" si="4"/>
        <v>0</v>
      </c>
      <c r="J3762" s="27">
        <f t="shared" si="5"/>
        <v>693947</v>
      </c>
      <c r="K3762" s="27">
        <f t="shared" si="6"/>
        <v>693977</v>
      </c>
    </row>
    <row r="3763" hidden="1">
      <c r="A3763" s="3" t="str">
        <f t="shared" si="3"/>
        <v/>
      </c>
      <c r="B3763" s="2" t="str">
        <f t="array" ref="B3763">INDEX(helper!$A$3:$A3996,ROUNDUP((ROW()-1)/COUNTA(helper!$D$3:$D3996),0))</f>
        <v/>
      </c>
      <c r="C3763" s="5" t="str">
        <f t="array" ref="C3763">IF(B3763="","",INDEX(helper!$D$3:$D3996,MOD(ROW()-2,COUNTA(helper!$D$3:$D3996))+1))</f>
        <v/>
      </c>
      <c r="D3763" s="3" t="str">
        <f t="array" ref="D3763">IF(B3763="","",INDEX(helper!$E$3:$E3996,MOD(ROW()-2,COUNTA(helper!$D$3:$D3996))+1))</f>
        <v/>
      </c>
      <c r="E3763" s="3" t="str">
        <f t="array" ref="E3763">IF(B3763="","",INDEX(helper!$F$3:$F3996,MOD(ROW()-2,COUNTA(helper!$D$3:$D3996))+1))</f>
        <v/>
      </c>
      <c r="F3763" s="3" t="str">
        <f>IF(B3763="","",SUMIFS('inventory ledger'!$H:$H,'inventory ledger'!$C:$C,C3763,'inventory ledger'!$D:$D,D3763,'inventory ledger'!$E:$E,E3763,'inventory ledger'!$A:$A,"&lt;="&amp;B3763+TIME(23,59,59))-SUMIFS('inventory ledger'!$I:$I,'inventory ledger'!$C:$C,C3763,'inventory ledger'!$D:$D,D3763,'inventory ledger'!$E:$E,E3763,'inventory ledger'!$A:$A,"&lt;="&amp;B3763+TIME(23,59,59)))</f>
        <v/>
      </c>
      <c r="G3763" s="3">
        <f>IFERROR(__xludf.DUMMYFUNCTION("IF(F3763&lt;=0,0,IFERROR(ROUNDUP(F3763/INDEX(FILTER('warehouse config'!$D:$D,('warehouse config'!$B:$B=C3763)*('warehouse config'!$C:$C=D3763)*('warehouse config'!$G:$G&lt;=B3763)*(('warehouse config'!$H:$H&gt;=B3763)+ISBLANK('warehouse config'!$H:$H))),1)),0))"),0.0)</f>
        <v>0</v>
      </c>
      <c r="H3763" s="3">
        <f>IFERROR(__xludf.DUMMYFUNCTION("IFERROR(INDEX(FILTER('cost master'!$E:$E,('cost master'!$B:$B=C3763)*('cost master'!$D:$D=""Storage cost per pallet / week"")*('cost master'!$G:$G&lt;=B3763)*(('cost master'!$H:$H&gt;=B3763)+ISBLANK('cost master'!$H:$H))),1),0)"),0.0)</f>
        <v>0</v>
      </c>
      <c r="I3763" s="3">
        <f t="shared" si="4"/>
        <v>0</v>
      </c>
      <c r="J3763" s="27">
        <f t="shared" si="5"/>
        <v>693947</v>
      </c>
      <c r="K3763" s="27">
        <f t="shared" si="6"/>
        <v>693977</v>
      </c>
    </row>
    <row r="3764" hidden="1">
      <c r="A3764" s="3" t="str">
        <f t="shared" si="3"/>
        <v/>
      </c>
      <c r="B3764" s="2" t="str">
        <f t="array" ref="B3764">INDEX(helper!$A$3:$A3996,ROUNDUP((ROW()-1)/COUNTA(helper!$D$3:$D3996),0))</f>
        <v/>
      </c>
      <c r="C3764" s="5" t="str">
        <f t="array" ref="C3764">IF(B3764="","",INDEX(helper!$D$3:$D3996,MOD(ROW()-2,COUNTA(helper!$D$3:$D3996))+1))</f>
        <v/>
      </c>
      <c r="D3764" s="3" t="str">
        <f t="array" ref="D3764">IF(B3764="","",INDEX(helper!$E$3:$E3996,MOD(ROW()-2,COUNTA(helper!$D$3:$D3996))+1))</f>
        <v/>
      </c>
      <c r="E3764" s="3" t="str">
        <f t="array" ref="E3764">IF(B3764="","",INDEX(helper!$F$3:$F3996,MOD(ROW()-2,COUNTA(helper!$D$3:$D3996))+1))</f>
        <v/>
      </c>
      <c r="F3764" s="3" t="str">
        <f>IF(B3764="","",SUMIFS('inventory ledger'!$H:$H,'inventory ledger'!$C:$C,C3764,'inventory ledger'!$D:$D,D3764,'inventory ledger'!$E:$E,E3764,'inventory ledger'!$A:$A,"&lt;="&amp;B3764+TIME(23,59,59))-SUMIFS('inventory ledger'!$I:$I,'inventory ledger'!$C:$C,C3764,'inventory ledger'!$D:$D,D3764,'inventory ledger'!$E:$E,E3764,'inventory ledger'!$A:$A,"&lt;="&amp;B3764+TIME(23,59,59)))</f>
        <v/>
      </c>
      <c r="G3764" s="3">
        <f>IFERROR(__xludf.DUMMYFUNCTION("IF(F3764&lt;=0,0,IFERROR(ROUNDUP(F3764/INDEX(FILTER('warehouse config'!$D:$D,('warehouse config'!$B:$B=C3764)*('warehouse config'!$C:$C=D3764)*('warehouse config'!$G:$G&lt;=B3764)*(('warehouse config'!$H:$H&gt;=B3764)+ISBLANK('warehouse config'!$H:$H))),1)),0))"),0.0)</f>
        <v>0</v>
      </c>
      <c r="H3764" s="3">
        <f>IFERROR(__xludf.DUMMYFUNCTION("IFERROR(INDEX(FILTER('cost master'!$E:$E,('cost master'!$B:$B=C3764)*('cost master'!$D:$D=""Storage cost per pallet / week"")*('cost master'!$G:$G&lt;=B3764)*(('cost master'!$H:$H&gt;=B3764)+ISBLANK('cost master'!$H:$H))),1),0)"),0.0)</f>
        <v>0</v>
      </c>
      <c r="I3764" s="3">
        <f t="shared" si="4"/>
        <v>0</v>
      </c>
      <c r="J3764" s="27">
        <f t="shared" si="5"/>
        <v>693947</v>
      </c>
      <c r="K3764" s="27">
        <f t="shared" si="6"/>
        <v>693977</v>
      </c>
    </row>
    <row r="3765" hidden="1">
      <c r="A3765" s="3" t="str">
        <f t="shared" si="3"/>
        <v/>
      </c>
      <c r="B3765" s="2" t="str">
        <f t="array" ref="B3765">INDEX(helper!$A$3:$A3996,ROUNDUP((ROW()-1)/COUNTA(helper!$D$3:$D3996),0))</f>
        <v/>
      </c>
      <c r="C3765" s="5" t="str">
        <f t="array" ref="C3765">IF(B3765="","",INDEX(helper!$D$3:$D3996,MOD(ROW()-2,COUNTA(helper!$D$3:$D3996))+1))</f>
        <v/>
      </c>
      <c r="D3765" s="3" t="str">
        <f t="array" ref="D3765">IF(B3765="","",INDEX(helper!$E$3:$E3996,MOD(ROW()-2,COUNTA(helper!$D$3:$D3996))+1))</f>
        <v/>
      </c>
      <c r="E3765" s="3" t="str">
        <f t="array" ref="E3765">IF(B3765="","",INDEX(helper!$F$3:$F3996,MOD(ROW()-2,COUNTA(helper!$D$3:$D3996))+1))</f>
        <v/>
      </c>
      <c r="F3765" s="3" t="str">
        <f>IF(B3765="","",SUMIFS('inventory ledger'!$H:$H,'inventory ledger'!$C:$C,C3765,'inventory ledger'!$D:$D,D3765,'inventory ledger'!$E:$E,E3765,'inventory ledger'!$A:$A,"&lt;="&amp;B3765+TIME(23,59,59))-SUMIFS('inventory ledger'!$I:$I,'inventory ledger'!$C:$C,C3765,'inventory ledger'!$D:$D,D3765,'inventory ledger'!$E:$E,E3765,'inventory ledger'!$A:$A,"&lt;="&amp;B3765+TIME(23,59,59)))</f>
        <v/>
      </c>
      <c r="G3765" s="3">
        <f>IFERROR(__xludf.DUMMYFUNCTION("IF(F3765&lt;=0,0,IFERROR(ROUNDUP(F3765/INDEX(FILTER('warehouse config'!$D:$D,('warehouse config'!$B:$B=C3765)*('warehouse config'!$C:$C=D3765)*('warehouse config'!$G:$G&lt;=B3765)*(('warehouse config'!$H:$H&gt;=B3765)+ISBLANK('warehouse config'!$H:$H))),1)),0))"),0.0)</f>
        <v>0</v>
      </c>
      <c r="H3765" s="3">
        <f>IFERROR(__xludf.DUMMYFUNCTION("IFERROR(INDEX(FILTER('cost master'!$E:$E,('cost master'!$B:$B=C3765)*('cost master'!$D:$D=""Storage cost per pallet / week"")*('cost master'!$G:$G&lt;=B3765)*(('cost master'!$H:$H&gt;=B3765)+ISBLANK('cost master'!$H:$H))),1),0)"),0.0)</f>
        <v>0</v>
      </c>
      <c r="I3765" s="3">
        <f t="shared" si="4"/>
        <v>0</v>
      </c>
      <c r="J3765" s="27">
        <f t="shared" si="5"/>
        <v>693947</v>
      </c>
      <c r="K3765" s="27">
        <f t="shared" si="6"/>
        <v>693977</v>
      </c>
    </row>
    <row r="3766" hidden="1">
      <c r="A3766" s="3" t="str">
        <f t="shared" si="3"/>
        <v/>
      </c>
      <c r="B3766" s="2" t="str">
        <f t="array" ref="B3766">INDEX(helper!$A$3:$A3996,ROUNDUP((ROW()-1)/COUNTA(helper!$D$3:$D3996),0))</f>
        <v/>
      </c>
      <c r="C3766" s="5" t="str">
        <f t="array" ref="C3766">IF(B3766="","",INDEX(helper!$D$3:$D3996,MOD(ROW()-2,COUNTA(helper!$D$3:$D3996))+1))</f>
        <v/>
      </c>
      <c r="D3766" s="3" t="str">
        <f t="array" ref="D3766">IF(B3766="","",INDEX(helper!$E$3:$E3996,MOD(ROW()-2,COUNTA(helper!$D$3:$D3996))+1))</f>
        <v/>
      </c>
      <c r="E3766" s="3" t="str">
        <f t="array" ref="E3766">IF(B3766="","",INDEX(helper!$F$3:$F3996,MOD(ROW()-2,COUNTA(helper!$D$3:$D3996))+1))</f>
        <v/>
      </c>
      <c r="F3766" s="3" t="str">
        <f>IF(B3766="","",SUMIFS('inventory ledger'!$H:$H,'inventory ledger'!$C:$C,C3766,'inventory ledger'!$D:$D,D3766,'inventory ledger'!$E:$E,E3766,'inventory ledger'!$A:$A,"&lt;="&amp;B3766+TIME(23,59,59))-SUMIFS('inventory ledger'!$I:$I,'inventory ledger'!$C:$C,C3766,'inventory ledger'!$D:$D,D3766,'inventory ledger'!$E:$E,E3766,'inventory ledger'!$A:$A,"&lt;="&amp;B3766+TIME(23,59,59)))</f>
        <v/>
      </c>
      <c r="G3766" s="3">
        <f>IFERROR(__xludf.DUMMYFUNCTION("IF(F3766&lt;=0,0,IFERROR(ROUNDUP(F3766/INDEX(FILTER('warehouse config'!$D:$D,('warehouse config'!$B:$B=C3766)*('warehouse config'!$C:$C=D3766)*('warehouse config'!$G:$G&lt;=B3766)*(('warehouse config'!$H:$H&gt;=B3766)+ISBLANK('warehouse config'!$H:$H))),1)),0))"),0.0)</f>
        <v>0</v>
      </c>
      <c r="H3766" s="3">
        <f>IFERROR(__xludf.DUMMYFUNCTION("IFERROR(INDEX(FILTER('cost master'!$E:$E,('cost master'!$B:$B=C3766)*('cost master'!$D:$D=""Storage cost per pallet / week"")*('cost master'!$G:$G&lt;=B3766)*(('cost master'!$H:$H&gt;=B3766)+ISBLANK('cost master'!$H:$H))),1),0)"),0.0)</f>
        <v>0</v>
      </c>
      <c r="I3766" s="3">
        <f t="shared" si="4"/>
        <v>0</v>
      </c>
      <c r="J3766" s="27">
        <f t="shared" si="5"/>
        <v>693947</v>
      </c>
      <c r="K3766" s="27">
        <f t="shared" si="6"/>
        <v>693977</v>
      </c>
    </row>
    <row r="3767" hidden="1">
      <c r="A3767" s="3" t="str">
        <f t="shared" si="3"/>
        <v/>
      </c>
      <c r="B3767" s="2" t="str">
        <f t="array" ref="B3767">INDEX(helper!$A$3:$A3996,ROUNDUP((ROW()-1)/COUNTA(helper!$D$3:$D3996),0))</f>
        <v/>
      </c>
      <c r="C3767" s="5" t="str">
        <f t="array" ref="C3767">IF(B3767="","",INDEX(helper!$D$3:$D3996,MOD(ROW()-2,COUNTA(helper!$D$3:$D3996))+1))</f>
        <v/>
      </c>
      <c r="D3767" s="3" t="str">
        <f t="array" ref="D3767">IF(B3767="","",INDEX(helper!$E$3:$E3996,MOD(ROW()-2,COUNTA(helper!$D$3:$D3996))+1))</f>
        <v/>
      </c>
      <c r="E3767" s="3" t="str">
        <f t="array" ref="E3767">IF(B3767="","",INDEX(helper!$F$3:$F3996,MOD(ROW()-2,COUNTA(helper!$D$3:$D3996))+1))</f>
        <v/>
      </c>
      <c r="F3767" s="3" t="str">
        <f>IF(B3767="","",SUMIFS('inventory ledger'!$H:$H,'inventory ledger'!$C:$C,C3767,'inventory ledger'!$D:$D,D3767,'inventory ledger'!$E:$E,E3767,'inventory ledger'!$A:$A,"&lt;="&amp;B3767+TIME(23,59,59))-SUMIFS('inventory ledger'!$I:$I,'inventory ledger'!$C:$C,C3767,'inventory ledger'!$D:$D,D3767,'inventory ledger'!$E:$E,E3767,'inventory ledger'!$A:$A,"&lt;="&amp;B3767+TIME(23,59,59)))</f>
        <v/>
      </c>
      <c r="G3767" s="3">
        <f>IFERROR(__xludf.DUMMYFUNCTION("IF(F3767&lt;=0,0,IFERROR(ROUNDUP(F3767/INDEX(FILTER('warehouse config'!$D:$D,('warehouse config'!$B:$B=C3767)*('warehouse config'!$C:$C=D3767)*('warehouse config'!$G:$G&lt;=B3767)*(('warehouse config'!$H:$H&gt;=B3767)+ISBLANK('warehouse config'!$H:$H))),1)),0))"),0.0)</f>
        <v>0</v>
      </c>
      <c r="H3767" s="3">
        <f>IFERROR(__xludf.DUMMYFUNCTION("IFERROR(INDEX(FILTER('cost master'!$E:$E,('cost master'!$B:$B=C3767)*('cost master'!$D:$D=""Storage cost per pallet / week"")*('cost master'!$G:$G&lt;=B3767)*(('cost master'!$H:$H&gt;=B3767)+ISBLANK('cost master'!$H:$H))),1),0)"),0.0)</f>
        <v>0</v>
      </c>
      <c r="I3767" s="3">
        <f t="shared" si="4"/>
        <v>0</v>
      </c>
      <c r="J3767" s="27">
        <f t="shared" si="5"/>
        <v>693947</v>
      </c>
      <c r="K3767" s="27">
        <f t="shared" si="6"/>
        <v>693977</v>
      </c>
    </row>
    <row r="3768" hidden="1">
      <c r="A3768" s="3" t="str">
        <f t="shared" si="3"/>
        <v/>
      </c>
      <c r="B3768" s="2" t="str">
        <f t="array" ref="B3768">INDEX(helper!$A$3:$A3996,ROUNDUP((ROW()-1)/COUNTA(helper!$D$3:$D3996),0))</f>
        <v/>
      </c>
      <c r="C3768" s="5" t="str">
        <f t="array" ref="C3768">IF(B3768="","",INDEX(helper!$D$3:$D3996,MOD(ROW()-2,COUNTA(helper!$D$3:$D3996))+1))</f>
        <v/>
      </c>
      <c r="D3768" s="3" t="str">
        <f t="array" ref="D3768">IF(B3768="","",INDEX(helper!$E$3:$E3996,MOD(ROW()-2,COUNTA(helper!$D$3:$D3996))+1))</f>
        <v/>
      </c>
      <c r="E3768" s="3" t="str">
        <f t="array" ref="E3768">IF(B3768="","",INDEX(helper!$F$3:$F3996,MOD(ROW()-2,COUNTA(helper!$D$3:$D3996))+1))</f>
        <v/>
      </c>
      <c r="F3768" s="3" t="str">
        <f>IF(B3768="","",SUMIFS('inventory ledger'!$H:$H,'inventory ledger'!$C:$C,C3768,'inventory ledger'!$D:$D,D3768,'inventory ledger'!$E:$E,E3768,'inventory ledger'!$A:$A,"&lt;="&amp;B3768+TIME(23,59,59))-SUMIFS('inventory ledger'!$I:$I,'inventory ledger'!$C:$C,C3768,'inventory ledger'!$D:$D,D3768,'inventory ledger'!$E:$E,E3768,'inventory ledger'!$A:$A,"&lt;="&amp;B3768+TIME(23,59,59)))</f>
        <v/>
      </c>
      <c r="G3768" s="3">
        <f>IFERROR(__xludf.DUMMYFUNCTION("IF(F3768&lt;=0,0,IFERROR(ROUNDUP(F3768/INDEX(FILTER('warehouse config'!$D:$D,('warehouse config'!$B:$B=C3768)*('warehouse config'!$C:$C=D3768)*('warehouse config'!$G:$G&lt;=B3768)*(('warehouse config'!$H:$H&gt;=B3768)+ISBLANK('warehouse config'!$H:$H))),1)),0))"),0.0)</f>
        <v>0</v>
      </c>
      <c r="H3768" s="3">
        <f>IFERROR(__xludf.DUMMYFUNCTION("IFERROR(INDEX(FILTER('cost master'!$E:$E,('cost master'!$B:$B=C3768)*('cost master'!$D:$D=""Storage cost per pallet / week"")*('cost master'!$G:$G&lt;=B3768)*(('cost master'!$H:$H&gt;=B3768)+ISBLANK('cost master'!$H:$H))),1),0)"),0.0)</f>
        <v>0</v>
      </c>
      <c r="I3768" s="3">
        <f t="shared" si="4"/>
        <v>0</v>
      </c>
      <c r="J3768" s="27">
        <f t="shared" si="5"/>
        <v>693947</v>
      </c>
      <c r="K3768" s="27">
        <f t="shared" si="6"/>
        <v>693977</v>
      </c>
    </row>
    <row r="3769" hidden="1">
      <c r="A3769" s="3" t="str">
        <f t="shared" si="3"/>
        <v/>
      </c>
      <c r="B3769" s="2" t="str">
        <f t="array" ref="B3769">INDEX(helper!$A$3:$A3996,ROUNDUP((ROW()-1)/COUNTA(helper!$D$3:$D3996),0))</f>
        <v/>
      </c>
      <c r="C3769" s="5" t="str">
        <f t="array" ref="C3769">IF(B3769="","",INDEX(helper!$D$3:$D3996,MOD(ROW()-2,COUNTA(helper!$D$3:$D3996))+1))</f>
        <v/>
      </c>
      <c r="D3769" s="3" t="str">
        <f t="array" ref="D3769">IF(B3769="","",INDEX(helper!$E$3:$E3996,MOD(ROW()-2,COUNTA(helper!$D$3:$D3996))+1))</f>
        <v/>
      </c>
      <c r="E3769" s="3" t="str">
        <f t="array" ref="E3769">IF(B3769="","",INDEX(helper!$F$3:$F3996,MOD(ROW()-2,COUNTA(helper!$D$3:$D3996))+1))</f>
        <v/>
      </c>
      <c r="F3769" s="3" t="str">
        <f>IF(B3769="","",SUMIFS('inventory ledger'!$H:$H,'inventory ledger'!$C:$C,C3769,'inventory ledger'!$D:$D,D3769,'inventory ledger'!$E:$E,E3769,'inventory ledger'!$A:$A,"&lt;="&amp;B3769+TIME(23,59,59))-SUMIFS('inventory ledger'!$I:$I,'inventory ledger'!$C:$C,C3769,'inventory ledger'!$D:$D,D3769,'inventory ledger'!$E:$E,E3769,'inventory ledger'!$A:$A,"&lt;="&amp;B3769+TIME(23,59,59)))</f>
        <v/>
      </c>
      <c r="G3769" s="3">
        <f>IFERROR(__xludf.DUMMYFUNCTION("IF(F3769&lt;=0,0,IFERROR(ROUNDUP(F3769/INDEX(FILTER('warehouse config'!$D:$D,('warehouse config'!$B:$B=C3769)*('warehouse config'!$C:$C=D3769)*('warehouse config'!$G:$G&lt;=B3769)*(('warehouse config'!$H:$H&gt;=B3769)+ISBLANK('warehouse config'!$H:$H))),1)),0))"),0.0)</f>
        <v>0</v>
      </c>
      <c r="H3769" s="3">
        <f>IFERROR(__xludf.DUMMYFUNCTION("IFERROR(INDEX(FILTER('cost master'!$E:$E,('cost master'!$B:$B=C3769)*('cost master'!$D:$D=""Storage cost per pallet / week"")*('cost master'!$G:$G&lt;=B3769)*(('cost master'!$H:$H&gt;=B3769)+ISBLANK('cost master'!$H:$H))),1),0)"),0.0)</f>
        <v>0</v>
      </c>
      <c r="I3769" s="3">
        <f t="shared" si="4"/>
        <v>0</v>
      </c>
      <c r="J3769" s="27">
        <f t="shared" si="5"/>
        <v>693947</v>
      </c>
      <c r="K3769" s="27">
        <f t="shared" si="6"/>
        <v>693977</v>
      </c>
    </row>
    <row r="3770" hidden="1">
      <c r="A3770" s="3" t="str">
        <f t="shared" si="3"/>
        <v/>
      </c>
      <c r="B3770" s="2" t="str">
        <f t="array" ref="B3770">INDEX(helper!$A$3:$A3996,ROUNDUP((ROW()-1)/COUNTA(helper!$D$3:$D3996),0))</f>
        <v/>
      </c>
      <c r="C3770" s="5" t="str">
        <f t="array" ref="C3770">IF(B3770="","",INDEX(helper!$D$3:$D3996,MOD(ROW()-2,COUNTA(helper!$D$3:$D3996))+1))</f>
        <v/>
      </c>
      <c r="D3770" s="3" t="str">
        <f t="array" ref="D3770">IF(B3770="","",INDEX(helper!$E$3:$E3996,MOD(ROW()-2,COUNTA(helper!$D$3:$D3996))+1))</f>
        <v/>
      </c>
      <c r="E3770" s="3" t="str">
        <f t="array" ref="E3770">IF(B3770="","",INDEX(helper!$F$3:$F3996,MOD(ROW()-2,COUNTA(helper!$D$3:$D3996))+1))</f>
        <v/>
      </c>
      <c r="F3770" s="3" t="str">
        <f>IF(B3770="","",SUMIFS('inventory ledger'!$H:$H,'inventory ledger'!$C:$C,C3770,'inventory ledger'!$D:$D,D3770,'inventory ledger'!$E:$E,E3770,'inventory ledger'!$A:$A,"&lt;="&amp;B3770+TIME(23,59,59))-SUMIFS('inventory ledger'!$I:$I,'inventory ledger'!$C:$C,C3770,'inventory ledger'!$D:$D,D3770,'inventory ledger'!$E:$E,E3770,'inventory ledger'!$A:$A,"&lt;="&amp;B3770+TIME(23,59,59)))</f>
        <v/>
      </c>
      <c r="G3770" s="3">
        <f>IFERROR(__xludf.DUMMYFUNCTION("IF(F3770&lt;=0,0,IFERROR(ROUNDUP(F3770/INDEX(FILTER('warehouse config'!$D:$D,('warehouse config'!$B:$B=C3770)*('warehouse config'!$C:$C=D3770)*('warehouse config'!$G:$G&lt;=B3770)*(('warehouse config'!$H:$H&gt;=B3770)+ISBLANK('warehouse config'!$H:$H))),1)),0))"),0.0)</f>
        <v>0</v>
      </c>
      <c r="H3770" s="3">
        <f>IFERROR(__xludf.DUMMYFUNCTION("IFERROR(INDEX(FILTER('cost master'!$E:$E,('cost master'!$B:$B=C3770)*('cost master'!$D:$D=""Storage cost per pallet / week"")*('cost master'!$G:$G&lt;=B3770)*(('cost master'!$H:$H&gt;=B3770)+ISBLANK('cost master'!$H:$H))),1),0)"),0.0)</f>
        <v>0</v>
      </c>
      <c r="I3770" s="3">
        <f t="shared" si="4"/>
        <v>0</v>
      </c>
      <c r="J3770" s="27">
        <f t="shared" si="5"/>
        <v>693947</v>
      </c>
      <c r="K3770" s="27">
        <f t="shared" si="6"/>
        <v>693977</v>
      </c>
    </row>
    <row r="3771" hidden="1">
      <c r="A3771" s="3" t="str">
        <f t="shared" si="3"/>
        <v/>
      </c>
      <c r="B3771" s="2" t="str">
        <f t="array" ref="B3771">INDEX(helper!$A$3:$A3996,ROUNDUP((ROW()-1)/COUNTA(helper!$D$3:$D3996),0))</f>
        <v/>
      </c>
      <c r="C3771" s="5" t="str">
        <f t="array" ref="C3771">IF(B3771="","",INDEX(helper!$D$3:$D3996,MOD(ROW()-2,COUNTA(helper!$D$3:$D3996))+1))</f>
        <v/>
      </c>
      <c r="D3771" s="3" t="str">
        <f t="array" ref="D3771">IF(B3771="","",INDEX(helper!$E$3:$E3996,MOD(ROW()-2,COUNTA(helper!$D$3:$D3996))+1))</f>
        <v/>
      </c>
      <c r="E3771" s="3" t="str">
        <f t="array" ref="E3771">IF(B3771="","",INDEX(helper!$F$3:$F3996,MOD(ROW()-2,COUNTA(helper!$D$3:$D3996))+1))</f>
        <v/>
      </c>
      <c r="F3771" s="3" t="str">
        <f>IF(B3771="","",SUMIFS('inventory ledger'!$H:$H,'inventory ledger'!$C:$C,C3771,'inventory ledger'!$D:$D,D3771,'inventory ledger'!$E:$E,E3771,'inventory ledger'!$A:$A,"&lt;="&amp;B3771+TIME(23,59,59))-SUMIFS('inventory ledger'!$I:$I,'inventory ledger'!$C:$C,C3771,'inventory ledger'!$D:$D,D3771,'inventory ledger'!$E:$E,E3771,'inventory ledger'!$A:$A,"&lt;="&amp;B3771+TIME(23,59,59)))</f>
        <v/>
      </c>
      <c r="G3771" s="3">
        <f>IFERROR(__xludf.DUMMYFUNCTION("IF(F3771&lt;=0,0,IFERROR(ROUNDUP(F3771/INDEX(FILTER('warehouse config'!$D:$D,('warehouse config'!$B:$B=C3771)*('warehouse config'!$C:$C=D3771)*('warehouse config'!$G:$G&lt;=B3771)*(('warehouse config'!$H:$H&gt;=B3771)+ISBLANK('warehouse config'!$H:$H))),1)),0))"),0.0)</f>
        <v>0</v>
      </c>
      <c r="H3771" s="3">
        <f>IFERROR(__xludf.DUMMYFUNCTION("IFERROR(INDEX(FILTER('cost master'!$E:$E,('cost master'!$B:$B=C3771)*('cost master'!$D:$D=""Storage cost per pallet / week"")*('cost master'!$G:$G&lt;=B3771)*(('cost master'!$H:$H&gt;=B3771)+ISBLANK('cost master'!$H:$H))),1),0)"),0.0)</f>
        <v>0</v>
      </c>
      <c r="I3771" s="3">
        <f t="shared" si="4"/>
        <v>0</v>
      </c>
      <c r="J3771" s="27">
        <f t="shared" si="5"/>
        <v>693947</v>
      </c>
      <c r="K3771" s="27">
        <f t="shared" si="6"/>
        <v>693977</v>
      </c>
    </row>
    <row r="3772" hidden="1">
      <c r="A3772" s="3" t="str">
        <f t="shared" si="3"/>
        <v/>
      </c>
      <c r="B3772" s="2" t="str">
        <f t="array" ref="B3772">INDEX(helper!$A$3:$A3996,ROUNDUP((ROW()-1)/COUNTA(helper!$D$3:$D3996),0))</f>
        <v/>
      </c>
      <c r="C3772" s="5" t="str">
        <f t="array" ref="C3772">IF(B3772="","",INDEX(helper!$D$3:$D3996,MOD(ROW()-2,COUNTA(helper!$D$3:$D3996))+1))</f>
        <v/>
      </c>
      <c r="D3772" s="3" t="str">
        <f t="array" ref="D3772">IF(B3772="","",INDEX(helper!$E$3:$E3996,MOD(ROW()-2,COUNTA(helper!$D$3:$D3996))+1))</f>
        <v/>
      </c>
      <c r="E3772" s="3" t="str">
        <f t="array" ref="E3772">IF(B3772="","",INDEX(helper!$F$3:$F3996,MOD(ROW()-2,COUNTA(helper!$D$3:$D3996))+1))</f>
        <v/>
      </c>
      <c r="F3772" s="3" t="str">
        <f>IF(B3772="","",SUMIFS('inventory ledger'!$H:$H,'inventory ledger'!$C:$C,C3772,'inventory ledger'!$D:$D,D3772,'inventory ledger'!$E:$E,E3772,'inventory ledger'!$A:$A,"&lt;="&amp;B3772+TIME(23,59,59))-SUMIFS('inventory ledger'!$I:$I,'inventory ledger'!$C:$C,C3772,'inventory ledger'!$D:$D,D3772,'inventory ledger'!$E:$E,E3772,'inventory ledger'!$A:$A,"&lt;="&amp;B3772+TIME(23,59,59)))</f>
        <v/>
      </c>
      <c r="G3772" s="3">
        <f>IFERROR(__xludf.DUMMYFUNCTION("IF(F3772&lt;=0,0,IFERROR(ROUNDUP(F3772/INDEX(FILTER('warehouse config'!$D:$D,('warehouse config'!$B:$B=C3772)*('warehouse config'!$C:$C=D3772)*('warehouse config'!$G:$G&lt;=B3772)*(('warehouse config'!$H:$H&gt;=B3772)+ISBLANK('warehouse config'!$H:$H))),1)),0))"),0.0)</f>
        <v>0</v>
      </c>
      <c r="H3772" s="3">
        <f>IFERROR(__xludf.DUMMYFUNCTION("IFERROR(INDEX(FILTER('cost master'!$E:$E,('cost master'!$B:$B=C3772)*('cost master'!$D:$D=""Storage cost per pallet / week"")*('cost master'!$G:$G&lt;=B3772)*(('cost master'!$H:$H&gt;=B3772)+ISBLANK('cost master'!$H:$H))),1),0)"),0.0)</f>
        <v>0</v>
      </c>
      <c r="I3772" s="3">
        <f t="shared" si="4"/>
        <v>0</v>
      </c>
      <c r="J3772" s="27">
        <f t="shared" si="5"/>
        <v>693947</v>
      </c>
      <c r="K3772" s="27">
        <f t="shared" si="6"/>
        <v>693977</v>
      </c>
    </row>
    <row r="3773" hidden="1">
      <c r="A3773" s="3" t="str">
        <f t="shared" si="3"/>
        <v/>
      </c>
      <c r="B3773" s="2" t="str">
        <f t="array" ref="B3773">INDEX(helper!$A$3:$A3996,ROUNDUP((ROW()-1)/COUNTA(helper!$D$3:$D3996),0))</f>
        <v/>
      </c>
      <c r="C3773" s="5" t="str">
        <f t="array" ref="C3773">IF(B3773="","",INDEX(helper!$D$3:$D3996,MOD(ROW()-2,COUNTA(helper!$D$3:$D3996))+1))</f>
        <v/>
      </c>
      <c r="D3773" s="3" t="str">
        <f t="array" ref="D3773">IF(B3773="","",INDEX(helper!$E$3:$E3996,MOD(ROW()-2,COUNTA(helper!$D$3:$D3996))+1))</f>
        <v/>
      </c>
      <c r="E3773" s="3" t="str">
        <f t="array" ref="E3773">IF(B3773="","",INDEX(helper!$F$3:$F3996,MOD(ROW()-2,COUNTA(helper!$D$3:$D3996))+1))</f>
        <v/>
      </c>
      <c r="F3773" s="3" t="str">
        <f>IF(B3773="","",SUMIFS('inventory ledger'!$H:$H,'inventory ledger'!$C:$C,C3773,'inventory ledger'!$D:$D,D3773,'inventory ledger'!$E:$E,E3773,'inventory ledger'!$A:$A,"&lt;="&amp;B3773+TIME(23,59,59))-SUMIFS('inventory ledger'!$I:$I,'inventory ledger'!$C:$C,C3773,'inventory ledger'!$D:$D,D3773,'inventory ledger'!$E:$E,E3773,'inventory ledger'!$A:$A,"&lt;="&amp;B3773+TIME(23,59,59)))</f>
        <v/>
      </c>
      <c r="G3773" s="3">
        <f>IFERROR(__xludf.DUMMYFUNCTION("IF(F3773&lt;=0,0,IFERROR(ROUNDUP(F3773/INDEX(FILTER('warehouse config'!$D:$D,('warehouse config'!$B:$B=C3773)*('warehouse config'!$C:$C=D3773)*('warehouse config'!$G:$G&lt;=B3773)*(('warehouse config'!$H:$H&gt;=B3773)+ISBLANK('warehouse config'!$H:$H))),1)),0))"),0.0)</f>
        <v>0</v>
      </c>
      <c r="H3773" s="3">
        <f>IFERROR(__xludf.DUMMYFUNCTION("IFERROR(INDEX(FILTER('cost master'!$E:$E,('cost master'!$B:$B=C3773)*('cost master'!$D:$D=""Storage cost per pallet / week"")*('cost master'!$G:$G&lt;=B3773)*(('cost master'!$H:$H&gt;=B3773)+ISBLANK('cost master'!$H:$H))),1),0)"),0.0)</f>
        <v>0</v>
      </c>
      <c r="I3773" s="3">
        <f t="shared" si="4"/>
        <v>0</v>
      </c>
      <c r="J3773" s="27">
        <f t="shared" si="5"/>
        <v>693947</v>
      </c>
      <c r="K3773" s="27">
        <f t="shared" si="6"/>
        <v>693977</v>
      </c>
    </row>
    <row r="3774" hidden="1">
      <c r="A3774" s="3" t="str">
        <f t="shared" si="3"/>
        <v/>
      </c>
      <c r="B3774" s="2" t="str">
        <f t="array" ref="B3774">INDEX(helper!$A$3:$A3996,ROUNDUP((ROW()-1)/COUNTA(helper!$D$3:$D3996),0))</f>
        <v/>
      </c>
      <c r="C3774" s="5" t="str">
        <f t="array" ref="C3774">IF(B3774="","",INDEX(helper!$D$3:$D3996,MOD(ROW()-2,COUNTA(helper!$D$3:$D3996))+1))</f>
        <v/>
      </c>
      <c r="D3774" s="3" t="str">
        <f t="array" ref="D3774">IF(B3774="","",INDEX(helper!$E$3:$E3996,MOD(ROW()-2,COUNTA(helper!$D$3:$D3996))+1))</f>
        <v/>
      </c>
      <c r="E3774" s="3" t="str">
        <f t="array" ref="E3774">IF(B3774="","",INDEX(helper!$F$3:$F3996,MOD(ROW()-2,COUNTA(helper!$D$3:$D3996))+1))</f>
        <v/>
      </c>
      <c r="F3774" s="3" t="str">
        <f>IF(B3774="","",SUMIFS('inventory ledger'!$H:$H,'inventory ledger'!$C:$C,C3774,'inventory ledger'!$D:$D,D3774,'inventory ledger'!$E:$E,E3774,'inventory ledger'!$A:$A,"&lt;="&amp;B3774+TIME(23,59,59))-SUMIFS('inventory ledger'!$I:$I,'inventory ledger'!$C:$C,C3774,'inventory ledger'!$D:$D,D3774,'inventory ledger'!$E:$E,E3774,'inventory ledger'!$A:$A,"&lt;="&amp;B3774+TIME(23,59,59)))</f>
        <v/>
      </c>
      <c r="G3774" s="3">
        <f>IFERROR(__xludf.DUMMYFUNCTION("IF(F3774&lt;=0,0,IFERROR(ROUNDUP(F3774/INDEX(FILTER('warehouse config'!$D:$D,('warehouse config'!$B:$B=C3774)*('warehouse config'!$C:$C=D3774)*('warehouse config'!$G:$G&lt;=B3774)*(('warehouse config'!$H:$H&gt;=B3774)+ISBLANK('warehouse config'!$H:$H))),1)),0))"),0.0)</f>
        <v>0</v>
      </c>
      <c r="H3774" s="3">
        <f>IFERROR(__xludf.DUMMYFUNCTION("IFERROR(INDEX(FILTER('cost master'!$E:$E,('cost master'!$B:$B=C3774)*('cost master'!$D:$D=""Storage cost per pallet / week"")*('cost master'!$G:$G&lt;=B3774)*(('cost master'!$H:$H&gt;=B3774)+ISBLANK('cost master'!$H:$H))),1),0)"),0.0)</f>
        <v>0</v>
      </c>
      <c r="I3774" s="3">
        <f t="shared" si="4"/>
        <v>0</v>
      </c>
      <c r="J3774" s="27">
        <f t="shared" si="5"/>
        <v>693947</v>
      </c>
      <c r="K3774" s="27">
        <f t="shared" si="6"/>
        <v>693977</v>
      </c>
    </row>
    <row r="3775" hidden="1">
      <c r="A3775" s="3" t="str">
        <f t="shared" si="3"/>
        <v/>
      </c>
      <c r="B3775" s="2" t="str">
        <f t="array" ref="B3775">INDEX(helper!$A$3:$A3996,ROUNDUP((ROW()-1)/COUNTA(helper!$D$3:$D3996),0))</f>
        <v/>
      </c>
      <c r="C3775" s="5" t="str">
        <f t="array" ref="C3775">IF(B3775="","",INDEX(helper!$D$3:$D3996,MOD(ROW()-2,COUNTA(helper!$D$3:$D3996))+1))</f>
        <v/>
      </c>
      <c r="D3775" s="3" t="str">
        <f t="array" ref="D3775">IF(B3775="","",INDEX(helper!$E$3:$E3996,MOD(ROW()-2,COUNTA(helper!$D$3:$D3996))+1))</f>
        <v/>
      </c>
      <c r="E3775" s="3" t="str">
        <f t="array" ref="E3775">IF(B3775="","",INDEX(helper!$F$3:$F3996,MOD(ROW()-2,COUNTA(helper!$D$3:$D3996))+1))</f>
        <v/>
      </c>
      <c r="F3775" s="3" t="str">
        <f>IF(B3775="","",SUMIFS('inventory ledger'!$H:$H,'inventory ledger'!$C:$C,C3775,'inventory ledger'!$D:$D,D3775,'inventory ledger'!$E:$E,E3775,'inventory ledger'!$A:$A,"&lt;="&amp;B3775+TIME(23,59,59))-SUMIFS('inventory ledger'!$I:$I,'inventory ledger'!$C:$C,C3775,'inventory ledger'!$D:$D,D3775,'inventory ledger'!$E:$E,E3775,'inventory ledger'!$A:$A,"&lt;="&amp;B3775+TIME(23,59,59)))</f>
        <v/>
      </c>
      <c r="G3775" s="3">
        <f>IFERROR(__xludf.DUMMYFUNCTION("IF(F3775&lt;=0,0,IFERROR(ROUNDUP(F3775/INDEX(FILTER('warehouse config'!$D:$D,('warehouse config'!$B:$B=C3775)*('warehouse config'!$C:$C=D3775)*('warehouse config'!$G:$G&lt;=B3775)*(('warehouse config'!$H:$H&gt;=B3775)+ISBLANK('warehouse config'!$H:$H))),1)),0))"),0.0)</f>
        <v>0</v>
      </c>
      <c r="H3775" s="3">
        <f>IFERROR(__xludf.DUMMYFUNCTION("IFERROR(INDEX(FILTER('cost master'!$E:$E,('cost master'!$B:$B=C3775)*('cost master'!$D:$D=""Storage cost per pallet / week"")*('cost master'!$G:$G&lt;=B3775)*(('cost master'!$H:$H&gt;=B3775)+ISBLANK('cost master'!$H:$H))),1),0)"),0.0)</f>
        <v>0</v>
      </c>
      <c r="I3775" s="3">
        <f t="shared" si="4"/>
        <v>0</v>
      </c>
      <c r="J3775" s="27">
        <f t="shared" si="5"/>
        <v>693947</v>
      </c>
      <c r="K3775" s="27">
        <f t="shared" si="6"/>
        <v>693977</v>
      </c>
    </row>
    <row r="3776" hidden="1">
      <c r="A3776" s="3" t="str">
        <f t="shared" si="3"/>
        <v/>
      </c>
      <c r="B3776" s="2" t="str">
        <f t="array" ref="B3776">INDEX(helper!$A$3:$A3996,ROUNDUP((ROW()-1)/COUNTA(helper!$D$3:$D3996),0))</f>
        <v/>
      </c>
      <c r="C3776" s="5" t="str">
        <f t="array" ref="C3776">IF(B3776="","",INDEX(helper!$D$3:$D3996,MOD(ROW()-2,COUNTA(helper!$D$3:$D3996))+1))</f>
        <v/>
      </c>
      <c r="D3776" s="3" t="str">
        <f t="array" ref="D3776">IF(B3776="","",INDEX(helper!$E$3:$E3996,MOD(ROW()-2,COUNTA(helper!$D$3:$D3996))+1))</f>
        <v/>
      </c>
      <c r="E3776" s="3" t="str">
        <f t="array" ref="E3776">IF(B3776="","",INDEX(helper!$F$3:$F3996,MOD(ROW()-2,COUNTA(helper!$D$3:$D3996))+1))</f>
        <v/>
      </c>
      <c r="F3776" s="3" t="str">
        <f>IF(B3776="","",SUMIFS('inventory ledger'!$H:$H,'inventory ledger'!$C:$C,C3776,'inventory ledger'!$D:$D,D3776,'inventory ledger'!$E:$E,E3776,'inventory ledger'!$A:$A,"&lt;="&amp;B3776+TIME(23,59,59))-SUMIFS('inventory ledger'!$I:$I,'inventory ledger'!$C:$C,C3776,'inventory ledger'!$D:$D,D3776,'inventory ledger'!$E:$E,E3776,'inventory ledger'!$A:$A,"&lt;="&amp;B3776+TIME(23,59,59)))</f>
        <v/>
      </c>
      <c r="G3776" s="3">
        <f>IFERROR(__xludf.DUMMYFUNCTION("IF(F3776&lt;=0,0,IFERROR(ROUNDUP(F3776/INDEX(FILTER('warehouse config'!$D:$D,('warehouse config'!$B:$B=C3776)*('warehouse config'!$C:$C=D3776)*('warehouse config'!$G:$G&lt;=B3776)*(('warehouse config'!$H:$H&gt;=B3776)+ISBLANK('warehouse config'!$H:$H))),1)),0))"),0.0)</f>
        <v>0</v>
      </c>
      <c r="H3776" s="3">
        <f>IFERROR(__xludf.DUMMYFUNCTION("IFERROR(INDEX(FILTER('cost master'!$E:$E,('cost master'!$B:$B=C3776)*('cost master'!$D:$D=""Storage cost per pallet / week"")*('cost master'!$G:$G&lt;=B3776)*(('cost master'!$H:$H&gt;=B3776)+ISBLANK('cost master'!$H:$H))),1),0)"),0.0)</f>
        <v>0</v>
      </c>
      <c r="I3776" s="3">
        <f t="shared" si="4"/>
        <v>0</v>
      </c>
      <c r="J3776" s="27">
        <f t="shared" si="5"/>
        <v>693947</v>
      </c>
      <c r="K3776" s="27">
        <f t="shared" si="6"/>
        <v>693977</v>
      </c>
    </row>
    <row r="3777" hidden="1">
      <c r="A3777" s="3" t="str">
        <f t="shared" si="3"/>
        <v/>
      </c>
      <c r="B3777" s="2" t="str">
        <f t="array" ref="B3777">INDEX(helper!$A$3:$A3996,ROUNDUP((ROW()-1)/COUNTA(helper!$D$3:$D3996),0))</f>
        <v/>
      </c>
      <c r="C3777" s="5" t="str">
        <f t="array" ref="C3777">IF(B3777="","",INDEX(helper!$D$3:$D3996,MOD(ROW()-2,COUNTA(helper!$D$3:$D3996))+1))</f>
        <v/>
      </c>
      <c r="D3777" s="3" t="str">
        <f t="array" ref="D3777">IF(B3777="","",INDEX(helper!$E$3:$E3996,MOD(ROW()-2,COUNTA(helper!$D$3:$D3996))+1))</f>
        <v/>
      </c>
      <c r="E3777" s="3" t="str">
        <f t="array" ref="E3777">IF(B3777="","",INDEX(helper!$F$3:$F3996,MOD(ROW()-2,COUNTA(helper!$D$3:$D3996))+1))</f>
        <v/>
      </c>
      <c r="F3777" s="3" t="str">
        <f>IF(B3777="","",SUMIFS('inventory ledger'!$H:$H,'inventory ledger'!$C:$C,C3777,'inventory ledger'!$D:$D,D3777,'inventory ledger'!$E:$E,E3777,'inventory ledger'!$A:$A,"&lt;="&amp;B3777+TIME(23,59,59))-SUMIFS('inventory ledger'!$I:$I,'inventory ledger'!$C:$C,C3777,'inventory ledger'!$D:$D,D3777,'inventory ledger'!$E:$E,E3777,'inventory ledger'!$A:$A,"&lt;="&amp;B3777+TIME(23,59,59)))</f>
        <v/>
      </c>
      <c r="G3777" s="3">
        <f>IFERROR(__xludf.DUMMYFUNCTION("IF(F3777&lt;=0,0,IFERROR(ROUNDUP(F3777/INDEX(FILTER('warehouse config'!$D:$D,('warehouse config'!$B:$B=C3777)*('warehouse config'!$C:$C=D3777)*('warehouse config'!$G:$G&lt;=B3777)*(('warehouse config'!$H:$H&gt;=B3777)+ISBLANK('warehouse config'!$H:$H))),1)),0))"),0.0)</f>
        <v>0</v>
      </c>
      <c r="H3777" s="3">
        <f>IFERROR(__xludf.DUMMYFUNCTION("IFERROR(INDEX(FILTER('cost master'!$E:$E,('cost master'!$B:$B=C3777)*('cost master'!$D:$D=""Storage cost per pallet / week"")*('cost master'!$G:$G&lt;=B3777)*(('cost master'!$H:$H&gt;=B3777)+ISBLANK('cost master'!$H:$H))),1),0)"),0.0)</f>
        <v>0</v>
      </c>
      <c r="I3777" s="3">
        <f t="shared" si="4"/>
        <v>0</v>
      </c>
      <c r="J3777" s="27">
        <f t="shared" si="5"/>
        <v>693947</v>
      </c>
      <c r="K3777" s="27">
        <f t="shared" si="6"/>
        <v>693977</v>
      </c>
    </row>
    <row r="3778" hidden="1">
      <c r="A3778" s="3" t="str">
        <f t="shared" si="3"/>
        <v/>
      </c>
      <c r="B3778" s="2" t="str">
        <f t="array" ref="B3778">INDEX(helper!$A$3:$A3996,ROUNDUP((ROW()-1)/COUNTA(helper!$D$3:$D3996),0))</f>
        <v/>
      </c>
      <c r="C3778" s="5" t="str">
        <f t="array" ref="C3778">IF(B3778="","",INDEX(helper!$D$3:$D3996,MOD(ROW()-2,COUNTA(helper!$D$3:$D3996))+1))</f>
        <v/>
      </c>
      <c r="D3778" s="3" t="str">
        <f t="array" ref="D3778">IF(B3778="","",INDEX(helper!$E$3:$E3996,MOD(ROW()-2,COUNTA(helper!$D$3:$D3996))+1))</f>
        <v/>
      </c>
      <c r="E3778" s="3" t="str">
        <f t="array" ref="E3778">IF(B3778="","",INDEX(helper!$F$3:$F3996,MOD(ROW()-2,COUNTA(helper!$D$3:$D3996))+1))</f>
        <v/>
      </c>
      <c r="F3778" s="3" t="str">
        <f>IF(B3778="","",SUMIFS('inventory ledger'!$H:$H,'inventory ledger'!$C:$C,C3778,'inventory ledger'!$D:$D,D3778,'inventory ledger'!$E:$E,E3778,'inventory ledger'!$A:$A,"&lt;="&amp;B3778+TIME(23,59,59))-SUMIFS('inventory ledger'!$I:$I,'inventory ledger'!$C:$C,C3778,'inventory ledger'!$D:$D,D3778,'inventory ledger'!$E:$E,E3778,'inventory ledger'!$A:$A,"&lt;="&amp;B3778+TIME(23,59,59)))</f>
        <v/>
      </c>
      <c r="G3778" s="3">
        <f>IFERROR(__xludf.DUMMYFUNCTION("IF(F3778&lt;=0,0,IFERROR(ROUNDUP(F3778/INDEX(FILTER('warehouse config'!$D:$D,('warehouse config'!$B:$B=C3778)*('warehouse config'!$C:$C=D3778)*('warehouse config'!$G:$G&lt;=B3778)*(('warehouse config'!$H:$H&gt;=B3778)+ISBLANK('warehouse config'!$H:$H))),1)),0))"),0.0)</f>
        <v>0</v>
      </c>
      <c r="H3778" s="3">
        <f>IFERROR(__xludf.DUMMYFUNCTION("IFERROR(INDEX(FILTER('cost master'!$E:$E,('cost master'!$B:$B=C3778)*('cost master'!$D:$D=""Storage cost per pallet / week"")*('cost master'!$G:$G&lt;=B3778)*(('cost master'!$H:$H&gt;=B3778)+ISBLANK('cost master'!$H:$H))),1),0)"),0.0)</f>
        <v>0</v>
      </c>
      <c r="I3778" s="3">
        <f t="shared" si="4"/>
        <v>0</v>
      </c>
      <c r="J3778" s="27">
        <f t="shared" si="5"/>
        <v>693947</v>
      </c>
      <c r="K3778" s="27">
        <f t="shared" si="6"/>
        <v>693977</v>
      </c>
    </row>
    <row r="3779" hidden="1">
      <c r="A3779" s="3" t="str">
        <f t="shared" si="3"/>
        <v/>
      </c>
      <c r="B3779" s="2" t="str">
        <f t="array" ref="B3779">INDEX(helper!$A$3:$A3996,ROUNDUP((ROW()-1)/COUNTA(helper!$D$3:$D3996),0))</f>
        <v/>
      </c>
      <c r="C3779" s="5" t="str">
        <f t="array" ref="C3779">IF(B3779="","",INDEX(helper!$D$3:$D3996,MOD(ROW()-2,COUNTA(helper!$D$3:$D3996))+1))</f>
        <v/>
      </c>
      <c r="D3779" s="3" t="str">
        <f t="array" ref="D3779">IF(B3779="","",INDEX(helper!$E$3:$E3996,MOD(ROW()-2,COUNTA(helper!$D$3:$D3996))+1))</f>
        <v/>
      </c>
      <c r="E3779" s="3" t="str">
        <f t="array" ref="E3779">IF(B3779="","",INDEX(helper!$F$3:$F3996,MOD(ROW()-2,COUNTA(helper!$D$3:$D3996))+1))</f>
        <v/>
      </c>
      <c r="F3779" s="3" t="str">
        <f>IF(B3779="","",SUMIFS('inventory ledger'!$H:$H,'inventory ledger'!$C:$C,C3779,'inventory ledger'!$D:$D,D3779,'inventory ledger'!$E:$E,E3779,'inventory ledger'!$A:$A,"&lt;="&amp;B3779+TIME(23,59,59))-SUMIFS('inventory ledger'!$I:$I,'inventory ledger'!$C:$C,C3779,'inventory ledger'!$D:$D,D3779,'inventory ledger'!$E:$E,E3779,'inventory ledger'!$A:$A,"&lt;="&amp;B3779+TIME(23,59,59)))</f>
        <v/>
      </c>
      <c r="G3779" s="3">
        <f>IFERROR(__xludf.DUMMYFUNCTION("IF(F3779&lt;=0,0,IFERROR(ROUNDUP(F3779/INDEX(FILTER('warehouse config'!$D:$D,('warehouse config'!$B:$B=C3779)*('warehouse config'!$C:$C=D3779)*('warehouse config'!$G:$G&lt;=B3779)*(('warehouse config'!$H:$H&gt;=B3779)+ISBLANK('warehouse config'!$H:$H))),1)),0))"),0.0)</f>
        <v>0</v>
      </c>
      <c r="H3779" s="3">
        <f>IFERROR(__xludf.DUMMYFUNCTION("IFERROR(INDEX(FILTER('cost master'!$E:$E,('cost master'!$B:$B=C3779)*('cost master'!$D:$D=""Storage cost per pallet / week"")*('cost master'!$G:$G&lt;=B3779)*(('cost master'!$H:$H&gt;=B3779)+ISBLANK('cost master'!$H:$H))),1),0)"),0.0)</f>
        <v>0</v>
      </c>
      <c r="I3779" s="3">
        <f t="shared" si="4"/>
        <v>0</v>
      </c>
      <c r="J3779" s="27">
        <f t="shared" si="5"/>
        <v>693947</v>
      </c>
      <c r="K3779" s="27">
        <f t="shared" si="6"/>
        <v>693977</v>
      </c>
    </row>
    <row r="3780" hidden="1">
      <c r="A3780" s="3" t="str">
        <f t="shared" si="3"/>
        <v/>
      </c>
      <c r="B3780" s="2" t="str">
        <f t="array" ref="B3780">INDEX(helper!$A$3:$A3996,ROUNDUP((ROW()-1)/COUNTA(helper!$D$3:$D3996),0))</f>
        <v/>
      </c>
      <c r="C3780" s="5" t="str">
        <f t="array" ref="C3780">IF(B3780="","",INDEX(helper!$D$3:$D3996,MOD(ROW()-2,COUNTA(helper!$D$3:$D3996))+1))</f>
        <v/>
      </c>
      <c r="D3780" s="3" t="str">
        <f t="array" ref="D3780">IF(B3780="","",INDEX(helper!$E$3:$E3996,MOD(ROW()-2,COUNTA(helper!$D$3:$D3996))+1))</f>
        <v/>
      </c>
      <c r="E3780" s="3" t="str">
        <f t="array" ref="E3780">IF(B3780="","",INDEX(helper!$F$3:$F3996,MOD(ROW()-2,COUNTA(helper!$D$3:$D3996))+1))</f>
        <v/>
      </c>
      <c r="F3780" s="3" t="str">
        <f>IF(B3780="","",SUMIFS('inventory ledger'!$H:$H,'inventory ledger'!$C:$C,C3780,'inventory ledger'!$D:$D,D3780,'inventory ledger'!$E:$E,E3780,'inventory ledger'!$A:$A,"&lt;="&amp;B3780+TIME(23,59,59))-SUMIFS('inventory ledger'!$I:$I,'inventory ledger'!$C:$C,C3780,'inventory ledger'!$D:$D,D3780,'inventory ledger'!$E:$E,E3780,'inventory ledger'!$A:$A,"&lt;="&amp;B3780+TIME(23,59,59)))</f>
        <v/>
      </c>
      <c r="G3780" s="3">
        <f>IFERROR(__xludf.DUMMYFUNCTION("IF(F3780&lt;=0,0,IFERROR(ROUNDUP(F3780/INDEX(FILTER('warehouse config'!$D:$D,('warehouse config'!$B:$B=C3780)*('warehouse config'!$C:$C=D3780)*('warehouse config'!$G:$G&lt;=B3780)*(('warehouse config'!$H:$H&gt;=B3780)+ISBLANK('warehouse config'!$H:$H))),1)),0))"),0.0)</f>
        <v>0</v>
      </c>
      <c r="H3780" s="3">
        <f>IFERROR(__xludf.DUMMYFUNCTION("IFERROR(INDEX(FILTER('cost master'!$E:$E,('cost master'!$B:$B=C3780)*('cost master'!$D:$D=""Storage cost per pallet / week"")*('cost master'!$G:$G&lt;=B3780)*(('cost master'!$H:$H&gt;=B3780)+ISBLANK('cost master'!$H:$H))),1),0)"),0.0)</f>
        <v>0</v>
      </c>
      <c r="I3780" s="3">
        <f t="shared" si="4"/>
        <v>0</v>
      </c>
      <c r="J3780" s="27">
        <f t="shared" si="5"/>
        <v>693947</v>
      </c>
      <c r="K3780" s="27">
        <f t="shared" si="6"/>
        <v>693977</v>
      </c>
    </row>
    <row r="3781" hidden="1">
      <c r="A3781" s="3" t="str">
        <f t="shared" si="3"/>
        <v/>
      </c>
      <c r="B3781" s="2" t="str">
        <f t="array" ref="B3781">INDEX(helper!$A$3:$A3996,ROUNDUP((ROW()-1)/COUNTA(helper!$D$3:$D3996),0))</f>
        <v/>
      </c>
      <c r="C3781" s="5" t="str">
        <f t="array" ref="C3781">IF(B3781="","",INDEX(helper!$D$3:$D3996,MOD(ROW()-2,COUNTA(helper!$D$3:$D3996))+1))</f>
        <v/>
      </c>
      <c r="D3781" s="3" t="str">
        <f t="array" ref="D3781">IF(B3781="","",INDEX(helper!$E$3:$E3996,MOD(ROW()-2,COUNTA(helper!$D$3:$D3996))+1))</f>
        <v/>
      </c>
      <c r="E3781" s="3" t="str">
        <f t="array" ref="E3781">IF(B3781="","",INDEX(helper!$F$3:$F3996,MOD(ROW()-2,COUNTA(helper!$D$3:$D3996))+1))</f>
        <v/>
      </c>
      <c r="F3781" s="3" t="str">
        <f>IF(B3781="","",SUMIFS('inventory ledger'!$H:$H,'inventory ledger'!$C:$C,C3781,'inventory ledger'!$D:$D,D3781,'inventory ledger'!$E:$E,E3781,'inventory ledger'!$A:$A,"&lt;="&amp;B3781+TIME(23,59,59))-SUMIFS('inventory ledger'!$I:$I,'inventory ledger'!$C:$C,C3781,'inventory ledger'!$D:$D,D3781,'inventory ledger'!$E:$E,E3781,'inventory ledger'!$A:$A,"&lt;="&amp;B3781+TIME(23,59,59)))</f>
        <v/>
      </c>
      <c r="G3781" s="3">
        <f>IFERROR(__xludf.DUMMYFUNCTION("IF(F3781&lt;=0,0,IFERROR(ROUNDUP(F3781/INDEX(FILTER('warehouse config'!$D:$D,('warehouse config'!$B:$B=C3781)*('warehouse config'!$C:$C=D3781)*('warehouse config'!$G:$G&lt;=B3781)*(('warehouse config'!$H:$H&gt;=B3781)+ISBLANK('warehouse config'!$H:$H))),1)),0))"),0.0)</f>
        <v>0</v>
      </c>
      <c r="H3781" s="3">
        <f>IFERROR(__xludf.DUMMYFUNCTION("IFERROR(INDEX(FILTER('cost master'!$E:$E,('cost master'!$B:$B=C3781)*('cost master'!$D:$D=""Storage cost per pallet / week"")*('cost master'!$G:$G&lt;=B3781)*(('cost master'!$H:$H&gt;=B3781)+ISBLANK('cost master'!$H:$H))),1),0)"),0.0)</f>
        <v>0</v>
      </c>
      <c r="I3781" s="3">
        <f t="shared" si="4"/>
        <v>0</v>
      </c>
      <c r="J3781" s="27">
        <f t="shared" si="5"/>
        <v>693947</v>
      </c>
      <c r="K3781" s="27">
        <f t="shared" si="6"/>
        <v>693977</v>
      </c>
    </row>
    <row r="3782" hidden="1">
      <c r="A3782" s="3" t="str">
        <f t="shared" si="3"/>
        <v/>
      </c>
      <c r="B3782" s="2" t="str">
        <f t="array" ref="B3782">INDEX(helper!$A$3:$A3996,ROUNDUP((ROW()-1)/COUNTA(helper!$D$3:$D3996),0))</f>
        <v/>
      </c>
      <c r="C3782" s="5" t="str">
        <f t="array" ref="C3782">IF(B3782="","",INDEX(helper!$D$3:$D3996,MOD(ROW()-2,COUNTA(helper!$D$3:$D3996))+1))</f>
        <v/>
      </c>
      <c r="D3782" s="3" t="str">
        <f t="array" ref="D3782">IF(B3782="","",INDEX(helper!$E$3:$E3996,MOD(ROW()-2,COUNTA(helper!$D$3:$D3996))+1))</f>
        <v/>
      </c>
      <c r="E3782" s="3" t="str">
        <f t="array" ref="E3782">IF(B3782="","",INDEX(helper!$F$3:$F3996,MOD(ROW()-2,COUNTA(helper!$D$3:$D3996))+1))</f>
        <v/>
      </c>
      <c r="F3782" s="3" t="str">
        <f>IF(B3782="","",SUMIFS('inventory ledger'!$H:$H,'inventory ledger'!$C:$C,C3782,'inventory ledger'!$D:$D,D3782,'inventory ledger'!$E:$E,E3782,'inventory ledger'!$A:$A,"&lt;="&amp;B3782+TIME(23,59,59))-SUMIFS('inventory ledger'!$I:$I,'inventory ledger'!$C:$C,C3782,'inventory ledger'!$D:$D,D3782,'inventory ledger'!$E:$E,E3782,'inventory ledger'!$A:$A,"&lt;="&amp;B3782+TIME(23,59,59)))</f>
        <v/>
      </c>
      <c r="G3782" s="3">
        <f>IFERROR(__xludf.DUMMYFUNCTION("IF(F3782&lt;=0,0,IFERROR(ROUNDUP(F3782/INDEX(FILTER('warehouse config'!$D:$D,('warehouse config'!$B:$B=C3782)*('warehouse config'!$C:$C=D3782)*('warehouse config'!$G:$G&lt;=B3782)*(('warehouse config'!$H:$H&gt;=B3782)+ISBLANK('warehouse config'!$H:$H))),1)),0))"),0.0)</f>
        <v>0</v>
      </c>
      <c r="H3782" s="3">
        <f>IFERROR(__xludf.DUMMYFUNCTION("IFERROR(INDEX(FILTER('cost master'!$E:$E,('cost master'!$B:$B=C3782)*('cost master'!$D:$D=""Storage cost per pallet / week"")*('cost master'!$G:$G&lt;=B3782)*(('cost master'!$H:$H&gt;=B3782)+ISBLANK('cost master'!$H:$H))),1),0)"),0.0)</f>
        <v>0</v>
      </c>
      <c r="I3782" s="3">
        <f t="shared" si="4"/>
        <v>0</v>
      </c>
      <c r="J3782" s="27">
        <f t="shared" si="5"/>
        <v>693947</v>
      </c>
      <c r="K3782" s="27">
        <f t="shared" si="6"/>
        <v>693977</v>
      </c>
    </row>
    <row r="3783" hidden="1">
      <c r="A3783" s="3" t="str">
        <f t="shared" si="3"/>
        <v/>
      </c>
      <c r="B3783" s="2" t="str">
        <f t="array" ref="B3783">INDEX(helper!$A$3:$A3996,ROUNDUP((ROW()-1)/COUNTA(helper!$D$3:$D3996),0))</f>
        <v/>
      </c>
      <c r="C3783" s="5" t="str">
        <f t="array" ref="C3783">IF(B3783="","",INDEX(helper!$D$3:$D3996,MOD(ROW()-2,COUNTA(helper!$D$3:$D3996))+1))</f>
        <v/>
      </c>
      <c r="D3783" s="3" t="str">
        <f t="array" ref="D3783">IF(B3783="","",INDEX(helper!$E$3:$E3996,MOD(ROW()-2,COUNTA(helper!$D$3:$D3996))+1))</f>
        <v/>
      </c>
      <c r="E3783" s="3" t="str">
        <f t="array" ref="E3783">IF(B3783="","",INDEX(helper!$F$3:$F3996,MOD(ROW()-2,COUNTA(helper!$D$3:$D3996))+1))</f>
        <v/>
      </c>
      <c r="F3783" s="3" t="str">
        <f>IF(B3783="","",SUMIFS('inventory ledger'!$H:$H,'inventory ledger'!$C:$C,C3783,'inventory ledger'!$D:$D,D3783,'inventory ledger'!$E:$E,E3783,'inventory ledger'!$A:$A,"&lt;="&amp;B3783+TIME(23,59,59))-SUMIFS('inventory ledger'!$I:$I,'inventory ledger'!$C:$C,C3783,'inventory ledger'!$D:$D,D3783,'inventory ledger'!$E:$E,E3783,'inventory ledger'!$A:$A,"&lt;="&amp;B3783+TIME(23,59,59)))</f>
        <v/>
      </c>
      <c r="G3783" s="3">
        <f>IFERROR(__xludf.DUMMYFUNCTION("IF(F3783&lt;=0,0,IFERROR(ROUNDUP(F3783/INDEX(FILTER('warehouse config'!$D:$D,('warehouse config'!$B:$B=C3783)*('warehouse config'!$C:$C=D3783)*('warehouse config'!$G:$G&lt;=B3783)*(('warehouse config'!$H:$H&gt;=B3783)+ISBLANK('warehouse config'!$H:$H))),1)),0))"),0.0)</f>
        <v>0</v>
      </c>
      <c r="H3783" s="3">
        <f>IFERROR(__xludf.DUMMYFUNCTION("IFERROR(INDEX(FILTER('cost master'!$E:$E,('cost master'!$B:$B=C3783)*('cost master'!$D:$D=""Storage cost per pallet / week"")*('cost master'!$G:$G&lt;=B3783)*(('cost master'!$H:$H&gt;=B3783)+ISBLANK('cost master'!$H:$H))),1),0)"),0.0)</f>
        <v>0</v>
      </c>
      <c r="I3783" s="3">
        <f t="shared" si="4"/>
        <v>0</v>
      </c>
      <c r="J3783" s="27">
        <f t="shared" si="5"/>
        <v>693947</v>
      </c>
      <c r="K3783" s="27">
        <f t="shared" si="6"/>
        <v>693977</v>
      </c>
    </row>
    <row r="3784" hidden="1">
      <c r="A3784" s="3" t="str">
        <f t="shared" si="3"/>
        <v/>
      </c>
      <c r="B3784" s="2" t="str">
        <f t="array" ref="B3784">INDEX(helper!$A$3:$A3996,ROUNDUP((ROW()-1)/COUNTA(helper!$D$3:$D3996),0))</f>
        <v/>
      </c>
      <c r="C3784" s="5" t="str">
        <f t="array" ref="C3784">IF(B3784="","",INDEX(helper!$D$3:$D3996,MOD(ROW()-2,COUNTA(helper!$D$3:$D3996))+1))</f>
        <v/>
      </c>
      <c r="D3784" s="3" t="str">
        <f t="array" ref="D3784">IF(B3784="","",INDEX(helper!$E$3:$E3996,MOD(ROW()-2,COUNTA(helper!$D$3:$D3996))+1))</f>
        <v/>
      </c>
      <c r="E3784" s="3" t="str">
        <f t="array" ref="E3784">IF(B3784="","",INDEX(helper!$F$3:$F3996,MOD(ROW()-2,COUNTA(helper!$D$3:$D3996))+1))</f>
        <v/>
      </c>
      <c r="F3784" s="3" t="str">
        <f>IF(B3784="","",SUMIFS('inventory ledger'!$H:$H,'inventory ledger'!$C:$C,C3784,'inventory ledger'!$D:$D,D3784,'inventory ledger'!$E:$E,E3784,'inventory ledger'!$A:$A,"&lt;="&amp;B3784+TIME(23,59,59))-SUMIFS('inventory ledger'!$I:$I,'inventory ledger'!$C:$C,C3784,'inventory ledger'!$D:$D,D3784,'inventory ledger'!$E:$E,E3784,'inventory ledger'!$A:$A,"&lt;="&amp;B3784+TIME(23,59,59)))</f>
        <v/>
      </c>
      <c r="G3784" s="3">
        <f>IFERROR(__xludf.DUMMYFUNCTION("IF(F3784&lt;=0,0,IFERROR(ROUNDUP(F3784/INDEX(FILTER('warehouse config'!$D:$D,('warehouse config'!$B:$B=C3784)*('warehouse config'!$C:$C=D3784)*('warehouse config'!$G:$G&lt;=B3784)*(('warehouse config'!$H:$H&gt;=B3784)+ISBLANK('warehouse config'!$H:$H))),1)),0))"),0.0)</f>
        <v>0</v>
      </c>
      <c r="H3784" s="3">
        <f>IFERROR(__xludf.DUMMYFUNCTION("IFERROR(INDEX(FILTER('cost master'!$E:$E,('cost master'!$B:$B=C3784)*('cost master'!$D:$D=""Storage cost per pallet / week"")*('cost master'!$G:$G&lt;=B3784)*(('cost master'!$H:$H&gt;=B3784)+ISBLANK('cost master'!$H:$H))),1),0)"),0.0)</f>
        <v>0</v>
      </c>
      <c r="I3784" s="3">
        <f t="shared" si="4"/>
        <v>0</v>
      </c>
      <c r="J3784" s="27">
        <f t="shared" si="5"/>
        <v>693947</v>
      </c>
      <c r="K3784" s="27">
        <f t="shared" si="6"/>
        <v>693977</v>
      </c>
    </row>
    <row r="3785" hidden="1">
      <c r="A3785" s="3" t="str">
        <f t="shared" si="3"/>
        <v/>
      </c>
      <c r="B3785" s="2" t="str">
        <f t="array" ref="B3785">INDEX(helper!$A$3:$A3996,ROUNDUP((ROW()-1)/COUNTA(helper!$D$3:$D3996),0))</f>
        <v/>
      </c>
      <c r="C3785" s="5" t="str">
        <f t="array" ref="C3785">IF(B3785="","",INDEX(helper!$D$3:$D3996,MOD(ROW()-2,COUNTA(helper!$D$3:$D3996))+1))</f>
        <v/>
      </c>
      <c r="D3785" s="3" t="str">
        <f t="array" ref="D3785">IF(B3785="","",INDEX(helper!$E$3:$E3996,MOD(ROW()-2,COUNTA(helper!$D$3:$D3996))+1))</f>
        <v/>
      </c>
      <c r="E3785" s="3" t="str">
        <f t="array" ref="E3785">IF(B3785="","",INDEX(helper!$F$3:$F3996,MOD(ROW()-2,COUNTA(helper!$D$3:$D3996))+1))</f>
        <v/>
      </c>
      <c r="F3785" s="3" t="str">
        <f>IF(B3785="","",SUMIFS('inventory ledger'!$H:$H,'inventory ledger'!$C:$C,C3785,'inventory ledger'!$D:$D,D3785,'inventory ledger'!$E:$E,E3785,'inventory ledger'!$A:$A,"&lt;="&amp;B3785+TIME(23,59,59))-SUMIFS('inventory ledger'!$I:$I,'inventory ledger'!$C:$C,C3785,'inventory ledger'!$D:$D,D3785,'inventory ledger'!$E:$E,E3785,'inventory ledger'!$A:$A,"&lt;="&amp;B3785+TIME(23,59,59)))</f>
        <v/>
      </c>
      <c r="G3785" s="3">
        <f>IFERROR(__xludf.DUMMYFUNCTION("IF(F3785&lt;=0,0,IFERROR(ROUNDUP(F3785/INDEX(FILTER('warehouse config'!$D:$D,('warehouse config'!$B:$B=C3785)*('warehouse config'!$C:$C=D3785)*('warehouse config'!$G:$G&lt;=B3785)*(('warehouse config'!$H:$H&gt;=B3785)+ISBLANK('warehouse config'!$H:$H))),1)),0))"),0.0)</f>
        <v>0</v>
      </c>
      <c r="H3785" s="3">
        <f>IFERROR(__xludf.DUMMYFUNCTION("IFERROR(INDEX(FILTER('cost master'!$E:$E,('cost master'!$B:$B=C3785)*('cost master'!$D:$D=""Storage cost per pallet / week"")*('cost master'!$G:$G&lt;=B3785)*(('cost master'!$H:$H&gt;=B3785)+ISBLANK('cost master'!$H:$H))),1),0)"),0.0)</f>
        <v>0</v>
      </c>
      <c r="I3785" s="3">
        <f t="shared" si="4"/>
        <v>0</v>
      </c>
      <c r="J3785" s="27">
        <f t="shared" si="5"/>
        <v>693947</v>
      </c>
      <c r="K3785" s="27">
        <f t="shared" si="6"/>
        <v>693977</v>
      </c>
    </row>
    <row r="3786" hidden="1">
      <c r="A3786" s="3" t="str">
        <f t="shared" si="3"/>
        <v/>
      </c>
      <c r="B3786" s="2" t="str">
        <f t="array" ref="B3786">INDEX(helper!$A$3:$A3996,ROUNDUP((ROW()-1)/COUNTA(helper!$D$3:$D3996),0))</f>
        <v/>
      </c>
      <c r="C3786" s="5" t="str">
        <f t="array" ref="C3786">IF(B3786="","",INDEX(helper!$D$3:$D3996,MOD(ROW()-2,COUNTA(helper!$D$3:$D3996))+1))</f>
        <v/>
      </c>
      <c r="D3786" s="3" t="str">
        <f t="array" ref="D3786">IF(B3786="","",INDEX(helper!$E$3:$E3996,MOD(ROW()-2,COUNTA(helper!$D$3:$D3996))+1))</f>
        <v/>
      </c>
      <c r="E3786" s="3" t="str">
        <f t="array" ref="E3786">IF(B3786="","",INDEX(helper!$F$3:$F3996,MOD(ROW()-2,COUNTA(helper!$D$3:$D3996))+1))</f>
        <v/>
      </c>
      <c r="F3786" s="3" t="str">
        <f>IF(B3786="","",SUMIFS('inventory ledger'!$H:$H,'inventory ledger'!$C:$C,C3786,'inventory ledger'!$D:$D,D3786,'inventory ledger'!$E:$E,E3786,'inventory ledger'!$A:$A,"&lt;="&amp;B3786+TIME(23,59,59))-SUMIFS('inventory ledger'!$I:$I,'inventory ledger'!$C:$C,C3786,'inventory ledger'!$D:$D,D3786,'inventory ledger'!$E:$E,E3786,'inventory ledger'!$A:$A,"&lt;="&amp;B3786+TIME(23,59,59)))</f>
        <v/>
      </c>
      <c r="G3786" s="3">
        <f>IFERROR(__xludf.DUMMYFUNCTION("IF(F3786&lt;=0,0,IFERROR(ROUNDUP(F3786/INDEX(FILTER('warehouse config'!$D:$D,('warehouse config'!$B:$B=C3786)*('warehouse config'!$C:$C=D3786)*('warehouse config'!$G:$G&lt;=B3786)*(('warehouse config'!$H:$H&gt;=B3786)+ISBLANK('warehouse config'!$H:$H))),1)),0))"),0.0)</f>
        <v>0</v>
      </c>
      <c r="H3786" s="3">
        <f>IFERROR(__xludf.DUMMYFUNCTION("IFERROR(INDEX(FILTER('cost master'!$E:$E,('cost master'!$B:$B=C3786)*('cost master'!$D:$D=""Storage cost per pallet / week"")*('cost master'!$G:$G&lt;=B3786)*(('cost master'!$H:$H&gt;=B3786)+ISBLANK('cost master'!$H:$H))),1),0)"),0.0)</f>
        <v>0</v>
      </c>
      <c r="I3786" s="3">
        <f t="shared" si="4"/>
        <v>0</v>
      </c>
      <c r="J3786" s="27">
        <f t="shared" si="5"/>
        <v>693947</v>
      </c>
      <c r="K3786" s="27">
        <f t="shared" si="6"/>
        <v>693977</v>
      </c>
    </row>
    <row r="3787" hidden="1">
      <c r="A3787" s="3" t="str">
        <f t="shared" si="3"/>
        <v/>
      </c>
      <c r="B3787" s="2" t="str">
        <f t="array" ref="B3787">INDEX(helper!$A$3:$A3996,ROUNDUP((ROW()-1)/COUNTA(helper!$D$3:$D3996),0))</f>
        <v/>
      </c>
      <c r="C3787" s="5" t="str">
        <f t="array" ref="C3787">IF(B3787="","",INDEX(helper!$D$3:$D3996,MOD(ROW()-2,COUNTA(helper!$D$3:$D3996))+1))</f>
        <v/>
      </c>
      <c r="D3787" s="3" t="str">
        <f t="array" ref="D3787">IF(B3787="","",INDEX(helper!$E$3:$E3996,MOD(ROW()-2,COUNTA(helper!$D$3:$D3996))+1))</f>
        <v/>
      </c>
      <c r="E3787" s="3" t="str">
        <f t="array" ref="E3787">IF(B3787="","",INDEX(helper!$F$3:$F3996,MOD(ROW()-2,COUNTA(helper!$D$3:$D3996))+1))</f>
        <v/>
      </c>
      <c r="F3787" s="3" t="str">
        <f>IF(B3787="","",SUMIFS('inventory ledger'!$H:$H,'inventory ledger'!$C:$C,C3787,'inventory ledger'!$D:$D,D3787,'inventory ledger'!$E:$E,E3787,'inventory ledger'!$A:$A,"&lt;="&amp;B3787+TIME(23,59,59))-SUMIFS('inventory ledger'!$I:$I,'inventory ledger'!$C:$C,C3787,'inventory ledger'!$D:$D,D3787,'inventory ledger'!$E:$E,E3787,'inventory ledger'!$A:$A,"&lt;="&amp;B3787+TIME(23,59,59)))</f>
        <v/>
      </c>
      <c r="G3787" s="3">
        <f>IFERROR(__xludf.DUMMYFUNCTION("IF(F3787&lt;=0,0,IFERROR(ROUNDUP(F3787/INDEX(FILTER('warehouse config'!$D:$D,('warehouse config'!$B:$B=C3787)*('warehouse config'!$C:$C=D3787)*('warehouse config'!$G:$G&lt;=B3787)*(('warehouse config'!$H:$H&gt;=B3787)+ISBLANK('warehouse config'!$H:$H))),1)),0))"),0.0)</f>
        <v>0</v>
      </c>
      <c r="H3787" s="3">
        <f>IFERROR(__xludf.DUMMYFUNCTION("IFERROR(INDEX(FILTER('cost master'!$E:$E,('cost master'!$B:$B=C3787)*('cost master'!$D:$D=""Storage cost per pallet / week"")*('cost master'!$G:$G&lt;=B3787)*(('cost master'!$H:$H&gt;=B3787)+ISBLANK('cost master'!$H:$H))),1),0)"),0.0)</f>
        <v>0</v>
      </c>
      <c r="I3787" s="3">
        <f t="shared" si="4"/>
        <v>0</v>
      </c>
      <c r="J3787" s="27">
        <f t="shared" si="5"/>
        <v>693947</v>
      </c>
      <c r="K3787" s="27">
        <f t="shared" si="6"/>
        <v>693977</v>
      </c>
    </row>
    <row r="3788" hidden="1">
      <c r="A3788" s="3" t="str">
        <f t="shared" si="3"/>
        <v/>
      </c>
      <c r="B3788" s="2" t="str">
        <f t="array" ref="B3788">INDEX(helper!$A$3:$A3996,ROUNDUP((ROW()-1)/COUNTA(helper!$D$3:$D3996),0))</f>
        <v/>
      </c>
      <c r="C3788" s="5" t="str">
        <f t="array" ref="C3788">IF(B3788="","",INDEX(helper!$D$3:$D3996,MOD(ROW()-2,COUNTA(helper!$D$3:$D3996))+1))</f>
        <v/>
      </c>
      <c r="D3788" s="3" t="str">
        <f t="array" ref="D3788">IF(B3788="","",INDEX(helper!$E$3:$E3996,MOD(ROW()-2,COUNTA(helper!$D$3:$D3996))+1))</f>
        <v/>
      </c>
      <c r="E3788" s="3" t="str">
        <f t="array" ref="E3788">IF(B3788="","",INDEX(helper!$F$3:$F3996,MOD(ROW()-2,COUNTA(helper!$D$3:$D3996))+1))</f>
        <v/>
      </c>
      <c r="F3788" s="3" t="str">
        <f>IF(B3788="","",SUMIFS('inventory ledger'!$H:$H,'inventory ledger'!$C:$C,C3788,'inventory ledger'!$D:$D,D3788,'inventory ledger'!$E:$E,E3788,'inventory ledger'!$A:$A,"&lt;="&amp;B3788+TIME(23,59,59))-SUMIFS('inventory ledger'!$I:$I,'inventory ledger'!$C:$C,C3788,'inventory ledger'!$D:$D,D3788,'inventory ledger'!$E:$E,E3788,'inventory ledger'!$A:$A,"&lt;="&amp;B3788+TIME(23,59,59)))</f>
        <v/>
      </c>
      <c r="G3788" s="3">
        <f>IFERROR(__xludf.DUMMYFUNCTION("IF(F3788&lt;=0,0,IFERROR(ROUNDUP(F3788/INDEX(FILTER('warehouse config'!$D:$D,('warehouse config'!$B:$B=C3788)*('warehouse config'!$C:$C=D3788)*('warehouse config'!$G:$G&lt;=B3788)*(('warehouse config'!$H:$H&gt;=B3788)+ISBLANK('warehouse config'!$H:$H))),1)),0))"),0.0)</f>
        <v>0</v>
      </c>
      <c r="H3788" s="3">
        <f>IFERROR(__xludf.DUMMYFUNCTION("IFERROR(INDEX(FILTER('cost master'!$E:$E,('cost master'!$B:$B=C3788)*('cost master'!$D:$D=""Storage cost per pallet / week"")*('cost master'!$G:$G&lt;=B3788)*(('cost master'!$H:$H&gt;=B3788)+ISBLANK('cost master'!$H:$H))),1),0)"),0.0)</f>
        <v>0</v>
      </c>
      <c r="I3788" s="3">
        <f t="shared" si="4"/>
        <v>0</v>
      </c>
      <c r="J3788" s="27">
        <f t="shared" si="5"/>
        <v>693947</v>
      </c>
      <c r="K3788" s="27">
        <f t="shared" si="6"/>
        <v>693977</v>
      </c>
    </row>
    <row r="3789" hidden="1">
      <c r="A3789" s="3" t="str">
        <f t="shared" si="3"/>
        <v/>
      </c>
      <c r="B3789" s="2" t="str">
        <f t="array" ref="B3789">INDEX(helper!$A$3:$A3996,ROUNDUP((ROW()-1)/COUNTA(helper!$D$3:$D3996),0))</f>
        <v/>
      </c>
      <c r="C3789" s="5" t="str">
        <f t="array" ref="C3789">IF(B3789="","",INDEX(helper!$D$3:$D3996,MOD(ROW()-2,COUNTA(helper!$D$3:$D3996))+1))</f>
        <v/>
      </c>
      <c r="D3789" s="3" t="str">
        <f t="array" ref="D3789">IF(B3789="","",INDEX(helper!$E$3:$E3996,MOD(ROW()-2,COUNTA(helper!$D$3:$D3996))+1))</f>
        <v/>
      </c>
      <c r="E3789" s="3" t="str">
        <f t="array" ref="E3789">IF(B3789="","",INDEX(helper!$F$3:$F3996,MOD(ROW()-2,COUNTA(helper!$D$3:$D3996))+1))</f>
        <v/>
      </c>
      <c r="F3789" s="3" t="str">
        <f>IF(B3789="","",SUMIFS('inventory ledger'!$H:$H,'inventory ledger'!$C:$C,C3789,'inventory ledger'!$D:$D,D3789,'inventory ledger'!$E:$E,E3789,'inventory ledger'!$A:$A,"&lt;="&amp;B3789+TIME(23,59,59))-SUMIFS('inventory ledger'!$I:$I,'inventory ledger'!$C:$C,C3789,'inventory ledger'!$D:$D,D3789,'inventory ledger'!$E:$E,E3789,'inventory ledger'!$A:$A,"&lt;="&amp;B3789+TIME(23,59,59)))</f>
        <v/>
      </c>
      <c r="G3789" s="3">
        <f>IFERROR(__xludf.DUMMYFUNCTION("IF(F3789&lt;=0,0,IFERROR(ROUNDUP(F3789/INDEX(FILTER('warehouse config'!$D:$D,('warehouse config'!$B:$B=C3789)*('warehouse config'!$C:$C=D3789)*('warehouse config'!$G:$G&lt;=B3789)*(('warehouse config'!$H:$H&gt;=B3789)+ISBLANK('warehouse config'!$H:$H))),1)),0))"),0.0)</f>
        <v>0</v>
      </c>
      <c r="H3789" s="3">
        <f>IFERROR(__xludf.DUMMYFUNCTION("IFERROR(INDEX(FILTER('cost master'!$E:$E,('cost master'!$B:$B=C3789)*('cost master'!$D:$D=""Storage cost per pallet / week"")*('cost master'!$G:$G&lt;=B3789)*(('cost master'!$H:$H&gt;=B3789)+ISBLANK('cost master'!$H:$H))),1),0)"),0.0)</f>
        <v>0</v>
      </c>
      <c r="I3789" s="3">
        <f t="shared" si="4"/>
        <v>0</v>
      </c>
      <c r="J3789" s="27">
        <f t="shared" si="5"/>
        <v>693947</v>
      </c>
      <c r="K3789" s="27">
        <f t="shared" si="6"/>
        <v>693977</v>
      </c>
    </row>
    <row r="3790" hidden="1">
      <c r="A3790" s="3" t="str">
        <f t="shared" si="3"/>
        <v/>
      </c>
      <c r="B3790" s="2" t="str">
        <f t="array" ref="B3790">INDEX(helper!$A$3:$A3996,ROUNDUP((ROW()-1)/COUNTA(helper!$D$3:$D3996),0))</f>
        <v/>
      </c>
      <c r="C3790" s="5" t="str">
        <f t="array" ref="C3790">IF(B3790="","",INDEX(helper!$D$3:$D3996,MOD(ROW()-2,COUNTA(helper!$D$3:$D3996))+1))</f>
        <v/>
      </c>
      <c r="D3790" s="3" t="str">
        <f t="array" ref="D3790">IF(B3790="","",INDEX(helper!$E$3:$E3996,MOD(ROW()-2,COUNTA(helper!$D$3:$D3996))+1))</f>
        <v/>
      </c>
      <c r="E3790" s="3" t="str">
        <f t="array" ref="E3790">IF(B3790="","",INDEX(helper!$F$3:$F3996,MOD(ROW()-2,COUNTA(helper!$D$3:$D3996))+1))</f>
        <v/>
      </c>
      <c r="F3790" s="3" t="str">
        <f>IF(B3790="","",SUMIFS('inventory ledger'!$H:$H,'inventory ledger'!$C:$C,C3790,'inventory ledger'!$D:$D,D3790,'inventory ledger'!$E:$E,E3790,'inventory ledger'!$A:$A,"&lt;="&amp;B3790+TIME(23,59,59))-SUMIFS('inventory ledger'!$I:$I,'inventory ledger'!$C:$C,C3790,'inventory ledger'!$D:$D,D3790,'inventory ledger'!$E:$E,E3790,'inventory ledger'!$A:$A,"&lt;="&amp;B3790+TIME(23,59,59)))</f>
        <v/>
      </c>
      <c r="G3790" s="3">
        <f>IFERROR(__xludf.DUMMYFUNCTION("IF(F3790&lt;=0,0,IFERROR(ROUNDUP(F3790/INDEX(FILTER('warehouse config'!$D:$D,('warehouse config'!$B:$B=C3790)*('warehouse config'!$C:$C=D3790)*('warehouse config'!$G:$G&lt;=B3790)*(('warehouse config'!$H:$H&gt;=B3790)+ISBLANK('warehouse config'!$H:$H))),1)),0))"),0.0)</f>
        <v>0</v>
      </c>
      <c r="H3790" s="3">
        <f>IFERROR(__xludf.DUMMYFUNCTION("IFERROR(INDEX(FILTER('cost master'!$E:$E,('cost master'!$B:$B=C3790)*('cost master'!$D:$D=""Storage cost per pallet / week"")*('cost master'!$G:$G&lt;=B3790)*(('cost master'!$H:$H&gt;=B3790)+ISBLANK('cost master'!$H:$H))),1),0)"),0.0)</f>
        <v>0</v>
      </c>
      <c r="I3790" s="3">
        <f t="shared" si="4"/>
        <v>0</v>
      </c>
      <c r="J3790" s="27">
        <f t="shared" si="5"/>
        <v>693947</v>
      </c>
      <c r="K3790" s="27">
        <f t="shared" si="6"/>
        <v>693977</v>
      </c>
    </row>
    <row r="3791" hidden="1">
      <c r="A3791" s="3" t="str">
        <f t="shared" si="3"/>
        <v/>
      </c>
      <c r="B3791" s="2" t="str">
        <f t="array" ref="B3791">INDEX(helper!$A$3:$A3996,ROUNDUP((ROW()-1)/COUNTA(helper!$D$3:$D3996),0))</f>
        <v/>
      </c>
      <c r="C3791" s="5" t="str">
        <f t="array" ref="C3791">IF(B3791="","",INDEX(helper!$D$3:$D3996,MOD(ROW()-2,COUNTA(helper!$D$3:$D3996))+1))</f>
        <v/>
      </c>
      <c r="D3791" s="3" t="str">
        <f t="array" ref="D3791">IF(B3791="","",INDEX(helper!$E$3:$E3996,MOD(ROW()-2,COUNTA(helper!$D$3:$D3996))+1))</f>
        <v/>
      </c>
      <c r="E3791" s="3" t="str">
        <f t="array" ref="E3791">IF(B3791="","",INDEX(helper!$F$3:$F3996,MOD(ROW()-2,COUNTA(helper!$D$3:$D3996))+1))</f>
        <v/>
      </c>
      <c r="F3791" s="3" t="str">
        <f>IF(B3791="","",SUMIFS('inventory ledger'!$H:$H,'inventory ledger'!$C:$C,C3791,'inventory ledger'!$D:$D,D3791,'inventory ledger'!$E:$E,E3791,'inventory ledger'!$A:$A,"&lt;="&amp;B3791+TIME(23,59,59))-SUMIFS('inventory ledger'!$I:$I,'inventory ledger'!$C:$C,C3791,'inventory ledger'!$D:$D,D3791,'inventory ledger'!$E:$E,E3791,'inventory ledger'!$A:$A,"&lt;="&amp;B3791+TIME(23,59,59)))</f>
        <v/>
      </c>
      <c r="G3791" s="3">
        <f>IFERROR(__xludf.DUMMYFUNCTION("IF(F3791&lt;=0,0,IFERROR(ROUNDUP(F3791/INDEX(FILTER('warehouse config'!$D:$D,('warehouse config'!$B:$B=C3791)*('warehouse config'!$C:$C=D3791)*('warehouse config'!$G:$G&lt;=B3791)*(('warehouse config'!$H:$H&gt;=B3791)+ISBLANK('warehouse config'!$H:$H))),1)),0))"),0.0)</f>
        <v>0</v>
      </c>
      <c r="H3791" s="3">
        <f>IFERROR(__xludf.DUMMYFUNCTION("IFERROR(INDEX(FILTER('cost master'!$E:$E,('cost master'!$B:$B=C3791)*('cost master'!$D:$D=""Storage cost per pallet / week"")*('cost master'!$G:$G&lt;=B3791)*(('cost master'!$H:$H&gt;=B3791)+ISBLANK('cost master'!$H:$H))),1),0)"),0.0)</f>
        <v>0</v>
      </c>
      <c r="I3791" s="3">
        <f t="shared" si="4"/>
        <v>0</v>
      </c>
      <c r="J3791" s="27">
        <f t="shared" si="5"/>
        <v>693947</v>
      </c>
      <c r="K3791" s="27">
        <f t="shared" si="6"/>
        <v>693977</v>
      </c>
    </row>
    <row r="3792" hidden="1">
      <c r="A3792" s="3" t="str">
        <f t="shared" si="3"/>
        <v/>
      </c>
      <c r="B3792" s="2" t="str">
        <f t="array" ref="B3792">INDEX(helper!$A$3:$A3996,ROUNDUP((ROW()-1)/COUNTA(helper!$D$3:$D3996),0))</f>
        <v/>
      </c>
      <c r="C3792" s="5" t="str">
        <f t="array" ref="C3792">IF(B3792="","",INDEX(helper!$D$3:$D3996,MOD(ROW()-2,COUNTA(helper!$D$3:$D3996))+1))</f>
        <v/>
      </c>
      <c r="D3792" s="3" t="str">
        <f t="array" ref="D3792">IF(B3792="","",INDEX(helper!$E$3:$E3996,MOD(ROW()-2,COUNTA(helper!$D$3:$D3996))+1))</f>
        <v/>
      </c>
      <c r="E3792" s="3" t="str">
        <f t="array" ref="E3792">IF(B3792="","",INDEX(helper!$F$3:$F3996,MOD(ROW()-2,COUNTA(helper!$D$3:$D3996))+1))</f>
        <v/>
      </c>
      <c r="F3792" s="3" t="str">
        <f>IF(B3792="","",SUMIFS('inventory ledger'!$H:$H,'inventory ledger'!$C:$C,C3792,'inventory ledger'!$D:$D,D3792,'inventory ledger'!$E:$E,E3792,'inventory ledger'!$A:$A,"&lt;="&amp;B3792+TIME(23,59,59))-SUMIFS('inventory ledger'!$I:$I,'inventory ledger'!$C:$C,C3792,'inventory ledger'!$D:$D,D3792,'inventory ledger'!$E:$E,E3792,'inventory ledger'!$A:$A,"&lt;="&amp;B3792+TIME(23,59,59)))</f>
        <v/>
      </c>
      <c r="G3792" s="3">
        <f>IFERROR(__xludf.DUMMYFUNCTION("IF(F3792&lt;=0,0,IFERROR(ROUNDUP(F3792/INDEX(FILTER('warehouse config'!$D:$D,('warehouse config'!$B:$B=C3792)*('warehouse config'!$C:$C=D3792)*('warehouse config'!$G:$G&lt;=B3792)*(('warehouse config'!$H:$H&gt;=B3792)+ISBLANK('warehouse config'!$H:$H))),1)),0))"),0.0)</f>
        <v>0</v>
      </c>
      <c r="H3792" s="3">
        <f>IFERROR(__xludf.DUMMYFUNCTION("IFERROR(INDEX(FILTER('cost master'!$E:$E,('cost master'!$B:$B=C3792)*('cost master'!$D:$D=""Storage cost per pallet / week"")*('cost master'!$G:$G&lt;=B3792)*(('cost master'!$H:$H&gt;=B3792)+ISBLANK('cost master'!$H:$H))),1),0)"),0.0)</f>
        <v>0</v>
      </c>
      <c r="I3792" s="3">
        <f t="shared" si="4"/>
        <v>0</v>
      </c>
      <c r="J3792" s="27">
        <f t="shared" si="5"/>
        <v>693947</v>
      </c>
      <c r="K3792" s="27">
        <f t="shared" si="6"/>
        <v>693977</v>
      </c>
    </row>
    <row r="3793" hidden="1">
      <c r="A3793" s="3" t="str">
        <f t="shared" si="3"/>
        <v/>
      </c>
      <c r="B3793" s="2" t="str">
        <f t="array" ref="B3793">INDEX(helper!$A$3:$A3996,ROUNDUP((ROW()-1)/COUNTA(helper!$D$3:$D3996),0))</f>
        <v/>
      </c>
      <c r="C3793" s="5" t="str">
        <f t="array" ref="C3793">IF(B3793="","",INDEX(helper!$D$3:$D3996,MOD(ROW()-2,COUNTA(helper!$D$3:$D3996))+1))</f>
        <v/>
      </c>
      <c r="D3793" s="3" t="str">
        <f t="array" ref="D3793">IF(B3793="","",INDEX(helper!$E$3:$E3996,MOD(ROW()-2,COUNTA(helper!$D$3:$D3996))+1))</f>
        <v/>
      </c>
      <c r="E3793" s="3" t="str">
        <f t="array" ref="E3793">IF(B3793="","",INDEX(helper!$F$3:$F3996,MOD(ROW()-2,COUNTA(helper!$D$3:$D3996))+1))</f>
        <v/>
      </c>
      <c r="F3793" s="3" t="str">
        <f>IF(B3793="","",SUMIFS('inventory ledger'!$H:$H,'inventory ledger'!$C:$C,C3793,'inventory ledger'!$D:$D,D3793,'inventory ledger'!$E:$E,E3793,'inventory ledger'!$A:$A,"&lt;="&amp;B3793+TIME(23,59,59))-SUMIFS('inventory ledger'!$I:$I,'inventory ledger'!$C:$C,C3793,'inventory ledger'!$D:$D,D3793,'inventory ledger'!$E:$E,E3793,'inventory ledger'!$A:$A,"&lt;="&amp;B3793+TIME(23,59,59)))</f>
        <v/>
      </c>
      <c r="G3793" s="3">
        <f>IFERROR(__xludf.DUMMYFUNCTION("IF(F3793&lt;=0,0,IFERROR(ROUNDUP(F3793/INDEX(FILTER('warehouse config'!$D:$D,('warehouse config'!$B:$B=C3793)*('warehouse config'!$C:$C=D3793)*('warehouse config'!$G:$G&lt;=B3793)*(('warehouse config'!$H:$H&gt;=B3793)+ISBLANK('warehouse config'!$H:$H))),1)),0))"),0.0)</f>
        <v>0</v>
      </c>
      <c r="H3793" s="3">
        <f>IFERROR(__xludf.DUMMYFUNCTION("IFERROR(INDEX(FILTER('cost master'!$E:$E,('cost master'!$B:$B=C3793)*('cost master'!$D:$D=""Storage cost per pallet / week"")*('cost master'!$G:$G&lt;=B3793)*(('cost master'!$H:$H&gt;=B3793)+ISBLANK('cost master'!$H:$H))),1),0)"),0.0)</f>
        <v>0</v>
      </c>
      <c r="I3793" s="3">
        <f t="shared" si="4"/>
        <v>0</v>
      </c>
      <c r="J3793" s="27">
        <f t="shared" si="5"/>
        <v>693947</v>
      </c>
      <c r="K3793" s="27">
        <f t="shared" si="6"/>
        <v>693977</v>
      </c>
    </row>
    <row r="3794" hidden="1">
      <c r="A3794" s="3" t="str">
        <f t="shared" si="3"/>
        <v/>
      </c>
      <c r="B3794" s="2" t="str">
        <f t="array" ref="B3794">INDEX(helper!$A$3:$A3996,ROUNDUP((ROW()-1)/COUNTA(helper!$D$3:$D3996),0))</f>
        <v/>
      </c>
      <c r="C3794" s="5" t="str">
        <f t="array" ref="C3794">IF(B3794="","",INDEX(helper!$D$3:$D3996,MOD(ROW()-2,COUNTA(helper!$D$3:$D3996))+1))</f>
        <v/>
      </c>
      <c r="D3794" s="3" t="str">
        <f t="array" ref="D3794">IF(B3794="","",INDEX(helper!$E$3:$E3996,MOD(ROW()-2,COUNTA(helper!$D$3:$D3996))+1))</f>
        <v/>
      </c>
      <c r="E3794" s="3" t="str">
        <f t="array" ref="E3794">IF(B3794="","",INDEX(helper!$F$3:$F3996,MOD(ROW()-2,COUNTA(helper!$D$3:$D3996))+1))</f>
        <v/>
      </c>
      <c r="F3794" s="3" t="str">
        <f>IF(B3794="","",SUMIFS('inventory ledger'!$H:$H,'inventory ledger'!$C:$C,C3794,'inventory ledger'!$D:$D,D3794,'inventory ledger'!$E:$E,E3794,'inventory ledger'!$A:$A,"&lt;="&amp;B3794+TIME(23,59,59))-SUMIFS('inventory ledger'!$I:$I,'inventory ledger'!$C:$C,C3794,'inventory ledger'!$D:$D,D3794,'inventory ledger'!$E:$E,E3794,'inventory ledger'!$A:$A,"&lt;="&amp;B3794+TIME(23,59,59)))</f>
        <v/>
      </c>
      <c r="G3794" s="3">
        <f>IFERROR(__xludf.DUMMYFUNCTION("IF(F3794&lt;=0,0,IFERROR(ROUNDUP(F3794/INDEX(FILTER('warehouse config'!$D:$D,('warehouse config'!$B:$B=C3794)*('warehouse config'!$C:$C=D3794)*('warehouse config'!$G:$G&lt;=B3794)*(('warehouse config'!$H:$H&gt;=B3794)+ISBLANK('warehouse config'!$H:$H))),1)),0))"),0.0)</f>
        <v>0</v>
      </c>
      <c r="H3794" s="3">
        <f>IFERROR(__xludf.DUMMYFUNCTION("IFERROR(INDEX(FILTER('cost master'!$E:$E,('cost master'!$B:$B=C3794)*('cost master'!$D:$D=""Storage cost per pallet / week"")*('cost master'!$G:$G&lt;=B3794)*(('cost master'!$H:$H&gt;=B3794)+ISBLANK('cost master'!$H:$H))),1),0)"),0.0)</f>
        <v>0</v>
      </c>
      <c r="I3794" s="3">
        <f t="shared" si="4"/>
        <v>0</v>
      </c>
      <c r="J3794" s="27">
        <f t="shared" si="5"/>
        <v>693947</v>
      </c>
      <c r="K3794" s="27">
        <f t="shared" si="6"/>
        <v>693977</v>
      </c>
    </row>
    <row r="3795" hidden="1">
      <c r="A3795" s="3" t="str">
        <f t="shared" si="3"/>
        <v/>
      </c>
      <c r="B3795" s="2" t="str">
        <f t="array" ref="B3795">INDEX(helper!$A$3:$A3996,ROUNDUP((ROW()-1)/COUNTA(helper!$D$3:$D3996),0))</f>
        <v/>
      </c>
      <c r="C3795" s="5" t="str">
        <f t="array" ref="C3795">IF(B3795="","",INDEX(helper!$D$3:$D3996,MOD(ROW()-2,COUNTA(helper!$D$3:$D3996))+1))</f>
        <v/>
      </c>
      <c r="D3795" s="3" t="str">
        <f t="array" ref="D3795">IF(B3795="","",INDEX(helper!$E$3:$E3996,MOD(ROW()-2,COUNTA(helper!$D$3:$D3996))+1))</f>
        <v/>
      </c>
      <c r="E3795" s="3" t="str">
        <f t="array" ref="E3795">IF(B3795="","",INDEX(helper!$F$3:$F3996,MOD(ROW()-2,COUNTA(helper!$D$3:$D3996))+1))</f>
        <v/>
      </c>
      <c r="F3795" s="3" t="str">
        <f>IF(B3795="","",SUMIFS('inventory ledger'!$H:$H,'inventory ledger'!$C:$C,C3795,'inventory ledger'!$D:$D,D3795,'inventory ledger'!$E:$E,E3795,'inventory ledger'!$A:$A,"&lt;="&amp;B3795+TIME(23,59,59))-SUMIFS('inventory ledger'!$I:$I,'inventory ledger'!$C:$C,C3795,'inventory ledger'!$D:$D,D3795,'inventory ledger'!$E:$E,E3795,'inventory ledger'!$A:$A,"&lt;="&amp;B3795+TIME(23,59,59)))</f>
        <v/>
      </c>
      <c r="G3795" s="3">
        <f>IFERROR(__xludf.DUMMYFUNCTION("IF(F3795&lt;=0,0,IFERROR(ROUNDUP(F3795/INDEX(FILTER('warehouse config'!$D:$D,('warehouse config'!$B:$B=C3795)*('warehouse config'!$C:$C=D3795)*('warehouse config'!$G:$G&lt;=B3795)*(('warehouse config'!$H:$H&gt;=B3795)+ISBLANK('warehouse config'!$H:$H))),1)),0))"),0.0)</f>
        <v>0</v>
      </c>
      <c r="H3795" s="3">
        <f>IFERROR(__xludf.DUMMYFUNCTION("IFERROR(INDEX(FILTER('cost master'!$E:$E,('cost master'!$B:$B=C3795)*('cost master'!$D:$D=""Storage cost per pallet / week"")*('cost master'!$G:$G&lt;=B3795)*(('cost master'!$H:$H&gt;=B3795)+ISBLANK('cost master'!$H:$H))),1),0)"),0.0)</f>
        <v>0</v>
      </c>
      <c r="I3795" s="3">
        <f t="shared" si="4"/>
        <v>0</v>
      </c>
      <c r="J3795" s="27">
        <f t="shared" si="5"/>
        <v>693947</v>
      </c>
      <c r="K3795" s="27">
        <f t="shared" si="6"/>
        <v>693977</v>
      </c>
    </row>
    <row r="3796" hidden="1">
      <c r="A3796" s="3" t="str">
        <f t="shared" si="3"/>
        <v/>
      </c>
      <c r="B3796" s="2" t="str">
        <f t="array" ref="B3796">INDEX(helper!$A$3:$A3996,ROUNDUP((ROW()-1)/COUNTA(helper!$D$3:$D3996),0))</f>
        <v/>
      </c>
      <c r="C3796" s="5" t="str">
        <f t="array" ref="C3796">IF(B3796="","",INDEX(helper!$D$3:$D3996,MOD(ROW()-2,COUNTA(helper!$D$3:$D3996))+1))</f>
        <v/>
      </c>
      <c r="D3796" s="3" t="str">
        <f t="array" ref="D3796">IF(B3796="","",INDEX(helper!$E$3:$E3996,MOD(ROW()-2,COUNTA(helper!$D$3:$D3996))+1))</f>
        <v/>
      </c>
      <c r="E3796" s="3" t="str">
        <f t="array" ref="E3796">IF(B3796="","",INDEX(helper!$F$3:$F3996,MOD(ROW()-2,COUNTA(helper!$D$3:$D3996))+1))</f>
        <v/>
      </c>
      <c r="F3796" s="3" t="str">
        <f>IF(B3796="","",SUMIFS('inventory ledger'!$H:$H,'inventory ledger'!$C:$C,C3796,'inventory ledger'!$D:$D,D3796,'inventory ledger'!$E:$E,E3796,'inventory ledger'!$A:$A,"&lt;="&amp;B3796+TIME(23,59,59))-SUMIFS('inventory ledger'!$I:$I,'inventory ledger'!$C:$C,C3796,'inventory ledger'!$D:$D,D3796,'inventory ledger'!$E:$E,E3796,'inventory ledger'!$A:$A,"&lt;="&amp;B3796+TIME(23,59,59)))</f>
        <v/>
      </c>
      <c r="G3796" s="3">
        <f>IFERROR(__xludf.DUMMYFUNCTION("IF(F3796&lt;=0,0,IFERROR(ROUNDUP(F3796/INDEX(FILTER('warehouse config'!$D:$D,('warehouse config'!$B:$B=C3796)*('warehouse config'!$C:$C=D3796)*('warehouse config'!$G:$G&lt;=B3796)*(('warehouse config'!$H:$H&gt;=B3796)+ISBLANK('warehouse config'!$H:$H))),1)),0))"),0.0)</f>
        <v>0</v>
      </c>
      <c r="H3796" s="3">
        <f>IFERROR(__xludf.DUMMYFUNCTION("IFERROR(INDEX(FILTER('cost master'!$E:$E,('cost master'!$B:$B=C3796)*('cost master'!$D:$D=""Storage cost per pallet / week"")*('cost master'!$G:$G&lt;=B3796)*(('cost master'!$H:$H&gt;=B3796)+ISBLANK('cost master'!$H:$H))),1),0)"),0.0)</f>
        <v>0</v>
      </c>
      <c r="I3796" s="3">
        <f t="shared" si="4"/>
        <v>0</v>
      </c>
      <c r="J3796" s="27">
        <f t="shared" si="5"/>
        <v>693947</v>
      </c>
      <c r="K3796" s="27">
        <f t="shared" si="6"/>
        <v>693977</v>
      </c>
    </row>
    <row r="3797" hidden="1">
      <c r="A3797" s="3" t="str">
        <f t="shared" si="3"/>
        <v/>
      </c>
      <c r="B3797" s="2" t="str">
        <f t="array" ref="B3797">INDEX(helper!$A$3:$A3996,ROUNDUP((ROW()-1)/COUNTA(helper!$D$3:$D3996),0))</f>
        <v/>
      </c>
      <c r="C3797" s="5" t="str">
        <f t="array" ref="C3797">IF(B3797="","",INDEX(helper!$D$3:$D3996,MOD(ROW()-2,COUNTA(helper!$D$3:$D3996))+1))</f>
        <v/>
      </c>
      <c r="D3797" s="3" t="str">
        <f t="array" ref="D3797">IF(B3797="","",INDEX(helper!$E$3:$E3996,MOD(ROW()-2,COUNTA(helper!$D$3:$D3996))+1))</f>
        <v/>
      </c>
      <c r="E3797" s="3" t="str">
        <f t="array" ref="E3797">IF(B3797="","",INDEX(helper!$F$3:$F3996,MOD(ROW()-2,COUNTA(helper!$D$3:$D3996))+1))</f>
        <v/>
      </c>
      <c r="F3797" s="3" t="str">
        <f>IF(B3797="","",SUMIFS('inventory ledger'!$H:$H,'inventory ledger'!$C:$C,C3797,'inventory ledger'!$D:$D,D3797,'inventory ledger'!$E:$E,E3797,'inventory ledger'!$A:$A,"&lt;="&amp;B3797+TIME(23,59,59))-SUMIFS('inventory ledger'!$I:$I,'inventory ledger'!$C:$C,C3797,'inventory ledger'!$D:$D,D3797,'inventory ledger'!$E:$E,E3797,'inventory ledger'!$A:$A,"&lt;="&amp;B3797+TIME(23,59,59)))</f>
        <v/>
      </c>
      <c r="G3797" s="3">
        <f>IFERROR(__xludf.DUMMYFUNCTION("IF(F3797&lt;=0,0,IFERROR(ROUNDUP(F3797/INDEX(FILTER('warehouse config'!$D:$D,('warehouse config'!$B:$B=C3797)*('warehouse config'!$C:$C=D3797)*('warehouse config'!$G:$G&lt;=B3797)*(('warehouse config'!$H:$H&gt;=B3797)+ISBLANK('warehouse config'!$H:$H))),1)),0))"),0.0)</f>
        <v>0</v>
      </c>
      <c r="H3797" s="3">
        <f>IFERROR(__xludf.DUMMYFUNCTION("IFERROR(INDEX(FILTER('cost master'!$E:$E,('cost master'!$B:$B=C3797)*('cost master'!$D:$D=""Storage cost per pallet / week"")*('cost master'!$G:$G&lt;=B3797)*(('cost master'!$H:$H&gt;=B3797)+ISBLANK('cost master'!$H:$H))),1),0)"),0.0)</f>
        <v>0</v>
      </c>
      <c r="I3797" s="3">
        <f t="shared" si="4"/>
        <v>0</v>
      </c>
      <c r="J3797" s="27">
        <f t="shared" si="5"/>
        <v>693947</v>
      </c>
      <c r="K3797" s="27">
        <f t="shared" si="6"/>
        <v>693977</v>
      </c>
    </row>
    <row r="3798" hidden="1">
      <c r="A3798" s="3" t="str">
        <f t="shared" si="3"/>
        <v/>
      </c>
      <c r="B3798" s="2" t="str">
        <f t="array" ref="B3798">INDEX(helper!$A$3:$A3996,ROUNDUP((ROW()-1)/COUNTA(helper!$D$3:$D3996),0))</f>
        <v/>
      </c>
      <c r="C3798" s="5" t="str">
        <f t="array" ref="C3798">IF(B3798="","",INDEX(helper!$D$3:$D3996,MOD(ROW()-2,COUNTA(helper!$D$3:$D3996))+1))</f>
        <v/>
      </c>
      <c r="D3798" s="3" t="str">
        <f t="array" ref="D3798">IF(B3798="","",INDEX(helper!$E$3:$E3996,MOD(ROW()-2,COUNTA(helper!$D$3:$D3996))+1))</f>
        <v/>
      </c>
      <c r="E3798" s="3" t="str">
        <f t="array" ref="E3798">IF(B3798="","",INDEX(helper!$F$3:$F3996,MOD(ROW()-2,COUNTA(helper!$D$3:$D3996))+1))</f>
        <v/>
      </c>
      <c r="F3798" s="3" t="str">
        <f>IF(B3798="","",SUMIFS('inventory ledger'!$H:$H,'inventory ledger'!$C:$C,C3798,'inventory ledger'!$D:$D,D3798,'inventory ledger'!$E:$E,E3798,'inventory ledger'!$A:$A,"&lt;="&amp;B3798+TIME(23,59,59))-SUMIFS('inventory ledger'!$I:$I,'inventory ledger'!$C:$C,C3798,'inventory ledger'!$D:$D,D3798,'inventory ledger'!$E:$E,E3798,'inventory ledger'!$A:$A,"&lt;="&amp;B3798+TIME(23,59,59)))</f>
        <v/>
      </c>
      <c r="G3798" s="3">
        <f>IFERROR(__xludf.DUMMYFUNCTION("IF(F3798&lt;=0,0,IFERROR(ROUNDUP(F3798/INDEX(FILTER('warehouse config'!$D:$D,('warehouse config'!$B:$B=C3798)*('warehouse config'!$C:$C=D3798)*('warehouse config'!$G:$G&lt;=B3798)*(('warehouse config'!$H:$H&gt;=B3798)+ISBLANK('warehouse config'!$H:$H))),1)),0))"),0.0)</f>
        <v>0</v>
      </c>
      <c r="H3798" s="3">
        <f>IFERROR(__xludf.DUMMYFUNCTION("IFERROR(INDEX(FILTER('cost master'!$E:$E,('cost master'!$B:$B=C3798)*('cost master'!$D:$D=""Storage cost per pallet / week"")*('cost master'!$G:$G&lt;=B3798)*(('cost master'!$H:$H&gt;=B3798)+ISBLANK('cost master'!$H:$H))),1),0)"),0.0)</f>
        <v>0</v>
      </c>
      <c r="I3798" s="3">
        <f t="shared" si="4"/>
        <v>0</v>
      </c>
      <c r="J3798" s="27">
        <f t="shared" si="5"/>
        <v>693947</v>
      </c>
      <c r="K3798" s="27">
        <f t="shared" si="6"/>
        <v>693977</v>
      </c>
    </row>
    <row r="3799" hidden="1">
      <c r="A3799" s="3" t="str">
        <f t="shared" si="3"/>
        <v/>
      </c>
      <c r="B3799" s="2" t="str">
        <f t="array" ref="B3799">INDEX(helper!$A$3:$A3996,ROUNDUP((ROW()-1)/COUNTA(helper!$D$3:$D3996),0))</f>
        <v/>
      </c>
      <c r="C3799" s="5" t="str">
        <f t="array" ref="C3799">IF(B3799="","",INDEX(helper!$D$3:$D3996,MOD(ROW()-2,COUNTA(helper!$D$3:$D3996))+1))</f>
        <v/>
      </c>
      <c r="D3799" s="3" t="str">
        <f t="array" ref="D3799">IF(B3799="","",INDEX(helper!$E$3:$E3996,MOD(ROW()-2,COUNTA(helper!$D$3:$D3996))+1))</f>
        <v/>
      </c>
      <c r="E3799" s="3" t="str">
        <f t="array" ref="E3799">IF(B3799="","",INDEX(helper!$F$3:$F3996,MOD(ROW()-2,COUNTA(helper!$D$3:$D3996))+1))</f>
        <v/>
      </c>
      <c r="F3799" s="3" t="str">
        <f>IF(B3799="","",SUMIFS('inventory ledger'!$H:$H,'inventory ledger'!$C:$C,C3799,'inventory ledger'!$D:$D,D3799,'inventory ledger'!$E:$E,E3799,'inventory ledger'!$A:$A,"&lt;="&amp;B3799+TIME(23,59,59))-SUMIFS('inventory ledger'!$I:$I,'inventory ledger'!$C:$C,C3799,'inventory ledger'!$D:$D,D3799,'inventory ledger'!$E:$E,E3799,'inventory ledger'!$A:$A,"&lt;="&amp;B3799+TIME(23,59,59)))</f>
        <v/>
      </c>
      <c r="G3799" s="3">
        <f>IFERROR(__xludf.DUMMYFUNCTION("IF(F3799&lt;=0,0,IFERROR(ROUNDUP(F3799/INDEX(FILTER('warehouse config'!$D:$D,('warehouse config'!$B:$B=C3799)*('warehouse config'!$C:$C=D3799)*('warehouse config'!$G:$G&lt;=B3799)*(('warehouse config'!$H:$H&gt;=B3799)+ISBLANK('warehouse config'!$H:$H))),1)),0))"),0.0)</f>
        <v>0</v>
      </c>
      <c r="H3799" s="3">
        <f>IFERROR(__xludf.DUMMYFUNCTION("IFERROR(INDEX(FILTER('cost master'!$E:$E,('cost master'!$B:$B=C3799)*('cost master'!$D:$D=""Storage cost per pallet / week"")*('cost master'!$G:$G&lt;=B3799)*(('cost master'!$H:$H&gt;=B3799)+ISBLANK('cost master'!$H:$H))),1),0)"),0.0)</f>
        <v>0</v>
      </c>
      <c r="I3799" s="3">
        <f t="shared" si="4"/>
        <v>0</v>
      </c>
      <c r="J3799" s="27">
        <f t="shared" si="5"/>
        <v>693947</v>
      </c>
      <c r="K3799" s="27">
        <f t="shared" si="6"/>
        <v>693977</v>
      </c>
    </row>
    <row r="3800" hidden="1">
      <c r="A3800" s="3" t="str">
        <f t="shared" si="3"/>
        <v/>
      </c>
      <c r="B3800" s="2" t="str">
        <f t="array" ref="B3800">INDEX(helper!$A$3:$A3996,ROUNDUP((ROW()-1)/COUNTA(helper!$D$3:$D3996),0))</f>
        <v/>
      </c>
      <c r="C3800" s="5" t="str">
        <f t="array" ref="C3800">IF(B3800="","",INDEX(helper!$D$3:$D3996,MOD(ROW()-2,COUNTA(helper!$D$3:$D3996))+1))</f>
        <v/>
      </c>
      <c r="D3800" s="3" t="str">
        <f t="array" ref="D3800">IF(B3800="","",INDEX(helper!$E$3:$E3996,MOD(ROW()-2,COUNTA(helper!$D$3:$D3996))+1))</f>
        <v/>
      </c>
      <c r="E3800" s="3" t="str">
        <f t="array" ref="E3800">IF(B3800="","",INDEX(helper!$F$3:$F3996,MOD(ROW()-2,COUNTA(helper!$D$3:$D3996))+1))</f>
        <v/>
      </c>
      <c r="F3800" s="3" t="str">
        <f>IF(B3800="","",SUMIFS('inventory ledger'!$H:$H,'inventory ledger'!$C:$C,C3800,'inventory ledger'!$D:$D,D3800,'inventory ledger'!$E:$E,E3800,'inventory ledger'!$A:$A,"&lt;="&amp;B3800+TIME(23,59,59))-SUMIFS('inventory ledger'!$I:$I,'inventory ledger'!$C:$C,C3800,'inventory ledger'!$D:$D,D3800,'inventory ledger'!$E:$E,E3800,'inventory ledger'!$A:$A,"&lt;="&amp;B3800+TIME(23,59,59)))</f>
        <v/>
      </c>
      <c r="G3800" s="3">
        <f>IFERROR(__xludf.DUMMYFUNCTION("IF(F3800&lt;=0,0,IFERROR(ROUNDUP(F3800/INDEX(FILTER('warehouse config'!$D:$D,('warehouse config'!$B:$B=C3800)*('warehouse config'!$C:$C=D3800)*('warehouse config'!$G:$G&lt;=B3800)*(('warehouse config'!$H:$H&gt;=B3800)+ISBLANK('warehouse config'!$H:$H))),1)),0))"),0.0)</f>
        <v>0</v>
      </c>
      <c r="H3800" s="3">
        <f>IFERROR(__xludf.DUMMYFUNCTION("IFERROR(INDEX(FILTER('cost master'!$E:$E,('cost master'!$B:$B=C3800)*('cost master'!$D:$D=""Storage cost per pallet / week"")*('cost master'!$G:$G&lt;=B3800)*(('cost master'!$H:$H&gt;=B3800)+ISBLANK('cost master'!$H:$H))),1),0)"),0.0)</f>
        <v>0</v>
      </c>
      <c r="I3800" s="3">
        <f t="shared" si="4"/>
        <v>0</v>
      </c>
      <c r="J3800" s="27">
        <f t="shared" si="5"/>
        <v>693947</v>
      </c>
      <c r="K3800" s="27">
        <f t="shared" si="6"/>
        <v>693977</v>
      </c>
    </row>
    <row r="3801" hidden="1">
      <c r="A3801" s="3" t="str">
        <f t="shared" si="3"/>
        <v/>
      </c>
      <c r="B3801" s="2" t="str">
        <f t="array" ref="B3801">INDEX(helper!$A$3:$A3996,ROUNDUP((ROW()-1)/COUNTA(helper!$D$3:$D3996),0))</f>
        <v/>
      </c>
      <c r="C3801" s="5" t="str">
        <f t="array" ref="C3801">IF(B3801="","",INDEX(helper!$D$3:$D3996,MOD(ROW()-2,COUNTA(helper!$D$3:$D3996))+1))</f>
        <v/>
      </c>
      <c r="D3801" s="3" t="str">
        <f t="array" ref="D3801">IF(B3801="","",INDEX(helper!$E$3:$E3996,MOD(ROW()-2,COUNTA(helper!$D$3:$D3996))+1))</f>
        <v/>
      </c>
      <c r="E3801" s="3" t="str">
        <f t="array" ref="E3801">IF(B3801="","",INDEX(helper!$F$3:$F3996,MOD(ROW()-2,COUNTA(helper!$D$3:$D3996))+1))</f>
        <v/>
      </c>
      <c r="F3801" s="3" t="str">
        <f>IF(B3801="","",SUMIFS('inventory ledger'!$H:$H,'inventory ledger'!$C:$C,C3801,'inventory ledger'!$D:$D,D3801,'inventory ledger'!$E:$E,E3801,'inventory ledger'!$A:$A,"&lt;="&amp;B3801+TIME(23,59,59))-SUMIFS('inventory ledger'!$I:$I,'inventory ledger'!$C:$C,C3801,'inventory ledger'!$D:$D,D3801,'inventory ledger'!$E:$E,E3801,'inventory ledger'!$A:$A,"&lt;="&amp;B3801+TIME(23,59,59)))</f>
        <v/>
      </c>
      <c r="G3801" s="3">
        <f>IFERROR(__xludf.DUMMYFUNCTION("IF(F3801&lt;=0,0,IFERROR(ROUNDUP(F3801/INDEX(FILTER('warehouse config'!$D:$D,('warehouse config'!$B:$B=C3801)*('warehouse config'!$C:$C=D3801)*('warehouse config'!$G:$G&lt;=B3801)*(('warehouse config'!$H:$H&gt;=B3801)+ISBLANK('warehouse config'!$H:$H))),1)),0))"),0.0)</f>
        <v>0</v>
      </c>
      <c r="H3801" s="3">
        <f>IFERROR(__xludf.DUMMYFUNCTION("IFERROR(INDEX(FILTER('cost master'!$E:$E,('cost master'!$B:$B=C3801)*('cost master'!$D:$D=""Storage cost per pallet / week"")*('cost master'!$G:$G&lt;=B3801)*(('cost master'!$H:$H&gt;=B3801)+ISBLANK('cost master'!$H:$H))),1),0)"),0.0)</f>
        <v>0</v>
      </c>
      <c r="I3801" s="3">
        <f t="shared" si="4"/>
        <v>0</v>
      </c>
      <c r="J3801" s="27">
        <f t="shared" si="5"/>
        <v>693947</v>
      </c>
      <c r="K3801" s="27">
        <f t="shared" si="6"/>
        <v>693977</v>
      </c>
    </row>
    <row r="3802" hidden="1">
      <c r="A3802" s="3" t="str">
        <f t="shared" si="3"/>
        <v/>
      </c>
      <c r="B3802" s="2" t="str">
        <f t="array" ref="B3802">INDEX(helper!$A$3:$A3996,ROUNDUP((ROW()-1)/COUNTA(helper!$D$3:$D3996),0))</f>
        <v/>
      </c>
      <c r="C3802" s="5" t="str">
        <f t="array" ref="C3802">IF(B3802="","",INDEX(helper!$D$3:$D3996,MOD(ROW()-2,COUNTA(helper!$D$3:$D3996))+1))</f>
        <v/>
      </c>
      <c r="D3802" s="3" t="str">
        <f t="array" ref="D3802">IF(B3802="","",INDEX(helper!$E$3:$E3996,MOD(ROW()-2,COUNTA(helper!$D$3:$D3996))+1))</f>
        <v/>
      </c>
      <c r="E3802" s="3" t="str">
        <f t="array" ref="E3802">IF(B3802="","",INDEX(helper!$F$3:$F3996,MOD(ROW()-2,COUNTA(helper!$D$3:$D3996))+1))</f>
        <v/>
      </c>
      <c r="F3802" s="3" t="str">
        <f>IF(B3802="","",SUMIFS('inventory ledger'!$H:$H,'inventory ledger'!$C:$C,C3802,'inventory ledger'!$D:$D,D3802,'inventory ledger'!$E:$E,E3802,'inventory ledger'!$A:$A,"&lt;="&amp;B3802+TIME(23,59,59))-SUMIFS('inventory ledger'!$I:$I,'inventory ledger'!$C:$C,C3802,'inventory ledger'!$D:$D,D3802,'inventory ledger'!$E:$E,E3802,'inventory ledger'!$A:$A,"&lt;="&amp;B3802+TIME(23,59,59)))</f>
        <v/>
      </c>
      <c r="G3802" s="3">
        <f>IFERROR(__xludf.DUMMYFUNCTION("IF(F3802&lt;=0,0,IFERROR(ROUNDUP(F3802/INDEX(FILTER('warehouse config'!$D:$D,('warehouse config'!$B:$B=C3802)*('warehouse config'!$C:$C=D3802)*('warehouse config'!$G:$G&lt;=B3802)*(('warehouse config'!$H:$H&gt;=B3802)+ISBLANK('warehouse config'!$H:$H))),1)),0))"),0.0)</f>
        <v>0</v>
      </c>
      <c r="H3802" s="3">
        <f>IFERROR(__xludf.DUMMYFUNCTION("IFERROR(INDEX(FILTER('cost master'!$E:$E,('cost master'!$B:$B=C3802)*('cost master'!$D:$D=""Storage cost per pallet / week"")*('cost master'!$G:$G&lt;=B3802)*(('cost master'!$H:$H&gt;=B3802)+ISBLANK('cost master'!$H:$H))),1),0)"),0.0)</f>
        <v>0</v>
      </c>
      <c r="I3802" s="3">
        <f t="shared" si="4"/>
        <v>0</v>
      </c>
      <c r="J3802" s="27">
        <f t="shared" si="5"/>
        <v>693947</v>
      </c>
      <c r="K3802" s="27">
        <f t="shared" si="6"/>
        <v>693977</v>
      </c>
    </row>
    <row r="3803" hidden="1">
      <c r="A3803" s="3" t="str">
        <f t="shared" si="3"/>
        <v/>
      </c>
      <c r="B3803" s="2" t="str">
        <f t="array" ref="B3803">INDEX(helper!$A$3:$A3996,ROUNDUP((ROW()-1)/COUNTA(helper!$D$3:$D3996),0))</f>
        <v/>
      </c>
      <c r="C3803" s="5" t="str">
        <f t="array" ref="C3803">IF(B3803="","",INDEX(helper!$D$3:$D3996,MOD(ROW()-2,COUNTA(helper!$D$3:$D3996))+1))</f>
        <v/>
      </c>
      <c r="D3803" s="3" t="str">
        <f t="array" ref="D3803">IF(B3803="","",INDEX(helper!$E$3:$E3996,MOD(ROW()-2,COUNTA(helper!$D$3:$D3996))+1))</f>
        <v/>
      </c>
      <c r="E3803" s="3" t="str">
        <f t="array" ref="E3803">IF(B3803="","",INDEX(helper!$F$3:$F3996,MOD(ROW()-2,COUNTA(helper!$D$3:$D3996))+1))</f>
        <v/>
      </c>
      <c r="F3803" s="3" t="str">
        <f>IF(B3803="","",SUMIFS('inventory ledger'!$H:$H,'inventory ledger'!$C:$C,C3803,'inventory ledger'!$D:$D,D3803,'inventory ledger'!$E:$E,E3803,'inventory ledger'!$A:$A,"&lt;="&amp;B3803+TIME(23,59,59))-SUMIFS('inventory ledger'!$I:$I,'inventory ledger'!$C:$C,C3803,'inventory ledger'!$D:$D,D3803,'inventory ledger'!$E:$E,E3803,'inventory ledger'!$A:$A,"&lt;="&amp;B3803+TIME(23,59,59)))</f>
        <v/>
      </c>
      <c r="G3803" s="3">
        <f>IFERROR(__xludf.DUMMYFUNCTION("IF(F3803&lt;=0,0,IFERROR(ROUNDUP(F3803/INDEX(FILTER('warehouse config'!$D:$D,('warehouse config'!$B:$B=C3803)*('warehouse config'!$C:$C=D3803)*('warehouse config'!$G:$G&lt;=B3803)*(('warehouse config'!$H:$H&gt;=B3803)+ISBLANK('warehouse config'!$H:$H))),1)),0))"),0.0)</f>
        <v>0</v>
      </c>
      <c r="H3803" s="3">
        <f>IFERROR(__xludf.DUMMYFUNCTION("IFERROR(INDEX(FILTER('cost master'!$E:$E,('cost master'!$B:$B=C3803)*('cost master'!$D:$D=""Storage cost per pallet / week"")*('cost master'!$G:$G&lt;=B3803)*(('cost master'!$H:$H&gt;=B3803)+ISBLANK('cost master'!$H:$H))),1),0)"),0.0)</f>
        <v>0</v>
      </c>
      <c r="I3803" s="3">
        <f t="shared" si="4"/>
        <v>0</v>
      </c>
      <c r="J3803" s="27">
        <f t="shared" si="5"/>
        <v>693947</v>
      </c>
      <c r="K3803" s="27">
        <f t="shared" si="6"/>
        <v>693977</v>
      </c>
    </row>
    <row r="3804" hidden="1">
      <c r="A3804" s="3" t="str">
        <f t="shared" si="3"/>
        <v/>
      </c>
      <c r="B3804" s="2" t="str">
        <f t="array" ref="B3804">INDEX(helper!$A$3:$A3996,ROUNDUP((ROW()-1)/COUNTA(helper!$D$3:$D3996),0))</f>
        <v/>
      </c>
      <c r="C3804" s="5" t="str">
        <f t="array" ref="C3804">IF(B3804="","",INDEX(helper!$D$3:$D3996,MOD(ROW()-2,COUNTA(helper!$D$3:$D3996))+1))</f>
        <v/>
      </c>
      <c r="D3804" s="3" t="str">
        <f t="array" ref="D3804">IF(B3804="","",INDEX(helper!$E$3:$E3996,MOD(ROW()-2,COUNTA(helper!$D$3:$D3996))+1))</f>
        <v/>
      </c>
      <c r="E3804" s="3" t="str">
        <f t="array" ref="E3804">IF(B3804="","",INDEX(helper!$F$3:$F3996,MOD(ROW()-2,COUNTA(helper!$D$3:$D3996))+1))</f>
        <v/>
      </c>
      <c r="F3804" s="3" t="str">
        <f>IF(B3804="","",SUMIFS('inventory ledger'!$H:$H,'inventory ledger'!$C:$C,C3804,'inventory ledger'!$D:$D,D3804,'inventory ledger'!$E:$E,E3804,'inventory ledger'!$A:$A,"&lt;="&amp;B3804+TIME(23,59,59))-SUMIFS('inventory ledger'!$I:$I,'inventory ledger'!$C:$C,C3804,'inventory ledger'!$D:$D,D3804,'inventory ledger'!$E:$E,E3804,'inventory ledger'!$A:$A,"&lt;="&amp;B3804+TIME(23,59,59)))</f>
        <v/>
      </c>
      <c r="G3804" s="3">
        <f>IFERROR(__xludf.DUMMYFUNCTION("IF(F3804&lt;=0,0,IFERROR(ROUNDUP(F3804/INDEX(FILTER('warehouse config'!$D:$D,('warehouse config'!$B:$B=C3804)*('warehouse config'!$C:$C=D3804)*('warehouse config'!$G:$G&lt;=B3804)*(('warehouse config'!$H:$H&gt;=B3804)+ISBLANK('warehouse config'!$H:$H))),1)),0))"),0.0)</f>
        <v>0</v>
      </c>
      <c r="H3804" s="3">
        <f>IFERROR(__xludf.DUMMYFUNCTION("IFERROR(INDEX(FILTER('cost master'!$E:$E,('cost master'!$B:$B=C3804)*('cost master'!$D:$D=""Storage cost per pallet / week"")*('cost master'!$G:$G&lt;=B3804)*(('cost master'!$H:$H&gt;=B3804)+ISBLANK('cost master'!$H:$H))),1),0)"),0.0)</f>
        <v>0</v>
      </c>
      <c r="I3804" s="3">
        <f t="shared" si="4"/>
        <v>0</v>
      </c>
      <c r="J3804" s="27">
        <f t="shared" si="5"/>
        <v>693947</v>
      </c>
      <c r="K3804" s="27">
        <f t="shared" si="6"/>
        <v>693977</v>
      </c>
    </row>
    <row r="3805" hidden="1">
      <c r="A3805" s="3" t="str">
        <f t="shared" si="3"/>
        <v/>
      </c>
      <c r="B3805" s="2" t="str">
        <f t="array" ref="B3805">INDEX(helper!$A$3:$A3996,ROUNDUP((ROW()-1)/COUNTA(helper!$D$3:$D3996),0))</f>
        <v/>
      </c>
      <c r="C3805" s="5" t="str">
        <f t="array" ref="C3805">IF(B3805="","",INDEX(helper!$D$3:$D3996,MOD(ROW()-2,COUNTA(helper!$D$3:$D3996))+1))</f>
        <v/>
      </c>
      <c r="D3805" s="3" t="str">
        <f t="array" ref="D3805">IF(B3805="","",INDEX(helper!$E$3:$E3996,MOD(ROW()-2,COUNTA(helper!$D$3:$D3996))+1))</f>
        <v/>
      </c>
      <c r="E3805" s="3" t="str">
        <f t="array" ref="E3805">IF(B3805="","",INDEX(helper!$F$3:$F3996,MOD(ROW()-2,COUNTA(helper!$D$3:$D3996))+1))</f>
        <v/>
      </c>
      <c r="F3805" s="3" t="str">
        <f>IF(B3805="","",SUMIFS('inventory ledger'!$H:$H,'inventory ledger'!$C:$C,C3805,'inventory ledger'!$D:$D,D3805,'inventory ledger'!$E:$E,E3805,'inventory ledger'!$A:$A,"&lt;="&amp;B3805+TIME(23,59,59))-SUMIFS('inventory ledger'!$I:$I,'inventory ledger'!$C:$C,C3805,'inventory ledger'!$D:$D,D3805,'inventory ledger'!$E:$E,E3805,'inventory ledger'!$A:$A,"&lt;="&amp;B3805+TIME(23,59,59)))</f>
        <v/>
      </c>
      <c r="G3805" s="3">
        <f>IFERROR(__xludf.DUMMYFUNCTION("IF(F3805&lt;=0,0,IFERROR(ROUNDUP(F3805/INDEX(FILTER('warehouse config'!$D:$D,('warehouse config'!$B:$B=C3805)*('warehouse config'!$C:$C=D3805)*('warehouse config'!$G:$G&lt;=B3805)*(('warehouse config'!$H:$H&gt;=B3805)+ISBLANK('warehouse config'!$H:$H))),1)),0))"),0.0)</f>
        <v>0</v>
      </c>
      <c r="H3805" s="3">
        <f>IFERROR(__xludf.DUMMYFUNCTION("IFERROR(INDEX(FILTER('cost master'!$E:$E,('cost master'!$B:$B=C3805)*('cost master'!$D:$D=""Storage cost per pallet / week"")*('cost master'!$G:$G&lt;=B3805)*(('cost master'!$H:$H&gt;=B3805)+ISBLANK('cost master'!$H:$H))),1),0)"),0.0)</f>
        <v>0</v>
      </c>
      <c r="I3805" s="3">
        <f t="shared" si="4"/>
        <v>0</v>
      </c>
      <c r="J3805" s="27">
        <f t="shared" si="5"/>
        <v>693947</v>
      </c>
      <c r="K3805" s="27">
        <f t="shared" si="6"/>
        <v>693977</v>
      </c>
    </row>
    <row r="3806" hidden="1">
      <c r="A3806" s="3" t="str">
        <f t="shared" si="3"/>
        <v/>
      </c>
      <c r="B3806" s="2" t="str">
        <f t="array" ref="B3806">INDEX(helper!$A$3:$A3996,ROUNDUP((ROW()-1)/COUNTA(helper!$D$3:$D3996),0))</f>
        <v/>
      </c>
      <c r="C3806" s="5" t="str">
        <f t="array" ref="C3806">IF(B3806="","",INDEX(helper!$D$3:$D3996,MOD(ROW()-2,COUNTA(helper!$D$3:$D3996))+1))</f>
        <v/>
      </c>
      <c r="D3806" s="3" t="str">
        <f t="array" ref="D3806">IF(B3806="","",INDEX(helper!$E$3:$E3996,MOD(ROW()-2,COUNTA(helper!$D$3:$D3996))+1))</f>
        <v/>
      </c>
      <c r="E3806" s="3" t="str">
        <f t="array" ref="E3806">IF(B3806="","",INDEX(helper!$F$3:$F3996,MOD(ROW()-2,COUNTA(helper!$D$3:$D3996))+1))</f>
        <v/>
      </c>
      <c r="F3806" s="3" t="str">
        <f>IF(B3806="","",SUMIFS('inventory ledger'!$H:$H,'inventory ledger'!$C:$C,C3806,'inventory ledger'!$D:$D,D3806,'inventory ledger'!$E:$E,E3806,'inventory ledger'!$A:$A,"&lt;="&amp;B3806+TIME(23,59,59))-SUMIFS('inventory ledger'!$I:$I,'inventory ledger'!$C:$C,C3806,'inventory ledger'!$D:$D,D3806,'inventory ledger'!$E:$E,E3806,'inventory ledger'!$A:$A,"&lt;="&amp;B3806+TIME(23,59,59)))</f>
        <v/>
      </c>
      <c r="G3806" s="3">
        <f>IFERROR(__xludf.DUMMYFUNCTION("IF(F3806&lt;=0,0,IFERROR(ROUNDUP(F3806/INDEX(FILTER('warehouse config'!$D:$D,('warehouse config'!$B:$B=C3806)*('warehouse config'!$C:$C=D3806)*('warehouse config'!$G:$G&lt;=B3806)*(('warehouse config'!$H:$H&gt;=B3806)+ISBLANK('warehouse config'!$H:$H))),1)),0))"),0.0)</f>
        <v>0</v>
      </c>
      <c r="H3806" s="3">
        <f>IFERROR(__xludf.DUMMYFUNCTION("IFERROR(INDEX(FILTER('cost master'!$E:$E,('cost master'!$B:$B=C3806)*('cost master'!$D:$D=""Storage cost per pallet / week"")*('cost master'!$G:$G&lt;=B3806)*(('cost master'!$H:$H&gt;=B3806)+ISBLANK('cost master'!$H:$H))),1),0)"),0.0)</f>
        <v>0</v>
      </c>
      <c r="I3806" s="3">
        <f t="shared" si="4"/>
        <v>0</v>
      </c>
      <c r="J3806" s="27">
        <f t="shared" si="5"/>
        <v>693947</v>
      </c>
      <c r="K3806" s="27">
        <f t="shared" si="6"/>
        <v>693977</v>
      </c>
    </row>
    <row r="3807" hidden="1">
      <c r="A3807" s="3" t="str">
        <f t="shared" si="3"/>
        <v/>
      </c>
      <c r="B3807" s="2" t="str">
        <f t="array" ref="B3807">INDEX(helper!$A$3:$A3996,ROUNDUP((ROW()-1)/COUNTA(helper!$D$3:$D3996),0))</f>
        <v/>
      </c>
      <c r="C3807" s="5" t="str">
        <f t="array" ref="C3807">IF(B3807="","",INDEX(helper!$D$3:$D3996,MOD(ROW()-2,COUNTA(helper!$D$3:$D3996))+1))</f>
        <v/>
      </c>
      <c r="D3807" s="3" t="str">
        <f t="array" ref="D3807">IF(B3807="","",INDEX(helper!$E$3:$E3996,MOD(ROW()-2,COUNTA(helper!$D$3:$D3996))+1))</f>
        <v/>
      </c>
      <c r="E3807" s="3" t="str">
        <f t="array" ref="E3807">IF(B3807="","",INDEX(helper!$F$3:$F3996,MOD(ROW()-2,COUNTA(helper!$D$3:$D3996))+1))</f>
        <v/>
      </c>
      <c r="F3807" s="3" t="str">
        <f>IF(B3807="","",SUMIFS('inventory ledger'!$H:$H,'inventory ledger'!$C:$C,C3807,'inventory ledger'!$D:$D,D3807,'inventory ledger'!$E:$E,E3807,'inventory ledger'!$A:$A,"&lt;="&amp;B3807+TIME(23,59,59))-SUMIFS('inventory ledger'!$I:$I,'inventory ledger'!$C:$C,C3807,'inventory ledger'!$D:$D,D3807,'inventory ledger'!$E:$E,E3807,'inventory ledger'!$A:$A,"&lt;="&amp;B3807+TIME(23,59,59)))</f>
        <v/>
      </c>
      <c r="G3807" s="3">
        <f>IFERROR(__xludf.DUMMYFUNCTION("IF(F3807&lt;=0,0,IFERROR(ROUNDUP(F3807/INDEX(FILTER('warehouse config'!$D:$D,('warehouse config'!$B:$B=C3807)*('warehouse config'!$C:$C=D3807)*('warehouse config'!$G:$G&lt;=B3807)*(('warehouse config'!$H:$H&gt;=B3807)+ISBLANK('warehouse config'!$H:$H))),1)),0))"),0.0)</f>
        <v>0</v>
      </c>
      <c r="H3807" s="3">
        <f>IFERROR(__xludf.DUMMYFUNCTION("IFERROR(INDEX(FILTER('cost master'!$E:$E,('cost master'!$B:$B=C3807)*('cost master'!$D:$D=""Storage cost per pallet / week"")*('cost master'!$G:$G&lt;=B3807)*(('cost master'!$H:$H&gt;=B3807)+ISBLANK('cost master'!$H:$H))),1),0)"),0.0)</f>
        <v>0</v>
      </c>
      <c r="I3807" s="3">
        <f t="shared" si="4"/>
        <v>0</v>
      </c>
      <c r="J3807" s="27">
        <f t="shared" si="5"/>
        <v>693947</v>
      </c>
      <c r="K3807" s="27">
        <f t="shared" si="6"/>
        <v>693977</v>
      </c>
    </row>
    <row r="3808" hidden="1">
      <c r="A3808" s="3" t="str">
        <f t="shared" si="3"/>
        <v/>
      </c>
      <c r="B3808" s="2" t="str">
        <f t="array" ref="B3808">INDEX(helper!$A$3:$A3996,ROUNDUP((ROW()-1)/COUNTA(helper!$D$3:$D3996),0))</f>
        <v/>
      </c>
      <c r="C3808" s="5" t="str">
        <f t="array" ref="C3808">IF(B3808="","",INDEX(helper!$D$3:$D3996,MOD(ROW()-2,COUNTA(helper!$D$3:$D3996))+1))</f>
        <v/>
      </c>
      <c r="D3808" s="3" t="str">
        <f t="array" ref="D3808">IF(B3808="","",INDEX(helper!$E$3:$E3996,MOD(ROW()-2,COUNTA(helper!$D$3:$D3996))+1))</f>
        <v/>
      </c>
      <c r="E3808" s="3" t="str">
        <f t="array" ref="E3808">IF(B3808="","",INDEX(helper!$F$3:$F3996,MOD(ROW()-2,COUNTA(helper!$D$3:$D3996))+1))</f>
        <v/>
      </c>
      <c r="F3808" s="3" t="str">
        <f>IF(B3808="","",SUMIFS('inventory ledger'!$H:$H,'inventory ledger'!$C:$C,C3808,'inventory ledger'!$D:$D,D3808,'inventory ledger'!$E:$E,E3808,'inventory ledger'!$A:$A,"&lt;="&amp;B3808+TIME(23,59,59))-SUMIFS('inventory ledger'!$I:$I,'inventory ledger'!$C:$C,C3808,'inventory ledger'!$D:$D,D3808,'inventory ledger'!$E:$E,E3808,'inventory ledger'!$A:$A,"&lt;="&amp;B3808+TIME(23,59,59)))</f>
        <v/>
      </c>
      <c r="G3808" s="3">
        <f>IFERROR(__xludf.DUMMYFUNCTION("IF(F3808&lt;=0,0,IFERROR(ROUNDUP(F3808/INDEX(FILTER('warehouse config'!$D:$D,('warehouse config'!$B:$B=C3808)*('warehouse config'!$C:$C=D3808)*('warehouse config'!$G:$G&lt;=B3808)*(('warehouse config'!$H:$H&gt;=B3808)+ISBLANK('warehouse config'!$H:$H))),1)),0))"),0.0)</f>
        <v>0</v>
      </c>
      <c r="H3808" s="3">
        <f>IFERROR(__xludf.DUMMYFUNCTION("IFERROR(INDEX(FILTER('cost master'!$E:$E,('cost master'!$B:$B=C3808)*('cost master'!$D:$D=""Storage cost per pallet / week"")*('cost master'!$G:$G&lt;=B3808)*(('cost master'!$H:$H&gt;=B3808)+ISBLANK('cost master'!$H:$H))),1),0)"),0.0)</f>
        <v>0</v>
      </c>
      <c r="I3808" s="3">
        <f t="shared" si="4"/>
        <v>0</v>
      </c>
      <c r="J3808" s="27">
        <f t="shared" si="5"/>
        <v>693947</v>
      </c>
      <c r="K3808" s="27">
        <f t="shared" si="6"/>
        <v>693977</v>
      </c>
    </row>
    <row r="3809" hidden="1">
      <c r="A3809" s="3" t="str">
        <f t="shared" si="3"/>
        <v/>
      </c>
      <c r="B3809" s="2" t="str">
        <f t="array" ref="B3809">INDEX(helper!$A$3:$A3996,ROUNDUP((ROW()-1)/COUNTA(helper!$D$3:$D3996),0))</f>
        <v/>
      </c>
      <c r="C3809" s="5" t="str">
        <f t="array" ref="C3809">IF(B3809="","",INDEX(helper!$D$3:$D3996,MOD(ROW()-2,COUNTA(helper!$D$3:$D3996))+1))</f>
        <v/>
      </c>
      <c r="D3809" s="3" t="str">
        <f t="array" ref="D3809">IF(B3809="","",INDEX(helper!$E$3:$E3996,MOD(ROW()-2,COUNTA(helper!$D$3:$D3996))+1))</f>
        <v/>
      </c>
      <c r="E3809" s="3" t="str">
        <f t="array" ref="E3809">IF(B3809="","",INDEX(helper!$F$3:$F3996,MOD(ROW()-2,COUNTA(helper!$D$3:$D3996))+1))</f>
        <v/>
      </c>
      <c r="F3809" s="3" t="str">
        <f>IF(B3809="","",SUMIFS('inventory ledger'!$H:$H,'inventory ledger'!$C:$C,C3809,'inventory ledger'!$D:$D,D3809,'inventory ledger'!$E:$E,E3809,'inventory ledger'!$A:$A,"&lt;="&amp;B3809+TIME(23,59,59))-SUMIFS('inventory ledger'!$I:$I,'inventory ledger'!$C:$C,C3809,'inventory ledger'!$D:$D,D3809,'inventory ledger'!$E:$E,E3809,'inventory ledger'!$A:$A,"&lt;="&amp;B3809+TIME(23,59,59)))</f>
        <v/>
      </c>
      <c r="G3809" s="3">
        <f>IFERROR(__xludf.DUMMYFUNCTION("IF(F3809&lt;=0,0,IFERROR(ROUNDUP(F3809/INDEX(FILTER('warehouse config'!$D:$D,('warehouse config'!$B:$B=C3809)*('warehouse config'!$C:$C=D3809)*('warehouse config'!$G:$G&lt;=B3809)*(('warehouse config'!$H:$H&gt;=B3809)+ISBLANK('warehouse config'!$H:$H))),1)),0))"),0.0)</f>
        <v>0</v>
      </c>
      <c r="H3809" s="3">
        <f>IFERROR(__xludf.DUMMYFUNCTION("IFERROR(INDEX(FILTER('cost master'!$E:$E,('cost master'!$B:$B=C3809)*('cost master'!$D:$D=""Storage cost per pallet / week"")*('cost master'!$G:$G&lt;=B3809)*(('cost master'!$H:$H&gt;=B3809)+ISBLANK('cost master'!$H:$H))),1),0)"),0.0)</f>
        <v>0</v>
      </c>
      <c r="I3809" s="3">
        <f t="shared" si="4"/>
        <v>0</v>
      </c>
      <c r="J3809" s="27">
        <f t="shared" si="5"/>
        <v>693947</v>
      </c>
      <c r="K3809" s="27">
        <f t="shared" si="6"/>
        <v>693977</v>
      </c>
    </row>
    <row r="3810" hidden="1">
      <c r="A3810" s="3" t="str">
        <f t="shared" si="3"/>
        <v/>
      </c>
      <c r="B3810" s="2" t="str">
        <f t="array" ref="B3810">INDEX(helper!$A$3:$A3996,ROUNDUP((ROW()-1)/COUNTA(helper!$D$3:$D3996),0))</f>
        <v/>
      </c>
      <c r="C3810" s="5" t="str">
        <f t="array" ref="C3810">IF(B3810="","",INDEX(helper!$D$3:$D3996,MOD(ROW()-2,COUNTA(helper!$D$3:$D3996))+1))</f>
        <v/>
      </c>
      <c r="D3810" s="3" t="str">
        <f t="array" ref="D3810">IF(B3810="","",INDEX(helper!$E$3:$E3996,MOD(ROW()-2,COUNTA(helper!$D$3:$D3996))+1))</f>
        <v/>
      </c>
      <c r="E3810" s="3" t="str">
        <f t="array" ref="E3810">IF(B3810="","",INDEX(helper!$F$3:$F3996,MOD(ROW()-2,COUNTA(helper!$D$3:$D3996))+1))</f>
        <v/>
      </c>
      <c r="F3810" s="3" t="str">
        <f>IF(B3810="","",SUMIFS('inventory ledger'!$H:$H,'inventory ledger'!$C:$C,C3810,'inventory ledger'!$D:$D,D3810,'inventory ledger'!$E:$E,E3810,'inventory ledger'!$A:$A,"&lt;="&amp;B3810+TIME(23,59,59))-SUMIFS('inventory ledger'!$I:$I,'inventory ledger'!$C:$C,C3810,'inventory ledger'!$D:$D,D3810,'inventory ledger'!$E:$E,E3810,'inventory ledger'!$A:$A,"&lt;="&amp;B3810+TIME(23,59,59)))</f>
        <v/>
      </c>
      <c r="G3810" s="3">
        <f>IFERROR(__xludf.DUMMYFUNCTION("IF(F3810&lt;=0,0,IFERROR(ROUNDUP(F3810/INDEX(FILTER('warehouse config'!$D:$D,('warehouse config'!$B:$B=C3810)*('warehouse config'!$C:$C=D3810)*('warehouse config'!$G:$G&lt;=B3810)*(('warehouse config'!$H:$H&gt;=B3810)+ISBLANK('warehouse config'!$H:$H))),1)),0))"),0.0)</f>
        <v>0</v>
      </c>
      <c r="H3810" s="3">
        <f>IFERROR(__xludf.DUMMYFUNCTION("IFERROR(INDEX(FILTER('cost master'!$E:$E,('cost master'!$B:$B=C3810)*('cost master'!$D:$D=""Storage cost per pallet / week"")*('cost master'!$G:$G&lt;=B3810)*(('cost master'!$H:$H&gt;=B3810)+ISBLANK('cost master'!$H:$H))),1),0)"),0.0)</f>
        <v>0</v>
      </c>
      <c r="I3810" s="3">
        <f t="shared" si="4"/>
        <v>0</v>
      </c>
      <c r="J3810" s="27">
        <f t="shared" si="5"/>
        <v>693947</v>
      </c>
      <c r="K3810" s="27">
        <f t="shared" si="6"/>
        <v>693977</v>
      </c>
    </row>
    <row r="3811" hidden="1">
      <c r="A3811" s="3" t="str">
        <f t="shared" si="3"/>
        <v/>
      </c>
      <c r="B3811" s="2" t="str">
        <f t="array" ref="B3811">INDEX(helper!$A$3:$A3996,ROUNDUP((ROW()-1)/COUNTA(helper!$D$3:$D3996),0))</f>
        <v/>
      </c>
      <c r="C3811" s="5" t="str">
        <f t="array" ref="C3811">IF(B3811="","",INDEX(helper!$D$3:$D3996,MOD(ROW()-2,COUNTA(helper!$D$3:$D3996))+1))</f>
        <v/>
      </c>
      <c r="D3811" s="3" t="str">
        <f t="array" ref="D3811">IF(B3811="","",INDEX(helper!$E$3:$E3996,MOD(ROW()-2,COUNTA(helper!$D$3:$D3996))+1))</f>
        <v/>
      </c>
      <c r="E3811" s="3" t="str">
        <f t="array" ref="E3811">IF(B3811="","",INDEX(helper!$F$3:$F3996,MOD(ROW()-2,COUNTA(helper!$D$3:$D3996))+1))</f>
        <v/>
      </c>
      <c r="F3811" s="3" t="str">
        <f>IF(B3811="","",SUMIFS('inventory ledger'!$H:$H,'inventory ledger'!$C:$C,C3811,'inventory ledger'!$D:$D,D3811,'inventory ledger'!$E:$E,E3811,'inventory ledger'!$A:$A,"&lt;="&amp;B3811+TIME(23,59,59))-SUMIFS('inventory ledger'!$I:$I,'inventory ledger'!$C:$C,C3811,'inventory ledger'!$D:$D,D3811,'inventory ledger'!$E:$E,E3811,'inventory ledger'!$A:$A,"&lt;="&amp;B3811+TIME(23,59,59)))</f>
        <v/>
      </c>
      <c r="G3811" s="3">
        <f>IFERROR(__xludf.DUMMYFUNCTION("IF(F3811&lt;=0,0,IFERROR(ROUNDUP(F3811/INDEX(FILTER('warehouse config'!$D:$D,('warehouse config'!$B:$B=C3811)*('warehouse config'!$C:$C=D3811)*('warehouse config'!$G:$G&lt;=B3811)*(('warehouse config'!$H:$H&gt;=B3811)+ISBLANK('warehouse config'!$H:$H))),1)),0))"),0.0)</f>
        <v>0</v>
      </c>
      <c r="H3811" s="3">
        <f>IFERROR(__xludf.DUMMYFUNCTION("IFERROR(INDEX(FILTER('cost master'!$E:$E,('cost master'!$B:$B=C3811)*('cost master'!$D:$D=""Storage cost per pallet / week"")*('cost master'!$G:$G&lt;=B3811)*(('cost master'!$H:$H&gt;=B3811)+ISBLANK('cost master'!$H:$H))),1),0)"),0.0)</f>
        <v>0</v>
      </c>
      <c r="I3811" s="3">
        <f t="shared" si="4"/>
        <v>0</v>
      </c>
      <c r="J3811" s="27">
        <f t="shared" si="5"/>
        <v>693947</v>
      </c>
      <c r="K3811" s="27">
        <f t="shared" si="6"/>
        <v>693977</v>
      </c>
    </row>
    <row r="3812" hidden="1">
      <c r="A3812" s="3" t="str">
        <f t="shared" si="3"/>
        <v/>
      </c>
      <c r="B3812" s="2" t="str">
        <f t="array" ref="B3812">INDEX(helper!$A$3:$A3996,ROUNDUP((ROW()-1)/COUNTA(helper!$D$3:$D3996),0))</f>
        <v/>
      </c>
      <c r="C3812" s="5" t="str">
        <f t="array" ref="C3812">IF(B3812="","",INDEX(helper!$D$3:$D3996,MOD(ROW()-2,COUNTA(helper!$D$3:$D3996))+1))</f>
        <v/>
      </c>
      <c r="D3812" s="3" t="str">
        <f t="array" ref="D3812">IF(B3812="","",INDEX(helper!$E$3:$E3996,MOD(ROW()-2,COUNTA(helper!$D$3:$D3996))+1))</f>
        <v/>
      </c>
      <c r="E3812" s="3" t="str">
        <f t="array" ref="E3812">IF(B3812="","",INDEX(helper!$F$3:$F3996,MOD(ROW()-2,COUNTA(helper!$D$3:$D3996))+1))</f>
        <v/>
      </c>
      <c r="F3812" s="3" t="str">
        <f>IF(B3812="","",SUMIFS('inventory ledger'!$H:$H,'inventory ledger'!$C:$C,C3812,'inventory ledger'!$D:$D,D3812,'inventory ledger'!$E:$E,E3812,'inventory ledger'!$A:$A,"&lt;="&amp;B3812+TIME(23,59,59))-SUMIFS('inventory ledger'!$I:$I,'inventory ledger'!$C:$C,C3812,'inventory ledger'!$D:$D,D3812,'inventory ledger'!$E:$E,E3812,'inventory ledger'!$A:$A,"&lt;="&amp;B3812+TIME(23,59,59)))</f>
        <v/>
      </c>
      <c r="G3812" s="3">
        <f>IFERROR(__xludf.DUMMYFUNCTION("IF(F3812&lt;=0,0,IFERROR(ROUNDUP(F3812/INDEX(FILTER('warehouse config'!$D:$D,('warehouse config'!$B:$B=C3812)*('warehouse config'!$C:$C=D3812)*('warehouse config'!$G:$G&lt;=B3812)*(('warehouse config'!$H:$H&gt;=B3812)+ISBLANK('warehouse config'!$H:$H))),1)),0))"),0.0)</f>
        <v>0</v>
      </c>
      <c r="H3812" s="3">
        <f>IFERROR(__xludf.DUMMYFUNCTION("IFERROR(INDEX(FILTER('cost master'!$E:$E,('cost master'!$B:$B=C3812)*('cost master'!$D:$D=""Storage cost per pallet / week"")*('cost master'!$G:$G&lt;=B3812)*(('cost master'!$H:$H&gt;=B3812)+ISBLANK('cost master'!$H:$H))),1),0)"),0.0)</f>
        <v>0</v>
      </c>
      <c r="I3812" s="3">
        <f t="shared" si="4"/>
        <v>0</v>
      </c>
      <c r="J3812" s="27">
        <f t="shared" si="5"/>
        <v>693947</v>
      </c>
      <c r="K3812" s="27">
        <f t="shared" si="6"/>
        <v>693977</v>
      </c>
    </row>
    <row r="3813" hidden="1">
      <c r="A3813" s="3" t="str">
        <f t="shared" si="3"/>
        <v/>
      </c>
      <c r="B3813" s="2" t="str">
        <f t="array" ref="B3813">INDEX(helper!$A$3:$A3996,ROUNDUP((ROW()-1)/COUNTA(helper!$D$3:$D3996),0))</f>
        <v/>
      </c>
      <c r="C3813" s="5" t="str">
        <f t="array" ref="C3813">IF(B3813="","",INDEX(helper!$D$3:$D3996,MOD(ROW()-2,COUNTA(helper!$D$3:$D3996))+1))</f>
        <v/>
      </c>
      <c r="D3813" s="3" t="str">
        <f t="array" ref="D3813">IF(B3813="","",INDEX(helper!$E$3:$E3996,MOD(ROW()-2,COUNTA(helper!$D$3:$D3996))+1))</f>
        <v/>
      </c>
      <c r="E3813" s="3" t="str">
        <f t="array" ref="E3813">IF(B3813="","",INDEX(helper!$F$3:$F3996,MOD(ROW()-2,COUNTA(helper!$D$3:$D3996))+1))</f>
        <v/>
      </c>
      <c r="F3813" s="3" t="str">
        <f>IF(B3813="","",SUMIFS('inventory ledger'!$H:$H,'inventory ledger'!$C:$C,C3813,'inventory ledger'!$D:$D,D3813,'inventory ledger'!$E:$E,E3813,'inventory ledger'!$A:$A,"&lt;="&amp;B3813+TIME(23,59,59))-SUMIFS('inventory ledger'!$I:$I,'inventory ledger'!$C:$C,C3813,'inventory ledger'!$D:$D,D3813,'inventory ledger'!$E:$E,E3813,'inventory ledger'!$A:$A,"&lt;="&amp;B3813+TIME(23,59,59)))</f>
        <v/>
      </c>
      <c r="G3813" s="3">
        <f>IFERROR(__xludf.DUMMYFUNCTION("IF(F3813&lt;=0,0,IFERROR(ROUNDUP(F3813/INDEX(FILTER('warehouse config'!$D:$D,('warehouse config'!$B:$B=C3813)*('warehouse config'!$C:$C=D3813)*('warehouse config'!$G:$G&lt;=B3813)*(('warehouse config'!$H:$H&gt;=B3813)+ISBLANK('warehouse config'!$H:$H))),1)),0))"),0.0)</f>
        <v>0</v>
      </c>
      <c r="H3813" s="3">
        <f>IFERROR(__xludf.DUMMYFUNCTION("IFERROR(INDEX(FILTER('cost master'!$E:$E,('cost master'!$B:$B=C3813)*('cost master'!$D:$D=""Storage cost per pallet / week"")*('cost master'!$G:$G&lt;=B3813)*(('cost master'!$H:$H&gt;=B3813)+ISBLANK('cost master'!$H:$H))),1),0)"),0.0)</f>
        <v>0</v>
      </c>
      <c r="I3813" s="3">
        <f t="shared" si="4"/>
        <v>0</v>
      </c>
      <c r="J3813" s="27">
        <f t="shared" si="5"/>
        <v>693947</v>
      </c>
      <c r="K3813" s="27">
        <f t="shared" si="6"/>
        <v>693977</v>
      </c>
    </row>
    <row r="3814" hidden="1">
      <c r="A3814" s="3" t="str">
        <f t="shared" si="3"/>
        <v/>
      </c>
      <c r="B3814" s="2" t="str">
        <f t="array" ref="B3814">INDEX(helper!$A$3:$A3996,ROUNDUP((ROW()-1)/COUNTA(helper!$D$3:$D3996),0))</f>
        <v/>
      </c>
      <c r="C3814" s="5" t="str">
        <f t="array" ref="C3814">IF(B3814="","",INDEX(helper!$D$3:$D3996,MOD(ROW()-2,COUNTA(helper!$D$3:$D3996))+1))</f>
        <v/>
      </c>
      <c r="D3814" s="3" t="str">
        <f t="array" ref="D3814">IF(B3814="","",INDEX(helper!$E$3:$E3996,MOD(ROW()-2,COUNTA(helper!$D$3:$D3996))+1))</f>
        <v/>
      </c>
      <c r="E3814" s="3" t="str">
        <f t="array" ref="E3814">IF(B3814="","",INDEX(helper!$F$3:$F3996,MOD(ROW()-2,COUNTA(helper!$D$3:$D3996))+1))</f>
        <v/>
      </c>
      <c r="F3814" s="3" t="str">
        <f>IF(B3814="","",SUMIFS('inventory ledger'!$H:$H,'inventory ledger'!$C:$C,C3814,'inventory ledger'!$D:$D,D3814,'inventory ledger'!$E:$E,E3814,'inventory ledger'!$A:$A,"&lt;="&amp;B3814+TIME(23,59,59))-SUMIFS('inventory ledger'!$I:$I,'inventory ledger'!$C:$C,C3814,'inventory ledger'!$D:$D,D3814,'inventory ledger'!$E:$E,E3814,'inventory ledger'!$A:$A,"&lt;="&amp;B3814+TIME(23,59,59)))</f>
        <v/>
      </c>
      <c r="G3814" s="3">
        <f>IFERROR(__xludf.DUMMYFUNCTION("IF(F3814&lt;=0,0,IFERROR(ROUNDUP(F3814/INDEX(FILTER('warehouse config'!$D:$D,('warehouse config'!$B:$B=C3814)*('warehouse config'!$C:$C=D3814)*('warehouse config'!$G:$G&lt;=B3814)*(('warehouse config'!$H:$H&gt;=B3814)+ISBLANK('warehouse config'!$H:$H))),1)),0))"),0.0)</f>
        <v>0</v>
      </c>
      <c r="H3814" s="3">
        <f>IFERROR(__xludf.DUMMYFUNCTION("IFERROR(INDEX(FILTER('cost master'!$E:$E,('cost master'!$B:$B=C3814)*('cost master'!$D:$D=""Storage cost per pallet / week"")*('cost master'!$G:$G&lt;=B3814)*(('cost master'!$H:$H&gt;=B3814)+ISBLANK('cost master'!$H:$H))),1),0)"),0.0)</f>
        <v>0</v>
      </c>
      <c r="I3814" s="3">
        <f t="shared" si="4"/>
        <v>0</v>
      </c>
      <c r="J3814" s="27">
        <f t="shared" si="5"/>
        <v>693947</v>
      </c>
      <c r="K3814" s="27">
        <f t="shared" si="6"/>
        <v>693977</v>
      </c>
    </row>
    <row r="3815" hidden="1">
      <c r="A3815" s="3" t="str">
        <f t="shared" si="3"/>
        <v/>
      </c>
      <c r="B3815" s="2" t="str">
        <f t="array" ref="B3815">INDEX(helper!$A$3:$A3996,ROUNDUP((ROW()-1)/COUNTA(helper!$D$3:$D3996),0))</f>
        <v/>
      </c>
      <c r="C3815" s="5" t="str">
        <f t="array" ref="C3815">IF(B3815="","",INDEX(helper!$D$3:$D3996,MOD(ROW()-2,COUNTA(helper!$D$3:$D3996))+1))</f>
        <v/>
      </c>
      <c r="D3815" s="3" t="str">
        <f t="array" ref="D3815">IF(B3815="","",INDEX(helper!$E$3:$E3996,MOD(ROW()-2,COUNTA(helper!$D$3:$D3996))+1))</f>
        <v/>
      </c>
      <c r="E3815" s="3" t="str">
        <f t="array" ref="E3815">IF(B3815="","",INDEX(helper!$F$3:$F3996,MOD(ROW()-2,COUNTA(helper!$D$3:$D3996))+1))</f>
        <v/>
      </c>
      <c r="F3815" s="3" t="str">
        <f>IF(B3815="","",SUMIFS('inventory ledger'!$H:$H,'inventory ledger'!$C:$C,C3815,'inventory ledger'!$D:$D,D3815,'inventory ledger'!$E:$E,E3815,'inventory ledger'!$A:$A,"&lt;="&amp;B3815+TIME(23,59,59))-SUMIFS('inventory ledger'!$I:$I,'inventory ledger'!$C:$C,C3815,'inventory ledger'!$D:$D,D3815,'inventory ledger'!$E:$E,E3815,'inventory ledger'!$A:$A,"&lt;="&amp;B3815+TIME(23,59,59)))</f>
        <v/>
      </c>
      <c r="G3815" s="3">
        <f>IFERROR(__xludf.DUMMYFUNCTION("IF(F3815&lt;=0,0,IFERROR(ROUNDUP(F3815/INDEX(FILTER('warehouse config'!$D:$D,('warehouse config'!$B:$B=C3815)*('warehouse config'!$C:$C=D3815)*('warehouse config'!$G:$G&lt;=B3815)*(('warehouse config'!$H:$H&gt;=B3815)+ISBLANK('warehouse config'!$H:$H))),1)),0))"),0.0)</f>
        <v>0</v>
      </c>
      <c r="H3815" s="3">
        <f>IFERROR(__xludf.DUMMYFUNCTION("IFERROR(INDEX(FILTER('cost master'!$E:$E,('cost master'!$B:$B=C3815)*('cost master'!$D:$D=""Storage cost per pallet / week"")*('cost master'!$G:$G&lt;=B3815)*(('cost master'!$H:$H&gt;=B3815)+ISBLANK('cost master'!$H:$H))),1),0)"),0.0)</f>
        <v>0</v>
      </c>
      <c r="I3815" s="3">
        <f t="shared" si="4"/>
        <v>0</v>
      </c>
      <c r="J3815" s="27">
        <f t="shared" si="5"/>
        <v>693947</v>
      </c>
      <c r="K3815" s="27">
        <f t="shared" si="6"/>
        <v>693977</v>
      </c>
    </row>
    <row r="3816" hidden="1">
      <c r="A3816" s="3" t="str">
        <f t="shared" si="3"/>
        <v/>
      </c>
      <c r="B3816" s="2" t="str">
        <f t="array" ref="B3816">INDEX(helper!$A$3:$A3996,ROUNDUP((ROW()-1)/COUNTA(helper!$D$3:$D3996),0))</f>
        <v/>
      </c>
      <c r="C3816" s="5" t="str">
        <f t="array" ref="C3816">IF(B3816="","",INDEX(helper!$D$3:$D3996,MOD(ROW()-2,COUNTA(helper!$D$3:$D3996))+1))</f>
        <v/>
      </c>
      <c r="D3816" s="3" t="str">
        <f t="array" ref="D3816">IF(B3816="","",INDEX(helper!$E$3:$E3996,MOD(ROW()-2,COUNTA(helper!$D$3:$D3996))+1))</f>
        <v/>
      </c>
      <c r="E3816" s="3" t="str">
        <f t="array" ref="E3816">IF(B3816="","",INDEX(helper!$F$3:$F3996,MOD(ROW()-2,COUNTA(helper!$D$3:$D3996))+1))</f>
        <v/>
      </c>
      <c r="F3816" s="3" t="str">
        <f>IF(B3816="","",SUMIFS('inventory ledger'!$H:$H,'inventory ledger'!$C:$C,C3816,'inventory ledger'!$D:$D,D3816,'inventory ledger'!$E:$E,E3816,'inventory ledger'!$A:$A,"&lt;="&amp;B3816+TIME(23,59,59))-SUMIFS('inventory ledger'!$I:$I,'inventory ledger'!$C:$C,C3816,'inventory ledger'!$D:$D,D3816,'inventory ledger'!$E:$E,E3816,'inventory ledger'!$A:$A,"&lt;="&amp;B3816+TIME(23,59,59)))</f>
        <v/>
      </c>
      <c r="G3816" s="3">
        <f>IFERROR(__xludf.DUMMYFUNCTION("IF(F3816&lt;=0,0,IFERROR(ROUNDUP(F3816/INDEX(FILTER('warehouse config'!$D:$D,('warehouse config'!$B:$B=C3816)*('warehouse config'!$C:$C=D3816)*('warehouse config'!$G:$G&lt;=B3816)*(('warehouse config'!$H:$H&gt;=B3816)+ISBLANK('warehouse config'!$H:$H))),1)),0))"),0.0)</f>
        <v>0</v>
      </c>
      <c r="H3816" s="3">
        <f>IFERROR(__xludf.DUMMYFUNCTION("IFERROR(INDEX(FILTER('cost master'!$E:$E,('cost master'!$B:$B=C3816)*('cost master'!$D:$D=""Storage cost per pallet / week"")*('cost master'!$G:$G&lt;=B3816)*(('cost master'!$H:$H&gt;=B3816)+ISBLANK('cost master'!$H:$H))),1),0)"),0.0)</f>
        <v>0</v>
      </c>
      <c r="I3816" s="3">
        <f t="shared" si="4"/>
        <v>0</v>
      </c>
      <c r="J3816" s="27">
        <f t="shared" si="5"/>
        <v>693947</v>
      </c>
      <c r="K3816" s="27">
        <f t="shared" si="6"/>
        <v>693977</v>
      </c>
    </row>
    <row r="3817" hidden="1">
      <c r="A3817" s="3" t="str">
        <f t="shared" si="3"/>
        <v/>
      </c>
      <c r="B3817" s="2" t="str">
        <f t="array" ref="B3817">INDEX(helper!$A$3:$A3996,ROUNDUP((ROW()-1)/COUNTA(helper!$D$3:$D3996),0))</f>
        <v/>
      </c>
      <c r="C3817" s="5" t="str">
        <f t="array" ref="C3817">IF(B3817="","",INDEX(helper!$D$3:$D3996,MOD(ROW()-2,COUNTA(helper!$D$3:$D3996))+1))</f>
        <v/>
      </c>
      <c r="D3817" s="3" t="str">
        <f t="array" ref="D3817">IF(B3817="","",INDEX(helper!$E$3:$E3996,MOD(ROW()-2,COUNTA(helper!$D$3:$D3996))+1))</f>
        <v/>
      </c>
      <c r="E3817" s="3" t="str">
        <f t="array" ref="E3817">IF(B3817="","",INDEX(helper!$F$3:$F3996,MOD(ROW()-2,COUNTA(helper!$D$3:$D3996))+1))</f>
        <v/>
      </c>
      <c r="F3817" s="3" t="str">
        <f>IF(B3817="","",SUMIFS('inventory ledger'!$H:$H,'inventory ledger'!$C:$C,C3817,'inventory ledger'!$D:$D,D3817,'inventory ledger'!$E:$E,E3817,'inventory ledger'!$A:$A,"&lt;="&amp;B3817+TIME(23,59,59))-SUMIFS('inventory ledger'!$I:$I,'inventory ledger'!$C:$C,C3817,'inventory ledger'!$D:$D,D3817,'inventory ledger'!$E:$E,E3817,'inventory ledger'!$A:$A,"&lt;="&amp;B3817+TIME(23,59,59)))</f>
        <v/>
      </c>
      <c r="G3817" s="3">
        <f>IFERROR(__xludf.DUMMYFUNCTION("IF(F3817&lt;=0,0,IFERROR(ROUNDUP(F3817/INDEX(FILTER('warehouse config'!$D:$D,('warehouse config'!$B:$B=C3817)*('warehouse config'!$C:$C=D3817)*('warehouse config'!$G:$G&lt;=B3817)*(('warehouse config'!$H:$H&gt;=B3817)+ISBLANK('warehouse config'!$H:$H))),1)),0))"),0.0)</f>
        <v>0</v>
      </c>
      <c r="H3817" s="3">
        <f>IFERROR(__xludf.DUMMYFUNCTION("IFERROR(INDEX(FILTER('cost master'!$E:$E,('cost master'!$B:$B=C3817)*('cost master'!$D:$D=""Storage cost per pallet / week"")*('cost master'!$G:$G&lt;=B3817)*(('cost master'!$H:$H&gt;=B3817)+ISBLANK('cost master'!$H:$H))),1),0)"),0.0)</f>
        <v>0</v>
      </c>
      <c r="I3817" s="3">
        <f t="shared" si="4"/>
        <v>0</v>
      </c>
      <c r="J3817" s="27">
        <f t="shared" si="5"/>
        <v>693947</v>
      </c>
      <c r="K3817" s="27">
        <f t="shared" si="6"/>
        <v>693977</v>
      </c>
    </row>
    <row r="3818" hidden="1">
      <c r="A3818" s="3" t="str">
        <f t="shared" si="3"/>
        <v/>
      </c>
      <c r="B3818" s="2" t="str">
        <f t="array" ref="B3818">INDEX(helper!$A$3:$A3996,ROUNDUP((ROW()-1)/COUNTA(helper!$D$3:$D3996),0))</f>
        <v/>
      </c>
      <c r="C3818" s="5" t="str">
        <f t="array" ref="C3818">IF(B3818="","",INDEX(helper!$D$3:$D3996,MOD(ROW()-2,COUNTA(helper!$D$3:$D3996))+1))</f>
        <v/>
      </c>
      <c r="D3818" s="3" t="str">
        <f t="array" ref="D3818">IF(B3818="","",INDEX(helper!$E$3:$E3996,MOD(ROW()-2,COUNTA(helper!$D$3:$D3996))+1))</f>
        <v/>
      </c>
      <c r="E3818" s="3" t="str">
        <f t="array" ref="E3818">IF(B3818="","",INDEX(helper!$F$3:$F3996,MOD(ROW()-2,COUNTA(helper!$D$3:$D3996))+1))</f>
        <v/>
      </c>
      <c r="F3818" s="3" t="str">
        <f>IF(B3818="","",SUMIFS('inventory ledger'!$H:$H,'inventory ledger'!$C:$C,C3818,'inventory ledger'!$D:$D,D3818,'inventory ledger'!$E:$E,E3818,'inventory ledger'!$A:$A,"&lt;="&amp;B3818+TIME(23,59,59))-SUMIFS('inventory ledger'!$I:$I,'inventory ledger'!$C:$C,C3818,'inventory ledger'!$D:$D,D3818,'inventory ledger'!$E:$E,E3818,'inventory ledger'!$A:$A,"&lt;="&amp;B3818+TIME(23,59,59)))</f>
        <v/>
      </c>
      <c r="G3818" s="3">
        <f>IFERROR(__xludf.DUMMYFUNCTION("IF(F3818&lt;=0,0,IFERROR(ROUNDUP(F3818/INDEX(FILTER('warehouse config'!$D:$D,('warehouse config'!$B:$B=C3818)*('warehouse config'!$C:$C=D3818)*('warehouse config'!$G:$G&lt;=B3818)*(('warehouse config'!$H:$H&gt;=B3818)+ISBLANK('warehouse config'!$H:$H))),1)),0))"),0.0)</f>
        <v>0</v>
      </c>
      <c r="H3818" s="3">
        <f>IFERROR(__xludf.DUMMYFUNCTION("IFERROR(INDEX(FILTER('cost master'!$E:$E,('cost master'!$B:$B=C3818)*('cost master'!$D:$D=""Storage cost per pallet / week"")*('cost master'!$G:$G&lt;=B3818)*(('cost master'!$H:$H&gt;=B3818)+ISBLANK('cost master'!$H:$H))),1),0)"),0.0)</f>
        <v>0</v>
      </c>
      <c r="I3818" s="3">
        <f t="shared" si="4"/>
        <v>0</v>
      </c>
      <c r="J3818" s="27">
        <f t="shared" si="5"/>
        <v>693947</v>
      </c>
      <c r="K3818" s="27">
        <f t="shared" si="6"/>
        <v>693977</v>
      </c>
    </row>
    <row r="3819" hidden="1">
      <c r="A3819" s="3" t="str">
        <f t="shared" si="3"/>
        <v/>
      </c>
      <c r="B3819" s="2" t="str">
        <f t="array" ref="B3819">INDEX(helper!$A$3:$A3996,ROUNDUP((ROW()-1)/COUNTA(helper!$D$3:$D3996),0))</f>
        <v/>
      </c>
      <c r="C3819" s="5" t="str">
        <f t="array" ref="C3819">IF(B3819="","",INDEX(helper!$D$3:$D3996,MOD(ROW()-2,COUNTA(helper!$D$3:$D3996))+1))</f>
        <v/>
      </c>
      <c r="D3819" s="3" t="str">
        <f t="array" ref="D3819">IF(B3819="","",INDEX(helper!$E$3:$E3996,MOD(ROW()-2,COUNTA(helper!$D$3:$D3996))+1))</f>
        <v/>
      </c>
      <c r="E3819" s="3" t="str">
        <f t="array" ref="E3819">IF(B3819="","",INDEX(helper!$F$3:$F3996,MOD(ROW()-2,COUNTA(helper!$D$3:$D3996))+1))</f>
        <v/>
      </c>
      <c r="F3819" s="3" t="str">
        <f>IF(B3819="","",SUMIFS('inventory ledger'!$H:$H,'inventory ledger'!$C:$C,C3819,'inventory ledger'!$D:$D,D3819,'inventory ledger'!$E:$E,E3819,'inventory ledger'!$A:$A,"&lt;="&amp;B3819+TIME(23,59,59))-SUMIFS('inventory ledger'!$I:$I,'inventory ledger'!$C:$C,C3819,'inventory ledger'!$D:$D,D3819,'inventory ledger'!$E:$E,E3819,'inventory ledger'!$A:$A,"&lt;="&amp;B3819+TIME(23,59,59)))</f>
        <v/>
      </c>
      <c r="G3819" s="3">
        <f>IFERROR(__xludf.DUMMYFUNCTION("IF(F3819&lt;=0,0,IFERROR(ROUNDUP(F3819/INDEX(FILTER('warehouse config'!$D:$D,('warehouse config'!$B:$B=C3819)*('warehouse config'!$C:$C=D3819)*('warehouse config'!$G:$G&lt;=B3819)*(('warehouse config'!$H:$H&gt;=B3819)+ISBLANK('warehouse config'!$H:$H))),1)),0))"),0.0)</f>
        <v>0</v>
      </c>
      <c r="H3819" s="3">
        <f>IFERROR(__xludf.DUMMYFUNCTION("IFERROR(INDEX(FILTER('cost master'!$E:$E,('cost master'!$B:$B=C3819)*('cost master'!$D:$D=""Storage cost per pallet / week"")*('cost master'!$G:$G&lt;=B3819)*(('cost master'!$H:$H&gt;=B3819)+ISBLANK('cost master'!$H:$H))),1),0)"),0.0)</f>
        <v>0</v>
      </c>
      <c r="I3819" s="3">
        <f t="shared" si="4"/>
        <v>0</v>
      </c>
      <c r="J3819" s="27">
        <f t="shared" si="5"/>
        <v>693947</v>
      </c>
      <c r="K3819" s="27">
        <f t="shared" si="6"/>
        <v>693977</v>
      </c>
    </row>
    <row r="3820" hidden="1">
      <c r="A3820" s="3" t="str">
        <f t="shared" si="3"/>
        <v/>
      </c>
      <c r="B3820" s="2" t="str">
        <f t="array" ref="B3820">INDEX(helper!$A$3:$A3996,ROUNDUP((ROW()-1)/COUNTA(helper!$D$3:$D3996),0))</f>
        <v/>
      </c>
      <c r="C3820" s="5" t="str">
        <f t="array" ref="C3820">IF(B3820="","",INDEX(helper!$D$3:$D3996,MOD(ROW()-2,COUNTA(helper!$D$3:$D3996))+1))</f>
        <v/>
      </c>
      <c r="D3820" s="3" t="str">
        <f t="array" ref="D3820">IF(B3820="","",INDEX(helper!$E$3:$E3996,MOD(ROW()-2,COUNTA(helper!$D$3:$D3996))+1))</f>
        <v/>
      </c>
      <c r="E3820" s="3" t="str">
        <f t="array" ref="E3820">IF(B3820="","",INDEX(helper!$F$3:$F3996,MOD(ROW()-2,COUNTA(helper!$D$3:$D3996))+1))</f>
        <v/>
      </c>
      <c r="F3820" s="3" t="str">
        <f>IF(B3820="","",SUMIFS('inventory ledger'!$H:$H,'inventory ledger'!$C:$C,C3820,'inventory ledger'!$D:$D,D3820,'inventory ledger'!$E:$E,E3820,'inventory ledger'!$A:$A,"&lt;="&amp;B3820+TIME(23,59,59))-SUMIFS('inventory ledger'!$I:$I,'inventory ledger'!$C:$C,C3820,'inventory ledger'!$D:$D,D3820,'inventory ledger'!$E:$E,E3820,'inventory ledger'!$A:$A,"&lt;="&amp;B3820+TIME(23,59,59)))</f>
        <v/>
      </c>
      <c r="G3820" s="3">
        <f>IFERROR(__xludf.DUMMYFUNCTION("IF(F3820&lt;=0,0,IFERROR(ROUNDUP(F3820/INDEX(FILTER('warehouse config'!$D:$D,('warehouse config'!$B:$B=C3820)*('warehouse config'!$C:$C=D3820)*('warehouse config'!$G:$G&lt;=B3820)*(('warehouse config'!$H:$H&gt;=B3820)+ISBLANK('warehouse config'!$H:$H))),1)),0))"),0.0)</f>
        <v>0</v>
      </c>
      <c r="H3820" s="3">
        <f>IFERROR(__xludf.DUMMYFUNCTION("IFERROR(INDEX(FILTER('cost master'!$E:$E,('cost master'!$B:$B=C3820)*('cost master'!$D:$D=""Storage cost per pallet / week"")*('cost master'!$G:$G&lt;=B3820)*(('cost master'!$H:$H&gt;=B3820)+ISBLANK('cost master'!$H:$H))),1),0)"),0.0)</f>
        <v>0</v>
      </c>
      <c r="I3820" s="3">
        <f t="shared" si="4"/>
        <v>0</v>
      </c>
      <c r="J3820" s="27">
        <f t="shared" si="5"/>
        <v>693947</v>
      </c>
      <c r="K3820" s="27">
        <f t="shared" si="6"/>
        <v>693977</v>
      </c>
    </row>
    <row r="3821" hidden="1">
      <c r="A3821" s="3" t="str">
        <f t="shared" si="3"/>
        <v/>
      </c>
      <c r="B3821" s="2" t="str">
        <f t="array" ref="B3821">INDEX(helper!$A$3:$A3996,ROUNDUP((ROW()-1)/COUNTA(helper!$D$3:$D3996),0))</f>
        <v/>
      </c>
      <c r="C3821" s="5" t="str">
        <f t="array" ref="C3821">IF(B3821="","",INDEX(helper!$D$3:$D3996,MOD(ROW()-2,COUNTA(helper!$D$3:$D3996))+1))</f>
        <v/>
      </c>
      <c r="D3821" s="3" t="str">
        <f t="array" ref="D3821">IF(B3821="","",INDEX(helper!$E$3:$E3996,MOD(ROW()-2,COUNTA(helper!$D$3:$D3996))+1))</f>
        <v/>
      </c>
      <c r="E3821" s="3" t="str">
        <f t="array" ref="E3821">IF(B3821="","",INDEX(helper!$F$3:$F3996,MOD(ROW()-2,COUNTA(helper!$D$3:$D3996))+1))</f>
        <v/>
      </c>
      <c r="F3821" s="3" t="str">
        <f>IF(B3821="","",SUMIFS('inventory ledger'!$H:$H,'inventory ledger'!$C:$C,C3821,'inventory ledger'!$D:$D,D3821,'inventory ledger'!$E:$E,E3821,'inventory ledger'!$A:$A,"&lt;="&amp;B3821+TIME(23,59,59))-SUMIFS('inventory ledger'!$I:$I,'inventory ledger'!$C:$C,C3821,'inventory ledger'!$D:$D,D3821,'inventory ledger'!$E:$E,E3821,'inventory ledger'!$A:$A,"&lt;="&amp;B3821+TIME(23,59,59)))</f>
        <v/>
      </c>
      <c r="G3821" s="3">
        <f>IFERROR(__xludf.DUMMYFUNCTION("IF(F3821&lt;=0,0,IFERROR(ROUNDUP(F3821/INDEX(FILTER('warehouse config'!$D:$D,('warehouse config'!$B:$B=C3821)*('warehouse config'!$C:$C=D3821)*('warehouse config'!$G:$G&lt;=B3821)*(('warehouse config'!$H:$H&gt;=B3821)+ISBLANK('warehouse config'!$H:$H))),1)),0))"),0.0)</f>
        <v>0</v>
      </c>
      <c r="H3821" s="3">
        <f>IFERROR(__xludf.DUMMYFUNCTION("IFERROR(INDEX(FILTER('cost master'!$E:$E,('cost master'!$B:$B=C3821)*('cost master'!$D:$D=""Storage cost per pallet / week"")*('cost master'!$G:$G&lt;=B3821)*(('cost master'!$H:$H&gt;=B3821)+ISBLANK('cost master'!$H:$H))),1),0)"),0.0)</f>
        <v>0</v>
      </c>
      <c r="I3821" s="3">
        <f t="shared" si="4"/>
        <v>0</v>
      </c>
      <c r="J3821" s="27">
        <f t="shared" si="5"/>
        <v>693947</v>
      </c>
      <c r="K3821" s="27">
        <f t="shared" si="6"/>
        <v>693977</v>
      </c>
    </row>
    <row r="3822" hidden="1">
      <c r="A3822" s="3" t="str">
        <f t="shared" si="3"/>
        <v/>
      </c>
      <c r="B3822" s="2" t="str">
        <f t="array" ref="B3822">INDEX(helper!$A$3:$A3996,ROUNDUP((ROW()-1)/COUNTA(helper!$D$3:$D3996),0))</f>
        <v/>
      </c>
      <c r="C3822" s="5" t="str">
        <f t="array" ref="C3822">IF(B3822="","",INDEX(helper!$D$3:$D3996,MOD(ROW()-2,COUNTA(helper!$D$3:$D3996))+1))</f>
        <v/>
      </c>
      <c r="D3822" s="3" t="str">
        <f t="array" ref="D3822">IF(B3822="","",INDEX(helper!$E$3:$E3996,MOD(ROW()-2,COUNTA(helper!$D$3:$D3996))+1))</f>
        <v/>
      </c>
      <c r="E3822" s="3" t="str">
        <f t="array" ref="E3822">IF(B3822="","",INDEX(helper!$F$3:$F3996,MOD(ROW()-2,COUNTA(helper!$D$3:$D3996))+1))</f>
        <v/>
      </c>
      <c r="F3822" s="3" t="str">
        <f>IF(B3822="","",SUMIFS('inventory ledger'!$H:$H,'inventory ledger'!$C:$C,C3822,'inventory ledger'!$D:$D,D3822,'inventory ledger'!$E:$E,E3822,'inventory ledger'!$A:$A,"&lt;="&amp;B3822+TIME(23,59,59))-SUMIFS('inventory ledger'!$I:$I,'inventory ledger'!$C:$C,C3822,'inventory ledger'!$D:$D,D3822,'inventory ledger'!$E:$E,E3822,'inventory ledger'!$A:$A,"&lt;="&amp;B3822+TIME(23,59,59)))</f>
        <v/>
      </c>
      <c r="G3822" s="3">
        <f>IFERROR(__xludf.DUMMYFUNCTION("IF(F3822&lt;=0,0,IFERROR(ROUNDUP(F3822/INDEX(FILTER('warehouse config'!$D:$D,('warehouse config'!$B:$B=C3822)*('warehouse config'!$C:$C=D3822)*('warehouse config'!$G:$G&lt;=B3822)*(('warehouse config'!$H:$H&gt;=B3822)+ISBLANK('warehouse config'!$H:$H))),1)),0))"),0.0)</f>
        <v>0</v>
      </c>
      <c r="H3822" s="3">
        <f>IFERROR(__xludf.DUMMYFUNCTION("IFERROR(INDEX(FILTER('cost master'!$E:$E,('cost master'!$B:$B=C3822)*('cost master'!$D:$D=""Storage cost per pallet / week"")*('cost master'!$G:$G&lt;=B3822)*(('cost master'!$H:$H&gt;=B3822)+ISBLANK('cost master'!$H:$H))),1),0)"),0.0)</f>
        <v>0</v>
      </c>
      <c r="I3822" s="3">
        <f t="shared" si="4"/>
        <v>0</v>
      </c>
      <c r="J3822" s="27">
        <f t="shared" si="5"/>
        <v>693947</v>
      </c>
      <c r="K3822" s="27">
        <f t="shared" si="6"/>
        <v>693977</v>
      </c>
    </row>
    <row r="3823" hidden="1">
      <c r="A3823" s="3" t="str">
        <f t="shared" si="3"/>
        <v/>
      </c>
      <c r="B3823" s="2" t="str">
        <f t="array" ref="B3823">INDEX(helper!$A$3:$A3996,ROUNDUP((ROW()-1)/COUNTA(helper!$D$3:$D3996),0))</f>
        <v/>
      </c>
      <c r="C3823" s="5" t="str">
        <f t="array" ref="C3823">IF(B3823="","",INDEX(helper!$D$3:$D3996,MOD(ROW()-2,COUNTA(helper!$D$3:$D3996))+1))</f>
        <v/>
      </c>
      <c r="D3823" s="3" t="str">
        <f t="array" ref="D3823">IF(B3823="","",INDEX(helper!$E$3:$E3996,MOD(ROW()-2,COUNTA(helper!$D$3:$D3996))+1))</f>
        <v/>
      </c>
      <c r="E3823" s="3" t="str">
        <f t="array" ref="E3823">IF(B3823="","",INDEX(helper!$F$3:$F3996,MOD(ROW()-2,COUNTA(helper!$D$3:$D3996))+1))</f>
        <v/>
      </c>
      <c r="F3823" s="3" t="str">
        <f>IF(B3823="","",SUMIFS('inventory ledger'!$H:$H,'inventory ledger'!$C:$C,C3823,'inventory ledger'!$D:$D,D3823,'inventory ledger'!$E:$E,E3823,'inventory ledger'!$A:$A,"&lt;="&amp;B3823+TIME(23,59,59))-SUMIFS('inventory ledger'!$I:$I,'inventory ledger'!$C:$C,C3823,'inventory ledger'!$D:$D,D3823,'inventory ledger'!$E:$E,E3823,'inventory ledger'!$A:$A,"&lt;="&amp;B3823+TIME(23,59,59)))</f>
        <v/>
      </c>
      <c r="G3823" s="3">
        <f>IFERROR(__xludf.DUMMYFUNCTION("IF(F3823&lt;=0,0,IFERROR(ROUNDUP(F3823/INDEX(FILTER('warehouse config'!$D:$D,('warehouse config'!$B:$B=C3823)*('warehouse config'!$C:$C=D3823)*('warehouse config'!$G:$G&lt;=B3823)*(('warehouse config'!$H:$H&gt;=B3823)+ISBLANK('warehouse config'!$H:$H))),1)),0))"),0.0)</f>
        <v>0</v>
      </c>
      <c r="H3823" s="3">
        <f>IFERROR(__xludf.DUMMYFUNCTION("IFERROR(INDEX(FILTER('cost master'!$E:$E,('cost master'!$B:$B=C3823)*('cost master'!$D:$D=""Storage cost per pallet / week"")*('cost master'!$G:$G&lt;=B3823)*(('cost master'!$H:$H&gt;=B3823)+ISBLANK('cost master'!$H:$H))),1),0)"),0.0)</f>
        <v>0</v>
      </c>
      <c r="I3823" s="3">
        <f t="shared" si="4"/>
        <v>0</v>
      </c>
      <c r="J3823" s="27">
        <f t="shared" si="5"/>
        <v>693947</v>
      </c>
      <c r="K3823" s="27">
        <f t="shared" si="6"/>
        <v>693977</v>
      </c>
    </row>
    <row r="3824" hidden="1">
      <c r="A3824" s="3" t="str">
        <f t="shared" si="3"/>
        <v/>
      </c>
      <c r="B3824" s="2" t="str">
        <f t="array" ref="B3824">INDEX(helper!$A$3:$A3996,ROUNDUP((ROW()-1)/COUNTA(helper!$D$3:$D3996),0))</f>
        <v/>
      </c>
      <c r="C3824" s="5" t="str">
        <f t="array" ref="C3824">IF(B3824="","",INDEX(helper!$D$3:$D3996,MOD(ROW()-2,COUNTA(helper!$D$3:$D3996))+1))</f>
        <v/>
      </c>
      <c r="D3824" s="3" t="str">
        <f t="array" ref="D3824">IF(B3824="","",INDEX(helper!$E$3:$E3996,MOD(ROW()-2,COUNTA(helper!$D$3:$D3996))+1))</f>
        <v/>
      </c>
      <c r="E3824" s="3" t="str">
        <f t="array" ref="E3824">IF(B3824="","",INDEX(helper!$F$3:$F3996,MOD(ROW()-2,COUNTA(helper!$D$3:$D3996))+1))</f>
        <v/>
      </c>
      <c r="F3824" s="3" t="str">
        <f>IF(B3824="","",SUMIFS('inventory ledger'!$H:$H,'inventory ledger'!$C:$C,C3824,'inventory ledger'!$D:$D,D3824,'inventory ledger'!$E:$E,E3824,'inventory ledger'!$A:$A,"&lt;="&amp;B3824+TIME(23,59,59))-SUMIFS('inventory ledger'!$I:$I,'inventory ledger'!$C:$C,C3824,'inventory ledger'!$D:$D,D3824,'inventory ledger'!$E:$E,E3824,'inventory ledger'!$A:$A,"&lt;="&amp;B3824+TIME(23,59,59)))</f>
        <v/>
      </c>
      <c r="G3824" s="3">
        <f>IFERROR(__xludf.DUMMYFUNCTION("IF(F3824&lt;=0,0,IFERROR(ROUNDUP(F3824/INDEX(FILTER('warehouse config'!$D:$D,('warehouse config'!$B:$B=C3824)*('warehouse config'!$C:$C=D3824)*('warehouse config'!$G:$G&lt;=B3824)*(('warehouse config'!$H:$H&gt;=B3824)+ISBLANK('warehouse config'!$H:$H))),1)),0))"),0.0)</f>
        <v>0</v>
      </c>
      <c r="H3824" s="3">
        <f>IFERROR(__xludf.DUMMYFUNCTION("IFERROR(INDEX(FILTER('cost master'!$E:$E,('cost master'!$B:$B=C3824)*('cost master'!$D:$D=""Storage cost per pallet / week"")*('cost master'!$G:$G&lt;=B3824)*(('cost master'!$H:$H&gt;=B3824)+ISBLANK('cost master'!$H:$H))),1),0)"),0.0)</f>
        <v>0</v>
      </c>
      <c r="I3824" s="3">
        <f t="shared" si="4"/>
        <v>0</v>
      </c>
      <c r="J3824" s="27">
        <f t="shared" si="5"/>
        <v>693947</v>
      </c>
      <c r="K3824" s="27">
        <f t="shared" si="6"/>
        <v>693977</v>
      </c>
    </row>
    <row r="3825" hidden="1">
      <c r="A3825" s="3" t="str">
        <f t="shared" si="3"/>
        <v/>
      </c>
      <c r="B3825" s="2" t="str">
        <f t="array" ref="B3825">INDEX(helper!$A$3:$A3996,ROUNDUP((ROW()-1)/COUNTA(helper!$D$3:$D3996),0))</f>
        <v/>
      </c>
      <c r="C3825" s="5" t="str">
        <f t="array" ref="C3825">IF(B3825="","",INDEX(helper!$D$3:$D3996,MOD(ROW()-2,COUNTA(helper!$D$3:$D3996))+1))</f>
        <v/>
      </c>
      <c r="D3825" s="3" t="str">
        <f t="array" ref="D3825">IF(B3825="","",INDEX(helper!$E$3:$E3996,MOD(ROW()-2,COUNTA(helper!$D$3:$D3996))+1))</f>
        <v/>
      </c>
      <c r="E3825" s="3" t="str">
        <f t="array" ref="E3825">IF(B3825="","",INDEX(helper!$F$3:$F3996,MOD(ROW()-2,COUNTA(helper!$D$3:$D3996))+1))</f>
        <v/>
      </c>
      <c r="F3825" s="3" t="str">
        <f>IF(B3825="","",SUMIFS('inventory ledger'!$H:$H,'inventory ledger'!$C:$C,C3825,'inventory ledger'!$D:$D,D3825,'inventory ledger'!$E:$E,E3825,'inventory ledger'!$A:$A,"&lt;="&amp;B3825+TIME(23,59,59))-SUMIFS('inventory ledger'!$I:$I,'inventory ledger'!$C:$C,C3825,'inventory ledger'!$D:$D,D3825,'inventory ledger'!$E:$E,E3825,'inventory ledger'!$A:$A,"&lt;="&amp;B3825+TIME(23,59,59)))</f>
        <v/>
      </c>
      <c r="G3825" s="3">
        <f>IFERROR(__xludf.DUMMYFUNCTION("IF(F3825&lt;=0,0,IFERROR(ROUNDUP(F3825/INDEX(FILTER('warehouse config'!$D:$D,('warehouse config'!$B:$B=C3825)*('warehouse config'!$C:$C=D3825)*('warehouse config'!$G:$G&lt;=B3825)*(('warehouse config'!$H:$H&gt;=B3825)+ISBLANK('warehouse config'!$H:$H))),1)),0))"),0.0)</f>
        <v>0</v>
      </c>
      <c r="H3825" s="3">
        <f>IFERROR(__xludf.DUMMYFUNCTION("IFERROR(INDEX(FILTER('cost master'!$E:$E,('cost master'!$B:$B=C3825)*('cost master'!$D:$D=""Storage cost per pallet / week"")*('cost master'!$G:$G&lt;=B3825)*(('cost master'!$H:$H&gt;=B3825)+ISBLANK('cost master'!$H:$H))),1),0)"),0.0)</f>
        <v>0</v>
      </c>
      <c r="I3825" s="3">
        <f t="shared" si="4"/>
        <v>0</v>
      </c>
      <c r="J3825" s="27">
        <f t="shared" si="5"/>
        <v>693947</v>
      </c>
      <c r="K3825" s="27">
        <f t="shared" si="6"/>
        <v>693977</v>
      </c>
    </row>
    <row r="3826" hidden="1">
      <c r="A3826" s="3" t="str">
        <f t="shared" si="3"/>
        <v/>
      </c>
      <c r="B3826" s="2" t="str">
        <f t="array" ref="B3826">INDEX(helper!$A$3:$A3996,ROUNDUP((ROW()-1)/COUNTA(helper!$D$3:$D3996),0))</f>
        <v/>
      </c>
      <c r="C3826" s="5" t="str">
        <f t="array" ref="C3826">IF(B3826="","",INDEX(helper!$D$3:$D3996,MOD(ROW()-2,COUNTA(helper!$D$3:$D3996))+1))</f>
        <v/>
      </c>
      <c r="D3826" s="3" t="str">
        <f t="array" ref="D3826">IF(B3826="","",INDEX(helper!$E$3:$E3996,MOD(ROW()-2,COUNTA(helper!$D$3:$D3996))+1))</f>
        <v/>
      </c>
      <c r="E3826" s="3" t="str">
        <f t="array" ref="E3826">IF(B3826="","",INDEX(helper!$F$3:$F3996,MOD(ROW()-2,COUNTA(helper!$D$3:$D3996))+1))</f>
        <v/>
      </c>
      <c r="F3826" s="3" t="str">
        <f>IF(B3826="","",SUMIFS('inventory ledger'!$H:$H,'inventory ledger'!$C:$C,C3826,'inventory ledger'!$D:$D,D3826,'inventory ledger'!$E:$E,E3826,'inventory ledger'!$A:$A,"&lt;="&amp;B3826+TIME(23,59,59))-SUMIFS('inventory ledger'!$I:$I,'inventory ledger'!$C:$C,C3826,'inventory ledger'!$D:$D,D3826,'inventory ledger'!$E:$E,E3826,'inventory ledger'!$A:$A,"&lt;="&amp;B3826+TIME(23,59,59)))</f>
        <v/>
      </c>
      <c r="G3826" s="3">
        <f>IFERROR(__xludf.DUMMYFUNCTION("IF(F3826&lt;=0,0,IFERROR(ROUNDUP(F3826/INDEX(FILTER('warehouse config'!$D:$D,('warehouse config'!$B:$B=C3826)*('warehouse config'!$C:$C=D3826)*('warehouse config'!$G:$G&lt;=B3826)*(('warehouse config'!$H:$H&gt;=B3826)+ISBLANK('warehouse config'!$H:$H))),1)),0))"),0.0)</f>
        <v>0</v>
      </c>
      <c r="H3826" s="3">
        <f>IFERROR(__xludf.DUMMYFUNCTION("IFERROR(INDEX(FILTER('cost master'!$E:$E,('cost master'!$B:$B=C3826)*('cost master'!$D:$D=""Storage cost per pallet / week"")*('cost master'!$G:$G&lt;=B3826)*(('cost master'!$H:$H&gt;=B3826)+ISBLANK('cost master'!$H:$H))),1),0)"),0.0)</f>
        <v>0</v>
      </c>
      <c r="I3826" s="3">
        <f t="shared" si="4"/>
        <v>0</v>
      </c>
      <c r="J3826" s="27">
        <f t="shared" si="5"/>
        <v>693947</v>
      </c>
      <c r="K3826" s="27">
        <f t="shared" si="6"/>
        <v>693977</v>
      </c>
    </row>
    <row r="3827" hidden="1">
      <c r="A3827" s="3" t="str">
        <f t="shared" si="3"/>
        <v/>
      </c>
      <c r="B3827" s="2" t="str">
        <f t="array" ref="B3827">INDEX(helper!$A$3:$A3996,ROUNDUP((ROW()-1)/COUNTA(helper!$D$3:$D3996),0))</f>
        <v/>
      </c>
      <c r="C3827" s="5" t="str">
        <f t="array" ref="C3827">IF(B3827="","",INDEX(helper!$D$3:$D3996,MOD(ROW()-2,COUNTA(helper!$D$3:$D3996))+1))</f>
        <v/>
      </c>
      <c r="D3827" s="3" t="str">
        <f t="array" ref="D3827">IF(B3827="","",INDEX(helper!$E$3:$E3996,MOD(ROW()-2,COUNTA(helper!$D$3:$D3996))+1))</f>
        <v/>
      </c>
      <c r="E3827" s="3" t="str">
        <f t="array" ref="E3827">IF(B3827="","",INDEX(helper!$F$3:$F3996,MOD(ROW()-2,COUNTA(helper!$D$3:$D3996))+1))</f>
        <v/>
      </c>
      <c r="F3827" s="3" t="str">
        <f>IF(B3827="","",SUMIFS('inventory ledger'!$H:$H,'inventory ledger'!$C:$C,C3827,'inventory ledger'!$D:$D,D3827,'inventory ledger'!$E:$E,E3827,'inventory ledger'!$A:$A,"&lt;="&amp;B3827+TIME(23,59,59))-SUMIFS('inventory ledger'!$I:$I,'inventory ledger'!$C:$C,C3827,'inventory ledger'!$D:$D,D3827,'inventory ledger'!$E:$E,E3827,'inventory ledger'!$A:$A,"&lt;="&amp;B3827+TIME(23,59,59)))</f>
        <v/>
      </c>
      <c r="G3827" s="3">
        <f>IFERROR(__xludf.DUMMYFUNCTION("IF(F3827&lt;=0,0,IFERROR(ROUNDUP(F3827/INDEX(FILTER('warehouse config'!$D:$D,('warehouse config'!$B:$B=C3827)*('warehouse config'!$C:$C=D3827)*('warehouse config'!$G:$G&lt;=B3827)*(('warehouse config'!$H:$H&gt;=B3827)+ISBLANK('warehouse config'!$H:$H))),1)),0))"),0.0)</f>
        <v>0</v>
      </c>
      <c r="H3827" s="3">
        <f>IFERROR(__xludf.DUMMYFUNCTION("IFERROR(INDEX(FILTER('cost master'!$E:$E,('cost master'!$B:$B=C3827)*('cost master'!$D:$D=""Storage cost per pallet / week"")*('cost master'!$G:$G&lt;=B3827)*(('cost master'!$H:$H&gt;=B3827)+ISBLANK('cost master'!$H:$H))),1),0)"),0.0)</f>
        <v>0</v>
      </c>
      <c r="I3827" s="3">
        <f t="shared" si="4"/>
        <v>0</v>
      </c>
      <c r="J3827" s="27">
        <f t="shared" si="5"/>
        <v>693947</v>
      </c>
      <c r="K3827" s="27">
        <f t="shared" si="6"/>
        <v>693977</v>
      </c>
    </row>
    <row r="3828" hidden="1">
      <c r="A3828" s="3" t="str">
        <f t="shared" si="3"/>
        <v/>
      </c>
      <c r="B3828" s="2" t="str">
        <f t="array" ref="B3828">INDEX(helper!$A$3:$A3996,ROUNDUP((ROW()-1)/COUNTA(helper!$D$3:$D3996),0))</f>
        <v/>
      </c>
      <c r="C3828" s="5" t="str">
        <f t="array" ref="C3828">IF(B3828="","",INDEX(helper!$D$3:$D3996,MOD(ROW()-2,COUNTA(helper!$D$3:$D3996))+1))</f>
        <v/>
      </c>
      <c r="D3828" s="3" t="str">
        <f t="array" ref="D3828">IF(B3828="","",INDEX(helper!$E$3:$E3996,MOD(ROW()-2,COUNTA(helper!$D$3:$D3996))+1))</f>
        <v/>
      </c>
      <c r="E3828" s="3" t="str">
        <f t="array" ref="E3828">IF(B3828="","",INDEX(helper!$F$3:$F3996,MOD(ROW()-2,COUNTA(helper!$D$3:$D3996))+1))</f>
        <v/>
      </c>
      <c r="F3828" s="3" t="str">
        <f>IF(B3828="","",SUMIFS('inventory ledger'!$H:$H,'inventory ledger'!$C:$C,C3828,'inventory ledger'!$D:$D,D3828,'inventory ledger'!$E:$E,E3828,'inventory ledger'!$A:$A,"&lt;="&amp;B3828+TIME(23,59,59))-SUMIFS('inventory ledger'!$I:$I,'inventory ledger'!$C:$C,C3828,'inventory ledger'!$D:$D,D3828,'inventory ledger'!$E:$E,E3828,'inventory ledger'!$A:$A,"&lt;="&amp;B3828+TIME(23,59,59)))</f>
        <v/>
      </c>
      <c r="G3828" s="3">
        <f>IFERROR(__xludf.DUMMYFUNCTION("IF(F3828&lt;=0,0,IFERROR(ROUNDUP(F3828/INDEX(FILTER('warehouse config'!$D:$D,('warehouse config'!$B:$B=C3828)*('warehouse config'!$C:$C=D3828)*('warehouse config'!$G:$G&lt;=B3828)*(('warehouse config'!$H:$H&gt;=B3828)+ISBLANK('warehouse config'!$H:$H))),1)),0))"),0.0)</f>
        <v>0</v>
      </c>
      <c r="H3828" s="3">
        <f>IFERROR(__xludf.DUMMYFUNCTION("IFERROR(INDEX(FILTER('cost master'!$E:$E,('cost master'!$B:$B=C3828)*('cost master'!$D:$D=""Storage cost per pallet / week"")*('cost master'!$G:$G&lt;=B3828)*(('cost master'!$H:$H&gt;=B3828)+ISBLANK('cost master'!$H:$H))),1),0)"),0.0)</f>
        <v>0</v>
      </c>
      <c r="I3828" s="3">
        <f t="shared" si="4"/>
        <v>0</v>
      </c>
      <c r="J3828" s="27">
        <f t="shared" si="5"/>
        <v>693947</v>
      </c>
      <c r="K3828" s="27">
        <f t="shared" si="6"/>
        <v>693977</v>
      </c>
    </row>
    <row r="3829" hidden="1">
      <c r="A3829" s="3" t="str">
        <f t="shared" si="3"/>
        <v/>
      </c>
      <c r="B3829" s="2" t="str">
        <f t="array" ref="B3829">INDEX(helper!$A$3:$A3996,ROUNDUP((ROW()-1)/COUNTA(helper!$D$3:$D3996),0))</f>
        <v/>
      </c>
      <c r="C3829" s="5" t="str">
        <f t="array" ref="C3829">IF(B3829="","",INDEX(helper!$D$3:$D3996,MOD(ROW()-2,COUNTA(helper!$D$3:$D3996))+1))</f>
        <v/>
      </c>
      <c r="D3829" s="3" t="str">
        <f t="array" ref="D3829">IF(B3829="","",INDEX(helper!$E$3:$E3996,MOD(ROW()-2,COUNTA(helper!$D$3:$D3996))+1))</f>
        <v/>
      </c>
      <c r="E3829" s="3" t="str">
        <f t="array" ref="E3829">IF(B3829="","",INDEX(helper!$F$3:$F3996,MOD(ROW()-2,COUNTA(helper!$D$3:$D3996))+1))</f>
        <v/>
      </c>
      <c r="F3829" s="3" t="str">
        <f>IF(B3829="","",SUMIFS('inventory ledger'!$H:$H,'inventory ledger'!$C:$C,C3829,'inventory ledger'!$D:$D,D3829,'inventory ledger'!$E:$E,E3829,'inventory ledger'!$A:$A,"&lt;="&amp;B3829+TIME(23,59,59))-SUMIFS('inventory ledger'!$I:$I,'inventory ledger'!$C:$C,C3829,'inventory ledger'!$D:$D,D3829,'inventory ledger'!$E:$E,E3829,'inventory ledger'!$A:$A,"&lt;="&amp;B3829+TIME(23,59,59)))</f>
        <v/>
      </c>
      <c r="G3829" s="3">
        <f>IFERROR(__xludf.DUMMYFUNCTION("IF(F3829&lt;=0,0,IFERROR(ROUNDUP(F3829/INDEX(FILTER('warehouse config'!$D:$D,('warehouse config'!$B:$B=C3829)*('warehouse config'!$C:$C=D3829)*('warehouse config'!$G:$G&lt;=B3829)*(('warehouse config'!$H:$H&gt;=B3829)+ISBLANK('warehouse config'!$H:$H))),1)),0))"),0.0)</f>
        <v>0</v>
      </c>
      <c r="H3829" s="3">
        <f>IFERROR(__xludf.DUMMYFUNCTION("IFERROR(INDEX(FILTER('cost master'!$E:$E,('cost master'!$B:$B=C3829)*('cost master'!$D:$D=""Storage cost per pallet / week"")*('cost master'!$G:$G&lt;=B3829)*(('cost master'!$H:$H&gt;=B3829)+ISBLANK('cost master'!$H:$H))),1),0)"),0.0)</f>
        <v>0</v>
      </c>
      <c r="I3829" s="3">
        <f t="shared" si="4"/>
        <v>0</v>
      </c>
      <c r="J3829" s="27">
        <f t="shared" si="5"/>
        <v>693947</v>
      </c>
      <c r="K3829" s="27">
        <f t="shared" si="6"/>
        <v>693977</v>
      </c>
    </row>
    <row r="3830" hidden="1">
      <c r="A3830" s="3" t="str">
        <f t="shared" si="3"/>
        <v/>
      </c>
      <c r="B3830" s="2" t="str">
        <f t="array" ref="B3830">INDEX(helper!$A$3:$A3996,ROUNDUP((ROW()-1)/COUNTA(helper!$D$3:$D3996),0))</f>
        <v/>
      </c>
      <c r="C3830" s="5" t="str">
        <f t="array" ref="C3830">IF(B3830="","",INDEX(helper!$D$3:$D3996,MOD(ROW()-2,COUNTA(helper!$D$3:$D3996))+1))</f>
        <v/>
      </c>
      <c r="D3830" s="3" t="str">
        <f t="array" ref="D3830">IF(B3830="","",INDEX(helper!$E$3:$E3996,MOD(ROW()-2,COUNTA(helper!$D$3:$D3996))+1))</f>
        <v/>
      </c>
      <c r="E3830" s="3" t="str">
        <f t="array" ref="E3830">IF(B3830="","",INDEX(helper!$F$3:$F3996,MOD(ROW()-2,COUNTA(helper!$D$3:$D3996))+1))</f>
        <v/>
      </c>
      <c r="F3830" s="3" t="str">
        <f>IF(B3830="","",SUMIFS('inventory ledger'!$H:$H,'inventory ledger'!$C:$C,C3830,'inventory ledger'!$D:$D,D3830,'inventory ledger'!$E:$E,E3830,'inventory ledger'!$A:$A,"&lt;="&amp;B3830+TIME(23,59,59))-SUMIFS('inventory ledger'!$I:$I,'inventory ledger'!$C:$C,C3830,'inventory ledger'!$D:$D,D3830,'inventory ledger'!$E:$E,E3830,'inventory ledger'!$A:$A,"&lt;="&amp;B3830+TIME(23,59,59)))</f>
        <v/>
      </c>
      <c r="G3830" s="3">
        <f>IFERROR(__xludf.DUMMYFUNCTION("IF(F3830&lt;=0,0,IFERROR(ROUNDUP(F3830/INDEX(FILTER('warehouse config'!$D:$D,('warehouse config'!$B:$B=C3830)*('warehouse config'!$C:$C=D3830)*('warehouse config'!$G:$G&lt;=B3830)*(('warehouse config'!$H:$H&gt;=B3830)+ISBLANK('warehouse config'!$H:$H))),1)),0))"),0.0)</f>
        <v>0</v>
      </c>
      <c r="H3830" s="3">
        <f>IFERROR(__xludf.DUMMYFUNCTION("IFERROR(INDEX(FILTER('cost master'!$E:$E,('cost master'!$B:$B=C3830)*('cost master'!$D:$D=""Storage cost per pallet / week"")*('cost master'!$G:$G&lt;=B3830)*(('cost master'!$H:$H&gt;=B3830)+ISBLANK('cost master'!$H:$H))),1),0)"),0.0)</f>
        <v>0</v>
      </c>
      <c r="I3830" s="3">
        <f t="shared" si="4"/>
        <v>0</v>
      </c>
      <c r="J3830" s="27">
        <f t="shared" si="5"/>
        <v>693947</v>
      </c>
      <c r="K3830" s="27">
        <f t="shared" si="6"/>
        <v>693977</v>
      </c>
    </row>
    <row r="3831" hidden="1">
      <c r="A3831" s="3" t="str">
        <f t="shared" si="3"/>
        <v/>
      </c>
      <c r="B3831" s="2" t="str">
        <f t="array" ref="B3831">INDEX(helper!$A$3:$A3996,ROUNDUP((ROW()-1)/COUNTA(helper!$D$3:$D3996),0))</f>
        <v/>
      </c>
      <c r="C3831" s="5" t="str">
        <f t="array" ref="C3831">IF(B3831="","",INDEX(helper!$D$3:$D3996,MOD(ROW()-2,COUNTA(helper!$D$3:$D3996))+1))</f>
        <v/>
      </c>
      <c r="D3831" s="3" t="str">
        <f t="array" ref="D3831">IF(B3831="","",INDEX(helper!$E$3:$E3996,MOD(ROW()-2,COUNTA(helper!$D$3:$D3996))+1))</f>
        <v/>
      </c>
      <c r="E3831" s="3" t="str">
        <f t="array" ref="E3831">IF(B3831="","",INDEX(helper!$F$3:$F3996,MOD(ROW()-2,COUNTA(helper!$D$3:$D3996))+1))</f>
        <v/>
      </c>
      <c r="F3831" s="3" t="str">
        <f>IF(B3831="","",SUMIFS('inventory ledger'!$H:$H,'inventory ledger'!$C:$C,C3831,'inventory ledger'!$D:$D,D3831,'inventory ledger'!$E:$E,E3831,'inventory ledger'!$A:$A,"&lt;="&amp;B3831+TIME(23,59,59))-SUMIFS('inventory ledger'!$I:$I,'inventory ledger'!$C:$C,C3831,'inventory ledger'!$D:$D,D3831,'inventory ledger'!$E:$E,E3831,'inventory ledger'!$A:$A,"&lt;="&amp;B3831+TIME(23,59,59)))</f>
        <v/>
      </c>
      <c r="G3831" s="3">
        <f>IFERROR(__xludf.DUMMYFUNCTION("IF(F3831&lt;=0,0,IFERROR(ROUNDUP(F3831/INDEX(FILTER('warehouse config'!$D:$D,('warehouse config'!$B:$B=C3831)*('warehouse config'!$C:$C=D3831)*('warehouse config'!$G:$G&lt;=B3831)*(('warehouse config'!$H:$H&gt;=B3831)+ISBLANK('warehouse config'!$H:$H))),1)),0))"),0.0)</f>
        <v>0</v>
      </c>
      <c r="H3831" s="3">
        <f>IFERROR(__xludf.DUMMYFUNCTION("IFERROR(INDEX(FILTER('cost master'!$E:$E,('cost master'!$B:$B=C3831)*('cost master'!$D:$D=""Storage cost per pallet / week"")*('cost master'!$G:$G&lt;=B3831)*(('cost master'!$H:$H&gt;=B3831)+ISBLANK('cost master'!$H:$H))),1),0)"),0.0)</f>
        <v>0</v>
      </c>
      <c r="I3831" s="3">
        <f t="shared" si="4"/>
        <v>0</v>
      </c>
      <c r="J3831" s="27">
        <f t="shared" si="5"/>
        <v>693947</v>
      </c>
      <c r="K3831" s="27">
        <f t="shared" si="6"/>
        <v>693977</v>
      </c>
    </row>
    <row r="3832" hidden="1">
      <c r="A3832" s="3" t="str">
        <f t="shared" si="3"/>
        <v/>
      </c>
      <c r="B3832" s="2" t="str">
        <f t="array" ref="B3832">INDEX(helper!$A$3:$A3996,ROUNDUP((ROW()-1)/COUNTA(helper!$D$3:$D3996),0))</f>
        <v/>
      </c>
      <c r="C3832" s="5" t="str">
        <f t="array" ref="C3832">IF(B3832="","",INDEX(helper!$D$3:$D3996,MOD(ROW()-2,COUNTA(helper!$D$3:$D3996))+1))</f>
        <v/>
      </c>
      <c r="D3832" s="3" t="str">
        <f t="array" ref="D3832">IF(B3832="","",INDEX(helper!$E$3:$E3996,MOD(ROW()-2,COUNTA(helper!$D$3:$D3996))+1))</f>
        <v/>
      </c>
      <c r="E3832" s="3" t="str">
        <f t="array" ref="E3832">IF(B3832="","",INDEX(helper!$F$3:$F3996,MOD(ROW()-2,COUNTA(helper!$D$3:$D3996))+1))</f>
        <v/>
      </c>
      <c r="F3832" s="3" t="str">
        <f>IF(B3832="","",SUMIFS('inventory ledger'!$H:$H,'inventory ledger'!$C:$C,C3832,'inventory ledger'!$D:$D,D3832,'inventory ledger'!$E:$E,E3832,'inventory ledger'!$A:$A,"&lt;="&amp;B3832+TIME(23,59,59))-SUMIFS('inventory ledger'!$I:$I,'inventory ledger'!$C:$C,C3832,'inventory ledger'!$D:$D,D3832,'inventory ledger'!$E:$E,E3832,'inventory ledger'!$A:$A,"&lt;="&amp;B3832+TIME(23,59,59)))</f>
        <v/>
      </c>
      <c r="G3832" s="3">
        <f>IFERROR(__xludf.DUMMYFUNCTION("IF(F3832&lt;=0,0,IFERROR(ROUNDUP(F3832/INDEX(FILTER('warehouse config'!$D:$D,('warehouse config'!$B:$B=C3832)*('warehouse config'!$C:$C=D3832)*('warehouse config'!$G:$G&lt;=B3832)*(('warehouse config'!$H:$H&gt;=B3832)+ISBLANK('warehouse config'!$H:$H))),1)),0))"),0.0)</f>
        <v>0</v>
      </c>
      <c r="H3832" s="3">
        <f>IFERROR(__xludf.DUMMYFUNCTION("IFERROR(INDEX(FILTER('cost master'!$E:$E,('cost master'!$B:$B=C3832)*('cost master'!$D:$D=""Storage cost per pallet / week"")*('cost master'!$G:$G&lt;=B3832)*(('cost master'!$H:$H&gt;=B3832)+ISBLANK('cost master'!$H:$H))),1),0)"),0.0)</f>
        <v>0</v>
      </c>
      <c r="I3832" s="3">
        <f t="shared" si="4"/>
        <v>0</v>
      </c>
      <c r="J3832" s="27">
        <f t="shared" si="5"/>
        <v>693947</v>
      </c>
      <c r="K3832" s="27">
        <f t="shared" si="6"/>
        <v>693977</v>
      </c>
    </row>
    <row r="3833" hidden="1">
      <c r="A3833" s="3" t="str">
        <f t="shared" si="3"/>
        <v/>
      </c>
      <c r="B3833" s="2" t="str">
        <f t="array" ref="B3833">INDEX(helper!$A$3:$A3996,ROUNDUP((ROW()-1)/COUNTA(helper!$D$3:$D3996),0))</f>
        <v/>
      </c>
      <c r="C3833" s="5" t="str">
        <f t="array" ref="C3833">IF(B3833="","",INDEX(helper!$D$3:$D3996,MOD(ROW()-2,COUNTA(helper!$D$3:$D3996))+1))</f>
        <v/>
      </c>
      <c r="D3833" s="3" t="str">
        <f t="array" ref="D3833">IF(B3833="","",INDEX(helper!$E$3:$E3996,MOD(ROW()-2,COUNTA(helper!$D$3:$D3996))+1))</f>
        <v/>
      </c>
      <c r="E3833" s="3" t="str">
        <f t="array" ref="E3833">IF(B3833="","",INDEX(helper!$F$3:$F3996,MOD(ROW()-2,COUNTA(helper!$D$3:$D3996))+1))</f>
        <v/>
      </c>
      <c r="F3833" s="3" t="str">
        <f>IF(B3833="","",SUMIFS('inventory ledger'!$H:$H,'inventory ledger'!$C:$C,C3833,'inventory ledger'!$D:$D,D3833,'inventory ledger'!$E:$E,E3833,'inventory ledger'!$A:$A,"&lt;="&amp;B3833+TIME(23,59,59))-SUMIFS('inventory ledger'!$I:$I,'inventory ledger'!$C:$C,C3833,'inventory ledger'!$D:$D,D3833,'inventory ledger'!$E:$E,E3833,'inventory ledger'!$A:$A,"&lt;="&amp;B3833+TIME(23,59,59)))</f>
        <v/>
      </c>
      <c r="G3833" s="3">
        <f>IFERROR(__xludf.DUMMYFUNCTION("IF(F3833&lt;=0,0,IFERROR(ROUNDUP(F3833/INDEX(FILTER('warehouse config'!$D:$D,('warehouse config'!$B:$B=C3833)*('warehouse config'!$C:$C=D3833)*('warehouse config'!$G:$G&lt;=B3833)*(('warehouse config'!$H:$H&gt;=B3833)+ISBLANK('warehouse config'!$H:$H))),1)),0))"),0.0)</f>
        <v>0</v>
      </c>
      <c r="H3833" s="3">
        <f>IFERROR(__xludf.DUMMYFUNCTION("IFERROR(INDEX(FILTER('cost master'!$E:$E,('cost master'!$B:$B=C3833)*('cost master'!$D:$D=""Storage cost per pallet / week"")*('cost master'!$G:$G&lt;=B3833)*(('cost master'!$H:$H&gt;=B3833)+ISBLANK('cost master'!$H:$H))),1),0)"),0.0)</f>
        <v>0</v>
      </c>
      <c r="I3833" s="3">
        <f t="shared" si="4"/>
        <v>0</v>
      </c>
      <c r="J3833" s="27">
        <f t="shared" si="5"/>
        <v>693947</v>
      </c>
      <c r="K3833" s="27">
        <f t="shared" si="6"/>
        <v>693977</v>
      </c>
    </row>
    <row r="3834" hidden="1">
      <c r="A3834" s="3" t="str">
        <f t="shared" si="3"/>
        <v/>
      </c>
      <c r="B3834" s="2" t="str">
        <f t="array" ref="B3834">INDEX(helper!$A$3:$A3996,ROUNDUP((ROW()-1)/COUNTA(helper!$D$3:$D3996),0))</f>
        <v/>
      </c>
      <c r="C3834" s="5" t="str">
        <f t="array" ref="C3834">IF(B3834="","",INDEX(helper!$D$3:$D3996,MOD(ROW()-2,COUNTA(helper!$D$3:$D3996))+1))</f>
        <v/>
      </c>
      <c r="D3834" s="3" t="str">
        <f t="array" ref="D3834">IF(B3834="","",INDEX(helper!$E$3:$E3996,MOD(ROW()-2,COUNTA(helper!$D$3:$D3996))+1))</f>
        <v/>
      </c>
      <c r="E3834" s="3" t="str">
        <f t="array" ref="E3834">IF(B3834="","",INDEX(helper!$F$3:$F3996,MOD(ROW()-2,COUNTA(helper!$D$3:$D3996))+1))</f>
        <v/>
      </c>
      <c r="F3834" s="3" t="str">
        <f>IF(B3834="","",SUMIFS('inventory ledger'!$H:$H,'inventory ledger'!$C:$C,C3834,'inventory ledger'!$D:$D,D3834,'inventory ledger'!$E:$E,E3834,'inventory ledger'!$A:$A,"&lt;="&amp;B3834+TIME(23,59,59))-SUMIFS('inventory ledger'!$I:$I,'inventory ledger'!$C:$C,C3834,'inventory ledger'!$D:$D,D3834,'inventory ledger'!$E:$E,E3834,'inventory ledger'!$A:$A,"&lt;="&amp;B3834+TIME(23,59,59)))</f>
        <v/>
      </c>
      <c r="G3834" s="3">
        <f>IFERROR(__xludf.DUMMYFUNCTION("IF(F3834&lt;=0,0,IFERROR(ROUNDUP(F3834/INDEX(FILTER('warehouse config'!$D:$D,('warehouse config'!$B:$B=C3834)*('warehouse config'!$C:$C=D3834)*('warehouse config'!$G:$G&lt;=B3834)*(('warehouse config'!$H:$H&gt;=B3834)+ISBLANK('warehouse config'!$H:$H))),1)),0))"),0.0)</f>
        <v>0</v>
      </c>
      <c r="H3834" s="3">
        <f>IFERROR(__xludf.DUMMYFUNCTION("IFERROR(INDEX(FILTER('cost master'!$E:$E,('cost master'!$B:$B=C3834)*('cost master'!$D:$D=""Storage cost per pallet / week"")*('cost master'!$G:$G&lt;=B3834)*(('cost master'!$H:$H&gt;=B3834)+ISBLANK('cost master'!$H:$H))),1),0)"),0.0)</f>
        <v>0</v>
      </c>
      <c r="I3834" s="3">
        <f t="shared" si="4"/>
        <v>0</v>
      </c>
      <c r="J3834" s="27">
        <f t="shared" si="5"/>
        <v>693947</v>
      </c>
      <c r="K3834" s="27">
        <f t="shared" si="6"/>
        <v>693977</v>
      </c>
    </row>
    <row r="3835" hidden="1">
      <c r="A3835" s="3" t="str">
        <f t="shared" si="3"/>
        <v/>
      </c>
      <c r="B3835" s="2" t="str">
        <f t="array" ref="B3835">INDEX(helper!$A$3:$A3996,ROUNDUP((ROW()-1)/COUNTA(helper!$D$3:$D3996),0))</f>
        <v/>
      </c>
      <c r="C3835" s="5" t="str">
        <f t="array" ref="C3835">IF(B3835="","",INDEX(helper!$D$3:$D3996,MOD(ROW()-2,COUNTA(helper!$D$3:$D3996))+1))</f>
        <v/>
      </c>
      <c r="D3835" s="3" t="str">
        <f t="array" ref="D3835">IF(B3835="","",INDEX(helper!$E$3:$E3996,MOD(ROW()-2,COUNTA(helper!$D$3:$D3996))+1))</f>
        <v/>
      </c>
      <c r="E3835" s="3" t="str">
        <f t="array" ref="E3835">IF(B3835="","",INDEX(helper!$F$3:$F3996,MOD(ROW()-2,COUNTA(helper!$D$3:$D3996))+1))</f>
        <v/>
      </c>
      <c r="F3835" s="3" t="str">
        <f>IF(B3835="","",SUMIFS('inventory ledger'!$H:$H,'inventory ledger'!$C:$C,C3835,'inventory ledger'!$D:$D,D3835,'inventory ledger'!$E:$E,E3835,'inventory ledger'!$A:$A,"&lt;="&amp;B3835+TIME(23,59,59))-SUMIFS('inventory ledger'!$I:$I,'inventory ledger'!$C:$C,C3835,'inventory ledger'!$D:$D,D3835,'inventory ledger'!$E:$E,E3835,'inventory ledger'!$A:$A,"&lt;="&amp;B3835+TIME(23,59,59)))</f>
        <v/>
      </c>
      <c r="G3835" s="3">
        <f>IFERROR(__xludf.DUMMYFUNCTION("IF(F3835&lt;=0,0,IFERROR(ROUNDUP(F3835/INDEX(FILTER('warehouse config'!$D:$D,('warehouse config'!$B:$B=C3835)*('warehouse config'!$C:$C=D3835)*('warehouse config'!$G:$G&lt;=B3835)*(('warehouse config'!$H:$H&gt;=B3835)+ISBLANK('warehouse config'!$H:$H))),1)),0))"),0.0)</f>
        <v>0</v>
      </c>
      <c r="H3835" s="3">
        <f>IFERROR(__xludf.DUMMYFUNCTION("IFERROR(INDEX(FILTER('cost master'!$E:$E,('cost master'!$B:$B=C3835)*('cost master'!$D:$D=""Storage cost per pallet / week"")*('cost master'!$G:$G&lt;=B3835)*(('cost master'!$H:$H&gt;=B3835)+ISBLANK('cost master'!$H:$H))),1),0)"),0.0)</f>
        <v>0</v>
      </c>
      <c r="I3835" s="3">
        <f t="shared" si="4"/>
        <v>0</v>
      </c>
      <c r="J3835" s="27">
        <f t="shared" si="5"/>
        <v>693947</v>
      </c>
      <c r="K3835" s="27">
        <f t="shared" si="6"/>
        <v>693977</v>
      </c>
    </row>
    <row r="3836" hidden="1">
      <c r="A3836" s="3" t="str">
        <f t="shared" si="3"/>
        <v/>
      </c>
      <c r="B3836" s="2" t="str">
        <f t="array" ref="B3836">INDEX(helper!$A$3:$A3996,ROUNDUP((ROW()-1)/COUNTA(helper!$D$3:$D3996),0))</f>
        <v/>
      </c>
      <c r="C3836" s="5" t="str">
        <f t="array" ref="C3836">IF(B3836="","",INDEX(helper!$D$3:$D3996,MOD(ROW()-2,COUNTA(helper!$D$3:$D3996))+1))</f>
        <v/>
      </c>
      <c r="D3836" s="3" t="str">
        <f t="array" ref="D3836">IF(B3836="","",INDEX(helper!$E$3:$E3996,MOD(ROW()-2,COUNTA(helper!$D$3:$D3996))+1))</f>
        <v/>
      </c>
      <c r="E3836" s="3" t="str">
        <f t="array" ref="E3836">IF(B3836="","",INDEX(helper!$F$3:$F3996,MOD(ROW()-2,COUNTA(helper!$D$3:$D3996))+1))</f>
        <v/>
      </c>
      <c r="F3836" s="3" t="str">
        <f>IF(B3836="","",SUMIFS('inventory ledger'!$H:$H,'inventory ledger'!$C:$C,C3836,'inventory ledger'!$D:$D,D3836,'inventory ledger'!$E:$E,E3836,'inventory ledger'!$A:$A,"&lt;="&amp;B3836+TIME(23,59,59))-SUMIFS('inventory ledger'!$I:$I,'inventory ledger'!$C:$C,C3836,'inventory ledger'!$D:$D,D3836,'inventory ledger'!$E:$E,E3836,'inventory ledger'!$A:$A,"&lt;="&amp;B3836+TIME(23,59,59)))</f>
        <v/>
      </c>
      <c r="G3836" s="3">
        <f>IFERROR(__xludf.DUMMYFUNCTION("IF(F3836&lt;=0,0,IFERROR(ROUNDUP(F3836/INDEX(FILTER('warehouse config'!$D:$D,('warehouse config'!$B:$B=C3836)*('warehouse config'!$C:$C=D3836)*('warehouse config'!$G:$G&lt;=B3836)*(('warehouse config'!$H:$H&gt;=B3836)+ISBLANK('warehouse config'!$H:$H))),1)),0))"),0.0)</f>
        <v>0</v>
      </c>
      <c r="H3836" s="3">
        <f>IFERROR(__xludf.DUMMYFUNCTION("IFERROR(INDEX(FILTER('cost master'!$E:$E,('cost master'!$B:$B=C3836)*('cost master'!$D:$D=""Storage cost per pallet / week"")*('cost master'!$G:$G&lt;=B3836)*(('cost master'!$H:$H&gt;=B3836)+ISBLANK('cost master'!$H:$H))),1),0)"),0.0)</f>
        <v>0</v>
      </c>
      <c r="I3836" s="3">
        <f t="shared" si="4"/>
        <v>0</v>
      </c>
      <c r="J3836" s="27">
        <f t="shared" si="5"/>
        <v>693947</v>
      </c>
      <c r="K3836" s="27">
        <f t="shared" si="6"/>
        <v>693977</v>
      </c>
    </row>
    <row r="3837" hidden="1">
      <c r="A3837" s="3" t="str">
        <f t="shared" si="3"/>
        <v/>
      </c>
      <c r="B3837" s="2" t="str">
        <f t="array" ref="B3837">INDEX(helper!$A$3:$A3996,ROUNDUP((ROW()-1)/COUNTA(helper!$D$3:$D3996),0))</f>
        <v/>
      </c>
      <c r="C3837" s="5" t="str">
        <f t="array" ref="C3837">IF(B3837="","",INDEX(helper!$D$3:$D3996,MOD(ROW()-2,COUNTA(helper!$D$3:$D3996))+1))</f>
        <v/>
      </c>
      <c r="D3837" s="3" t="str">
        <f t="array" ref="D3837">IF(B3837="","",INDEX(helper!$E$3:$E3996,MOD(ROW()-2,COUNTA(helper!$D$3:$D3996))+1))</f>
        <v/>
      </c>
      <c r="E3837" s="3" t="str">
        <f t="array" ref="E3837">IF(B3837="","",INDEX(helper!$F$3:$F3996,MOD(ROW()-2,COUNTA(helper!$D$3:$D3996))+1))</f>
        <v/>
      </c>
      <c r="F3837" s="3" t="str">
        <f>IF(B3837="","",SUMIFS('inventory ledger'!$H:$H,'inventory ledger'!$C:$C,C3837,'inventory ledger'!$D:$D,D3837,'inventory ledger'!$E:$E,E3837,'inventory ledger'!$A:$A,"&lt;="&amp;B3837+TIME(23,59,59))-SUMIFS('inventory ledger'!$I:$I,'inventory ledger'!$C:$C,C3837,'inventory ledger'!$D:$D,D3837,'inventory ledger'!$E:$E,E3837,'inventory ledger'!$A:$A,"&lt;="&amp;B3837+TIME(23,59,59)))</f>
        <v/>
      </c>
      <c r="G3837" s="3">
        <f>IFERROR(__xludf.DUMMYFUNCTION("IF(F3837&lt;=0,0,IFERROR(ROUNDUP(F3837/INDEX(FILTER('warehouse config'!$D:$D,('warehouse config'!$B:$B=C3837)*('warehouse config'!$C:$C=D3837)*('warehouse config'!$G:$G&lt;=B3837)*(('warehouse config'!$H:$H&gt;=B3837)+ISBLANK('warehouse config'!$H:$H))),1)),0))"),0.0)</f>
        <v>0</v>
      </c>
      <c r="H3837" s="3">
        <f>IFERROR(__xludf.DUMMYFUNCTION("IFERROR(INDEX(FILTER('cost master'!$E:$E,('cost master'!$B:$B=C3837)*('cost master'!$D:$D=""Storage cost per pallet / week"")*('cost master'!$G:$G&lt;=B3837)*(('cost master'!$H:$H&gt;=B3837)+ISBLANK('cost master'!$H:$H))),1),0)"),0.0)</f>
        <v>0</v>
      </c>
      <c r="I3837" s="3">
        <f t="shared" si="4"/>
        <v>0</v>
      </c>
      <c r="J3837" s="27">
        <f t="shared" si="5"/>
        <v>693947</v>
      </c>
      <c r="K3837" s="27">
        <f t="shared" si="6"/>
        <v>693977</v>
      </c>
    </row>
    <row r="3838" hidden="1">
      <c r="A3838" s="3" t="str">
        <f t="shared" si="3"/>
        <v/>
      </c>
      <c r="B3838" s="2" t="str">
        <f t="array" ref="B3838">INDEX(helper!$A$3:$A3996,ROUNDUP((ROW()-1)/COUNTA(helper!$D$3:$D3996),0))</f>
        <v/>
      </c>
      <c r="C3838" s="5" t="str">
        <f t="array" ref="C3838">IF(B3838="","",INDEX(helper!$D$3:$D3996,MOD(ROW()-2,COUNTA(helper!$D$3:$D3996))+1))</f>
        <v/>
      </c>
      <c r="D3838" s="3" t="str">
        <f t="array" ref="D3838">IF(B3838="","",INDEX(helper!$E$3:$E3996,MOD(ROW()-2,COUNTA(helper!$D$3:$D3996))+1))</f>
        <v/>
      </c>
      <c r="E3838" s="3" t="str">
        <f t="array" ref="E3838">IF(B3838="","",INDEX(helper!$F$3:$F3996,MOD(ROW()-2,COUNTA(helper!$D$3:$D3996))+1))</f>
        <v/>
      </c>
      <c r="F3838" s="3" t="str">
        <f>IF(B3838="","",SUMIFS('inventory ledger'!$H:$H,'inventory ledger'!$C:$C,C3838,'inventory ledger'!$D:$D,D3838,'inventory ledger'!$E:$E,E3838,'inventory ledger'!$A:$A,"&lt;="&amp;B3838+TIME(23,59,59))-SUMIFS('inventory ledger'!$I:$I,'inventory ledger'!$C:$C,C3838,'inventory ledger'!$D:$D,D3838,'inventory ledger'!$E:$E,E3838,'inventory ledger'!$A:$A,"&lt;="&amp;B3838+TIME(23,59,59)))</f>
        <v/>
      </c>
      <c r="G3838" s="3">
        <f>IFERROR(__xludf.DUMMYFUNCTION("IF(F3838&lt;=0,0,IFERROR(ROUNDUP(F3838/INDEX(FILTER('warehouse config'!$D:$D,('warehouse config'!$B:$B=C3838)*('warehouse config'!$C:$C=D3838)*('warehouse config'!$G:$G&lt;=B3838)*(('warehouse config'!$H:$H&gt;=B3838)+ISBLANK('warehouse config'!$H:$H))),1)),0))"),0.0)</f>
        <v>0</v>
      </c>
      <c r="H3838" s="3">
        <f>IFERROR(__xludf.DUMMYFUNCTION("IFERROR(INDEX(FILTER('cost master'!$E:$E,('cost master'!$B:$B=C3838)*('cost master'!$D:$D=""Storage cost per pallet / week"")*('cost master'!$G:$G&lt;=B3838)*(('cost master'!$H:$H&gt;=B3838)+ISBLANK('cost master'!$H:$H))),1),0)"),0.0)</f>
        <v>0</v>
      </c>
      <c r="I3838" s="3">
        <f t="shared" si="4"/>
        <v>0</v>
      </c>
      <c r="J3838" s="27">
        <f t="shared" si="5"/>
        <v>693947</v>
      </c>
      <c r="K3838" s="27">
        <f t="shared" si="6"/>
        <v>693977</v>
      </c>
    </row>
    <row r="3839" hidden="1">
      <c r="A3839" s="3" t="str">
        <f t="shared" si="3"/>
        <v/>
      </c>
      <c r="B3839" s="2" t="str">
        <f t="array" ref="B3839">INDEX(helper!$A$3:$A3996,ROUNDUP((ROW()-1)/COUNTA(helper!$D$3:$D3996),0))</f>
        <v/>
      </c>
      <c r="C3839" s="5" t="str">
        <f t="array" ref="C3839">IF(B3839="","",INDEX(helper!$D$3:$D3996,MOD(ROW()-2,COUNTA(helper!$D$3:$D3996))+1))</f>
        <v/>
      </c>
      <c r="D3839" s="3" t="str">
        <f t="array" ref="D3839">IF(B3839="","",INDEX(helper!$E$3:$E3996,MOD(ROW()-2,COUNTA(helper!$D$3:$D3996))+1))</f>
        <v/>
      </c>
      <c r="E3839" s="3" t="str">
        <f t="array" ref="E3839">IF(B3839="","",INDEX(helper!$F$3:$F3996,MOD(ROW()-2,COUNTA(helper!$D$3:$D3996))+1))</f>
        <v/>
      </c>
      <c r="F3839" s="3" t="str">
        <f>IF(B3839="","",SUMIFS('inventory ledger'!$H:$H,'inventory ledger'!$C:$C,C3839,'inventory ledger'!$D:$D,D3839,'inventory ledger'!$E:$E,E3839,'inventory ledger'!$A:$A,"&lt;="&amp;B3839+TIME(23,59,59))-SUMIFS('inventory ledger'!$I:$I,'inventory ledger'!$C:$C,C3839,'inventory ledger'!$D:$D,D3839,'inventory ledger'!$E:$E,E3839,'inventory ledger'!$A:$A,"&lt;="&amp;B3839+TIME(23,59,59)))</f>
        <v/>
      </c>
      <c r="G3839" s="3">
        <f>IFERROR(__xludf.DUMMYFUNCTION("IF(F3839&lt;=0,0,IFERROR(ROUNDUP(F3839/INDEX(FILTER('warehouse config'!$D:$D,('warehouse config'!$B:$B=C3839)*('warehouse config'!$C:$C=D3839)*('warehouse config'!$G:$G&lt;=B3839)*(('warehouse config'!$H:$H&gt;=B3839)+ISBLANK('warehouse config'!$H:$H))),1)),0))"),0.0)</f>
        <v>0</v>
      </c>
      <c r="H3839" s="3">
        <f>IFERROR(__xludf.DUMMYFUNCTION("IFERROR(INDEX(FILTER('cost master'!$E:$E,('cost master'!$B:$B=C3839)*('cost master'!$D:$D=""Storage cost per pallet / week"")*('cost master'!$G:$G&lt;=B3839)*(('cost master'!$H:$H&gt;=B3839)+ISBLANK('cost master'!$H:$H))),1),0)"),0.0)</f>
        <v>0</v>
      </c>
      <c r="I3839" s="3">
        <f t="shared" si="4"/>
        <v>0</v>
      </c>
      <c r="J3839" s="27">
        <f t="shared" si="5"/>
        <v>693947</v>
      </c>
      <c r="K3839" s="27">
        <f t="shared" si="6"/>
        <v>693977</v>
      </c>
    </row>
    <row r="3840" hidden="1">
      <c r="A3840" s="3" t="str">
        <f t="shared" si="3"/>
        <v/>
      </c>
      <c r="B3840" s="2" t="str">
        <f t="array" ref="B3840">INDEX(helper!$A$3:$A3996,ROUNDUP((ROW()-1)/COUNTA(helper!$D$3:$D3996),0))</f>
        <v/>
      </c>
      <c r="C3840" s="5" t="str">
        <f t="array" ref="C3840">IF(B3840="","",INDEX(helper!$D$3:$D3996,MOD(ROW()-2,COUNTA(helper!$D$3:$D3996))+1))</f>
        <v/>
      </c>
      <c r="D3840" s="3" t="str">
        <f t="array" ref="D3840">IF(B3840="","",INDEX(helper!$E$3:$E3996,MOD(ROW()-2,COUNTA(helper!$D$3:$D3996))+1))</f>
        <v/>
      </c>
      <c r="E3840" s="3" t="str">
        <f t="array" ref="E3840">IF(B3840="","",INDEX(helper!$F$3:$F3996,MOD(ROW()-2,COUNTA(helper!$D$3:$D3996))+1))</f>
        <v/>
      </c>
      <c r="F3840" s="3" t="str">
        <f>IF(B3840="","",SUMIFS('inventory ledger'!$H:$H,'inventory ledger'!$C:$C,C3840,'inventory ledger'!$D:$D,D3840,'inventory ledger'!$E:$E,E3840,'inventory ledger'!$A:$A,"&lt;="&amp;B3840+TIME(23,59,59))-SUMIFS('inventory ledger'!$I:$I,'inventory ledger'!$C:$C,C3840,'inventory ledger'!$D:$D,D3840,'inventory ledger'!$E:$E,E3840,'inventory ledger'!$A:$A,"&lt;="&amp;B3840+TIME(23,59,59)))</f>
        <v/>
      </c>
      <c r="G3840" s="3">
        <f>IFERROR(__xludf.DUMMYFUNCTION("IF(F3840&lt;=0,0,IFERROR(ROUNDUP(F3840/INDEX(FILTER('warehouse config'!$D:$D,('warehouse config'!$B:$B=C3840)*('warehouse config'!$C:$C=D3840)*('warehouse config'!$G:$G&lt;=B3840)*(('warehouse config'!$H:$H&gt;=B3840)+ISBLANK('warehouse config'!$H:$H))),1)),0))"),0.0)</f>
        <v>0</v>
      </c>
      <c r="H3840" s="3">
        <f>IFERROR(__xludf.DUMMYFUNCTION("IFERROR(INDEX(FILTER('cost master'!$E:$E,('cost master'!$B:$B=C3840)*('cost master'!$D:$D=""Storage cost per pallet / week"")*('cost master'!$G:$G&lt;=B3840)*(('cost master'!$H:$H&gt;=B3840)+ISBLANK('cost master'!$H:$H))),1),0)"),0.0)</f>
        <v>0</v>
      </c>
      <c r="I3840" s="3">
        <f t="shared" si="4"/>
        <v>0</v>
      </c>
      <c r="J3840" s="27">
        <f t="shared" si="5"/>
        <v>693947</v>
      </c>
      <c r="K3840" s="27">
        <f t="shared" si="6"/>
        <v>693977</v>
      </c>
    </row>
    <row r="3841" hidden="1">
      <c r="A3841" s="3" t="str">
        <f t="shared" si="3"/>
        <v/>
      </c>
      <c r="B3841" s="2" t="str">
        <f t="array" ref="B3841">INDEX(helper!$A$3:$A3996,ROUNDUP((ROW()-1)/COUNTA(helper!$D$3:$D3996),0))</f>
        <v/>
      </c>
      <c r="C3841" s="5" t="str">
        <f t="array" ref="C3841">IF(B3841="","",INDEX(helper!$D$3:$D3996,MOD(ROW()-2,COUNTA(helper!$D$3:$D3996))+1))</f>
        <v/>
      </c>
      <c r="D3841" s="3" t="str">
        <f t="array" ref="D3841">IF(B3841="","",INDEX(helper!$E$3:$E3996,MOD(ROW()-2,COUNTA(helper!$D$3:$D3996))+1))</f>
        <v/>
      </c>
      <c r="E3841" s="3" t="str">
        <f t="array" ref="E3841">IF(B3841="","",INDEX(helper!$F$3:$F3996,MOD(ROW()-2,COUNTA(helper!$D$3:$D3996))+1))</f>
        <v/>
      </c>
      <c r="F3841" s="3" t="str">
        <f>IF(B3841="","",SUMIFS('inventory ledger'!$H:$H,'inventory ledger'!$C:$C,C3841,'inventory ledger'!$D:$D,D3841,'inventory ledger'!$E:$E,E3841,'inventory ledger'!$A:$A,"&lt;="&amp;B3841+TIME(23,59,59))-SUMIFS('inventory ledger'!$I:$I,'inventory ledger'!$C:$C,C3841,'inventory ledger'!$D:$D,D3841,'inventory ledger'!$E:$E,E3841,'inventory ledger'!$A:$A,"&lt;="&amp;B3841+TIME(23,59,59)))</f>
        <v/>
      </c>
      <c r="G3841" s="3">
        <f>IFERROR(__xludf.DUMMYFUNCTION("IF(F3841&lt;=0,0,IFERROR(ROUNDUP(F3841/INDEX(FILTER('warehouse config'!$D:$D,('warehouse config'!$B:$B=C3841)*('warehouse config'!$C:$C=D3841)*('warehouse config'!$G:$G&lt;=B3841)*(('warehouse config'!$H:$H&gt;=B3841)+ISBLANK('warehouse config'!$H:$H))),1)),0))"),0.0)</f>
        <v>0</v>
      </c>
      <c r="H3841" s="3">
        <f>IFERROR(__xludf.DUMMYFUNCTION("IFERROR(INDEX(FILTER('cost master'!$E:$E,('cost master'!$B:$B=C3841)*('cost master'!$D:$D=""Storage cost per pallet / week"")*('cost master'!$G:$G&lt;=B3841)*(('cost master'!$H:$H&gt;=B3841)+ISBLANK('cost master'!$H:$H))),1),0)"),0.0)</f>
        <v>0</v>
      </c>
      <c r="I3841" s="3">
        <f t="shared" si="4"/>
        <v>0</v>
      </c>
      <c r="J3841" s="27">
        <f t="shared" si="5"/>
        <v>693947</v>
      </c>
      <c r="K3841" s="27">
        <f t="shared" si="6"/>
        <v>693977</v>
      </c>
    </row>
    <row r="3842" hidden="1">
      <c r="A3842" s="3" t="str">
        <f t="shared" si="3"/>
        <v/>
      </c>
      <c r="B3842" s="2" t="str">
        <f t="array" ref="B3842">INDEX(helper!$A$3:$A3996,ROUNDUP((ROW()-1)/COUNTA(helper!$D$3:$D3996),0))</f>
        <v/>
      </c>
      <c r="C3842" s="5" t="str">
        <f t="array" ref="C3842">IF(B3842="","",INDEX(helper!$D$3:$D3996,MOD(ROW()-2,COUNTA(helper!$D$3:$D3996))+1))</f>
        <v/>
      </c>
      <c r="D3842" s="3" t="str">
        <f t="array" ref="D3842">IF(B3842="","",INDEX(helper!$E$3:$E3996,MOD(ROW()-2,COUNTA(helper!$D$3:$D3996))+1))</f>
        <v/>
      </c>
      <c r="E3842" s="3" t="str">
        <f t="array" ref="E3842">IF(B3842="","",INDEX(helper!$F$3:$F3996,MOD(ROW()-2,COUNTA(helper!$D$3:$D3996))+1))</f>
        <v/>
      </c>
      <c r="F3842" s="3" t="str">
        <f>IF(B3842="","",SUMIFS('inventory ledger'!$H:$H,'inventory ledger'!$C:$C,C3842,'inventory ledger'!$D:$D,D3842,'inventory ledger'!$E:$E,E3842,'inventory ledger'!$A:$A,"&lt;="&amp;B3842+TIME(23,59,59))-SUMIFS('inventory ledger'!$I:$I,'inventory ledger'!$C:$C,C3842,'inventory ledger'!$D:$D,D3842,'inventory ledger'!$E:$E,E3842,'inventory ledger'!$A:$A,"&lt;="&amp;B3842+TIME(23,59,59)))</f>
        <v/>
      </c>
      <c r="G3842" s="3">
        <f>IFERROR(__xludf.DUMMYFUNCTION("IF(F3842&lt;=0,0,IFERROR(ROUNDUP(F3842/INDEX(FILTER('warehouse config'!$D:$D,('warehouse config'!$B:$B=C3842)*('warehouse config'!$C:$C=D3842)*('warehouse config'!$G:$G&lt;=B3842)*(('warehouse config'!$H:$H&gt;=B3842)+ISBLANK('warehouse config'!$H:$H))),1)),0))"),0.0)</f>
        <v>0</v>
      </c>
      <c r="H3842" s="3">
        <f>IFERROR(__xludf.DUMMYFUNCTION("IFERROR(INDEX(FILTER('cost master'!$E:$E,('cost master'!$B:$B=C3842)*('cost master'!$D:$D=""Storage cost per pallet / week"")*('cost master'!$G:$G&lt;=B3842)*(('cost master'!$H:$H&gt;=B3842)+ISBLANK('cost master'!$H:$H))),1),0)"),0.0)</f>
        <v>0</v>
      </c>
      <c r="I3842" s="3">
        <f t="shared" si="4"/>
        <v>0</v>
      </c>
      <c r="J3842" s="27">
        <f t="shared" si="5"/>
        <v>693947</v>
      </c>
      <c r="K3842" s="27">
        <f t="shared" si="6"/>
        <v>693977</v>
      </c>
    </row>
    <row r="3843" hidden="1">
      <c r="A3843" s="3" t="str">
        <f t="shared" si="3"/>
        <v/>
      </c>
      <c r="B3843" s="2" t="str">
        <f t="array" ref="B3843">INDEX(helper!$A$3:$A3996,ROUNDUP((ROW()-1)/COUNTA(helper!$D$3:$D3996),0))</f>
        <v/>
      </c>
      <c r="C3843" s="5" t="str">
        <f t="array" ref="C3843">IF(B3843="","",INDEX(helper!$D$3:$D3996,MOD(ROW()-2,COUNTA(helper!$D$3:$D3996))+1))</f>
        <v/>
      </c>
      <c r="D3843" s="3" t="str">
        <f t="array" ref="D3843">IF(B3843="","",INDEX(helper!$E$3:$E3996,MOD(ROW()-2,COUNTA(helper!$D$3:$D3996))+1))</f>
        <v/>
      </c>
      <c r="E3843" s="3" t="str">
        <f t="array" ref="E3843">IF(B3843="","",INDEX(helper!$F$3:$F3996,MOD(ROW()-2,COUNTA(helper!$D$3:$D3996))+1))</f>
        <v/>
      </c>
      <c r="F3843" s="3" t="str">
        <f>IF(B3843="","",SUMIFS('inventory ledger'!$H:$H,'inventory ledger'!$C:$C,C3843,'inventory ledger'!$D:$D,D3843,'inventory ledger'!$E:$E,E3843,'inventory ledger'!$A:$A,"&lt;="&amp;B3843+TIME(23,59,59))-SUMIFS('inventory ledger'!$I:$I,'inventory ledger'!$C:$C,C3843,'inventory ledger'!$D:$D,D3843,'inventory ledger'!$E:$E,E3843,'inventory ledger'!$A:$A,"&lt;="&amp;B3843+TIME(23,59,59)))</f>
        <v/>
      </c>
      <c r="G3843" s="3">
        <f>IFERROR(__xludf.DUMMYFUNCTION("IF(F3843&lt;=0,0,IFERROR(ROUNDUP(F3843/INDEX(FILTER('warehouse config'!$D:$D,('warehouse config'!$B:$B=C3843)*('warehouse config'!$C:$C=D3843)*('warehouse config'!$G:$G&lt;=B3843)*(('warehouse config'!$H:$H&gt;=B3843)+ISBLANK('warehouse config'!$H:$H))),1)),0))"),0.0)</f>
        <v>0</v>
      </c>
      <c r="H3843" s="3">
        <f>IFERROR(__xludf.DUMMYFUNCTION("IFERROR(INDEX(FILTER('cost master'!$E:$E,('cost master'!$B:$B=C3843)*('cost master'!$D:$D=""Storage cost per pallet / week"")*('cost master'!$G:$G&lt;=B3843)*(('cost master'!$H:$H&gt;=B3843)+ISBLANK('cost master'!$H:$H))),1),0)"),0.0)</f>
        <v>0</v>
      </c>
      <c r="I3843" s="3">
        <f t="shared" si="4"/>
        <v>0</v>
      </c>
      <c r="J3843" s="27">
        <f t="shared" si="5"/>
        <v>693947</v>
      </c>
      <c r="K3843" s="27">
        <f t="shared" si="6"/>
        <v>693977</v>
      </c>
    </row>
    <row r="3844" hidden="1">
      <c r="A3844" s="3" t="str">
        <f t="shared" si="3"/>
        <v/>
      </c>
      <c r="B3844" s="2" t="str">
        <f t="array" ref="B3844">INDEX(helper!$A$3:$A3996,ROUNDUP((ROW()-1)/COUNTA(helper!$D$3:$D3996),0))</f>
        <v/>
      </c>
      <c r="C3844" s="5" t="str">
        <f t="array" ref="C3844">IF(B3844="","",INDEX(helper!$D$3:$D3996,MOD(ROW()-2,COUNTA(helper!$D$3:$D3996))+1))</f>
        <v/>
      </c>
      <c r="D3844" s="3" t="str">
        <f t="array" ref="D3844">IF(B3844="","",INDEX(helper!$E$3:$E3996,MOD(ROW()-2,COUNTA(helper!$D$3:$D3996))+1))</f>
        <v/>
      </c>
      <c r="E3844" s="3" t="str">
        <f t="array" ref="E3844">IF(B3844="","",INDEX(helper!$F$3:$F3996,MOD(ROW()-2,COUNTA(helper!$D$3:$D3996))+1))</f>
        <v/>
      </c>
      <c r="F3844" s="3" t="str">
        <f>IF(B3844="","",SUMIFS('inventory ledger'!$H:$H,'inventory ledger'!$C:$C,C3844,'inventory ledger'!$D:$D,D3844,'inventory ledger'!$E:$E,E3844,'inventory ledger'!$A:$A,"&lt;="&amp;B3844+TIME(23,59,59))-SUMIFS('inventory ledger'!$I:$I,'inventory ledger'!$C:$C,C3844,'inventory ledger'!$D:$D,D3844,'inventory ledger'!$E:$E,E3844,'inventory ledger'!$A:$A,"&lt;="&amp;B3844+TIME(23,59,59)))</f>
        <v/>
      </c>
      <c r="G3844" s="3">
        <f>IFERROR(__xludf.DUMMYFUNCTION("IF(F3844&lt;=0,0,IFERROR(ROUNDUP(F3844/INDEX(FILTER('warehouse config'!$D:$D,('warehouse config'!$B:$B=C3844)*('warehouse config'!$C:$C=D3844)*('warehouse config'!$G:$G&lt;=B3844)*(('warehouse config'!$H:$H&gt;=B3844)+ISBLANK('warehouse config'!$H:$H))),1)),0))"),0.0)</f>
        <v>0</v>
      </c>
      <c r="H3844" s="3">
        <f>IFERROR(__xludf.DUMMYFUNCTION("IFERROR(INDEX(FILTER('cost master'!$E:$E,('cost master'!$B:$B=C3844)*('cost master'!$D:$D=""Storage cost per pallet / week"")*('cost master'!$G:$G&lt;=B3844)*(('cost master'!$H:$H&gt;=B3844)+ISBLANK('cost master'!$H:$H))),1),0)"),0.0)</f>
        <v>0</v>
      </c>
      <c r="I3844" s="3">
        <f t="shared" si="4"/>
        <v>0</v>
      </c>
      <c r="J3844" s="27">
        <f t="shared" si="5"/>
        <v>693947</v>
      </c>
      <c r="K3844" s="27">
        <f t="shared" si="6"/>
        <v>693977</v>
      </c>
    </row>
    <row r="3845" hidden="1">
      <c r="A3845" s="3" t="str">
        <f t="shared" si="3"/>
        <v/>
      </c>
      <c r="B3845" s="2" t="str">
        <f t="array" ref="B3845">INDEX(helper!$A$3:$A3996,ROUNDUP((ROW()-1)/COUNTA(helper!$D$3:$D3996),0))</f>
        <v/>
      </c>
      <c r="C3845" s="5" t="str">
        <f t="array" ref="C3845">IF(B3845="","",INDEX(helper!$D$3:$D3996,MOD(ROW()-2,COUNTA(helper!$D$3:$D3996))+1))</f>
        <v/>
      </c>
      <c r="D3845" s="3" t="str">
        <f t="array" ref="D3845">IF(B3845="","",INDEX(helper!$E$3:$E3996,MOD(ROW()-2,COUNTA(helper!$D$3:$D3996))+1))</f>
        <v/>
      </c>
      <c r="E3845" s="3" t="str">
        <f t="array" ref="E3845">IF(B3845="","",INDEX(helper!$F$3:$F3996,MOD(ROW()-2,COUNTA(helper!$D$3:$D3996))+1))</f>
        <v/>
      </c>
      <c r="F3845" s="3" t="str">
        <f>IF(B3845="","",SUMIFS('inventory ledger'!$H:$H,'inventory ledger'!$C:$C,C3845,'inventory ledger'!$D:$D,D3845,'inventory ledger'!$E:$E,E3845,'inventory ledger'!$A:$A,"&lt;="&amp;B3845+TIME(23,59,59))-SUMIFS('inventory ledger'!$I:$I,'inventory ledger'!$C:$C,C3845,'inventory ledger'!$D:$D,D3845,'inventory ledger'!$E:$E,E3845,'inventory ledger'!$A:$A,"&lt;="&amp;B3845+TIME(23,59,59)))</f>
        <v/>
      </c>
      <c r="G3845" s="3">
        <f>IFERROR(__xludf.DUMMYFUNCTION("IF(F3845&lt;=0,0,IFERROR(ROUNDUP(F3845/INDEX(FILTER('warehouse config'!$D:$D,('warehouse config'!$B:$B=C3845)*('warehouse config'!$C:$C=D3845)*('warehouse config'!$G:$G&lt;=B3845)*(('warehouse config'!$H:$H&gt;=B3845)+ISBLANK('warehouse config'!$H:$H))),1)),0))"),0.0)</f>
        <v>0</v>
      </c>
      <c r="H3845" s="3">
        <f>IFERROR(__xludf.DUMMYFUNCTION("IFERROR(INDEX(FILTER('cost master'!$E:$E,('cost master'!$B:$B=C3845)*('cost master'!$D:$D=""Storage cost per pallet / week"")*('cost master'!$G:$G&lt;=B3845)*(('cost master'!$H:$H&gt;=B3845)+ISBLANK('cost master'!$H:$H))),1),0)"),0.0)</f>
        <v>0</v>
      </c>
      <c r="I3845" s="3">
        <f t="shared" si="4"/>
        <v>0</v>
      </c>
      <c r="J3845" s="27">
        <f t="shared" si="5"/>
        <v>693947</v>
      </c>
      <c r="K3845" s="27">
        <f t="shared" si="6"/>
        <v>693977</v>
      </c>
    </row>
    <row r="3846" hidden="1">
      <c r="A3846" s="3" t="str">
        <f t="shared" si="3"/>
        <v/>
      </c>
      <c r="B3846" s="2" t="str">
        <f t="array" ref="B3846">INDEX(helper!$A$3:$A3996,ROUNDUP((ROW()-1)/COUNTA(helper!$D$3:$D3996),0))</f>
        <v/>
      </c>
      <c r="C3846" s="5" t="str">
        <f t="array" ref="C3846">IF(B3846="","",INDEX(helper!$D$3:$D3996,MOD(ROW()-2,COUNTA(helper!$D$3:$D3996))+1))</f>
        <v/>
      </c>
      <c r="D3846" s="3" t="str">
        <f t="array" ref="D3846">IF(B3846="","",INDEX(helper!$E$3:$E3996,MOD(ROW()-2,COUNTA(helper!$D$3:$D3996))+1))</f>
        <v/>
      </c>
      <c r="E3846" s="3" t="str">
        <f t="array" ref="E3846">IF(B3846="","",INDEX(helper!$F$3:$F3996,MOD(ROW()-2,COUNTA(helper!$D$3:$D3996))+1))</f>
        <v/>
      </c>
      <c r="F3846" s="3" t="str">
        <f>IF(B3846="","",SUMIFS('inventory ledger'!$H:$H,'inventory ledger'!$C:$C,C3846,'inventory ledger'!$D:$D,D3846,'inventory ledger'!$E:$E,E3846,'inventory ledger'!$A:$A,"&lt;="&amp;B3846+TIME(23,59,59))-SUMIFS('inventory ledger'!$I:$I,'inventory ledger'!$C:$C,C3846,'inventory ledger'!$D:$D,D3846,'inventory ledger'!$E:$E,E3846,'inventory ledger'!$A:$A,"&lt;="&amp;B3846+TIME(23,59,59)))</f>
        <v/>
      </c>
      <c r="G3846" s="3">
        <f>IFERROR(__xludf.DUMMYFUNCTION("IF(F3846&lt;=0,0,IFERROR(ROUNDUP(F3846/INDEX(FILTER('warehouse config'!$D:$D,('warehouse config'!$B:$B=C3846)*('warehouse config'!$C:$C=D3846)*('warehouse config'!$G:$G&lt;=B3846)*(('warehouse config'!$H:$H&gt;=B3846)+ISBLANK('warehouse config'!$H:$H))),1)),0))"),0.0)</f>
        <v>0</v>
      </c>
      <c r="H3846" s="3">
        <f>IFERROR(__xludf.DUMMYFUNCTION("IFERROR(INDEX(FILTER('cost master'!$E:$E,('cost master'!$B:$B=C3846)*('cost master'!$D:$D=""Storage cost per pallet / week"")*('cost master'!$G:$G&lt;=B3846)*(('cost master'!$H:$H&gt;=B3846)+ISBLANK('cost master'!$H:$H))),1),0)"),0.0)</f>
        <v>0</v>
      </c>
      <c r="I3846" s="3">
        <f t="shared" si="4"/>
        <v>0</v>
      </c>
      <c r="J3846" s="27">
        <f t="shared" si="5"/>
        <v>693947</v>
      </c>
      <c r="K3846" s="27">
        <f t="shared" si="6"/>
        <v>693977</v>
      </c>
    </row>
    <row r="3847" hidden="1">
      <c r="A3847" s="3" t="str">
        <f t="shared" si="3"/>
        <v/>
      </c>
      <c r="B3847" s="2" t="str">
        <f t="array" ref="B3847">INDEX(helper!$A$3:$A3996,ROUNDUP((ROW()-1)/COUNTA(helper!$D$3:$D3996),0))</f>
        <v/>
      </c>
      <c r="C3847" s="5" t="str">
        <f t="array" ref="C3847">IF(B3847="","",INDEX(helper!$D$3:$D3996,MOD(ROW()-2,COUNTA(helper!$D$3:$D3996))+1))</f>
        <v/>
      </c>
      <c r="D3847" s="3" t="str">
        <f t="array" ref="D3847">IF(B3847="","",INDEX(helper!$E$3:$E3996,MOD(ROW()-2,COUNTA(helper!$D$3:$D3996))+1))</f>
        <v/>
      </c>
      <c r="E3847" s="3" t="str">
        <f t="array" ref="E3847">IF(B3847="","",INDEX(helper!$F$3:$F3996,MOD(ROW()-2,COUNTA(helper!$D$3:$D3996))+1))</f>
        <v/>
      </c>
      <c r="F3847" s="3" t="str">
        <f>IF(B3847="","",SUMIFS('inventory ledger'!$H:$H,'inventory ledger'!$C:$C,C3847,'inventory ledger'!$D:$D,D3847,'inventory ledger'!$E:$E,E3847,'inventory ledger'!$A:$A,"&lt;="&amp;B3847+TIME(23,59,59))-SUMIFS('inventory ledger'!$I:$I,'inventory ledger'!$C:$C,C3847,'inventory ledger'!$D:$D,D3847,'inventory ledger'!$E:$E,E3847,'inventory ledger'!$A:$A,"&lt;="&amp;B3847+TIME(23,59,59)))</f>
        <v/>
      </c>
      <c r="G3847" s="3">
        <f>IFERROR(__xludf.DUMMYFUNCTION("IF(F3847&lt;=0,0,IFERROR(ROUNDUP(F3847/INDEX(FILTER('warehouse config'!$D:$D,('warehouse config'!$B:$B=C3847)*('warehouse config'!$C:$C=D3847)*('warehouse config'!$G:$G&lt;=B3847)*(('warehouse config'!$H:$H&gt;=B3847)+ISBLANK('warehouse config'!$H:$H))),1)),0))"),0.0)</f>
        <v>0</v>
      </c>
      <c r="H3847" s="3">
        <f>IFERROR(__xludf.DUMMYFUNCTION("IFERROR(INDEX(FILTER('cost master'!$E:$E,('cost master'!$B:$B=C3847)*('cost master'!$D:$D=""Storage cost per pallet / week"")*('cost master'!$G:$G&lt;=B3847)*(('cost master'!$H:$H&gt;=B3847)+ISBLANK('cost master'!$H:$H))),1),0)"),0.0)</f>
        <v>0</v>
      </c>
      <c r="I3847" s="3">
        <f t="shared" si="4"/>
        <v>0</v>
      </c>
      <c r="J3847" s="27">
        <f t="shared" si="5"/>
        <v>693947</v>
      </c>
      <c r="K3847" s="27">
        <f t="shared" si="6"/>
        <v>693977</v>
      </c>
    </row>
    <row r="3848" hidden="1">
      <c r="A3848" s="3" t="str">
        <f t="shared" si="3"/>
        <v/>
      </c>
      <c r="B3848" s="2" t="str">
        <f t="array" ref="B3848">INDEX(helper!$A$3:$A3996,ROUNDUP((ROW()-1)/COUNTA(helper!$D$3:$D3996),0))</f>
        <v/>
      </c>
      <c r="C3848" s="5" t="str">
        <f t="array" ref="C3848">IF(B3848="","",INDEX(helper!$D$3:$D3996,MOD(ROW()-2,COUNTA(helper!$D$3:$D3996))+1))</f>
        <v/>
      </c>
      <c r="D3848" s="3" t="str">
        <f t="array" ref="D3848">IF(B3848="","",INDEX(helper!$E$3:$E3996,MOD(ROW()-2,COUNTA(helper!$D$3:$D3996))+1))</f>
        <v/>
      </c>
      <c r="E3848" s="3" t="str">
        <f t="array" ref="E3848">IF(B3848="","",INDEX(helper!$F$3:$F3996,MOD(ROW()-2,COUNTA(helper!$D$3:$D3996))+1))</f>
        <v/>
      </c>
      <c r="F3848" s="3" t="str">
        <f>IF(B3848="","",SUMIFS('inventory ledger'!$H:$H,'inventory ledger'!$C:$C,C3848,'inventory ledger'!$D:$D,D3848,'inventory ledger'!$E:$E,E3848,'inventory ledger'!$A:$A,"&lt;="&amp;B3848+TIME(23,59,59))-SUMIFS('inventory ledger'!$I:$I,'inventory ledger'!$C:$C,C3848,'inventory ledger'!$D:$D,D3848,'inventory ledger'!$E:$E,E3848,'inventory ledger'!$A:$A,"&lt;="&amp;B3848+TIME(23,59,59)))</f>
        <v/>
      </c>
      <c r="G3848" s="3">
        <f>IFERROR(__xludf.DUMMYFUNCTION("IF(F3848&lt;=0,0,IFERROR(ROUNDUP(F3848/INDEX(FILTER('warehouse config'!$D:$D,('warehouse config'!$B:$B=C3848)*('warehouse config'!$C:$C=D3848)*('warehouse config'!$G:$G&lt;=B3848)*(('warehouse config'!$H:$H&gt;=B3848)+ISBLANK('warehouse config'!$H:$H))),1)),0))"),0.0)</f>
        <v>0</v>
      </c>
      <c r="H3848" s="3">
        <f>IFERROR(__xludf.DUMMYFUNCTION("IFERROR(INDEX(FILTER('cost master'!$E:$E,('cost master'!$B:$B=C3848)*('cost master'!$D:$D=""Storage cost per pallet / week"")*('cost master'!$G:$G&lt;=B3848)*(('cost master'!$H:$H&gt;=B3848)+ISBLANK('cost master'!$H:$H))),1),0)"),0.0)</f>
        <v>0</v>
      </c>
      <c r="I3848" s="3">
        <f t="shared" si="4"/>
        <v>0</v>
      </c>
      <c r="J3848" s="27">
        <f t="shared" si="5"/>
        <v>693947</v>
      </c>
      <c r="K3848" s="27">
        <f t="shared" si="6"/>
        <v>693977</v>
      </c>
    </row>
    <row r="3849" hidden="1">
      <c r="A3849" s="3" t="str">
        <f t="shared" si="3"/>
        <v/>
      </c>
      <c r="B3849" s="2" t="str">
        <f t="array" ref="B3849">INDEX(helper!$A$3:$A3996,ROUNDUP((ROW()-1)/COUNTA(helper!$D$3:$D3996),0))</f>
        <v/>
      </c>
      <c r="C3849" s="5" t="str">
        <f t="array" ref="C3849">IF(B3849="","",INDEX(helper!$D$3:$D3996,MOD(ROW()-2,COUNTA(helper!$D$3:$D3996))+1))</f>
        <v/>
      </c>
      <c r="D3849" s="3" t="str">
        <f t="array" ref="D3849">IF(B3849="","",INDEX(helper!$E$3:$E3996,MOD(ROW()-2,COUNTA(helper!$D$3:$D3996))+1))</f>
        <v/>
      </c>
      <c r="E3849" s="3" t="str">
        <f t="array" ref="E3849">IF(B3849="","",INDEX(helper!$F$3:$F3996,MOD(ROW()-2,COUNTA(helper!$D$3:$D3996))+1))</f>
        <v/>
      </c>
      <c r="F3849" s="3" t="str">
        <f>IF(B3849="","",SUMIFS('inventory ledger'!$H:$H,'inventory ledger'!$C:$C,C3849,'inventory ledger'!$D:$D,D3849,'inventory ledger'!$E:$E,E3849,'inventory ledger'!$A:$A,"&lt;="&amp;B3849+TIME(23,59,59))-SUMIFS('inventory ledger'!$I:$I,'inventory ledger'!$C:$C,C3849,'inventory ledger'!$D:$D,D3849,'inventory ledger'!$E:$E,E3849,'inventory ledger'!$A:$A,"&lt;="&amp;B3849+TIME(23,59,59)))</f>
        <v/>
      </c>
      <c r="G3849" s="3">
        <f>IFERROR(__xludf.DUMMYFUNCTION("IF(F3849&lt;=0,0,IFERROR(ROUNDUP(F3849/INDEX(FILTER('warehouse config'!$D:$D,('warehouse config'!$B:$B=C3849)*('warehouse config'!$C:$C=D3849)*('warehouse config'!$G:$G&lt;=B3849)*(('warehouse config'!$H:$H&gt;=B3849)+ISBLANK('warehouse config'!$H:$H))),1)),0))"),0.0)</f>
        <v>0</v>
      </c>
      <c r="H3849" s="3">
        <f>IFERROR(__xludf.DUMMYFUNCTION("IFERROR(INDEX(FILTER('cost master'!$E:$E,('cost master'!$B:$B=C3849)*('cost master'!$D:$D=""Storage cost per pallet / week"")*('cost master'!$G:$G&lt;=B3849)*(('cost master'!$H:$H&gt;=B3849)+ISBLANK('cost master'!$H:$H))),1),0)"),0.0)</f>
        <v>0</v>
      </c>
      <c r="I3849" s="3">
        <f t="shared" si="4"/>
        <v>0</v>
      </c>
      <c r="J3849" s="27">
        <f t="shared" si="5"/>
        <v>693947</v>
      </c>
      <c r="K3849" s="27">
        <f t="shared" si="6"/>
        <v>693977</v>
      </c>
    </row>
    <row r="3850" hidden="1">
      <c r="A3850" s="3" t="str">
        <f t="shared" si="3"/>
        <v/>
      </c>
      <c r="B3850" s="2" t="str">
        <f t="array" ref="B3850">INDEX(helper!$A$3:$A3996,ROUNDUP((ROW()-1)/COUNTA(helper!$D$3:$D3996),0))</f>
        <v/>
      </c>
      <c r="C3850" s="5" t="str">
        <f t="array" ref="C3850">IF(B3850="","",INDEX(helper!$D$3:$D3996,MOD(ROW()-2,COUNTA(helper!$D$3:$D3996))+1))</f>
        <v/>
      </c>
      <c r="D3850" s="3" t="str">
        <f t="array" ref="D3850">IF(B3850="","",INDEX(helper!$E$3:$E3996,MOD(ROW()-2,COUNTA(helper!$D$3:$D3996))+1))</f>
        <v/>
      </c>
      <c r="E3850" s="3" t="str">
        <f t="array" ref="E3850">IF(B3850="","",INDEX(helper!$F$3:$F3996,MOD(ROW()-2,COUNTA(helper!$D$3:$D3996))+1))</f>
        <v/>
      </c>
      <c r="F3850" s="3" t="str">
        <f>IF(B3850="","",SUMIFS('inventory ledger'!$H:$H,'inventory ledger'!$C:$C,C3850,'inventory ledger'!$D:$D,D3850,'inventory ledger'!$E:$E,E3850,'inventory ledger'!$A:$A,"&lt;="&amp;B3850+TIME(23,59,59))-SUMIFS('inventory ledger'!$I:$I,'inventory ledger'!$C:$C,C3850,'inventory ledger'!$D:$D,D3850,'inventory ledger'!$E:$E,E3850,'inventory ledger'!$A:$A,"&lt;="&amp;B3850+TIME(23,59,59)))</f>
        <v/>
      </c>
      <c r="G3850" s="3">
        <f>IFERROR(__xludf.DUMMYFUNCTION("IF(F3850&lt;=0,0,IFERROR(ROUNDUP(F3850/INDEX(FILTER('warehouse config'!$D:$D,('warehouse config'!$B:$B=C3850)*('warehouse config'!$C:$C=D3850)*('warehouse config'!$G:$G&lt;=B3850)*(('warehouse config'!$H:$H&gt;=B3850)+ISBLANK('warehouse config'!$H:$H))),1)),0))"),0.0)</f>
        <v>0</v>
      </c>
      <c r="H3850" s="3">
        <f>IFERROR(__xludf.DUMMYFUNCTION("IFERROR(INDEX(FILTER('cost master'!$E:$E,('cost master'!$B:$B=C3850)*('cost master'!$D:$D=""Storage cost per pallet / week"")*('cost master'!$G:$G&lt;=B3850)*(('cost master'!$H:$H&gt;=B3850)+ISBLANK('cost master'!$H:$H))),1),0)"),0.0)</f>
        <v>0</v>
      </c>
      <c r="I3850" s="3">
        <f t="shared" si="4"/>
        <v>0</v>
      </c>
      <c r="J3850" s="27">
        <f t="shared" si="5"/>
        <v>693947</v>
      </c>
      <c r="K3850" s="27">
        <f t="shared" si="6"/>
        <v>693977</v>
      </c>
    </row>
    <row r="3851" hidden="1">
      <c r="A3851" s="3" t="str">
        <f t="shared" si="3"/>
        <v/>
      </c>
      <c r="B3851" s="2" t="str">
        <f t="array" ref="B3851">INDEX(helper!$A$3:$A3996,ROUNDUP((ROW()-1)/COUNTA(helper!$D$3:$D3996),0))</f>
        <v/>
      </c>
      <c r="C3851" s="5" t="str">
        <f t="array" ref="C3851">IF(B3851="","",INDEX(helper!$D$3:$D3996,MOD(ROW()-2,COUNTA(helper!$D$3:$D3996))+1))</f>
        <v/>
      </c>
      <c r="D3851" s="3" t="str">
        <f t="array" ref="D3851">IF(B3851="","",INDEX(helper!$E$3:$E3996,MOD(ROW()-2,COUNTA(helper!$D$3:$D3996))+1))</f>
        <v/>
      </c>
      <c r="E3851" s="3" t="str">
        <f t="array" ref="E3851">IF(B3851="","",INDEX(helper!$F$3:$F3996,MOD(ROW()-2,COUNTA(helper!$D$3:$D3996))+1))</f>
        <v/>
      </c>
      <c r="F3851" s="3" t="str">
        <f>IF(B3851="","",SUMIFS('inventory ledger'!$H:$H,'inventory ledger'!$C:$C,C3851,'inventory ledger'!$D:$D,D3851,'inventory ledger'!$E:$E,E3851,'inventory ledger'!$A:$A,"&lt;="&amp;B3851+TIME(23,59,59))-SUMIFS('inventory ledger'!$I:$I,'inventory ledger'!$C:$C,C3851,'inventory ledger'!$D:$D,D3851,'inventory ledger'!$E:$E,E3851,'inventory ledger'!$A:$A,"&lt;="&amp;B3851+TIME(23,59,59)))</f>
        <v/>
      </c>
      <c r="G3851" s="3">
        <f>IFERROR(__xludf.DUMMYFUNCTION("IF(F3851&lt;=0,0,IFERROR(ROUNDUP(F3851/INDEX(FILTER('warehouse config'!$D:$D,('warehouse config'!$B:$B=C3851)*('warehouse config'!$C:$C=D3851)*('warehouse config'!$G:$G&lt;=B3851)*(('warehouse config'!$H:$H&gt;=B3851)+ISBLANK('warehouse config'!$H:$H))),1)),0))"),0.0)</f>
        <v>0</v>
      </c>
      <c r="H3851" s="3">
        <f>IFERROR(__xludf.DUMMYFUNCTION("IFERROR(INDEX(FILTER('cost master'!$E:$E,('cost master'!$B:$B=C3851)*('cost master'!$D:$D=""Storage cost per pallet / week"")*('cost master'!$G:$G&lt;=B3851)*(('cost master'!$H:$H&gt;=B3851)+ISBLANK('cost master'!$H:$H))),1),0)"),0.0)</f>
        <v>0</v>
      </c>
      <c r="I3851" s="3">
        <f t="shared" si="4"/>
        <v>0</v>
      </c>
      <c r="J3851" s="27">
        <f t="shared" si="5"/>
        <v>693947</v>
      </c>
      <c r="K3851" s="27">
        <f t="shared" si="6"/>
        <v>693977</v>
      </c>
    </row>
    <row r="3852" hidden="1">
      <c r="A3852" s="3" t="str">
        <f t="shared" si="3"/>
        <v/>
      </c>
      <c r="B3852" s="2" t="str">
        <f t="array" ref="B3852">INDEX(helper!$A$3:$A3996,ROUNDUP((ROW()-1)/COUNTA(helper!$D$3:$D3996),0))</f>
        <v/>
      </c>
      <c r="C3852" s="5" t="str">
        <f t="array" ref="C3852">IF(B3852="","",INDEX(helper!$D$3:$D3996,MOD(ROW()-2,COUNTA(helper!$D$3:$D3996))+1))</f>
        <v/>
      </c>
      <c r="D3852" s="3" t="str">
        <f t="array" ref="D3852">IF(B3852="","",INDEX(helper!$E$3:$E3996,MOD(ROW()-2,COUNTA(helper!$D$3:$D3996))+1))</f>
        <v/>
      </c>
      <c r="E3852" s="3" t="str">
        <f t="array" ref="E3852">IF(B3852="","",INDEX(helper!$F$3:$F3996,MOD(ROW()-2,COUNTA(helper!$D$3:$D3996))+1))</f>
        <v/>
      </c>
      <c r="F3852" s="3" t="str">
        <f>IF(B3852="","",SUMIFS('inventory ledger'!$H:$H,'inventory ledger'!$C:$C,C3852,'inventory ledger'!$D:$D,D3852,'inventory ledger'!$E:$E,E3852,'inventory ledger'!$A:$A,"&lt;="&amp;B3852+TIME(23,59,59))-SUMIFS('inventory ledger'!$I:$I,'inventory ledger'!$C:$C,C3852,'inventory ledger'!$D:$D,D3852,'inventory ledger'!$E:$E,E3852,'inventory ledger'!$A:$A,"&lt;="&amp;B3852+TIME(23,59,59)))</f>
        <v/>
      </c>
      <c r="G3852" s="3">
        <f>IFERROR(__xludf.DUMMYFUNCTION("IF(F3852&lt;=0,0,IFERROR(ROUNDUP(F3852/INDEX(FILTER('warehouse config'!$D:$D,('warehouse config'!$B:$B=C3852)*('warehouse config'!$C:$C=D3852)*('warehouse config'!$G:$G&lt;=B3852)*(('warehouse config'!$H:$H&gt;=B3852)+ISBLANK('warehouse config'!$H:$H))),1)),0))"),0.0)</f>
        <v>0</v>
      </c>
      <c r="H3852" s="3">
        <f>IFERROR(__xludf.DUMMYFUNCTION("IFERROR(INDEX(FILTER('cost master'!$E:$E,('cost master'!$B:$B=C3852)*('cost master'!$D:$D=""Storage cost per pallet / week"")*('cost master'!$G:$G&lt;=B3852)*(('cost master'!$H:$H&gt;=B3852)+ISBLANK('cost master'!$H:$H))),1),0)"),0.0)</f>
        <v>0</v>
      </c>
      <c r="I3852" s="3">
        <f t="shared" si="4"/>
        <v>0</v>
      </c>
      <c r="J3852" s="27">
        <f t="shared" si="5"/>
        <v>693947</v>
      </c>
      <c r="K3852" s="27">
        <f t="shared" si="6"/>
        <v>693977</v>
      </c>
    </row>
    <row r="3853" hidden="1">
      <c r="A3853" s="3" t="str">
        <f t="shared" si="3"/>
        <v/>
      </c>
      <c r="B3853" s="2" t="str">
        <f t="array" ref="B3853">INDEX(helper!$A$3:$A3996,ROUNDUP((ROW()-1)/COUNTA(helper!$D$3:$D3996),0))</f>
        <v/>
      </c>
      <c r="C3853" s="5" t="str">
        <f t="array" ref="C3853">IF(B3853="","",INDEX(helper!$D$3:$D3996,MOD(ROW()-2,COUNTA(helper!$D$3:$D3996))+1))</f>
        <v/>
      </c>
      <c r="D3853" s="3" t="str">
        <f t="array" ref="D3853">IF(B3853="","",INDEX(helper!$E$3:$E3996,MOD(ROW()-2,COUNTA(helper!$D$3:$D3996))+1))</f>
        <v/>
      </c>
      <c r="E3853" s="3" t="str">
        <f t="array" ref="E3853">IF(B3853="","",INDEX(helper!$F$3:$F3996,MOD(ROW()-2,COUNTA(helper!$D$3:$D3996))+1))</f>
        <v/>
      </c>
      <c r="F3853" s="3" t="str">
        <f>IF(B3853="","",SUMIFS('inventory ledger'!$H:$H,'inventory ledger'!$C:$C,C3853,'inventory ledger'!$D:$D,D3853,'inventory ledger'!$E:$E,E3853,'inventory ledger'!$A:$A,"&lt;="&amp;B3853+TIME(23,59,59))-SUMIFS('inventory ledger'!$I:$I,'inventory ledger'!$C:$C,C3853,'inventory ledger'!$D:$D,D3853,'inventory ledger'!$E:$E,E3853,'inventory ledger'!$A:$A,"&lt;="&amp;B3853+TIME(23,59,59)))</f>
        <v/>
      </c>
      <c r="G3853" s="3">
        <f>IFERROR(__xludf.DUMMYFUNCTION("IF(F3853&lt;=0,0,IFERROR(ROUNDUP(F3853/INDEX(FILTER('warehouse config'!$D:$D,('warehouse config'!$B:$B=C3853)*('warehouse config'!$C:$C=D3853)*('warehouse config'!$G:$G&lt;=B3853)*(('warehouse config'!$H:$H&gt;=B3853)+ISBLANK('warehouse config'!$H:$H))),1)),0))"),0.0)</f>
        <v>0</v>
      </c>
      <c r="H3853" s="3">
        <f>IFERROR(__xludf.DUMMYFUNCTION("IFERROR(INDEX(FILTER('cost master'!$E:$E,('cost master'!$B:$B=C3853)*('cost master'!$D:$D=""Storage cost per pallet / week"")*('cost master'!$G:$G&lt;=B3853)*(('cost master'!$H:$H&gt;=B3853)+ISBLANK('cost master'!$H:$H))),1),0)"),0.0)</f>
        <v>0</v>
      </c>
      <c r="I3853" s="3">
        <f t="shared" si="4"/>
        <v>0</v>
      </c>
      <c r="J3853" s="27">
        <f t="shared" si="5"/>
        <v>693947</v>
      </c>
      <c r="K3853" s="27">
        <f t="shared" si="6"/>
        <v>693977</v>
      </c>
    </row>
    <row r="3854" hidden="1">
      <c r="A3854" s="3" t="str">
        <f t="shared" si="3"/>
        <v/>
      </c>
      <c r="B3854" s="2" t="str">
        <f t="array" ref="B3854">INDEX(helper!$A$3:$A3996,ROUNDUP((ROW()-1)/COUNTA(helper!$D$3:$D3996),0))</f>
        <v/>
      </c>
      <c r="C3854" s="5" t="str">
        <f t="array" ref="C3854">IF(B3854="","",INDEX(helper!$D$3:$D3996,MOD(ROW()-2,COUNTA(helper!$D$3:$D3996))+1))</f>
        <v/>
      </c>
      <c r="D3854" s="3" t="str">
        <f t="array" ref="D3854">IF(B3854="","",INDEX(helper!$E$3:$E3996,MOD(ROW()-2,COUNTA(helper!$D$3:$D3996))+1))</f>
        <v/>
      </c>
      <c r="E3854" s="3" t="str">
        <f t="array" ref="E3854">IF(B3854="","",INDEX(helper!$F$3:$F3996,MOD(ROW()-2,COUNTA(helper!$D$3:$D3996))+1))</f>
        <v/>
      </c>
      <c r="F3854" s="3" t="str">
        <f>IF(B3854="","",SUMIFS('inventory ledger'!$H:$H,'inventory ledger'!$C:$C,C3854,'inventory ledger'!$D:$D,D3854,'inventory ledger'!$E:$E,E3854,'inventory ledger'!$A:$A,"&lt;="&amp;B3854+TIME(23,59,59))-SUMIFS('inventory ledger'!$I:$I,'inventory ledger'!$C:$C,C3854,'inventory ledger'!$D:$D,D3854,'inventory ledger'!$E:$E,E3854,'inventory ledger'!$A:$A,"&lt;="&amp;B3854+TIME(23,59,59)))</f>
        <v/>
      </c>
      <c r="G3854" s="3">
        <f>IFERROR(__xludf.DUMMYFUNCTION("IF(F3854&lt;=0,0,IFERROR(ROUNDUP(F3854/INDEX(FILTER('warehouse config'!$D:$D,('warehouse config'!$B:$B=C3854)*('warehouse config'!$C:$C=D3854)*('warehouse config'!$G:$G&lt;=B3854)*(('warehouse config'!$H:$H&gt;=B3854)+ISBLANK('warehouse config'!$H:$H))),1)),0))"),0.0)</f>
        <v>0</v>
      </c>
      <c r="H3854" s="3">
        <f>IFERROR(__xludf.DUMMYFUNCTION("IFERROR(INDEX(FILTER('cost master'!$E:$E,('cost master'!$B:$B=C3854)*('cost master'!$D:$D=""Storage cost per pallet / week"")*('cost master'!$G:$G&lt;=B3854)*(('cost master'!$H:$H&gt;=B3854)+ISBLANK('cost master'!$H:$H))),1),0)"),0.0)</f>
        <v>0</v>
      </c>
      <c r="I3854" s="3">
        <f t="shared" si="4"/>
        <v>0</v>
      </c>
      <c r="J3854" s="27">
        <f t="shared" si="5"/>
        <v>693947</v>
      </c>
      <c r="K3854" s="27">
        <f t="shared" si="6"/>
        <v>693977</v>
      </c>
    </row>
    <row r="3855" hidden="1">
      <c r="A3855" s="3" t="str">
        <f t="shared" si="3"/>
        <v/>
      </c>
      <c r="B3855" s="2" t="str">
        <f t="array" ref="B3855">INDEX(helper!$A$3:$A3996,ROUNDUP((ROW()-1)/COUNTA(helper!$D$3:$D3996),0))</f>
        <v/>
      </c>
      <c r="C3855" s="5" t="str">
        <f t="array" ref="C3855">IF(B3855="","",INDEX(helper!$D$3:$D3996,MOD(ROW()-2,COUNTA(helper!$D$3:$D3996))+1))</f>
        <v/>
      </c>
      <c r="D3855" s="3" t="str">
        <f t="array" ref="D3855">IF(B3855="","",INDEX(helper!$E$3:$E3996,MOD(ROW()-2,COUNTA(helper!$D$3:$D3996))+1))</f>
        <v/>
      </c>
      <c r="E3855" s="3" t="str">
        <f t="array" ref="E3855">IF(B3855="","",INDEX(helper!$F$3:$F3996,MOD(ROW()-2,COUNTA(helper!$D$3:$D3996))+1))</f>
        <v/>
      </c>
      <c r="F3855" s="3" t="str">
        <f>IF(B3855="","",SUMIFS('inventory ledger'!$H:$H,'inventory ledger'!$C:$C,C3855,'inventory ledger'!$D:$D,D3855,'inventory ledger'!$E:$E,E3855,'inventory ledger'!$A:$A,"&lt;="&amp;B3855+TIME(23,59,59))-SUMIFS('inventory ledger'!$I:$I,'inventory ledger'!$C:$C,C3855,'inventory ledger'!$D:$D,D3855,'inventory ledger'!$E:$E,E3855,'inventory ledger'!$A:$A,"&lt;="&amp;B3855+TIME(23,59,59)))</f>
        <v/>
      </c>
      <c r="G3855" s="3">
        <f>IFERROR(__xludf.DUMMYFUNCTION("IF(F3855&lt;=0,0,IFERROR(ROUNDUP(F3855/INDEX(FILTER('warehouse config'!$D:$D,('warehouse config'!$B:$B=C3855)*('warehouse config'!$C:$C=D3855)*('warehouse config'!$G:$G&lt;=B3855)*(('warehouse config'!$H:$H&gt;=B3855)+ISBLANK('warehouse config'!$H:$H))),1)),0))"),0.0)</f>
        <v>0</v>
      </c>
      <c r="H3855" s="3">
        <f>IFERROR(__xludf.DUMMYFUNCTION("IFERROR(INDEX(FILTER('cost master'!$E:$E,('cost master'!$B:$B=C3855)*('cost master'!$D:$D=""Storage cost per pallet / week"")*('cost master'!$G:$G&lt;=B3855)*(('cost master'!$H:$H&gt;=B3855)+ISBLANK('cost master'!$H:$H))),1),0)"),0.0)</f>
        <v>0</v>
      </c>
      <c r="I3855" s="3">
        <f t="shared" si="4"/>
        <v>0</v>
      </c>
      <c r="J3855" s="27">
        <f t="shared" si="5"/>
        <v>693947</v>
      </c>
      <c r="K3855" s="27">
        <f t="shared" si="6"/>
        <v>693977</v>
      </c>
    </row>
    <row r="3856" hidden="1">
      <c r="A3856" s="3" t="str">
        <f t="shared" si="3"/>
        <v/>
      </c>
      <c r="B3856" s="2" t="str">
        <f t="array" ref="B3856">INDEX(helper!$A$3:$A3996,ROUNDUP((ROW()-1)/COUNTA(helper!$D$3:$D3996),0))</f>
        <v/>
      </c>
      <c r="C3856" s="5" t="str">
        <f t="array" ref="C3856">IF(B3856="","",INDEX(helper!$D$3:$D3996,MOD(ROW()-2,COUNTA(helper!$D$3:$D3996))+1))</f>
        <v/>
      </c>
      <c r="D3856" s="3" t="str">
        <f t="array" ref="D3856">IF(B3856="","",INDEX(helper!$E$3:$E3996,MOD(ROW()-2,COUNTA(helper!$D$3:$D3996))+1))</f>
        <v/>
      </c>
      <c r="E3856" s="3" t="str">
        <f t="array" ref="E3856">IF(B3856="","",INDEX(helper!$F$3:$F3996,MOD(ROW()-2,COUNTA(helper!$D$3:$D3996))+1))</f>
        <v/>
      </c>
      <c r="F3856" s="3" t="str">
        <f>IF(B3856="","",SUMIFS('inventory ledger'!$H:$H,'inventory ledger'!$C:$C,C3856,'inventory ledger'!$D:$D,D3856,'inventory ledger'!$E:$E,E3856,'inventory ledger'!$A:$A,"&lt;="&amp;B3856+TIME(23,59,59))-SUMIFS('inventory ledger'!$I:$I,'inventory ledger'!$C:$C,C3856,'inventory ledger'!$D:$D,D3856,'inventory ledger'!$E:$E,E3856,'inventory ledger'!$A:$A,"&lt;="&amp;B3856+TIME(23,59,59)))</f>
        <v/>
      </c>
      <c r="G3856" s="3">
        <f>IFERROR(__xludf.DUMMYFUNCTION("IF(F3856&lt;=0,0,IFERROR(ROUNDUP(F3856/INDEX(FILTER('warehouse config'!$D:$D,('warehouse config'!$B:$B=C3856)*('warehouse config'!$C:$C=D3856)*('warehouse config'!$G:$G&lt;=B3856)*(('warehouse config'!$H:$H&gt;=B3856)+ISBLANK('warehouse config'!$H:$H))),1)),0))"),0.0)</f>
        <v>0</v>
      </c>
      <c r="H3856" s="3">
        <f>IFERROR(__xludf.DUMMYFUNCTION("IFERROR(INDEX(FILTER('cost master'!$E:$E,('cost master'!$B:$B=C3856)*('cost master'!$D:$D=""Storage cost per pallet / week"")*('cost master'!$G:$G&lt;=B3856)*(('cost master'!$H:$H&gt;=B3856)+ISBLANK('cost master'!$H:$H))),1),0)"),0.0)</f>
        <v>0</v>
      </c>
      <c r="I3856" s="3">
        <f t="shared" si="4"/>
        <v>0</v>
      </c>
      <c r="J3856" s="27">
        <f t="shared" si="5"/>
        <v>693947</v>
      </c>
      <c r="K3856" s="27">
        <f t="shared" si="6"/>
        <v>693977</v>
      </c>
    </row>
    <row r="3857" hidden="1">
      <c r="A3857" s="3" t="str">
        <f t="shared" si="3"/>
        <v/>
      </c>
      <c r="B3857" s="2" t="str">
        <f t="array" ref="B3857">INDEX(helper!$A$3:$A3996,ROUNDUP((ROW()-1)/COUNTA(helper!$D$3:$D3996),0))</f>
        <v/>
      </c>
      <c r="C3857" s="5" t="str">
        <f t="array" ref="C3857">IF(B3857="","",INDEX(helper!$D$3:$D3996,MOD(ROW()-2,COUNTA(helper!$D$3:$D3996))+1))</f>
        <v/>
      </c>
      <c r="D3857" s="3" t="str">
        <f t="array" ref="D3857">IF(B3857="","",INDEX(helper!$E$3:$E3996,MOD(ROW()-2,COUNTA(helper!$D$3:$D3996))+1))</f>
        <v/>
      </c>
      <c r="E3857" s="3" t="str">
        <f t="array" ref="E3857">IF(B3857="","",INDEX(helper!$F$3:$F3996,MOD(ROW()-2,COUNTA(helper!$D$3:$D3996))+1))</f>
        <v/>
      </c>
      <c r="F3857" s="3" t="str">
        <f>IF(B3857="","",SUMIFS('inventory ledger'!$H:$H,'inventory ledger'!$C:$C,C3857,'inventory ledger'!$D:$D,D3857,'inventory ledger'!$E:$E,E3857,'inventory ledger'!$A:$A,"&lt;="&amp;B3857+TIME(23,59,59))-SUMIFS('inventory ledger'!$I:$I,'inventory ledger'!$C:$C,C3857,'inventory ledger'!$D:$D,D3857,'inventory ledger'!$E:$E,E3857,'inventory ledger'!$A:$A,"&lt;="&amp;B3857+TIME(23,59,59)))</f>
        <v/>
      </c>
      <c r="G3857" s="3">
        <f>IFERROR(__xludf.DUMMYFUNCTION("IF(F3857&lt;=0,0,IFERROR(ROUNDUP(F3857/INDEX(FILTER('warehouse config'!$D:$D,('warehouse config'!$B:$B=C3857)*('warehouse config'!$C:$C=D3857)*('warehouse config'!$G:$G&lt;=B3857)*(('warehouse config'!$H:$H&gt;=B3857)+ISBLANK('warehouse config'!$H:$H))),1)),0))"),0.0)</f>
        <v>0</v>
      </c>
      <c r="H3857" s="3">
        <f>IFERROR(__xludf.DUMMYFUNCTION("IFERROR(INDEX(FILTER('cost master'!$E:$E,('cost master'!$B:$B=C3857)*('cost master'!$D:$D=""Storage cost per pallet / week"")*('cost master'!$G:$G&lt;=B3857)*(('cost master'!$H:$H&gt;=B3857)+ISBLANK('cost master'!$H:$H))),1),0)"),0.0)</f>
        <v>0</v>
      </c>
      <c r="I3857" s="3">
        <f t="shared" si="4"/>
        <v>0</v>
      </c>
      <c r="J3857" s="27">
        <f t="shared" si="5"/>
        <v>693947</v>
      </c>
      <c r="K3857" s="27">
        <f t="shared" si="6"/>
        <v>693977</v>
      </c>
    </row>
    <row r="3858" hidden="1">
      <c r="A3858" s="3" t="str">
        <f t="shared" si="3"/>
        <v/>
      </c>
      <c r="B3858" s="2" t="str">
        <f t="array" ref="B3858">INDEX(helper!$A$3:$A3996,ROUNDUP((ROW()-1)/COUNTA(helper!$D$3:$D3996),0))</f>
        <v/>
      </c>
      <c r="C3858" s="5" t="str">
        <f t="array" ref="C3858">IF(B3858="","",INDEX(helper!$D$3:$D3996,MOD(ROW()-2,COUNTA(helper!$D$3:$D3996))+1))</f>
        <v/>
      </c>
      <c r="D3858" s="3" t="str">
        <f t="array" ref="D3858">IF(B3858="","",INDEX(helper!$E$3:$E3996,MOD(ROW()-2,COUNTA(helper!$D$3:$D3996))+1))</f>
        <v/>
      </c>
      <c r="E3858" s="3" t="str">
        <f t="array" ref="E3858">IF(B3858="","",INDEX(helper!$F$3:$F3996,MOD(ROW()-2,COUNTA(helper!$D$3:$D3996))+1))</f>
        <v/>
      </c>
      <c r="F3858" s="3" t="str">
        <f>IF(B3858="","",SUMIFS('inventory ledger'!$H:$H,'inventory ledger'!$C:$C,C3858,'inventory ledger'!$D:$D,D3858,'inventory ledger'!$E:$E,E3858,'inventory ledger'!$A:$A,"&lt;="&amp;B3858+TIME(23,59,59))-SUMIFS('inventory ledger'!$I:$I,'inventory ledger'!$C:$C,C3858,'inventory ledger'!$D:$D,D3858,'inventory ledger'!$E:$E,E3858,'inventory ledger'!$A:$A,"&lt;="&amp;B3858+TIME(23,59,59)))</f>
        <v/>
      </c>
      <c r="G3858" s="3">
        <f>IFERROR(__xludf.DUMMYFUNCTION("IF(F3858&lt;=0,0,IFERROR(ROUNDUP(F3858/INDEX(FILTER('warehouse config'!$D:$D,('warehouse config'!$B:$B=C3858)*('warehouse config'!$C:$C=D3858)*('warehouse config'!$G:$G&lt;=B3858)*(('warehouse config'!$H:$H&gt;=B3858)+ISBLANK('warehouse config'!$H:$H))),1)),0))"),0.0)</f>
        <v>0</v>
      </c>
      <c r="H3858" s="3">
        <f>IFERROR(__xludf.DUMMYFUNCTION("IFERROR(INDEX(FILTER('cost master'!$E:$E,('cost master'!$B:$B=C3858)*('cost master'!$D:$D=""Storage cost per pallet / week"")*('cost master'!$G:$G&lt;=B3858)*(('cost master'!$H:$H&gt;=B3858)+ISBLANK('cost master'!$H:$H))),1),0)"),0.0)</f>
        <v>0</v>
      </c>
      <c r="I3858" s="3">
        <f t="shared" si="4"/>
        <v>0</v>
      </c>
      <c r="J3858" s="27">
        <f t="shared" si="5"/>
        <v>693947</v>
      </c>
      <c r="K3858" s="27">
        <f t="shared" si="6"/>
        <v>693977</v>
      </c>
    </row>
    <row r="3859" hidden="1">
      <c r="A3859" s="3" t="str">
        <f t="shared" si="3"/>
        <v/>
      </c>
      <c r="B3859" s="2" t="str">
        <f t="array" ref="B3859">INDEX(helper!$A$3:$A3996,ROUNDUP((ROW()-1)/COUNTA(helper!$D$3:$D3996),0))</f>
        <v/>
      </c>
      <c r="C3859" s="5" t="str">
        <f t="array" ref="C3859">IF(B3859="","",INDEX(helper!$D$3:$D3996,MOD(ROW()-2,COUNTA(helper!$D$3:$D3996))+1))</f>
        <v/>
      </c>
      <c r="D3859" s="3" t="str">
        <f t="array" ref="D3859">IF(B3859="","",INDEX(helper!$E$3:$E3996,MOD(ROW()-2,COUNTA(helper!$D$3:$D3996))+1))</f>
        <v/>
      </c>
      <c r="E3859" s="3" t="str">
        <f t="array" ref="E3859">IF(B3859="","",INDEX(helper!$F$3:$F3996,MOD(ROW()-2,COUNTA(helper!$D$3:$D3996))+1))</f>
        <v/>
      </c>
      <c r="F3859" s="3" t="str">
        <f>IF(B3859="","",SUMIFS('inventory ledger'!$H:$H,'inventory ledger'!$C:$C,C3859,'inventory ledger'!$D:$D,D3859,'inventory ledger'!$E:$E,E3859,'inventory ledger'!$A:$A,"&lt;="&amp;B3859+TIME(23,59,59))-SUMIFS('inventory ledger'!$I:$I,'inventory ledger'!$C:$C,C3859,'inventory ledger'!$D:$D,D3859,'inventory ledger'!$E:$E,E3859,'inventory ledger'!$A:$A,"&lt;="&amp;B3859+TIME(23,59,59)))</f>
        <v/>
      </c>
      <c r="G3859" s="3">
        <f>IFERROR(__xludf.DUMMYFUNCTION("IF(F3859&lt;=0,0,IFERROR(ROUNDUP(F3859/INDEX(FILTER('warehouse config'!$D:$D,('warehouse config'!$B:$B=C3859)*('warehouse config'!$C:$C=D3859)*('warehouse config'!$G:$G&lt;=B3859)*(('warehouse config'!$H:$H&gt;=B3859)+ISBLANK('warehouse config'!$H:$H))),1)),0))"),0.0)</f>
        <v>0</v>
      </c>
      <c r="H3859" s="3">
        <f>IFERROR(__xludf.DUMMYFUNCTION("IFERROR(INDEX(FILTER('cost master'!$E:$E,('cost master'!$B:$B=C3859)*('cost master'!$D:$D=""Storage cost per pallet / week"")*('cost master'!$G:$G&lt;=B3859)*(('cost master'!$H:$H&gt;=B3859)+ISBLANK('cost master'!$H:$H))),1),0)"),0.0)</f>
        <v>0</v>
      </c>
      <c r="I3859" s="3">
        <f t="shared" si="4"/>
        <v>0</v>
      </c>
      <c r="J3859" s="27">
        <f t="shared" si="5"/>
        <v>693947</v>
      </c>
      <c r="K3859" s="27">
        <f t="shared" si="6"/>
        <v>693977</v>
      </c>
    </row>
    <row r="3860" hidden="1">
      <c r="A3860" s="3" t="str">
        <f t="shared" si="3"/>
        <v/>
      </c>
      <c r="B3860" s="2" t="str">
        <f t="array" ref="B3860">INDEX(helper!$A$3:$A3996,ROUNDUP((ROW()-1)/COUNTA(helper!$D$3:$D3996),0))</f>
        <v/>
      </c>
      <c r="C3860" s="5" t="str">
        <f t="array" ref="C3860">IF(B3860="","",INDEX(helper!$D$3:$D3996,MOD(ROW()-2,COUNTA(helper!$D$3:$D3996))+1))</f>
        <v/>
      </c>
      <c r="D3860" s="3" t="str">
        <f t="array" ref="D3860">IF(B3860="","",INDEX(helper!$E$3:$E3996,MOD(ROW()-2,COUNTA(helper!$D$3:$D3996))+1))</f>
        <v/>
      </c>
      <c r="E3860" s="3" t="str">
        <f t="array" ref="E3860">IF(B3860="","",INDEX(helper!$F$3:$F3996,MOD(ROW()-2,COUNTA(helper!$D$3:$D3996))+1))</f>
        <v/>
      </c>
      <c r="F3860" s="3" t="str">
        <f>IF(B3860="","",SUMIFS('inventory ledger'!$H:$H,'inventory ledger'!$C:$C,C3860,'inventory ledger'!$D:$D,D3860,'inventory ledger'!$E:$E,E3860,'inventory ledger'!$A:$A,"&lt;="&amp;B3860+TIME(23,59,59))-SUMIFS('inventory ledger'!$I:$I,'inventory ledger'!$C:$C,C3860,'inventory ledger'!$D:$D,D3860,'inventory ledger'!$E:$E,E3860,'inventory ledger'!$A:$A,"&lt;="&amp;B3860+TIME(23,59,59)))</f>
        <v/>
      </c>
      <c r="G3860" s="3">
        <f>IFERROR(__xludf.DUMMYFUNCTION("IF(F3860&lt;=0,0,IFERROR(ROUNDUP(F3860/INDEX(FILTER('warehouse config'!$D:$D,('warehouse config'!$B:$B=C3860)*('warehouse config'!$C:$C=D3860)*('warehouse config'!$G:$G&lt;=B3860)*(('warehouse config'!$H:$H&gt;=B3860)+ISBLANK('warehouse config'!$H:$H))),1)),0))"),0.0)</f>
        <v>0</v>
      </c>
      <c r="H3860" s="3">
        <f>IFERROR(__xludf.DUMMYFUNCTION("IFERROR(INDEX(FILTER('cost master'!$E:$E,('cost master'!$B:$B=C3860)*('cost master'!$D:$D=""Storage cost per pallet / week"")*('cost master'!$G:$G&lt;=B3860)*(('cost master'!$H:$H&gt;=B3860)+ISBLANK('cost master'!$H:$H))),1),0)"),0.0)</f>
        <v>0</v>
      </c>
      <c r="I3860" s="3">
        <f t="shared" si="4"/>
        <v>0</v>
      </c>
      <c r="J3860" s="27">
        <f t="shared" si="5"/>
        <v>693947</v>
      </c>
      <c r="K3860" s="27">
        <f t="shared" si="6"/>
        <v>693977</v>
      </c>
    </row>
    <row r="3861" hidden="1">
      <c r="A3861" s="3" t="str">
        <f t="shared" si="3"/>
        <v/>
      </c>
      <c r="B3861" s="2" t="str">
        <f t="array" ref="B3861">INDEX(helper!$A$3:$A3996,ROUNDUP((ROW()-1)/COUNTA(helper!$D$3:$D3996),0))</f>
        <v/>
      </c>
      <c r="C3861" s="5" t="str">
        <f t="array" ref="C3861">IF(B3861="","",INDEX(helper!$D$3:$D3996,MOD(ROW()-2,COUNTA(helper!$D$3:$D3996))+1))</f>
        <v/>
      </c>
      <c r="D3861" s="3" t="str">
        <f t="array" ref="D3861">IF(B3861="","",INDEX(helper!$E$3:$E3996,MOD(ROW()-2,COUNTA(helper!$D$3:$D3996))+1))</f>
        <v/>
      </c>
      <c r="E3861" s="3" t="str">
        <f t="array" ref="E3861">IF(B3861="","",INDEX(helper!$F$3:$F3996,MOD(ROW()-2,COUNTA(helper!$D$3:$D3996))+1))</f>
        <v/>
      </c>
      <c r="F3861" s="3" t="str">
        <f>IF(B3861="","",SUMIFS('inventory ledger'!$H:$H,'inventory ledger'!$C:$C,C3861,'inventory ledger'!$D:$D,D3861,'inventory ledger'!$E:$E,E3861,'inventory ledger'!$A:$A,"&lt;="&amp;B3861+TIME(23,59,59))-SUMIFS('inventory ledger'!$I:$I,'inventory ledger'!$C:$C,C3861,'inventory ledger'!$D:$D,D3861,'inventory ledger'!$E:$E,E3861,'inventory ledger'!$A:$A,"&lt;="&amp;B3861+TIME(23,59,59)))</f>
        <v/>
      </c>
      <c r="G3861" s="3">
        <f>IFERROR(__xludf.DUMMYFUNCTION("IF(F3861&lt;=0,0,IFERROR(ROUNDUP(F3861/INDEX(FILTER('warehouse config'!$D:$D,('warehouse config'!$B:$B=C3861)*('warehouse config'!$C:$C=D3861)*('warehouse config'!$G:$G&lt;=B3861)*(('warehouse config'!$H:$H&gt;=B3861)+ISBLANK('warehouse config'!$H:$H))),1)),0))"),0.0)</f>
        <v>0</v>
      </c>
      <c r="H3861" s="3">
        <f>IFERROR(__xludf.DUMMYFUNCTION("IFERROR(INDEX(FILTER('cost master'!$E:$E,('cost master'!$B:$B=C3861)*('cost master'!$D:$D=""Storage cost per pallet / week"")*('cost master'!$G:$G&lt;=B3861)*(('cost master'!$H:$H&gt;=B3861)+ISBLANK('cost master'!$H:$H))),1),0)"),0.0)</f>
        <v>0</v>
      </c>
      <c r="I3861" s="3">
        <f t="shared" si="4"/>
        <v>0</v>
      </c>
      <c r="J3861" s="27">
        <f t="shared" si="5"/>
        <v>693947</v>
      </c>
      <c r="K3861" s="27">
        <f t="shared" si="6"/>
        <v>693977</v>
      </c>
    </row>
    <row r="3862" hidden="1">
      <c r="A3862" s="3" t="str">
        <f t="shared" si="3"/>
        <v/>
      </c>
      <c r="B3862" s="2" t="str">
        <f t="array" ref="B3862">INDEX(helper!$A$3:$A3996,ROUNDUP((ROW()-1)/COUNTA(helper!$D$3:$D3996),0))</f>
        <v/>
      </c>
      <c r="C3862" s="5" t="str">
        <f t="array" ref="C3862">IF(B3862="","",INDEX(helper!$D$3:$D3996,MOD(ROW()-2,COUNTA(helper!$D$3:$D3996))+1))</f>
        <v/>
      </c>
      <c r="D3862" s="3" t="str">
        <f t="array" ref="D3862">IF(B3862="","",INDEX(helper!$E$3:$E3996,MOD(ROW()-2,COUNTA(helper!$D$3:$D3996))+1))</f>
        <v/>
      </c>
      <c r="E3862" s="3" t="str">
        <f t="array" ref="E3862">IF(B3862="","",INDEX(helper!$F$3:$F3996,MOD(ROW()-2,COUNTA(helper!$D$3:$D3996))+1))</f>
        <v/>
      </c>
      <c r="F3862" s="3" t="str">
        <f>IF(B3862="","",SUMIFS('inventory ledger'!$H:$H,'inventory ledger'!$C:$C,C3862,'inventory ledger'!$D:$D,D3862,'inventory ledger'!$E:$E,E3862,'inventory ledger'!$A:$A,"&lt;="&amp;B3862+TIME(23,59,59))-SUMIFS('inventory ledger'!$I:$I,'inventory ledger'!$C:$C,C3862,'inventory ledger'!$D:$D,D3862,'inventory ledger'!$E:$E,E3862,'inventory ledger'!$A:$A,"&lt;="&amp;B3862+TIME(23,59,59)))</f>
        <v/>
      </c>
      <c r="G3862" s="3">
        <f>IFERROR(__xludf.DUMMYFUNCTION("IF(F3862&lt;=0,0,IFERROR(ROUNDUP(F3862/INDEX(FILTER('warehouse config'!$D:$D,('warehouse config'!$B:$B=C3862)*('warehouse config'!$C:$C=D3862)*('warehouse config'!$G:$G&lt;=B3862)*(('warehouse config'!$H:$H&gt;=B3862)+ISBLANK('warehouse config'!$H:$H))),1)),0))"),0.0)</f>
        <v>0</v>
      </c>
      <c r="H3862" s="3">
        <f>IFERROR(__xludf.DUMMYFUNCTION("IFERROR(INDEX(FILTER('cost master'!$E:$E,('cost master'!$B:$B=C3862)*('cost master'!$D:$D=""Storage cost per pallet / week"")*('cost master'!$G:$G&lt;=B3862)*(('cost master'!$H:$H&gt;=B3862)+ISBLANK('cost master'!$H:$H))),1),0)"),0.0)</f>
        <v>0</v>
      </c>
      <c r="I3862" s="3">
        <f t="shared" si="4"/>
        <v>0</v>
      </c>
      <c r="J3862" s="27">
        <f t="shared" si="5"/>
        <v>693947</v>
      </c>
      <c r="K3862" s="27">
        <f t="shared" si="6"/>
        <v>693977</v>
      </c>
    </row>
    <row r="3863" hidden="1">
      <c r="A3863" s="3" t="str">
        <f t="shared" si="3"/>
        <v/>
      </c>
      <c r="B3863" s="2" t="str">
        <f t="array" ref="B3863">INDEX(helper!$A$3:$A3996,ROUNDUP((ROW()-1)/COUNTA(helper!$D$3:$D3996),0))</f>
        <v/>
      </c>
      <c r="C3863" s="5" t="str">
        <f t="array" ref="C3863">IF(B3863="","",INDEX(helper!$D$3:$D3996,MOD(ROW()-2,COUNTA(helper!$D$3:$D3996))+1))</f>
        <v/>
      </c>
      <c r="D3863" s="3" t="str">
        <f t="array" ref="D3863">IF(B3863="","",INDEX(helper!$E$3:$E3996,MOD(ROW()-2,COUNTA(helper!$D$3:$D3996))+1))</f>
        <v/>
      </c>
      <c r="E3863" s="3" t="str">
        <f t="array" ref="E3863">IF(B3863="","",INDEX(helper!$F$3:$F3996,MOD(ROW()-2,COUNTA(helper!$D$3:$D3996))+1))</f>
        <v/>
      </c>
      <c r="F3863" s="3" t="str">
        <f>IF(B3863="","",SUMIFS('inventory ledger'!$H:$H,'inventory ledger'!$C:$C,C3863,'inventory ledger'!$D:$D,D3863,'inventory ledger'!$E:$E,E3863,'inventory ledger'!$A:$A,"&lt;="&amp;B3863+TIME(23,59,59))-SUMIFS('inventory ledger'!$I:$I,'inventory ledger'!$C:$C,C3863,'inventory ledger'!$D:$D,D3863,'inventory ledger'!$E:$E,E3863,'inventory ledger'!$A:$A,"&lt;="&amp;B3863+TIME(23,59,59)))</f>
        <v/>
      </c>
      <c r="G3863" s="3">
        <f>IFERROR(__xludf.DUMMYFUNCTION("IF(F3863&lt;=0,0,IFERROR(ROUNDUP(F3863/INDEX(FILTER('warehouse config'!$D:$D,('warehouse config'!$B:$B=C3863)*('warehouse config'!$C:$C=D3863)*('warehouse config'!$G:$G&lt;=B3863)*(('warehouse config'!$H:$H&gt;=B3863)+ISBLANK('warehouse config'!$H:$H))),1)),0))"),0.0)</f>
        <v>0</v>
      </c>
      <c r="H3863" s="3">
        <f>IFERROR(__xludf.DUMMYFUNCTION("IFERROR(INDEX(FILTER('cost master'!$E:$E,('cost master'!$B:$B=C3863)*('cost master'!$D:$D=""Storage cost per pallet / week"")*('cost master'!$G:$G&lt;=B3863)*(('cost master'!$H:$H&gt;=B3863)+ISBLANK('cost master'!$H:$H))),1),0)"),0.0)</f>
        <v>0</v>
      </c>
      <c r="I3863" s="3">
        <f t="shared" si="4"/>
        <v>0</v>
      </c>
      <c r="J3863" s="27">
        <f t="shared" si="5"/>
        <v>693947</v>
      </c>
      <c r="K3863" s="27">
        <f t="shared" si="6"/>
        <v>693977</v>
      </c>
    </row>
    <row r="3864" hidden="1">
      <c r="A3864" s="3" t="str">
        <f t="shared" si="3"/>
        <v/>
      </c>
      <c r="B3864" s="2" t="str">
        <f t="array" ref="B3864">INDEX(helper!$A$3:$A3996,ROUNDUP((ROW()-1)/COUNTA(helper!$D$3:$D3996),0))</f>
        <v/>
      </c>
      <c r="C3864" s="5" t="str">
        <f t="array" ref="C3864">IF(B3864="","",INDEX(helper!$D$3:$D3996,MOD(ROW()-2,COUNTA(helper!$D$3:$D3996))+1))</f>
        <v/>
      </c>
      <c r="D3864" s="3" t="str">
        <f t="array" ref="D3864">IF(B3864="","",INDEX(helper!$E$3:$E3996,MOD(ROW()-2,COUNTA(helper!$D$3:$D3996))+1))</f>
        <v/>
      </c>
      <c r="E3864" s="3" t="str">
        <f t="array" ref="E3864">IF(B3864="","",INDEX(helper!$F$3:$F3996,MOD(ROW()-2,COUNTA(helper!$D$3:$D3996))+1))</f>
        <v/>
      </c>
      <c r="F3864" s="3" t="str">
        <f>IF(B3864="","",SUMIFS('inventory ledger'!$H:$H,'inventory ledger'!$C:$C,C3864,'inventory ledger'!$D:$D,D3864,'inventory ledger'!$E:$E,E3864,'inventory ledger'!$A:$A,"&lt;="&amp;B3864+TIME(23,59,59))-SUMIFS('inventory ledger'!$I:$I,'inventory ledger'!$C:$C,C3864,'inventory ledger'!$D:$D,D3864,'inventory ledger'!$E:$E,E3864,'inventory ledger'!$A:$A,"&lt;="&amp;B3864+TIME(23,59,59)))</f>
        <v/>
      </c>
      <c r="G3864" s="3">
        <f>IFERROR(__xludf.DUMMYFUNCTION("IF(F3864&lt;=0,0,IFERROR(ROUNDUP(F3864/INDEX(FILTER('warehouse config'!$D:$D,('warehouse config'!$B:$B=C3864)*('warehouse config'!$C:$C=D3864)*('warehouse config'!$G:$G&lt;=B3864)*(('warehouse config'!$H:$H&gt;=B3864)+ISBLANK('warehouse config'!$H:$H))),1)),0))"),0.0)</f>
        <v>0</v>
      </c>
      <c r="H3864" s="3">
        <f>IFERROR(__xludf.DUMMYFUNCTION("IFERROR(INDEX(FILTER('cost master'!$E:$E,('cost master'!$B:$B=C3864)*('cost master'!$D:$D=""Storage cost per pallet / week"")*('cost master'!$G:$G&lt;=B3864)*(('cost master'!$H:$H&gt;=B3864)+ISBLANK('cost master'!$H:$H))),1),0)"),0.0)</f>
        <v>0</v>
      </c>
      <c r="I3864" s="3">
        <f t="shared" si="4"/>
        <v>0</v>
      </c>
      <c r="J3864" s="27">
        <f t="shared" si="5"/>
        <v>693947</v>
      </c>
      <c r="K3864" s="27">
        <f t="shared" si="6"/>
        <v>693977</v>
      </c>
    </row>
    <row r="3865" hidden="1">
      <c r="A3865" s="3" t="str">
        <f t="shared" si="3"/>
        <v/>
      </c>
      <c r="B3865" s="2" t="str">
        <f t="array" ref="B3865">INDEX(helper!$A$3:$A3996,ROUNDUP((ROW()-1)/COUNTA(helper!$D$3:$D3996),0))</f>
        <v/>
      </c>
      <c r="C3865" s="5" t="str">
        <f t="array" ref="C3865">IF(B3865="","",INDEX(helper!$D$3:$D3996,MOD(ROW()-2,COUNTA(helper!$D$3:$D3996))+1))</f>
        <v/>
      </c>
      <c r="D3865" s="3" t="str">
        <f t="array" ref="D3865">IF(B3865="","",INDEX(helper!$E$3:$E3996,MOD(ROW()-2,COUNTA(helper!$D$3:$D3996))+1))</f>
        <v/>
      </c>
      <c r="E3865" s="3" t="str">
        <f t="array" ref="E3865">IF(B3865="","",INDEX(helper!$F$3:$F3996,MOD(ROW()-2,COUNTA(helper!$D$3:$D3996))+1))</f>
        <v/>
      </c>
      <c r="F3865" s="3" t="str">
        <f>IF(B3865="","",SUMIFS('inventory ledger'!$H:$H,'inventory ledger'!$C:$C,C3865,'inventory ledger'!$D:$D,D3865,'inventory ledger'!$E:$E,E3865,'inventory ledger'!$A:$A,"&lt;="&amp;B3865+TIME(23,59,59))-SUMIFS('inventory ledger'!$I:$I,'inventory ledger'!$C:$C,C3865,'inventory ledger'!$D:$D,D3865,'inventory ledger'!$E:$E,E3865,'inventory ledger'!$A:$A,"&lt;="&amp;B3865+TIME(23,59,59)))</f>
        <v/>
      </c>
      <c r="G3865" s="3">
        <f>IFERROR(__xludf.DUMMYFUNCTION("IF(F3865&lt;=0,0,IFERROR(ROUNDUP(F3865/INDEX(FILTER('warehouse config'!$D:$D,('warehouse config'!$B:$B=C3865)*('warehouse config'!$C:$C=D3865)*('warehouse config'!$G:$G&lt;=B3865)*(('warehouse config'!$H:$H&gt;=B3865)+ISBLANK('warehouse config'!$H:$H))),1)),0))"),0.0)</f>
        <v>0</v>
      </c>
      <c r="H3865" s="3">
        <f>IFERROR(__xludf.DUMMYFUNCTION("IFERROR(INDEX(FILTER('cost master'!$E:$E,('cost master'!$B:$B=C3865)*('cost master'!$D:$D=""Storage cost per pallet / week"")*('cost master'!$G:$G&lt;=B3865)*(('cost master'!$H:$H&gt;=B3865)+ISBLANK('cost master'!$H:$H))),1),0)"),0.0)</f>
        <v>0</v>
      </c>
      <c r="I3865" s="3">
        <f t="shared" si="4"/>
        <v>0</v>
      </c>
      <c r="J3865" s="27">
        <f t="shared" si="5"/>
        <v>693947</v>
      </c>
      <c r="K3865" s="27">
        <f t="shared" si="6"/>
        <v>693977</v>
      </c>
    </row>
    <row r="3866" hidden="1">
      <c r="A3866" s="3" t="str">
        <f t="shared" si="3"/>
        <v/>
      </c>
      <c r="B3866" s="2" t="str">
        <f t="array" ref="B3866">INDEX(helper!$A$3:$A3996,ROUNDUP((ROW()-1)/COUNTA(helper!$D$3:$D3996),0))</f>
        <v/>
      </c>
      <c r="C3866" s="5" t="str">
        <f t="array" ref="C3866">IF(B3866="","",INDEX(helper!$D$3:$D3996,MOD(ROW()-2,COUNTA(helper!$D$3:$D3996))+1))</f>
        <v/>
      </c>
      <c r="D3866" s="3" t="str">
        <f t="array" ref="D3866">IF(B3866="","",INDEX(helper!$E$3:$E3996,MOD(ROW()-2,COUNTA(helper!$D$3:$D3996))+1))</f>
        <v/>
      </c>
      <c r="E3866" s="3" t="str">
        <f t="array" ref="E3866">IF(B3866="","",INDEX(helper!$F$3:$F3996,MOD(ROW()-2,COUNTA(helper!$D$3:$D3996))+1))</f>
        <v/>
      </c>
      <c r="F3866" s="3" t="str">
        <f>IF(B3866="","",SUMIFS('inventory ledger'!$H:$H,'inventory ledger'!$C:$C,C3866,'inventory ledger'!$D:$D,D3866,'inventory ledger'!$E:$E,E3866,'inventory ledger'!$A:$A,"&lt;="&amp;B3866+TIME(23,59,59))-SUMIFS('inventory ledger'!$I:$I,'inventory ledger'!$C:$C,C3866,'inventory ledger'!$D:$D,D3866,'inventory ledger'!$E:$E,E3866,'inventory ledger'!$A:$A,"&lt;="&amp;B3866+TIME(23,59,59)))</f>
        <v/>
      </c>
      <c r="G3866" s="3">
        <f>IFERROR(__xludf.DUMMYFUNCTION("IF(F3866&lt;=0,0,IFERROR(ROUNDUP(F3866/INDEX(FILTER('warehouse config'!$D:$D,('warehouse config'!$B:$B=C3866)*('warehouse config'!$C:$C=D3866)*('warehouse config'!$G:$G&lt;=B3866)*(('warehouse config'!$H:$H&gt;=B3866)+ISBLANK('warehouse config'!$H:$H))),1)),0))"),0.0)</f>
        <v>0</v>
      </c>
      <c r="H3866" s="3">
        <f>IFERROR(__xludf.DUMMYFUNCTION("IFERROR(INDEX(FILTER('cost master'!$E:$E,('cost master'!$B:$B=C3866)*('cost master'!$D:$D=""Storage cost per pallet / week"")*('cost master'!$G:$G&lt;=B3866)*(('cost master'!$H:$H&gt;=B3866)+ISBLANK('cost master'!$H:$H))),1),0)"),0.0)</f>
        <v>0</v>
      </c>
      <c r="I3866" s="3">
        <f t="shared" si="4"/>
        <v>0</v>
      </c>
      <c r="J3866" s="27">
        <f t="shared" si="5"/>
        <v>693947</v>
      </c>
      <c r="K3866" s="27">
        <f t="shared" si="6"/>
        <v>693977</v>
      </c>
    </row>
    <row r="3867" hidden="1">
      <c r="A3867" s="3" t="str">
        <f t="shared" si="3"/>
        <v/>
      </c>
      <c r="B3867" s="2" t="str">
        <f t="array" ref="B3867">INDEX(helper!$A$3:$A3996,ROUNDUP((ROW()-1)/COUNTA(helper!$D$3:$D3996),0))</f>
        <v/>
      </c>
      <c r="C3867" s="5" t="str">
        <f t="array" ref="C3867">IF(B3867="","",INDEX(helper!$D$3:$D3996,MOD(ROW()-2,COUNTA(helper!$D$3:$D3996))+1))</f>
        <v/>
      </c>
      <c r="D3867" s="3" t="str">
        <f t="array" ref="D3867">IF(B3867="","",INDEX(helper!$E$3:$E3996,MOD(ROW()-2,COUNTA(helper!$D$3:$D3996))+1))</f>
        <v/>
      </c>
      <c r="E3867" s="3" t="str">
        <f t="array" ref="E3867">IF(B3867="","",INDEX(helper!$F$3:$F3996,MOD(ROW()-2,COUNTA(helper!$D$3:$D3996))+1))</f>
        <v/>
      </c>
      <c r="F3867" s="3" t="str">
        <f>IF(B3867="","",SUMIFS('inventory ledger'!$H:$H,'inventory ledger'!$C:$C,C3867,'inventory ledger'!$D:$D,D3867,'inventory ledger'!$E:$E,E3867,'inventory ledger'!$A:$A,"&lt;="&amp;B3867+TIME(23,59,59))-SUMIFS('inventory ledger'!$I:$I,'inventory ledger'!$C:$C,C3867,'inventory ledger'!$D:$D,D3867,'inventory ledger'!$E:$E,E3867,'inventory ledger'!$A:$A,"&lt;="&amp;B3867+TIME(23,59,59)))</f>
        <v/>
      </c>
      <c r="G3867" s="3">
        <f>IFERROR(__xludf.DUMMYFUNCTION("IF(F3867&lt;=0,0,IFERROR(ROUNDUP(F3867/INDEX(FILTER('warehouse config'!$D:$D,('warehouse config'!$B:$B=C3867)*('warehouse config'!$C:$C=D3867)*('warehouse config'!$G:$G&lt;=B3867)*(('warehouse config'!$H:$H&gt;=B3867)+ISBLANK('warehouse config'!$H:$H))),1)),0))"),0.0)</f>
        <v>0</v>
      </c>
      <c r="H3867" s="3">
        <f>IFERROR(__xludf.DUMMYFUNCTION("IFERROR(INDEX(FILTER('cost master'!$E:$E,('cost master'!$B:$B=C3867)*('cost master'!$D:$D=""Storage cost per pallet / week"")*('cost master'!$G:$G&lt;=B3867)*(('cost master'!$H:$H&gt;=B3867)+ISBLANK('cost master'!$H:$H))),1),0)"),0.0)</f>
        <v>0</v>
      </c>
      <c r="I3867" s="3">
        <f t="shared" si="4"/>
        <v>0</v>
      </c>
      <c r="J3867" s="27">
        <f t="shared" si="5"/>
        <v>693947</v>
      </c>
      <c r="K3867" s="27">
        <f t="shared" si="6"/>
        <v>693977</v>
      </c>
    </row>
    <row r="3868" hidden="1">
      <c r="A3868" s="3" t="str">
        <f t="shared" si="3"/>
        <v/>
      </c>
      <c r="B3868" s="2" t="str">
        <f t="array" ref="B3868">INDEX(helper!$A$3:$A3996,ROUNDUP((ROW()-1)/COUNTA(helper!$D$3:$D3996),0))</f>
        <v/>
      </c>
      <c r="C3868" s="5" t="str">
        <f t="array" ref="C3868">IF(B3868="","",INDEX(helper!$D$3:$D3996,MOD(ROW()-2,COUNTA(helper!$D$3:$D3996))+1))</f>
        <v/>
      </c>
      <c r="D3868" s="3" t="str">
        <f t="array" ref="D3868">IF(B3868="","",INDEX(helper!$E$3:$E3996,MOD(ROW()-2,COUNTA(helper!$D$3:$D3996))+1))</f>
        <v/>
      </c>
      <c r="E3868" s="3" t="str">
        <f t="array" ref="E3868">IF(B3868="","",INDEX(helper!$F$3:$F3996,MOD(ROW()-2,COUNTA(helper!$D$3:$D3996))+1))</f>
        <v/>
      </c>
      <c r="F3868" s="3" t="str">
        <f>IF(B3868="","",SUMIFS('inventory ledger'!$H:$H,'inventory ledger'!$C:$C,C3868,'inventory ledger'!$D:$D,D3868,'inventory ledger'!$E:$E,E3868,'inventory ledger'!$A:$A,"&lt;="&amp;B3868+TIME(23,59,59))-SUMIFS('inventory ledger'!$I:$I,'inventory ledger'!$C:$C,C3868,'inventory ledger'!$D:$D,D3868,'inventory ledger'!$E:$E,E3868,'inventory ledger'!$A:$A,"&lt;="&amp;B3868+TIME(23,59,59)))</f>
        <v/>
      </c>
      <c r="G3868" s="3">
        <f>IFERROR(__xludf.DUMMYFUNCTION("IF(F3868&lt;=0,0,IFERROR(ROUNDUP(F3868/INDEX(FILTER('warehouse config'!$D:$D,('warehouse config'!$B:$B=C3868)*('warehouse config'!$C:$C=D3868)*('warehouse config'!$G:$G&lt;=B3868)*(('warehouse config'!$H:$H&gt;=B3868)+ISBLANK('warehouse config'!$H:$H))),1)),0))"),0.0)</f>
        <v>0</v>
      </c>
      <c r="H3868" s="3">
        <f>IFERROR(__xludf.DUMMYFUNCTION("IFERROR(INDEX(FILTER('cost master'!$E:$E,('cost master'!$B:$B=C3868)*('cost master'!$D:$D=""Storage cost per pallet / week"")*('cost master'!$G:$G&lt;=B3868)*(('cost master'!$H:$H&gt;=B3868)+ISBLANK('cost master'!$H:$H))),1),0)"),0.0)</f>
        <v>0</v>
      </c>
      <c r="I3868" s="3">
        <f t="shared" si="4"/>
        <v>0</v>
      </c>
      <c r="J3868" s="27">
        <f t="shared" si="5"/>
        <v>693947</v>
      </c>
      <c r="K3868" s="27">
        <f t="shared" si="6"/>
        <v>693977</v>
      </c>
    </row>
    <row r="3869" hidden="1">
      <c r="A3869" s="3" t="str">
        <f t="shared" si="3"/>
        <v/>
      </c>
      <c r="B3869" s="2" t="str">
        <f t="array" ref="B3869">INDEX(helper!$A$3:$A3996,ROUNDUP((ROW()-1)/COUNTA(helper!$D$3:$D3996),0))</f>
        <v/>
      </c>
      <c r="C3869" s="5" t="str">
        <f t="array" ref="C3869">IF(B3869="","",INDEX(helper!$D$3:$D3996,MOD(ROW()-2,COUNTA(helper!$D$3:$D3996))+1))</f>
        <v/>
      </c>
      <c r="D3869" s="3" t="str">
        <f t="array" ref="D3869">IF(B3869="","",INDEX(helper!$E$3:$E3996,MOD(ROW()-2,COUNTA(helper!$D$3:$D3996))+1))</f>
        <v/>
      </c>
      <c r="E3869" s="3" t="str">
        <f t="array" ref="E3869">IF(B3869="","",INDEX(helper!$F$3:$F3996,MOD(ROW()-2,COUNTA(helper!$D$3:$D3996))+1))</f>
        <v/>
      </c>
      <c r="F3869" s="3" t="str">
        <f>IF(B3869="","",SUMIFS('inventory ledger'!$H:$H,'inventory ledger'!$C:$C,C3869,'inventory ledger'!$D:$D,D3869,'inventory ledger'!$E:$E,E3869,'inventory ledger'!$A:$A,"&lt;="&amp;B3869+TIME(23,59,59))-SUMIFS('inventory ledger'!$I:$I,'inventory ledger'!$C:$C,C3869,'inventory ledger'!$D:$D,D3869,'inventory ledger'!$E:$E,E3869,'inventory ledger'!$A:$A,"&lt;="&amp;B3869+TIME(23,59,59)))</f>
        <v/>
      </c>
      <c r="G3869" s="3">
        <f>IFERROR(__xludf.DUMMYFUNCTION("IF(F3869&lt;=0,0,IFERROR(ROUNDUP(F3869/INDEX(FILTER('warehouse config'!$D:$D,('warehouse config'!$B:$B=C3869)*('warehouse config'!$C:$C=D3869)*('warehouse config'!$G:$G&lt;=B3869)*(('warehouse config'!$H:$H&gt;=B3869)+ISBLANK('warehouse config'!$H:$H))),1)),0))"),0.0)</f>
        <v>0</v>
      </c>
      <c r="H3869" s="3">
        <f>IFERROR(__xludf.DUMMYFUNCTION("IFERROR(INDEX(FILTER('cost master'!$E:$E,('cost master'!$B:$B=C3869)*('cost master'!$D:$D=""Storage cost per pallet / week"")*('cost master'!$G:$G&lt;=B3869)*(('cost master'!$H:$H&gt;=B3869)+ISBLANK('cost master'!$H:$H))),1),0)"),0.0)</f>
        <v>0</v>
      </c>
      <c r="I3869" s="3">
        <f t="shared" si="4"/>
        <v>0</v>
      </c>
      <c r="J3869" s="27">
        <f t="shared" si="5"/>
        <v>693947</v>
      </c>
      <c r="K3869" s="27">
        <f t="shared" si="6"/>
        <v>693977</v>
      </c>
    </row>
    <row r="3870" hidden="1">
      <c r="A3870" s="3" t="str">
        <f t="shared" si="3"/>
        <v/>
      </c>
      <c r="B3870" s="2" t="str">
        <f t="array" ref="B3870">INDEX(helper!$A$3:$A3996,ROUNDUP((ROW()-1)/COUNTA(helper!$D$3:$D3996),0))</f>
        <v/>
      </c>
      <c r="C3870" s="5" t="str">
        <f t="array" ref="C3870">IF(B3870="","",INDEX(helper!$D$3:$D3996,MOD(ROW()-2,COUNTA(helper!$D$3:$D3996))+1))</f>
        <v/>
      </c>
      <c r="D3870" s="3" t="str">
        <f t="array" ref="D3870">IF(B3870="","",INDEX(helper!$E$3:$E3996,MOD(ROW()-2,COUNTA(helper!$D$3:$D3996))+1))</f>
        <v/>
      </c>
      <c r="E3870" s="3" t="str">
        <f t="array" ref="E3870">IF(B3870="","",INDEX(helper!$F$3:$F3996,MOD(ROW()-2,COUNTA(helper!$D$3:$D3996))+1))</f>
        <v/>
      </c>
      <c r="F3870" s="3" t="str">
        <f>IF(B3870="","",SUMIFS('inventory ledger'!$H:$H,'inventory ledger'!$C:$C,C3870,'inventory ledger'!$D:$D,D3870,'inventory ledger'!$E:$E,E3870,'inventory ledger'!$A:$A,"&lt;="&amp;B3870+TIME(23,59,59))-SUMIFS('inventory ledger'!$I:$I,'inventory ledger'!$C:$C,C3870,'inventory ledger'!$D:$D,D3870,'inventory ledger'!$E:$E,E3870,'inventory ledger'!$A:$A,"&lt;="&amp;B3870+TIME(23,59,59)))</f>
        <v/>
      </c>
      <c r="G3870" s="3">
        <f>IFERROR(__xludf.DUMMYFUNCTION("IF(F3870&lt;=0,0,IFERROR(ROUNDUP(F3870/INDEX(FILTER('warehouse config'!$D:$D,('warehouse config'!$B:$B=C3870)*('warehouse config'!$C:$C=D3870)*('warehouse config'!$G:$G&lt;=B3870)*(('warehouse config'!$H:$H&gt;=B3870)+ISBLANK('warehouse config'!$H:$H))),1)),0))"),0.0)</f>
        <v>0</v>
      </c>
      <c r="H3870" s="3">
        <f>IFERROR(__xludf.DUMMYFUNCTION("IFERROR(INDEX(FILTER('cost master'!$E:$E,('cost master'!$B:$B=C3870)*('cost master'!$D:$D=""Storage cost per pallet / week"")*('cost master'!$G:$G&lt;=B3870)*(('cost master'!$H:$H&gt;=B3870)+ISBLANK('cost master'!$H:$H))),1),0)"),0.0)</f>
        <v>0</v>
      </c>
      <c r="I3870" s="3">
        <f t="shared" si="4"/>
        <v>0</v>
      </c>
      <c r="J3870" s="27">
        <f t="shared" si="5"/>
        <v>693947</v>
      </c>
      <c r="K3870" s="27">
        <f t="shared" si="6"/>
        <v>693977</v>
      </c>
    </row>
    <row r="3871" hidden="1">
      <c r="A3871" s="3" t="str">
        <f t="shared" si="3"/>
        <v/>
      </c>
      <c r="B3871" s="2" t="str">
        <f t="array" ref="B3871">INDEX(helper!$A$3:$A3996,ROUNDUP((ROW()-1)/COUNTA(helper!$D$3:$D3996),0))</f>
        <v/>
      </c>
      <c r="C3871" s="5" t="str">
        <f t="array" ref="C3871">IF(B3871="","",INDEX(helper!$D$3:$D3996,MOD(ROW()-2,COUNTA(helper!$D$3:$D3996))+1))</f>
        <v/>
      </c>
      <c r="D3871" s="3" t="str">
        <f t="array" ref="D3871">IF(B3871="","",INDEX(helper!$E$3:$E3996,MOD(ROW()-2,COUNTA(helper!$D$3:$D3996))+1))</f>
        <v/>
      </c>
      <c r="E3871" s="3" t="str">
        <f t="array" ref="E3871">IF(B3871="","",INDEX(helper!$F$3:$F3996,MOD(ROW()-2,COUNTA(helper!$D$3:$D3996))+1))</f>
        <v/>
      </c>
      <c r="F3871" s="3" t="str">
        <f>IF(B3871="","",SUMIFS('inventory ledger'!$H:$H,'inventory ledger'!$C:$C,C3871,'inventory ledger'!$D:$D,D3871,'inventory ledger'!$E:$E,E3871,'inventory ledger'!$A:$A,"&lt;="&amp;B3871+TIME(23,59,59))-SUMIFS('inventory ledger'!$I:$I,'inventory ledger'!$C:$C,C3871,'inventory ledger'!$D:$D,D3871,'inventory ledger'!$E:$E,E3871,'inventory ledger'!$A:$A,"&lt;="&amp;B3871+TIME(23,59,59)))</f>
        <v/>
      </c>
      <c r="G3871" s="3">
        <f>IFERROR(__xludf.DUMMYFUNCTION("IF(F3871&lt;=0,0,IFERROR(ROUNDUP(F3871/INDEX(FILTER('warehouse config'!$D:$D,('warehouse config'!$B:$B=C3871)*('warehouse config'!$C:$C=D3871)*('warehouse config'!$G:$G&lt;=B3871)*(('warehouse config'!$H:$H&gt;=B3871)+ISBLANK('warehouse config'!$H:$H))),1)),0))"),0.0)</f>
        <v>0</v>
      </c>
      <c r="H3871" s="3">
        <f>IFERROR(__xludf.DUMMYFUNCTION("IFERROR(INDEX(FILTER('cost master'!$E:$E,('cost master'!$B:$B=C3871)*('cost master'!$D:$D=""Storage cost per pallet / week"")*('cost master'!$G:$G&lt;=B3871)*(('cost master'!$H:$H&gt;=B3871)+ISBLANK('cost master'!$H:$H))),1),0)"),0.0)</f>
        <v>0</v>
      </c>
      <c r="I3871" s="3">
        <f t="shared" si="4"/>
        <v>0</v>
      </c>
      <c r="J3871" s="27">
        <f t="shared" si="5"/>
        <v>693947</v>
      </c>
      <c r="K3871" s="27">
        <f t="shared" si="6"/>
        <v>693977</v>
      </c>
    </row>
    <row r="3872" hidden="1">
      <c r="A3872" s="3" t="str">
        <f t="shared" si="3"/>
        <v/>
      </c>
      <c r="B3872" s="2" t="str">
        <f t="array" ref="B3872">INDEX(helper!$A$3:$A3996,ROUNDUP((ROW()-1)/COUNTA(helper!$D$3:$D3996),0))</f>
        <v/>
      </c>
      <c r="C3872" s="5" t="str">
        <f t="array" ref="C3872">IF(B3872="","",INDEX(helper!$D$3:$D3996,MOD(ROW()-2,COUNTA(helper!$D$3:$D3996))+1))</f>
        <v/>
      </c>
      <c r="D3872" s="3" t="str">
        <f t="array" ref="D3872">IF(B3872="","",INDEX(helper!$E$3:$E3996,MOD(ROW()-2,COUNTA(helper!$D$3:$D3996))+1))</f>
        <v/>
      </c>
      <c r="E3872" s="3" t="str">
        <f t="array" ref="E3872">IF(B3872="","",INDEX(helper!$F$3:$F3996,MOD(ROW()-2,COUNTA(helper!$D$3:$D3996))+1))</f>
        <v/>
      </c>
      <c r="F3872" s="3" t="str">
        <f>IF(B3872="","",SUMIFS('inventory ledger'!$H:$H,'inventory ledger'!$C:$C,C3872,'inventory ledger'!$D:$D,D3872,'inventory ledger'!$E:$E,E3872,'inventory ledger'!$A:$A,"&lt;="&amp;B3872+TIME(23,59,59))-SUMIFS('inventory ledger'!$I:$I,'inventory ledger'!$C:$C,C3872,'inventory ledger'!$D:$D,D3872,'inventory ledger'!$E:$E,E3872,'inventory ledger'!$A:$A,"&lt;="&amp;B3872+TIME(23,59,59)))</f>
        <v/>
      </c>
      <c r="G3872" s="3">
        <f>IFERROR(__xludf.DUMMYFUNCTION("IF(F3872&lt;=0,0,IFERROR(ROUNDUP(F3872/INDEX(FILTER('warehouse config'!$D:$D,('warehouse config'!$B:$B=C3872)*('warehouse config'!$C:$C=D3872)*('warehouse config'!$G:$G&lt;=B3872)*(('warehouse config'!$H:$H&gt;=B3872)+ISBLANK('warehouse config'!$H:$H))),1)),0))"),0.0)</f>
        <v>0</v>
      </c>
      <c r="H3872" s="3">
        <f>IFERROR(__xludf.DUMMYFUNCTION("IFERROR(INDEX(FILTER('cost master'!$E:$E,('cost master'!$B:$B=C3872)*('cost master'!$D:$D=""Storage cost per pallet / week"")*('cost master'!$G:$G&lt;=B3872)*(('cost master'!$H:$H&gt;=B3872)+ISBLANK('cost master'!$H:$H))),1),0)"),0.0)</f>
        <v>0</v>
      </c>
      <c r="I3872" s="3">
        <f t="shared" si="4"/>
        <v>0</v>
      </c>
      <c r="J3872" s="27">
        <f t="shared" si="5"/>
        <v>693947</v>
      </c>
      <c r="K3872" s="27">
        <f t="shared" si="6"/>
        <v>693977</v>
      </c>
    </row>
    <row r="3873" hidden="1">
      <c r="A3873" s="3" t="str">
        <f t="shared" si="3"/>
        <v/>
      </c>
      <c r="B3873" s="2" t="str">
        <f t="array" ref="B3873">INDEX(helper!$A$3:$A3996,ROUNDUP((ROW()-1)/COUNTA(helper!$D$3:$D3996),0))</f>
        <v/>
      </c>
      <c r="C3873" s="5" t="str">
        <f t="array" ref="C3873">IF(B3873="","",INDEX(helper!$D$3:$D3996,MOD(ROW()-2,COUNTA(helper!$D$3:$D3996))+1))</f>
        <v/>
      </c>
      <c r="D3873" s="3" t="str">
        <f t="array" ref="D3873">IF(B3873="","",INDEX(helper!$E$3:$E3996,MOD(ROW()-2,COUNTA(helper!$D$3:$D3996))+1))</f>
        <v/>
      </c>
      <c r="E3873" s="3" t="str">
        <f t="array" ref="E3873">IF(B3873="","",INDEX(helper!$F$3:$F3996,MOD(ROW()-2,COUNTA(helper!$D$3:$D3996))+1))</f>
        <v/>
      </c>
      <c r="F3873" s="3" t="str">
        <f>IF(B3873="","",SUMIFS('inventory ledger'!$H:$H,'inventory ledger'!$C:$C,C3873,'inventory ledger'!$D:$D,D3873,'inventory ledger'!$E:$E,E3873,'inventory ledger'!$A:$A,"&lt;="&amp;B3873+TIME(23,59,59))-SUMIFS('inventory ledger'!$I:$I,'inventory ledger'!$C:$C,C3873,'inventory ledger'!$D:$D,D3873,'inventory ledger'!$E:$E,E3873,'inventory ledger'!$A:$A,"&lt;="&amp;B3873+TIME(23,59,59)))</f>
        <v/>
      </c>
      <c r="G3873" s="3">
        <f>IFERROR(__xludf.DUMMYFUNCTION("IF(F3873&lt;=0,0,IFERROR(ROUNDUP(F3873/INDEX(FILTER('warehouse config'!$D:$D,('warehouse config'!$B:$B=C3873)*('warehouse config'!$C:$C=D3873)*('warehouse config'!$G:$G&lt;=B3873)*(('warehouse config'!$H:$H&gt;=B3873)+ISBLANK('warehouse config'!$H:$H))),1)),0))"),0.0)</f>
        <v>0</v>
      </c>
      <c r="H3873" s="3">
        <f>IFERROR(__xludf.DUMMYFUNCTION("IFERROR(INDEX(FILTER('cost master'!$E:$E,('cost master'!$B:$B=C3873)*('cost master'!$D:$D=""Storage cost per pallet / week"")*('cost master'!$G:$G&lt;=B3873)*(('cost master'!$H:$H&gt;=B3873)+ISBLANK('cost master'!$H:$H))),1),0)"),0.0)</f>
        <v>0</v>
      </c>
      <c r="I3873" s="3">
        <f t="shared" si="4"/>
        <v>0</v>
      </c>
      <c r="J3873" s="27">
        <f t="shared" si="5"/>
        <v>693947</v>
      </c>
      <c r="K3873" s="27">
        <f t="shared" si="6"/>
        <v>693977</v>
      </c>
    </row>
    <row r="3874" hidden="1">
      <c r="A3874" s="3" t="str">
        <f t="shared" si="3"/>
        <v/>
      </c>
      <c r="B3874" s="2" t="str">
        <f t="array" ref="B3874">INDEX(helper!$A$3:$A3996,ROUNDUP((ROW()-1)/COUNTA(helper!$D$3:$D3996),0))</f>
        <v/>
      </c>
      <c r="C3874" s="5" t="str">
        <f t="array" ref="C3874">IF(B3874="","",INDEX(helper!$D$3:$D3996,MOD(ROW()-2,COUNTA(helper!$D$3:$D3996))+1))</f>
        <v/>
      </c>
      <c r="D3874" s="3" t="str">
        <f t="array" ref="D3874">IF(B3874="","",INDEX(helper!$E$3:$E3996,MOD(ROW()-2,COUNTA(helper!$D$3:$D3996))+1))</f>
        <v/>
      </c>
      <c r="E3874" s="3" t="str">
        <f t="array" ref="E3874">IF(B3874="","",INDEX(helper!$F$3:$F3996,MOD(ROW()-2,COUNTA(helper!$D$3:$D3996))+1))</f>
        <v/>
      </c>
      <c r="F3874" s="3" t="str">
        <f>IF(B3874="","",SUMIFS('inventory ledger'!$H:$H,'inventory ledger'!$C:$C,C3874,'inventory ledger'!$D:$D,D3874,'inventory ledger'!$E:$E,E3874,'inventory ledger'!$A:$A,"&lt;="&amp;B3874+TIME(23,59,59))-SUMIFS('inventory ledger'!$I:$I,'inventory ledger'!$C:$C,C3874,'inventory ledger'!$D:$D,D3874,'inventory ledger'!$E:$E,E3874,'inventory ledger'!$A:$A,"&lt;="&amp;B3874+TIME(23,59,59)))</f>
        <v/>
      </c>
      <c r="G3874" s="3">
        <f>IFERROR(__xludf.DUMMYFUNCTION("IF(F3874&lt;=0,0,IFERROR(ROUNDUP(F3874/INDEX(FILTER('warehouse config'!$D:$D,('warehouse config'!$B:$B=C3874)*('warehouse config'!$C:$C=D3874)*('warehouse config'!$G:$G&lt;=B3874)*(('warehouse config'!$H:$H&gt;=B3874)+ISBLANK('warehouse config'!$H:$H))),1)),0))"),0.0)</f>
        <v>0</v>
      </c>
      <c r="H3874" s="3">
        <f>IFERROR(__xludf.DUMMYFUNCTION("IFERROR(INDEX(FILTER('cost master'!$E:$E,('cost master'!$B:$B=C3874)*('cost master'!$D:$D=""Storage cost per pallet / week"")*('cost master'!$G:$G&lt;=B3874)*(('cost master'!$H:$H&gt;=B3874)+ISBLANK('cost master'!$H:$H))),1),0)"),0.0)</f>
        <v>0</v>
      </c>
      <c r="I3874" s="3">
        <f t="shared" si="4"/>
        <v>0</v>
      </c>
      <c r="J3874" s="27">
        <f t="shared" si="5"/>
        <v>693947</v>
      </c>
      <c r="K3874" s="27">
        <f t="shared" si="6"/>
        <v>693977</v>
      </c>
    </row>
    <row r="3875" hidden="1">
      <c r="A3875" s="3" t="str">
        <f t="shared" si="3"/>
        <v/>
      </c>
      <c r="B3875" s="2" t="str">
        <f t="array" ref="B3875">INDEX(helper!$A$3:$A3996,ROUNDUP((ROW()-1)/COUNTA(helper!$D$3:$D3996),0))</f>
        <v/>
      </c>
      <c r="C3875" s="5" t="str">
        <f t="array" ref="C3875">IF(B3875="","",INDEX(helper!$D$3:$D3996,MOD(ROW()-2,COUNTA(helper!$D$3:$D3996))+1))</f>
        <v/>
      </c>
      <c r="D3875" s="3" t="str">
        <f t="array" ref="D3875">IF(B3875="","",INDEX(helper!$E$3:$E3996,MOD(ROW()-2,COUNTA(helper!$D$3:$D3996))+1))</f>
        <v/>
      </c>
      <c r="E3875" s="3" t="str">
        <f t="array" ref="E3875">IF(B3875="","",INDEX(helper!$F$3:$F3996,MOD(ROW()-2,COUNTA(helper!$D$3:$D3996))+1))</f>
        <v/>
      </c>
      <c r="F3875" s="3" t="str">
        <f>IF(B3875="","",SUMIFS('inventory ledger'!$H:$H,'inventory ledger'!$C:$C,C3875,'inventory ledger'!$D:$D,D3875,'inventory ledger'!$E:$E,E3875,'inventory ledger'!$A:$A,"&lt;="&amp;B3875+TIME(23,59,59))-SUMIFS('inventory ledger'!$I:$I,'inventory ledger'!$C:$C,C3875,'inventory ledger'!$D:$D,D3875,'inventory ledger'!$E:$E,E3875,'inventory ledger'!$A:$A,"&lt;="&amp;B3875+TIME(23,59,59)))</f>
        <v/>
      </c>
      <c r="G3875" s="3">
        <f>IFERROR(__xludf.DUMMYFUNCTION("IF(F3875&lt;=0,0,IFERROR(ROUNDUP(F3875/INDEX(FILTER('warehouse config'!$D:$D,('warehouse config'!$B:$B=C3875)*('warehouse config'!$C:$C=D3875)*('warehouse config'!$G:$G&lt;=B3875)*(('warehouse config'!$H:$H&gt;=B3875)+ISBLANK('warehouse config'!$H:$H))),1)),0))"),0.0)</f>
        <v>0</v>
      </c>
      <c r="H3875" s="3">
        <f>IFERROR(__xludf.DUMMYFUNCTION("IFERROR(INDEX(FILTER('cost master'!$E:$E,('cost master'!$B:$B=C3875)*('cost master'!$D:$D=""Storage cost per pallet / week"")*('cost master'!$G:$G&lt;=B3875)*(('cost master'!$H:$H&gt;=B3875)+ISBLANK('cost master'!$H:$H))),1),0)"),0.0)</f>
        <v>0</v>
      </c>
      <c r="I3875" s="3">
        <f t="shared" si="4"/>
        <v>0</v>
      </c>
      <c r="J3875" s="27">
        <f t="shared" si="5"/>
        <v>693947</v>
      </c>
      <c r="K3875" s="27">
        <f t="shared" si="6"/>
        <v>693977</v>
      </c>
    </row>
    <row r="3876" hidden="1">
      <c r="A3876" s="3" t="str">
        <f t="shared" si="3"/>
        <v/>
      </c>
      <c r="B3876" s="2" t="str">
        <f t="array" ref="B3876">INDEX(helper!$A$3:$A3996,ROUNDUP((ROW()-1)/COUNTA(helper!$D$3:$D3996),0))</f>
        <v/>
      </c>
      <c r="C3876" s="5" t="str">
        <f t="array" ref="C3876">IF(B3876="","",INDEX(helper!$D$3:$D3996,MOD(ROW()-2,COUNTA(helper!$D$3:$D3996))+1))</f>
        <v/>
      </c>
      <c r="D3876" s="3" t="str">
        <f t="array" ref="D3876">IF(B3876="","",INDEX(helper!$E$3:$E3996,MOD(ROW()-2,COUNTA(helper!$D$3:$D3996))+1))</f>
        <v/>
      </c>
      <c r="E3876" s="3" t="str">
        <f t="array" ref="E3876">IF(B3876="","",INDEX(helper!$F$3:$F3996,MOD(ROW()-2,COUNTA(helper!$D$3:$D3996))+1))</f>
        <v/>
      </c>
      <c r="F3876" s="3" t="str">
        <f>IF(B3876="","",SUMIFS('inventory ledger'!$H:$H,'inventory ledger'!$C:$C,C3876,'inventory ledger'!$D:$D,D3876,'inventory ledger'!$E:$E,E3876,'inventory ledger'!$A:$A,"&lt;="&amp;B3876+TIME(23,59,59))-SUMIFS('inventory ledger'!$I:$I,'inventory ledger'!$C:$C,C3876,'inventory ledger'!$D:$D,D3876,'inventory ledger'!$E:$E,E3876,'inventory ledger'!$A:$A,"&lt;="&amp;B3876+TIME(23,59,59)))</f>
        <v/>
      </c>
      <c r="G3876" s="3">
        <f>IFERROR(__xludf.DUMMYFUNCTION("IF(F3876&lt;=0,0,IFERROR(ROUNDUP(F3876/INDEX(FILTER('warehouse config'!$D:$D,('warehouse config'!$B:$B=C3876)*('warehouse config'!$C:$C=D3876)*('warehouse config'!$G:$G&lt;=B3876)*(('warehouse config'!$H:$H&gt;=B3876)+ISBLANK('warehouse config'!$H:$H))),1)),0))"),0.0)</f>
        <v>0</v>
      </c>
      <c r="H3876" s="3">
        <f>IFERROR(__xludf.DUMMYFUNCTION("IFERROR(INDEX(FILTER('cost master'!$E:$E,('cost master'!$B:$B=C3876)*('cost master'!$D:$D=""Storage cost per pallet / week"")*('cost master'!$G:$G&lt;=B3876)*(('cost master'!$H:$H&gt;=B3876)+ISBLANK('cost master'!$H:$H))),1),0)"),0.0)</f>
        <v>0</v>
      </c>
      <c r="I3876" s="3">
        <f t="shared" si="4"/>
        <v>0</v>
      </c>
      <c r="J3876" s="27">
        <f t="shared" si="5"/>
        <v>693947</v>
      </c>
      <c r="K3876" s="27">
        <f t="shared" si="6"/>
        <v>693977</v>
      </c>
    </row>
    <row r="3877" hidden="1">
      <c r="A3877" s="3" t="str">
        <f t="shared" si="3"/>
        <v/>
      </c>
      <c r="B3877" s="2" t="str">
        <f t="array" ref="B3877">INDEX(helper!$A$3:$A3996,ROUNDUP((ROW()-1)/COUNTA(helper!$D$3:$D3996),0))</f>
        <v/>
      </c>
      <c r="C3877" s="5" t="str">
        <f t="array" ref="C3877">IF(B3877="","",INDEX(helper!$D$3:$D3996,MOD(ROW()-2,COUNTA(helper!$D$3:$D3996))+1))</f>
        <v/>
      </c>
      <c r="D3877" s="3" t="str">
        <f t="array" ref="D3877">IF(B3877="","",INDEX(helper!$E$3:$E3996,MOD(ROW()-2,COUNTA(helper!$D$3:$D3996))+1))</f>
        <v/>
      </c>
      <c r="E3877" s="3" t="str">
        <f t="array" ref="E3877">IF(B3877="","",INDEX(helper!$F$3:$F3996,MOD(ROW()-2,COUNTA(helper!$D$3:$D3996))+1))</f>
        <v/>
      </c>
      <c r="F3877" s="3" t="str">
        <f>IF(B3877="","",SUMIFS('inventory ledger'!$H:$H,'inventory ledger'!$C:$C,C3877,'inventory ledger'!$D:$D,D3877,'inventory ledger'!$E:$E,E3877,'inventory ledger'!$A:$A,"&lt;="&amp;B3877+TIME(23,59,59))-SUMIFS('inventory ledger'!$I:$I,'inventory ledger'!$C:$C,C3877,'inventory ledger'!$D:$D,D3877,'inventory ledger'!$E:$E,E3877,'inventory ledger'!$A:$A,"&lt;="&amp;B3877+TIME(23,59,59)))</f>
        <v/>
      </c>
      <c r="G3877" s="3">
        <f>IFERROR(__xludf.DUMMYFUNCTION("IF(F3877&lt;=0,0,IFERROR(ROUNDUP(F3877/INDEX(FILTER('warehouse config'!$D:$D,('warehouse config'!$B:$B=C3877)*('warehouse config'!$C:$C=D3877)*('warehouse config'!$G:$G&lt;=B3877)*(('warehouse config'!$H:$H&gt;=B3877)+ISBLANK('warehouse config'!$H:$H))),1)),0))"),0.0)</f>
        <v>0</v>
      </c>
      <c r="H3877" s="3">
        <f>IFERROR(__xludf.DUMMYFUNCTION("IFERROR(INDEX(FILTER('cost master'!$E:$E,('cost master'!$B:$B=C3877)*('cost master'!$D:$D=""Storage cost per pallet / week"")*('cost master'!$G:$G&lt;=B3877)*(('cost master'!$H:$H&gt;=B3877)+ISBLANK('cost master'!$H:$H))),1),0)"),0.0)</f>
        <v>0</v>
      </c>
      <c r="I3877" s="3">
        <f t="shared" si="4"/>
        <v>0</v>
      </c>
      <c r="J3877" s="27">
        <f t="shared" si="5"/>
        <v>693947</v>
      </c>
      <c r="K3877" s="27">
        <f t="shared" si="6"/>
        <v>693977</v>
      </c>
    </row>
    <row r="3878" hidden="1">
      <c r="A3878" s="3" t="str">
        <f t="shared" si="3"/>
        <v/>
      </c>
      <c r="B3878" s="2" t="str">
        <f t="array" ref="B3878">INDEX(helper!$A$3:$A3996,ROUNDUP((ROW()-1)/COUNTA(helper!$D$3:$D3996),0))</f>
        <v/>
      </c>
      <c r="C3878" s="5" t="str">
        <f t="array" ref="C3878">IF(B3878="","",INDEX(helper!$D$3:$D3996,MOD(ROW()-2,COUNTA(helper!$D$3:$D3996))+1))</f>
        <v/>
      </c>
      <c r="D3878" s="3" t="str">
        <f t="array" ref="D3878">IF(B3878="","",INDEX(helper!$E$3:$E3996,MOD(ROW()-2,COUNTA(helper!$D$3:$D3996))+1))</f>
        <v/>
      </c>
      <c r="E3878" s="3" t="str">
        <f t="array" ref="E3878">IF(B3878="","",INDEX(helper!$F$3:$F3996,MOD(ROW()-2,COUNTA(helper!$D$3:$D3996))+1))</f>
        <v/>
      </c>
      <c r="F3878" s="3" t="str">
        <f>IF(B3878="","",SUMIFS('inventory ledger'!$H:$H,'inventory ledger'!$C:$C,C3878,'inventory ledger'!$D:$D,D3878,'inventory ledger'!$E:$E,E3878,'inventory ledger'!$A:$A,"&lt;="&amp;B3878+TIME(23,59,59))-SUMIFS('inventory ledger'!$I:$I,'inventory ledger'!$C:$C,C3878,'inventory ledger'!$D:$D,D3878,'inventory ledger'!$E:$E,E3878,'inventory ledger'!$A:$A,"&lt;="&amp;B3878+TIME(23,59,59)))</f>
        <v/>
      </c>
      <c r="G3878" s="3">
        <f>IFERROR(__xludf.DUMMYFUNCTION("IF(F3878&lt;=0,0,IFERROR(ROUNDUP(F3878/INDEX(FILTER('warehouse config'!$D:$D,('warehouse config'!$B:$B=C3878)*('warehouse config'!$C:$C=D3878)*('warehouse config'!$G:$G&lt;=B3878)*(('warehouse config'!$H:$H&gt;=B3878)+ISBLANK('warehouse config'!$H:$H))),1)),0))"),0.0)</f>
        <v>0</v>
      </c>
      <c r="H3878" s="3">
        <f>IFERROR(__xludf.DUMMYFUNCTION("IFERROR(INDEX(FILTER('cost master'!$E:$E,('cost master'!$B:$B=C3878)*('cost master'!$D:$D=""Storage cost per pallet / week"")*('cost master'!$G:$G&lt;=B3878)*(('cost master'!$H:$H&gt;=B3878)+ISBLANK('cost master'!$H:$H))),1),0)"),0.0)</f>
        <v>0</v>
      </c>
      <c r="I3878" s="3">
        <f t="shared" si="4"/>
        <v>0</v>
      </c>
      <c r="J3878" s="27">
        <f t="shared" si="5"/>
        <v>693947</v>
      </c>
      <c r="K3878" s="27">
        <f t="shared" si="6"/>
        <v>693977</v>
      </c>
    </row>
    <row r="3879" hidden="1">
      <c r="A3879" s="3" t="str">
        <f t="shared" si="3"/>
        <v/>
      </c>
      <c r="B3879" s="2" t="str">
        <f t="array" ref="B3879">INDEX(helper!$A$3:$A3996,ROUNDUP((ROW()-1)/COUNTA(helper!$D$3:$D3996),0))</f>
        <v/>
      </c>
      <c r="C3879" s="5" t="str">
        <f t="array" ref="C3879">IF(B3879="","",INDEX(helper!$D$3:$D3996,MOD(ROW()-2,COUNTA(helper!$D$3:$D3996))+1))</f>
        <v/>
      </c>
      <c r="D3879" s="3" t="str">
        <f t="array" ref="D3879">IF(B3879="","",INDEX(helper!$E$3:$E3996,MOD(ROW()-2,COUNTA(helper!$D$3:$D3996))+1))</f>
        <v/>
      </c>
      <c r="E3879" s="3" t="str">
        <f t="array" ref="E3879">IF(B3879="","",INDEX(helper!$F$3:$F3996,MOD(ROW()-2,COUNTA(helper!$D$3:$D3996))+1))</f>
        <v/>
      </c>
      <c r="F3879" s="3" t="str">
        <f>IF(B3879="","",SUMIFS('inventory ledger'!$H:$H,'inventory ledger'!$C:$C,C3879,'inventory ledger'!$D:$D,D3879,'inventory ledger'!$E:$E,E3879,'inventory ledger'!$A:$A,"&lt;="&amp;B3879+TIME(23,59,59))-SUMIFS('inventory ledger'!$I:$I,'inventory ledger'!$C:$C,C3879,'inventory ledger'!$D:$D,D3879,'inventory ledger'!$E:$E,E3879,'inventory ledger'!$A:$A,"&lt;="&amp;B3879+TIME(23,59,59)))</f>
        <v/>
      </c>
      <c r="G3879" s="3">
        <f>IFERROR(__xludf.DUMMYFUNCTION("IF(F3879&lt;=0,0,IFERROR(ROUNDUP(F3879/INDEX(FILTER('warehouse config'!$D:$D,('warehouse config'!$B:$B=C3879)*('warehouse config'!$C:$C=D3879)*('warehouse config'!$G:$G&lt;=B3879)*(('warehouse config'!$H:$H&gt;=B3879)+ISBLANK('warehouse config'!$H:$H))),1)),0))"),0.0)</f>
        <v>0</v>
      </c>
      <c r="H3879" s="3">
        <f>IFERROR(__xludf.DUMMYFUNCTION("IFERROR(INDEX(FILTER('cost master'!$E:$E,('cost master'!$B:$B=C3879)*('cost master'!$D:$D=""Storage cost per pallet / week"")*('cost master'!$G:$G&lt;=B3879)*(('cost master'!$H:$H&gt;=B3879)+ISBLANK('cost master'!$H:$H))),1),0)"),0.0)</f>
        <v>0</v>
      </c>
      <c r="I3879" s="3">
        <f t="shared" si="4"/>
        <v>0</v>
      </c>
      <c r="J3879" s="27">
        <f t="shared" si="5"/>
        <v>693947</v>
      </c>
      <c r="K3879" s="27">
        <f t="shared" si="6"/>
        <v>693977</v>
      </c>
    </row>
    <row r="3880" hidden="1">
      <c r="A3880" s="3" t="str">
        <f t="shared" si="3"/>
        <v/>
      </c>
      <c r="B3880" s="2" t="str">
        <f t="array" ref="B3880">INDEX(helper!$A$3:$A3996,ROUNDUP((ROW()-1)/COUNTA(helper!$D$3:$D3996),0))</f>
        <v/>
      </c>
      <c r="C3880" s="5" t="str">
        <f t="array" ref="C3880">IF(B3880="","",INDEX(helper!$D$3:$D3996,MOD(ROW()-2,COUNTA(helper!$D$3:$D3996))+1))</f>
        <v/>
      </c>
      <c r="D3880" s="3" t="str">
        <f t="array" ref="D3880">IF(B3880="","",INDEX(helper!$E$3:$E3996,MOD(ROW()-2,COUNTA(helper!$D$3:$D3996))+1))</f>
        <v/>
      </c>
      <c r="E3880" s="3" t="str">
        <f t="array" ref="E3880">IF(B3880="","",INDEX(helper!$F$3:$F3996,MOD(ROW()-2,COUNTA(helper!$D$3:$D3996))+1))</f>
        <v/>
      </c>
      <c r="F3880" s="3" t="str">
        <f>IF(B3880="","",SUMIFS('inventory ledger'!$H:$H,'inventory ledger'!$C:$C,C3880,'inventory ledger'!$D:$D,D3880,'inventory ledger'!$E:$E,E3880,'inventory ledger'!$A:$A,"&lt;="&amp;B3880+TIME(23,59,59))-SUMIFS('inventory ledger'!$I:$I,'inventory ledger'!$C:$C,C3880,'inventory ledger'!$D:$D,D3880,'inventory ledger'!$E:$E,E3880,'inventory ledger'!$A:$A,"&lt;="&amp;B3880+TIME(23,59,59)))</f>
        <v/>
      </c>
      <c r="G3880" s="3">
        <f>IFERROR(__xludf.DUMMYFUNCTION("IF(F3880&lt;=0,0,IFERROR(ROUNDUP(F3880/INDEX(FILTER('warehouse config'!$D:$D,('warehouse config'!$B:$B=C3880)*('warehouse config'!$C:$C=D3880)*('warehouse config'!$G:$G&lt;=B3880)*(('warehouse config'!$H:$H&gt;=B3880)+ISBLANK('warehouse config'!$H:$H))),1)),0))"),0.0)</f>
        <v>0</v>
      </c>
      <c r="H3880" s="3">
        <f>IFERROR(__xludf.DUMMYFUNCTION("IFERROR(INDEX(FILTER('cost master'!$E:$E,('cost master'!$B:$B=C3880)*('cost master'!$D:$D=""Storage cost per pallet / week"")*('cost master'!$G:$G&lt;=B3880)*(('cost master'!$H:$H&gt;=B3880)+ISBLANK('cost master'!$H:$H))),1),0)"),0.0)</f>
        <v>0</v>
      </c>
      <c r="I3880" s="3">
        <f t="shared" si="4"/>
        <v>0</v>
      </c>
      <c r="J3880" s="27">
        <f t="shared" si="5"/>
        <v>693947</v>
      </c>
      <c r="K3880" s="27">
        <f t="shared" si="6"/>
        <v>693977</v>
      </c>
    </row>
    <row r="3881" hidden="1">
      <c r="A3881" s="3" t="str">
        <f t="shared" si="3"/>
        <v/>
      </c>
      <c r="B3881" s="2" t="str">
        <f t="array" ref="B3881">INDEX(helper!$A$3:$A3996,ROUNDUP((ROW()-1)/COUNTA(helper!$D$3:$D3996),0))</f>
        <v/>
      </c>
      <c r="C3881" s="5" t="str">
        <f t="array" ref="C3881">IF(B3881="","",INDEX(helper!$D$3:$D3996,MOD(ROW()-2,COUNTA(helper!$D$3:$D3996))+1))</f>
        <v/>
      </c>
      <c r="D3881" s="3" t="str">
        <f t="array" ref="D3881">IF(B3881="","",INDEX(helper!$E$3:$E3996,MOD(ROW()-2,COUNTA(helper!$D$3:$D3996))+1))</f>
        <v/>
      </c>
      <c r="E3881" s="3" t="str">
        <f t="array" ref="E3881">IF(B3881="","",INDEX(helper!$F$3:$F3996,MOD(ROW()-2,COUNTA(helper!$D$3:$D3996))+1))</f>
        <v/>
      </c>
      <c r="F3881" s="3" t="str">
        <f>IF(B3881="","",SUMIFS('inventory ledger'!$H:$H,'inventory ledger'!$C:$C,C3881,'inventory ledger'!$D:$D,D3881,'inventory ledger'!$E:$E,E3881,'inventory ledger'!$A:$A,"&lt;="&amp;B3881+TIME(23,59,59))-SUMIFS('inventory ledger'!$I:$I,'inventory ledger'!$C:$C,C3881,'inventory ledger'!$D:$D,D3881,'inventory ledger'!$E:$E,E3881,'inventory ledger'!$A:$A,"&lt;="&amp;B3881+TIME(23,59,59)))</f>
        <v/>
      </c>
      <c r="G3881" s="3">
        <f>IFERROR(__xludf.DUMMYFUNCTION("IF(F3881&lt;=0,0,IFERROR(ROUNDUP(F3881/INDEX(FILTER('warehouse config'!$D:$D,('warehouse config'!$B:$B=C3881)*('warehouse config'!$C:$C=D3881)*('warehouse config'!$G:$G&lt;=B3881)*(('warehouse config'!$H:$H&gt;=B3881)+ISBLANK('warehouse config'!$H:$H))),1)),0))"),0.0)</f>
        <v>0</v>
      </c>
      <c r="H3881" s="3">
        <f>IFERROR(__xludf.DUMMYFUNCTION("IFERROR(INDEX(FILTER('cost master'!$E:$E,('cost master'!$B:$B=C3881)*('cost master'!$D:$D=""Storage cost per pallet / week"")*('cost master'!$G:$G&lt;=B3881)*(('cost master'!$H:$H&gt;=B3881)+ISBLANK('cost master'!$H:$H))),1),0)"),0.0)</f>
        <v>0</v>
      </c>
      <c r="I3881" s="3">
        <f t="shared" si="4"/>
        <v>0</v>
      </c>
      <c r="J3881" s="27">
        <f t="shared" si="5"/>
        <v>693947</v>
      </c>
      <c r="K3881" s="27">
        <f t="shared" si="6"/>
        <v>693977</v>
      </c>
    </row>
    <row r="3882" hidden="1">
      <c r="A3882" s="3" t="str">
        <f t="shared" si="3"/>
        <v/>
      </c>
      <c r="B3882" s="2" t="str">
        <f t="array" ref="B3882">INDEX(helper!$A$3:$A3996,ROUNDUP((ROW()-1)/COUNTA(helper!$D$3:$D3996),0))</f>
        <v/>
      </c>
      <c r="C3882" s="5" t="str">
        <f t="array" ref="C3882">IF(B3882="","",INDEX(helper!$D$3:$D3996,MOD(ROW()-2,COUNTA(helper!$D$3:$D3996))+1))</f>
        <v/>
      </c>
      <c r="D3882" s="3" t="str">
        <f t="array" ref="D3882">IF(B3882="","",INDEX(helper!$E$3:$E3996,MOD(ROW()-2,COUNTA(helper!$D$3:$D3996))+1))</f>
        <v/>
      </c>
      <c r="E3882" s="3" t="str">
        <f t="array" ref="E3882">IF(B3882="","",INDEX(helper!$F$3:$F3996,MOD(ROW()-2,COUNTA(helper!$D$3:$D3996))+1))</f>
        <v/>
      </c>
      <c r="F3882" s="3" t="str">
        <f>IF(B3882="","",SUMIFS('inventory ledger'!$H:$H,'inventory ledger'!$C:$C,C3882,'inventory ledger'!$D:$D,D3882,'inventory ledger'!$E:$E,E3882,'inventory ledger'!$A:$A,"&lt;="&amp;B3882+TIME(23,59,59))-SUMIFS('inventory ledger'!$I:$I,'inventory ledger'!$C:$C,C3882,'inventory ledger'!$D:$D,D3882,'inventory ledger'!$E:$E,E3882,'inventory ledger'!$A:$A,"&lt;="&amp;B3882+TIME(23,59,59)))</f>
        <v/>
      </c>
      <c r="G3882" s="3">
        <f>IFERROR(__xludf.DUMMYFUNCTION("IF(F3882&lt;=0,0,IFERROR(ROUNDUP(F3882/INDEX(FILTER('warehouse config'!$D:$D,('warehouse config'!$B:$B=C3882)*('warehouse config'!$C:$C=D3882)*('warehouse config'!$G:$G&lt;=B3882)*(('warehouse config'!$H:$H&gt;=B3882)+ISBLANK('warehouse config'!$H:$H))),1)),0))"),0.0)</f>
        <v>0</v>
      </c>
      <c r="H3882" s="3">
        <f>IFERROR(__xludf.DUMMYFUNCTION("IFERROR(INDEX(FILTER('cost master'!$E:$E,('cost master'!$B:$B=C3882)*('cost master'!$D:$D=""Storage cost per pallet / week"")*('cost master'!$G:$G&lt;=B3882)*(('cost master'!$H:$H&gt;=B3882)+ISBLANK('cost master'!$H:$H))),1),0)"),0.0)</f>
        <v>0</v>
      </c>
      <c r="I3882" s="3">
        <f t="shared" si="4"/>
        <v>0</v>
      </c>
      <c r="J3882" s="27">
        <f t="shared" si="5"/>
        <v>693947</v>
      </c>
      <c r="K3882" s="27">
        <f t="shared" si="6"/>
        <v>693977</v>
      </c>
    </row>
    <row r="3883" hidden="1">
      <c r="A3883" s="3" t="str">
        <f t="shared" si="3"/>
        <v/>
      </c>
      <c r="B3883" s="2" t="str">
        <f t="array" ref="B3883">INDEX(helper!$A$3:$A3996,ROUNDUP((ROW()-1)/COUNTA(helper!$D$3:$D3996),0))</f>
        <v/>
      </c>
      <c r="C3883" s="5" t="str">
        <f t="array" ref="C3883">IF(B3883="","",INDEX(helper!$D$3:$D3996,MOD(ROW()-2,COUNTA(helper!$D$3:$D3996))+1))</f>
        <v/>
      </c>
      <c r="D3883" s="3" t="str">
        <f t="array" ref="D3883">IF(B3883="","",INDEX(helper!$E$3:$E3996,MOD(ROW()-2,COUNTA(helper!$D$3:$D3996))+1))</f>
        <v/>
      </c>
      <c r="E3883" s="3" t="str">
        <f t="array" ref="E3883">IF(B3883="","",INDEX(helper!$F$3:$F3996,MOD(ROW()-2,COUNTA(helper!$D$3:$D3996))+1))</f>
        <v/>
      </c>
      <c r="F3883" s="3" t="str">
        <f>IF(B3883="","",SUMIFS('inventory ledger'!$H:$H,'inventory ledger'!$C:$C,C3883,'inventory ledger'!$D:$D,D3883,'inventory ledger'!$E:$E,E3883,'inventory ledger'!$A:$A,"&lt;="&amp;B3883+TIME(23,59,59))-SUMIFS('inventory ledger'!$I:$I,'inventory ledger'!$C:$C,C3883,'inventory ledger'!$D:$D,D3883,'inventory ledger'!$E:$E,E3883,'inventory ledger'!$A:$A,"&lt;="&amp;B3883+TIME(23,59,59)))</f>
        <v/>
      </c>
      <c r="G3883" s="3">
        <f>IFERROR(__xludf.DUMMYFUNCTION("IF(F3883&lt;=0,0,IFERROR(ROUNDUP(F3883/INDEX(FILTER('warehouse config'!$D:$D,('warehouse config'!$B:$B=C3883)*('warehouse config'!$C:$C=D3883)*('warehouse config'!$G:$G&lt;=B3883)*(('warehouse config'!$H:$H&gt;=B3883)+ISBLANK('warehouse config'!$H:$H))),1)),0))"),0.0)</f>
        <v>0</v>
      </c>
      <c r="H3883" s="3">
        <f>IFERROR(__xludf.DUMMYFUNCTION("IFERROR(INDEX(FILTER('cost master'!$E:$E,('cost master'!$B:$B=C3883)*('cost master'!$D:$D=""Storage cost per pallet / week"")*('cost master'!$G:$G&lt;=B3883)*(('cost master'!$H:$H&gt;=B3883)+ISBLANK('cost master'!$H:$H))),1),0)"),0.0)</f>
        <v>0</v>
      </c>
      <c r="I3883" s="3">
        <f t="shared" si="4"/>
        <v>0</v>
      </c>
      <c r="J3883" s="27">
        <f t="shared" si="5"/>
        <v>693947</v>
      </c>
      <c r="K3883" s="27">
        <f t="shared" si="6"/>
        <v>693977</v>
      </c>
    </row>
    <row r="3884" hidden="1">
      <c r="A3884" s="3" t="str">
        <f t="shared" si="3"/>
        <v/>
      </c>
      <c r="B3884" s="2" t="str">
        <f t="array" ref="B3884">INDEX(helper!$A$3:$A3996,ROUNDUP((ROW()-1)/COUNTA(helper!$D$3:$D3996),0))</f>
        <v/>
      </c>
      <c r="C3884" s="5" t="str">
        <f t="array" ref="C3884">IF(B3884="","",INDEX(helper!$D$3:$D3996,MOD(ROW()-2,COUNTA(helper!$D$3:$D3996))+1))</f>
        <v/>
      </c>
      <c r="D3884" s="3" t="str">
        <f t="array" ref="D3884">IF(B3884="","",INDEX(helper!$E$3:$E3996,MOD(ROW()-2,COUNTA(helper!$D$3:$D3996))+1))</f>
        <v/>
      </c>
      <c r="E3884" s="3" t="str">
        <f t="array" ref="E3884">IF(B3884="","",INDEX(helper!$F$3:$F3996,MOD(ROW()-2,COUNTA(helper!$D$3:$D3996))+1))</f>
        <v/>
      </c>
      <c r="F3884" s="3" t="str">
        <f>IF(B3884="","",SUMIFS('inventory ledger'!$H:$H,'inventory ledger'!$C:$C,C3884,'inventory ledger'!$D:$D,D3884,'inventory ledger'!$E:$E,E3884,'inventory ledger'!$A:$A,"&lt;="&amp;B3884+TIME(23,59,59))-SUMIFS('inventory ledger'!$I:$I,'inventory ledger'!$C:$C,C3884,'inventory ledger'!$D:$D,D3884,'inventory ledger'!$E:$E,E3884,'inventory ledger'!$A:$A,"&lt;="&amp;B3884+TIME(23,59,59)))</f>
        <v/>
      </c>
      <c r="G3884" s="3">
        <f>IFERROR(__xludf.DUMMYFUNCTION("IF(F3884&lt;=0,0,IFERROR(ROUNDUP(F3884/INDEX(FILTER('warehouse config'!$D:$D,('warehouse config'!$B:$B=C3884)*('warehouse config'!$C:$C=D3884)*('warehouse config'!$G:$G&lt;=B3884)*(('warehouse config'!$H:$H&gt;=B3884)+ISBLANK('warehouse config'!$H:$H))),1)),0))"),0.0)</f>
        <v>0</v>
      </c>
      <c r="H3884" s="3">
        <f>IFERROR(__xludf.DUMMYFUNCTION("IFERROR(INDEX(FILTER('cost master'!$E:$E,('cost master'!$B:$B=C3884)*('cost master'!$D:$D=""Storage cost per pallet / week"")*('cost master'!$G:$G&lt;=B3884)*(('cost master'!$H:$H&gt;=B3884)+ISBLANK('cost master'!$H:$H))),1),0)"),0.0)</f>
        <v>0</v>
      </c>
      <c r="I3884" s="3">
        <f t="shared" si="4"/>
        <v>0</v>
      </c>
      <c r="J3884" s="27">
        <f t="shared" si="5"/>
        <v>693947</v>
      </c>
      <c r="K3884" s="27">
        <f t="shared" si="6"/>
        <v>693977</v>
      </c>
    </row>
    <row r="3885" hidden="1">
      <c r="A3885" s="3" t="str">
        <f t="shared" si="3"/>
        <v/>
      </c>
      <c r="B3885" s="2" t="str">
        <f t="array" ref="B3885">INDEX(helper!$A$3:$A3996,ROUNDUP((ROW()-1)/COUNTA(helper!$D$3:$D3996),0))</f>
        <v/>
      </c>
      <c r="C3885" s="5" t="str">
        <f t="array" ref="C3885">IF(B3885="","",INDEX(helper!$D$3:$D3996,MOD(ROW()-2,COUNTA(helper!$D$3:$D3996))+1))</f>
        <v/>
      </c>
      <c r="D3885" s="3" t="str">
        <f t="array" ref="D3885">IF(B3885="","",INDEX(helper!$E$3:$E3996,MOD(ROW()-2,COUNTA(helper!$D$3:$D3996))+1))</f>
        <v/>
      </c>
      <c r="E3885" s="3" t="str">
        <f t="array" ref="E3885">IF(B3885="","",INDEX(helper!$F$3:$F3996,MOD(ROW()-2,COUNTA(helper!$D$3:$D3996))+1))</f>
        <v/>
      </c>
      <c r="F3885" s="3" t="str">
        <f>IF(B3885="","",SUMIFS('inventory ledger'!$H:$H,'inventory ledger'!$C:$C,C3885,'inventory ledger'!$D:$D,D3885,'inventory ledger'!$E:$E,E3885,'inventory ledger'!$A:$A,"&lt;="&amp;B3885+TIME(23,59,59))-SUMIFS('inventory ledger'!$I:$I,'inventory ledger'!$C:$C,C3885,'inventory ledger'!$D:$D,D3885,'inventory ledger'!$E:$E,E3885,'inventory ledger'!$A:$A,"&lt;="&amp;B3885+TIME(23,59,59)))</f>
        <v/>
      </c>
      <c r="G3885" s="3">
        <f>IFERROR(__xludf.DUMMYFUNCTION("IF(F3885&lt;=0,0,IFERROR(ROUNDUP(F3885/INDEX(FILTER('warehouse config'!$D:$D,('warehouse config'!$B:$B=C3885)*('warehouse config'!$C:$C=D3885)*('warehouse config'!$G:$G&lt;=B3885)*(('warehouse config'!$H:$H&gt;=B3885)+ISBLANK('warehouse config'!$H:$H))),1)),0))"),0.0)</f>
        <v>0</v>
      </c>
      <c r="H3885" s="3">
        <f>IFERROR(__xludf.DUMMYFUNCTION("IFERROR(INDEX(FILTER('cost master'!$E:$E,('cost master'!$B:$B=C3885)*('cost master'!$D:$D=""Storage cost per pallet / week"")*('cost master'!$G:$G&lt;=B3885)*(('cost master'!$H:$H&gt;=B3885)+ISBLANK('cost master'!$H:$H))),1),0)"),0.0)</f>
        <v>0</v>
      </c>
      <c r="I3885" s="3">
        <f t="shared" si="4"/>
        <v>0</v>
      </c>
      <c r="J3885" s="27">
        <f t="shared" si="5"/>
        <v>693947</v>
      </c>
      <c r="K3885" s="27">
        <f t="shared" si="6"/>
        <v>693977</v>
      </c>
    </row>
    <row r="3886" hidden="1">
      <c r="A3886" s="3" t="str">
        <f t="shared" si="3"/>
        <v/>
      </c>
      <c r="B3886" s="2" t="str">
        <f t="array" ref="B3886">INDEX(helper!$A$3:$A3996,ROUNDUP((ROW()-1)/COUNTA(helper!$D$3:$D3996),0))</f>
        <v/>
      </c>
      <c r="C3886" s="5" t="str">
        <f t="array" ref="C3886">IF(B3886="","",INDEX(helper!$D$3:$D3996,MOD(ROW()-2,COUNTA(helper!$D$3:$D3996))+1))</f>
        <v/>
      </c>
      <c r="D3886" s="3" t="str">
        <f t="array" ref="D3886">IF(B3886="","",INDEX(helper!$E$3:$E3996,MOD(ROW()-2,COUNTA(helper!$D$3:$D3996))+1))</f>
        <v/>
      </c>
      <c r="E3886" s="3" t="str">
        <f t="array" ref="E3886">IF(B3886="","",INDEX(helper!$F$3:$F3996,MOD(ROW()-2,COUNTA(helper!$D$3:$D3996))+1))</f>
        <v/>
      </c>
      <c r="F3886" s="3" t="str">
        <f>IF(B3886="","",SUMIFS('inventory ledger'!$H:$H,'inventory ledger'!$C:$C,C3886,'inventory ledger'!$D:$D,D3886,'inventory ledger'!$E:$E,E3886,'inventory ledger'!$A:$A,"&lt;="&amp;B3886+TIME(23,59,59))-SUMIFS('inventory ledger'!$I:$I,'inventory ledger'!$C:$C,C3886,'inventory ledger'!$D:$D,D3886,'inventory ledger'!$E:$E,E3886,'inventory ledger'!$A:$A,"&lt;="&amp;B3886+TIME(23,59,59)))</f>
        <v/>
      </c>
      <c r="G3886" s="3">
        <f>IFERROR(__xludf.DUMMYFUNCTION("IF(F3886&lt;=0,0,IFERROR(ROUNDUP(F3886/INDEX(FILTER('warehouse config'!$D:$D,('warehouse config'!$B:$B=C3886)*('warehouse config'!$C:$C=D3886)*('warehouse config'!$G:$G&lt;=B3886)*(('warehouse config'!$H:$H&gt;=B3886)+ISBLANK('warehouse config'!$H:$H))),1)),0))"),0.0)</f>
        <v>0</v>
      </c>
      <c r="H3886" s="3">
        <f>IFERROR(__xludf.DUMMYFUNCTION("IFERROR(INDEX(FILTER('cost master'!$E:$E,('cost master'!$B:$B=C3886)*('cost master'!$D:$D=""Storage cost per pallet / week"")*('cost master'!$G:$G&lt;=B3886)*(('cost master'!$H:$H&gt;=B3886)+ISBLANK('cost master'!$H:$H))),1),0)"),0.0)</f>
        <v>0</v>
      </c>
      <c r="I3886" s="3">
        <f t="shared" si="4"/>
        <v>0</v>
      </c>
      <c r="J3886" s="27">
        <f t="shared" si="5"/>
        <v>693947</v>
      </c>
      <c r="K3886" s="27">
        <f t="shared" si="6"/>
        <v>693977</v>
      </c>
    </row>
    <row r="3887" hidden="1">
      <c r="A3887" s="3" t="str">
        <f t="shared" si="3"/>
        <v/>
      </c>
      <c r="B3887" s="2" t="str">
        <f t="array" ref="B3887">INDEX(helper!$A$3:$A3996,ROUNDUP((ROW()-1)/COUNTA(helper!$D$3:$D3996),0))</f>
        <v/>
      </c>
      <c r="C3887" s="5" t="str">
        <f t="array" ref="C3887">IF(B3887="","",INDEX(helper!$D$3:$D3996,MOD(ROW()-2,COUNTA(helper!$D$3:$D3996))+1))</f>
        <v/>
      </c>
      <c r="D3887" s="3" t="str">
        <f t="array" ref="D3887">IF(B3887="","",INDEX(helper!$E$3:$E3996,MOD(ROW()-2,COUNTA(helper!$D$3:$D3996))+1))</f>
        <v/>
      </c>
      <c r="E3887" s="3" t="str">
        <f t="array" ref="E3887">IF(B3887="","",INDEX(helper!$F$3:$F3996,MOD(ROW()-2,COUNTA(helper!$D$3:$D3996))+1))</f>
        <v/>
      </c>
      <c r="F3887" s="3" t="str">
        <f>IF(B3887="","",SUMIFS('inventory ledger'!$H:$H,'inventory ledger'!$C:$C,C3887,'inventory ledger'!$D:$D,D3887,'inventory ledger'!$E:$E,E3887,'inventory ledger'!$A:$A,"&lt;="&amp;B3887+TIME(23,59,59))-SUMIFS('inventory ledger'!$I:$I,'inventory ledger'!$C:$C,C3887,'inventory ledger'!$D:$D,D3887,'inventory ledger'!$E:$E,E3887,'inventory ledger'!$A:$A,"&lt;="&amp;B3887+TIME(23,59,59)))</f>
        <v/>
      </c>
      <c r="G3887" s="3">
        <f>IFERROR(__xludf.DUMMYFUNCTION("IF(F3887&lt;=0,0,IFERROR(ROUNDUP(F3887/INDEX(FILTER('warehouse config'!$D:$D,('warehouse config'!$B:$B=C3887)*('warehouse config'!$C:$C=D3887)*('warehouse config'!$G:$G&lt;=B3887)*(('warehouse config'!$H:$H&gt;=B3887)+ISBLANK('warehouse config'!$H:$H))),1)),0))"),0.0)</f>
        <v>0</v>
      </c>
      <c r="H3887" s="3">
        <f>IFERROR(__xludf.DUMMYFUNCTION("IFERROR(INDEX(FILTER('cost master'!$E:$E,('cost master'!$B:$B=C3887)*('cost master'!$D:$D=""Storage cost per pallet / week"")*('cost master'!$G:$G&lt;=B3887)*(('cost master'!$H:$H&gt;=B3887)+ISBLANK('cost master'!$H:$H))),1),0)"),0.0)</f>
        <v>0</v>
      </c>
      <c r="I3887" s="3">
        <f t="shared" si="4"/>
        <v>0</v>
      </c>
      <c r="J3887" s="27">
        <f t="shared" si="5"/>
        <v>693947</v>
      </c>
      <c r="K3887" s="27">
        <f t="shared" si="6"/>
        <v>693977</v>
      </c>
    </row>
    <row r="3888" hidden="1">
      <c r="A3888" s="3" t="str">
        <f t="shared" si="3"/>
        <v/>
      </c>
      <c r="B3888" s="2" t="str">
        <f t="array" ref="B3888">INDEX(helper!$A$3:$A3996,ROUNDUP((ROW()-1)/COUNTA(helper!$D$3:$D3996),0))</f>
        <v/>
      </c>
      <c r="C3888" s="5" t="str">
        <f t="array" ref="C3888">IF(B3888="","",INDEX(helper!$D$3:$D3996,MOD(ROW()-2,COUNTA(helper!$D$3:$D3996))+1))</f>
        <v/>
      </c>
      <c r="D3888" s="3" t="str">
        <f t="array" ref="D3888">IF(B3888="","",INDEX(helper!$E$3:$E3996,MOD(ROW()-2,COUNTA(helper!$D$3:$D3996))+1))</f>
        <v/>
      </c>
      <c r="E3888" s="3" t="str">
        <f t="array" ref="E3888">IF(B3888="","",INDEX(helper!$F$3:$F3996,MOD(ROW()-2,COUNTA(helper!$D$3:$D3996))+1))</f>
        <v/>
      </c>
      <c r="F3888" s="3" t="str">
        <f>IF(B3888="","",SUMIFS('inventory ledger'!$H:$H,'inventory ledger'!$C:$C,C3888,'inventory ledger'!$D:$D,D3888,'inventory ledger'!$E:$E,E3888,'inventory ledger'!$A:$A,"&lt;="&amp;B3888+TIME(23,59,59))-SUMIFS('inventory ledger'!$I:$I,'inventory ledger'!$C:$C,C3888,'inventory ledger'!$D:$D,D3888,'inventory ledger'!$E:$E,E3888,'inventory ledger'!$A:$A,"&lt;="&amp;B3888+TIME(23,59,59)))</f>
        <v/>
      </c>
      <c r="G3888" s="3">
        <f>IFERROR(__xludf.DUMMYFUNCTION("IF(F3888&lt;=0,0,IFERROR(ROUNDUP(F3888/INDEX(FILTER('warehouse config'!$D:$D,('warehouse config'!$B:$B=C3888)*('warehouse config'!$C:$C=D3888)*('warehouse config'!$G:$G&lt;=B3888)*(('warehouse config'!$H:$H&gt;=B3888)+ISBLANK('warehouse config'!$H:$H))),1)),0))"),0.0)</f>
        <v>0</v>
      </c>
      <c r="H3888" s="3">
        <f>IFERROR(__xludf.DUMMYFUNCTION("IFERROR(INDEX(FILTER('cost master'!$E:$E,('cost master'!$B:$B=C3888)*('cost master'!$D:$D=""Storage cost per pallet / week"")*('cost master'!$G:$G&lt;=B3888)*(('cost master'!$H:$H&gt;=B3888)+ISBLANK('cost master'!$H:$H))),1),0)"),0.0)</f>
        <v>0</v>
      </c>
      <c r="I3888" s="3">
        <f t="shared" si="4"/>
        <v>0</v>
      </c>
      <c r="J3888" s="27">
        <f t="shared" si="5"/>
        <v>693947</v>
      </c>
      <c r="K3888" s="27">
        <f t="shared" si="6"/>
        <v>693977</v>
      </c>
    </row>
    <row r="3889" hidden="1">
      <c r="A3889" s="3" t="str">
        <f t="shared" si="3"/>
        <v/>
      </c>
      <c r="B3889" s="2" t="str">
        <f t="array" ref="B3889">INDEX(helper!$A$3:$A3996,ROUNDUP((ROW()-1)/COUNTA(helper!$D$3:$D3996),0))</f>
        <v/>
      </c>
      <c r="C3889" s="5" t="str">
        <f t="array" ref="C3889">IF(B3889="","",INDEX(helper!$D$3:$D3996,MOD(ROW()-2,COUNTA(helper!$D$3:$D3996))+1))</f>
        <v/>
      </c>
      <c r="D3889" s="3" t="str">
        <f t="array" ref="D3889">IF(B3889="","",INDEX(helper!$E$3:$E3996,MOD(ROW()-2,COUNTA(helper!$D$3:$D3996))+1))</f>
        <v/>
      </c>
      <c r="E3889" s="3" t="str">
        <f t="array" ref="E3889">IF(B3889="","",INDEX(helper!$F$3:$F3996,MOD(ROW()-2,COUNTA(helper!$D$3:$D3996))+1))</f>
        <v/>
      </c>
      <c r="F3889" s="3" t="str">
        <f>IF(B3889="","",SUMIFS('inventory ledger'!$H:$H,'inventory ledger'!$C:$C,C3889,'inventory ledger'!$D:$D,D3889,'inventory ledger'!$E:$E,E3889,'inventory ledger'!$A:$A,"&lt;="&amp;B3889+TIME(23,59,59))-SUMIFS('inventory ledger'!$I:$I,'inventory ledger'!$C:$C,C3889,'inventory ledger'!$D:$D,D3889,'inventory ledger'!$E:$E,E3889,'inventory ledger'!$A:$A,"&lt;="&amp;B3889+TIME(23,59,59)))</f>
        <v/>
      </c>
      <c r="G3889" s="3">
        <f>IFERROR(__xludf.DUMMYFUNCTION("IF(F3889&lt;=0,0,IFERROR(ROUNDUP(F3889/INDEX(FILTER('warehouse config'!$D:$D,('warehouse config'!$B:$B=C3889)*('warehouse config'!$C:$C=D3889)*('warehouse config'!$G:$G&lt;=B3889)*(('warehouse config'!$H:$H&gt;=B3889)+ISBLANK('warehouse config'!$H:$H))),1)),0))"),0.0)</f>
        <v>0</v>
      </c>
      <c r="H3889" s="3">
        <f>IFERROR(__xludf.DUMMYFUNCTION("IFERROR(INDEX(FILTER('cost master'!$E:$E,('cost master'!$B:$B=C3889)*('cost master'!$D:$D=""Storage cost per pallet / week"")*('cost master'!$G:$G&lt;=B3889)*(('cost master'!$H:$H&gt;=B3889)+ISBLANK('cost master'!$H:$H))),1),0)"),0.0)</f>
        <v>0</v>
      </c>
      <c r="I3889" s="3">
        <f t="shared" si="4"/>
        <v>0</v>
      </c>
      <c r="J3889" s="27">
        <f t="shared" si="5"/>
        <v>693947</v>
      </c>
      <c r="K3889" s="27">
        <f t="shared" si="6"/>
        <v>693977</v>
      </c>
    </row>
    <row r="3890" hidden="1">
      <c r="A3890" s="3" t="str">
        <f t="shared" si="3"/>
        <v/>
      </c>
      <c r="B3890" s="2" t="str">
        <f t="array" ref="B3890">INDEX(helper!$A$3:$A3996,ROUNDUP((ROW()-1)/COUNTA(helper!$D$3:$D3996),0))</f>
        <v/>
      </c>
      <c r="C3890" s="5" t="str">
        <f t="array" ref="C3890">IF(B3890="","",INDEX(helper!$D$3:$D3996,MOD(ROW()-2,COUNTA(helper!$D$3:$D3996))+1))</f>
        <v/>
      </c>
      <c r="D3890" s="3" t="str">
        <f t="array" ref="D3890">IF(B3890="","",INDEX(helper!$E$3:$E3996,MOD(ROW()-2,COUNTA(helper!$D$3:$D3996))+1))</f>
        <v/>
      </c>
      <c r="E3890" s="3" t="str">
        <f t="array" ref="E3890">IF(B3890="","",INDEX(helper!$F$3:$F3996,MOD(ROW()-2,COUNTA(helper!$D$3:$D3996))+1))</f>
        <v/>
      </c>
      <c r="F3890" s="3" t="str">
        <f>IF(B3890="","",SUMIFS('inventory ledger'!$H:$H,'inventory ledger'!$C:$C,C3890,'inventory ledger'!$D:$D,D3890,'inventory ledger'!$E:$E,E3890,'inventory ledger'!$A:$A,"&lt;="&amp;B3890+TIME(23,59,59))-SUMIFS('inventory ledger'!$I:$I,'inventory ledger'!$C:$C,C3890,'inventory ledger'!$D:$D,D3890,'inventory ledger'!$E:$E,E3890,'inventory ledger'!$A:$A,"&lt;="&amp;B3890+TIME(23,59,59)))</f>
        <v/>
      </c>
      <c r="G3890" s="3">
        <f>IFERROR(__xludf.DUMMYFUNCTION("IF(F3890&lt;=0,0,IFERROR(ROUNDUP(F3890/INDEX(FILTER('warehouse config'!$D:$D,('warehouse config'!$B:$B=C3890)*('warehouse config'!$C:$C=D3890)*('warehouse config'!$G:$G&lt;=B3890)*(('warehouse config'!$H:$H&gt;=B3890)+ISBLANK('warehouse config'!$H:$H))),1)),0))"),0.0)</f>
        <v>0</v>
      </c>
      <c r="H3890" s="3">
        <f>IFERROR(__xludf.DUMMYFUNCTION("IFERROR(INDEX(FILTER('cost master'!$E:$E,('cost master'!$B:$B=C3890)*('cost master'!$D:$D=""Storage cost per pallet / week"")*('cost master'!$G:$G&lt;=B3890)*(('cost master'!$H:$H&gt;=B3890)+ISBLANK('cost master'!$H:$H))),1),0)"),0.0)</f>
        <v>0</v>
      </c>
      <c r="I3890" s="3">
        <f t="shared" si="4"/>
        <v>0</v>
      </c>
      <c r="J3890" s="27">
        <f t="shared" si="5"/>
        <v>693947</v>
      </c>
      <c r="K3890" s="27">
        <f t="shared" si="6"/>
        <v>693977</v>
      </c>
    </row>
    <row r="3891" hidden="1">
      <c r="A3891" s="3" t="str">
        <f t="shared" si="3"/>
        <v/>
      </c>
      <c r="B3891" s="2" t="str">
        <f t="array" ref="B3891">INDEX(helper!$A$3:$A3996,ROUNDUP((ROW()-1)/COUNTA(helper!$D$3:$D3996),0))</f>
        <v/>
      </c>
      <c r="C3891" s="5" t="str">
        <f t="array" ref="C3891">IF(B3891="","",INDEX(helper!$D$3:$D3996,MOD(ROW()-2,COUNTA(helper!$D$3:$D3996))+1))</f>
        <v/>
      </c>
      <c r="D3891" s="3" t="str">
        <f t="array" ref="D3891">IF(B3891="","",INDEX(helper!$E$3:$E3996,MOD(ROW()-2,COUNTA(helper!$D$3:$D3996))+1))</f>
        <v/>
      </c>
      <c r="E3891" s="3" t="str">
        <f t="array" ref="E3891">IF(B3891="","",INDEX(helper!$F$3:$F3996,MOD(ROW()-2,COUNTA(helper!$D$3:$D3996))+1))</f>
        <v/>
      </c>
      <c r="F3891" s="3" t="str">
        <f>IF(B3891="","",SUMIFS('inventory ledger'!$H:$H,'inventory ledger'!$C:$C,C3891,'inventory ledger'!$D:$D,D3891,'inventory ledger'!$E:$E,E3891,'inventory ledger'!$A:$A,"&lt;="&amp;B3891+TIME(23,59,59))-SUMIFS('inventory ledger'!$I:$I,'inventory ledger'!$C:$C,C3891,'inventory ledger'!$D:$D,D3891,'inventory ledger'!$E:$E,E3891,'inventory ledger'!$A:$A,"&lt;="&amp;B3891+TIME(23,59,59)))</f>
        <v/>
      </c>
      <c r="G3891" s="3">
        <f>IFERROR(__xludf.DUMMYFUNCTION("IF(F3891&lt;=0,0,IFERROR(ROUNDUP(F3891/INDEX(FILTER('warehouse config'!$D:$D,('warehouse config'!$B:$B=C3891)*('warehouse config'!$C:$C=D3891)*('warehouse config'!$G:$G&lt;=B3891)*(('warehouse config'!$H:$H&gt;=B3891)+ISBLANK('warehouse config'!$H:$H))),1)),0))"),0.0)</f>
        <v>0</v>
      </c>
      <c r="H3891" s="3">
        <f>IFERROR(__xludf.DUMMYFUNCTION("IFERROR(INDEX(FILTER('cost master'!$E:$E,('cost master'!$B:$B=C3891)*('cost master'!$D:$D=""Storage cost per pallet / week"")*('cost master'!$G:$G&lt;=B3891)*(('cost master'!$H:$H&gt;=B3891)+ISBLANK('cost master'!$H:$H))),1),0)"),0.0)</f>
        <v>0</v>
      </c>
      <c r="I3891" s="3">
        <f t="shared" si="4"/>
        <v>0</v>
      </c>
      <c r="J3891" s="27">
        <f t="shared" si="5"/>
        <v>693947</v>
      </c>
      <c r="K3891" s="27">
        <f t="shared" si="6"/>
        <v>693977</v>
      </c>
    </row>
    <row r="3892" hidden="1">
      <c r="A3892" s="3" t="str">
        <f t="shared" si="3"/>
        <v/>
      </c>
      <c r="B3892" s="2" t="str">
        <f t="array" ref="B3892">INDEX(helper!$A$3:$A3996,ROUNDUP((ROW()-1)/COUNTA(helper!$D$3:$D3996),0))</f>
        <v/>
      </c>
      <c r="C3892" s="5" t="str">
        <f t="array" ref="C3892">IF(B3892="","",INDEX(helper!$D$3:$D3996,MOD(ROW()-2,COUNTA(helper!$D$3:$D3996))+1))</f>
        <v/>
      </c>
      <c r="D3892" s="3" t="str">
        <f t="array" ref="D3892">IF(B3892="","",INDEX(helper!$E$3:$E3996,MOD(ROW()-2,COUNTA(helper!$D$3:$D3996))+1))</f>
        <v/>
      </c>
      <c r="E3892" s="3" t="str">
        <f t="array" ref="E3892">IF(B3892="","",INDEX(helper!$F$3:$F3996,MOD(ROW()-2,COUNTA(helper!$D$3:$D3996))+1))</f>
        <v/>
      </c>
      <c r="F3892" s="3" t="str">
        <f>IF(B3892="","",SUMIFS('inventory ledger'!$H:$H,'inventory ledger'!$C:$C,C3892,'inventory ledger'!$D:$D,D3892,'inventory ledger'!$E:$E,E3892,'inventory ledger'!$A:$A,"&lt;="&amp;B3892+TIME(23,59,59))-SUMIFS('inventory ledger'!$I:$I,'inventory ledger'!$C:$C,C3892,'inventory ledger'!$D:$D,D3892,'inventory ledger'!$E:$E,E3892,'inventory ledger'!$A:$A,"&lt;="&amp;B3892+TIME(23,59,59)))</f>
        <v/>
      </c>
      <c r="G3892" s="3">
        <f>IFERROR(__xludf.DUMMYFUNCTION("IF(F3892&lt;=0,0,IFERROR(ROUNDUP(F3892/INDEX(FILTER('warehouse config'!$D:$D,('warehouse config'!$B:$B=C3892)*('warehouse config'!$C:$C=D3892)*('warehouse config'!$G:$G&lt;=B3892)*(('warehouse config'!$H:$H&gt;=B3892)+ISBLANK('warehouse config'!$H:$H))),1)),0))"),0.0)</f>
        <v>0</v>
      </c>
      <c r="H3892" s="3">
        <f>IFERROR(__xludf.DUMMYFUNCTION("IFERROR(INDEX(FILTER('cost master'!$E:$E,('cost master'!$B:$B=C3892)*('cost master'!$D:$D=""Storage cost per pallet / week"")*('cost master'!$G:$G&lt;=B3892)*(('cost master'!$H:$H&gt;=B3892)+ISBLANK('cost master'!$H:$H))),1),0)"),0.0)</f>
        <v>0</v>
      </c>
      <c r="I3892" s="3">
        <f t="shared" si="4"/>
        <v>0</v>
      </c>
      <c r="J3892" s="27">
        <f t="shared" si="5"/>
        <v>693947</v>
      </c>
      <c r="K3892" s="27">
        <f t="shared" si="6"/>
        <v>693977</v>
      </c>
    </row>
    <row r="3893" hidden="1">
      <c r="A3893" s="3" t="str">
        <f t="shared" si="3"/>
        <v/>
      </c>
      <c r="B3893" s="2" t="str">
        <f t="array" ref="B3893">INDEX(helper!$A$3:$A3996,ROUNDUP((ROW()-1)/COUNTA(helper!$D$3:$D3996),0))</f>
        <v/>
      </c>
      <c r="C3893" s="5" t="str">
        <f t="array" ref="C3893">IF(B3893="","",INDEX(helper!$D$3:$D3996,MOD(ROW()-2,COUNTA(helper!$D$3:$D3996))+1))</f>
        <v/>
      </c>
      <c r="D3893" s="3" t="str">
        <f t="array" ref="D3893">IF(B3893="","",INDEX(helper!$E$3:$E3996,MOD(ROW()-2,COUNTA(helper!$D$3:$D3996))+1))</f>
        <v/>
      </c>
      <c r="E3893" s="3" t="str">
        <f t="array" ref="E3893">IF(B3893="","",INDEX(helper!$F$3:$F3996,MOD(ROW()-2,COUNTA(helper!$D$3:$D3996))+1))</f>
        <v/>
      </c>
      <c r="F3893" s="3" t="str">
        <f>IF(B3893="","",SUMIFS('inventory ledger'!$H:$H,'inventory ledger'!$C:$C,C3893,'inventory ledger'!$D:$D,D3893,'inventory ledger'!$E:$E,E3893,'inventory ledger'!$A:$A,"&lt;="&amp;B3893+TIME(23,59,59))-SUMIFS('inventory ledger'!$I:$I,'inventory ledger'!$C:$C,C3893,'inventory ledger'!$D:$D,D3893,'inventory ledger'!$E:$E,E3893,'inventory ledger'!$A:$A,"&lt;="&amp;B3893+TIME(23,59,59)))</f>
        <v/>
      </c>
      <c r="G3893" s="3">
        <f>IFERROR(__xludf.DUMMYFUNCTION("IF(F3893&lt;=0,0,IFERROR(ROUNDUP(F3893/INDEX(FILTER('warehouse config'!$D:$D,('warehouse config'!$B:$B=C3893)*('warehouse config'!$C:$C=D3893)*('warehouse config'!$G:$G&lt;=B3893)*(('warehouse config'!$H:$H&gt;=B3893)+ISBLANK('warehouse config'!$H:$H))),1)),0))"),0.0)</f>
        <v>0</v>
      </c>
      <c r="H3893" s="3">
        <f>IFERROR(__xludf.DUMMYFUNCTION("IFERROR(INDEX(FILTER('cost master'!$E:$E,('cost master'!$B:$B=C3893)*('cost master'!$D:$D=""Storage cost per pallet / week"")*('cost master'!$G:$G&lt;=B3893)*(('cost master'!$H:$H&gt;=B3893)+ISBLANK('cost master'!$H:$H))),1),0)"),0.0)</f>
        <v>0</v>
      </c>
      <c r="I3893" s="3">
        <f t="shared" si="4"/>
        <v>0</v>
      </c>
      <c r="J3893" s="27">
        <f t="shared" si="5"/>
        <v>693947</v>
      </c>
      <c r="K3893" s="27">
        <f t="shared" si="6"/>
        <v>693977</v>
      </c>
    </row>
    <row r="3894" hidden="1">
      <c r="A3894" s="3" t="str">
        <f t="shared" si="3"/>
        <v/>
      </c>
      <c r="B3894" s="2" t="str">
        <f t="array" ref="B3894">INDEX(helper!$A$3:$A3996,ROUNDUP((ROW()-1)/COUNTA(helper!$D$3:$D3996),0))</f>
        <v/>
      </c>
      <c r="C3894" s="5" t="str">
        <f t="array" ref="C3894">IF(B3894="","",INDEX(helper!$D$3:$D3996,MOD(ROW()-2,COUNTA(helper!$D$3:$D3996))+1))</f>
        <v/>
      </c>
      <c r="D3894" s="3" t="str">
        <f t="array" ref="D3894">IF(B3894="","",INDEX(helper!$E$3:$E3996,MOD(ROW()-2,COUNTA(helper!$D$3:$D3996))+1))</f>
        <v/>
      </c>
      <c r="E3894" s="3" t="str">
        <f t="array" ref="E3894">IF(B3894="","",INDEX(helper!$F$3:$F3996,MOD(ROW()-2,COUNTA(helper!$D$3:$D3996))+1))</f>
        <v/>
      </c>
      <c r="F3894" s="3" t="str">
        <f>IF(B3894="","",SUMIFS('inventory ledger'!$H:$H,'inventory ledger'!$C:$C,C3894,'inventory ledger'!$D:$D,D3894,'inventory ledger'!$E:$E,E3894,'inventory ledger'!$A:$A,"&lt;="&amp;B3894+TIME(23,59,59))-SUMIFS('inventory ledger'!$I:$I,'inventory ledger'!$C:$C,C3894,'inventory ledger'!$D:$D,D3894,'inventory ledger'!$E:$E,E3894,'inventory ledger'!$A:$A,"&lt;="&amp;B3894+TIME(23,59,59)))</f>
        <v/>
      </c>
      <c r="G3894" s="3">
        <f>IFERROR(__xludf.DUMMYFUNCTION("IF(F3894&lt;=0,0,IFERROR(ROUNDUP(F3894/INDEX(FILTER('warehouse config'!$D:$D,('warehouse config'!$B:$B=C3894)*('warehouse config'!$C:$C=D3894)*('warehouse config'!$G:$G&lt;=B3894)*(('warehouse config'!$H:$H&gt;=B3894)+ISBLANK('warehouse config'!$H:$H))),1)),0))"),0.0)</f>
        <v>0</v>
      </c>
      <c r="H3894" s="3">
        <f>IFERROR(__xludf.DUMMYFUNCTION("IFERROR(INDEX(FILTER('cost master'!$E:$E,('cost master'!$B:$B=C3894)*('cost master'!$D:$D=""Storage cost per pallet / week"")*('cost master'!$G:$G&lt;=B3894)*(('cost master'!$H:$H&gt;=B3894)+ISBLANK('cost master'!$H:$H))),1),0)"),0.0)</f>
        <v>0</v>
      </c>
      <c r="I3894" s="3">
        <f t="shared" si="4"/>
        <v>0</v>
      </c>
      <c r="J3894" s="27">
        <f t="shared" si="5"/>
        <v>693947</v>
      </c>
      <c r="K3894" s="27">
        <f t="shared" si="6"/>
        <v>693977</v>
      </c>
    </row>
    <row r="3895" hidden="1">
      <c r="A3895" s="3" t="str">
        <f t="shared" si="3"/>
        <v/>
      </c>
      <c r="B3895" s="2" t="str">
        <f t="array" ref="B3895">INDEX(helper!$A$3:$A3996,ROUNDUP((ROW()-1)/COUNTA(helper!$D$3:$D3996),0))</f>
        <v/>
      </c>
      <c r="C3895" s="5" t="str">
        <f t="array" ref="C3895">IF(B3895="","",INDEX(helper!$D$3:$D3996,MOD(ROW()-2,COUNTA(helper!$D$3:$D3996))+1))</f>
        <v/>
      </c>
      <c r="D3895" s="3" t="str">
        <f t="array" ref="D3895">IF(B3895="","",INDEX(helper!$E$3:$E3996,MOD(ROW()-2,COUNTA(helper!$D$3:$D3996))+1))</f>
        <v/>
      </c>
      <c r="E3895" s="3" t="str">
        <f t="array" ref="E3895">IF(B3895="","",INDEX(helper!$F$3:$F3996,MOD(ROW()-2,COUNTA(helper!$D$3:$D3996))+1))</f>
        <v/>
      </c>
      <c r="F3895" s="3" t="str">
        <f>IF(B3895="","",SUMIFS('inventory ledger'!$H:$H,'inventory ledger'!$C:$C,C3895,'inventory ledger'!$D:$D,D3895,'inventory ledger'!$E:$E,E3895,'inventory ledger'!$A:$A,"&lt;="&amp;B3895+TIME(23,59,59))-SUMIFS('inventory ledger'!$I:$I,'inventory ledger'!$C:$C,C3895,'inventory ledger'!$D:$D,D3895,'inventory ledger'!$E:$E,E3895,'inventory ledger'!$A:$A,"&lt;="&amp;B3895+TIME(23,59,59)))</f>
        <v/>
      </c>
      <c r="G3895" s="3">
        <f>IFERROR(__xludf.DUMMYFUNCTION("IF(F3895&lt;=0,0,IFERROR(ROUNDUP(F3895/INDEX(FILTER('warehouse config'!$D:$D,('warehouse config'!$B:$B=C3895)*('warehouse config'!$C:$C=D3895)*('warehouse config'!$G:$G&lt;=B3895)*(('warehouse config'!$H:$H&gt;=B3895)+ISBLANK('warehouse config'!$H:$H))),1)),0))"),0.0)</f>
        <v>0</v>
      </c>
      <c r="H3895" s="3">
        <f>IFERROR(__xludf.DUMMYFUNCTION("IFERROR(INDEX(FILTER('cost master'!$E:$E,('cost master'!$B:$B=C3895)*('cost master'!$D:$D=""Storage cost per pallet / week"")*('cost master'!$G:$G&lt;=B3895)*(('cost master'!$H:$H&gt;=B3895)+ISBLANK('cost master'!$H:$H))),1),0)"),0.0)</f>
        <v>0</v>
      </c>
      <c r="I3895" s="3">
        <f t="shared" si="4"/>
        <v>0</v>
      </c>
      <c r="J3895" s="27">
        <f t="shared" si="5"/>
        <v>693947</v>
      </c>
      <c r="K3895" s="27">
        <f t="shared" si="6"/>
        <v>693977</v>
      </c>
    </row>
    <row r="3896" hidden="1">
      <c r="A3896" s="3" t="str">
        <f t="shared" si="3"/>
        <v/>
      </c>
      <c r="B3896" s="2" t="str">
        <f t="array" ref="B3896">INDEX(helper!$A$3:$A3996,ROUNDUP((ROW()-1)/COUNTA(helper!$D$3:$D3996),0))</f>
        <v/>
      </c>
      <c r="C3896" s="5" t="str">
        <f t="array" ref="C3896">IF(B3896="","",INDEX(helper!$D$3:$D3996,MOD(ROW()-2,COUNTA(helper!$D$3:$D3996))+1))</f>
        <v/>
      </c>
      <c r="D3896" s="3" t="str">
        <f t="array" ref="D3896">IF(B3896="","",INDEX(helper!$E$3:$E3996,MOD(ROW()-2,COUNTA(helper!$D$3:$D3996))+1))</f>
        <v/>
      </c>
      <c r="E3896" s="3" t="str">
        <f t="array" ref="E3896">IF(B3896="","",INDEX(helper!$F$3:$F3996,MOD(ROW()-2,COUNTA(helper!$D$3:$D3996))+1))</f>
        <v/>
      </c>
      <c r="F3896" s="3" t="str">
        <f>IF(B3896="","",SUMIFS('inventory ledger'!$H:$H,'inventory ledger'!$C:$C,C3896,'inventory ledger'!$D:$D,D3896,'inventory ledger'!$E:$E,E3896,'inventory ledger'!$A:$A,"&lt;="&amp;B3896+TIME(23,59,59))-SUMIFS('inventory ledger'!$I:$I,'inventory ledger'!$C:$C,C3896,'inventory ledger'!$D:$D,D3896,'inventory ledger'!$E:$E,E3896,'inventory ledger'!$A:$A,"&lt;="&amp;B3896+TIME(23,59,59)))</f>
        <v/>
      </c>
      <c r="G3896" s="3">
        <f>IFERROR(__xludf.DUMMYFUNCTION("IF(F3896&lt;=0,0,IFERROR(ROUNDUP(F3896/INDEX(FILTER('warehouse config'!$D:$D,('warehouse config'!$B:$B=C3896)*('warehouse config'!$C:$C=D3896)*('warehouse config'!$G:$G&lt;=B3896)*(('warehouse config'!$H:$H&gt;=B3896)+ISBLANK('warehouse config'!$H:$H))),1)),0))"),0.0)</f>
        <v>0</v>
      </c>
      <c r="H3896" s="3">
        <f>IFERROR(__xludf.DUMMYFUNCTION("IFERROR(INDEX(FILTER('cost master'!$E:$E,('cost master'!$B:$B=C3896)*('cost master'!$D:$D=""Storage cost per pallet / week"")*('cost master'!$G:$G&lt;=B3896)*(('cost master'!$H:$H&gt;=B3896)+ISBLANK('cost master'!$H:$H))),1),0)"),0.0)</f>
        <v>0</v>
      </c>
      <c r="I3896" s="3">
        <f t="shared" si="4"/>
        <v>0</v>
      </c>
      <c r="J3896" s="27">
        <f t="shared" si="5"/>
        <v>693947</v>
      </c>
      <c r="K3896" s="27">
        <f t="shared" si="6"/>
        <v>693977</v>
      </c>
    </row>
    <row r="3897" hidden="1">
      <c r="A3897" s="3" t="str">
        <f t="shared" si="3"/>
        <v/>
      </c>
      <c r="B3897" s="2" t="str">
        <f t="array" ref="B3897">INDEX(helper!$A$3:$A3996,ROUNDUP((ROW()-1)/COUNTA(helper!$D$3:$D3996),0))</f>
        <v/>
      </c>
      <c r="C3897" s="5" t="str">
        <f t="array" ref="C3897">IF(B3897="","",INDEX(helper!$D$3:$D3996,MOD(ROW()-2,COUNTA(helper!$D$3:$D3996))+1))</f>
        <v/>
      </c>
      <c r="D3897" s="3" t="str">
        <f t="array" ref="D3897">IF(B3897="","",INDEX(helper!$E$3:$E3996,MOD(ROW()-2,COUNTA(helper!$D$3:$D3996))+1))</f>
        <v/>
      </c>
      <c r="E3897" s="3" t="str">
        <f t="array" ref="E3897">IF(B3897="","",INDEX(helper!$F$3:$F3996,MOD(ROW()-2,COUNTA(helper!$D$3:$D3996))+1))</f>
        <v/>
      </c>
      <c r="F3897" s="3" t="str">
        <f>IF(B3897="","",SUMIFS('inventory ledger'!$H:$H,'inventory ledger'!$C:$C,C3897,'inventory ledger'!$D:$D,D3897,'inventory ledger'!$E:$E,E3897,'inventory ledger'!$A:$A,"&lt;="&amp;B3897+TIME(23,59,59))-SUMIFS('inventory ledger'!$I:$I,'inventory ledger'!$C:$C,C3897,'inventory ledger'!$D:$D,D3897,'inventory ledger'!$E:$E,E3897,'inventory ledger'!$A:$A,"&lt;="&amp;B3897+TIME(23,59,59)))</f>
        <v/>
      </c>
      <c r="G3897" s="3">
        <f>IFERROR(__xludf.DUMMYFUNCTION("IF(F3897&lt;=0,0,IFERROR(ROUNDUP(F3897/INDEX(FILTER('warehouse config'!$D:$D,('warehouse config'!$B:$B=C3897)*('warehouse config'!$C:$C=D3897)*('warehouse config'!$G:$G&lt;=B3897)*(('warehouse config'!$H:$H&gt;=B3897)+ISBLANK('warehouse config'!$H:$H))),1)),0))"),0.0)</f>
        <v>0</v>
      </c>
      <c r="H3897" s="3">
        <f>IFERROR(__xludf.DUMMYFUNCTION("IFERROR(INDEX(FILTER('cost master'!$E:$E,('cost master'!$B:$B=C3897)*('cost master'!$D:$D=""Storage cost per pallet / week"")*('cost master'!$G:$G&lt;=B3897)*(('cost master'!$H:$H&gt;=B3897)+ISBLANK('cost master'!$H:$H))),1),0)"),0.0)</f>
        <v>0</v>
      </c>
      <c r="I3897" s="3">
        <f t="shared" si="4"/>
        <v>0</v>
      </c>
      <c r="J3897" s="27">
        <f t="shared" si="5"/>
        <v>693947</v>
      </c>
      <c r="K3897" s="27">
        <f t="shared" si="6"/>
        <v>693977</v>
      </c>
    </row>
    <row r="3898" hidden="1">
      <c r="A3898" s="3" t="str">
        <f t="shared" si="3"/>
        <v/>
      </c>
      <c r="B3898" s="2" t="str">
        <f t="array" ref="B3898">INDEX(helper!$A$3:$A3996,ROUNDUP((ROW()-1)/COUNTA(helper!$D$3:$D3996),0))</f>
        <v/>
      </c>
      <c r="C3898" s="5" t="str">
        <f t="array" ref="C3898">IF(B3898="","",INDEX(helper!$D$3:$D3996,MOD(ROW()-2,COUNTA(helper!$D$3:$D3996))+1))</f>
        <v/>
      </c>
      <c r="D3898" s="3" t="str">
        <f t="array" ref="D3898">IF(B3898="","",INDEX(helper!$E$3:$E3996,MOD(ROW()-2,COUNTA(helper!$D$3:$D3996))+1))</f>
        <v/>
      </c>
      <c r="E3898" s="3" t="str">
        <f t="array" ref="E3898">IF(B3898="","",INDEX(helper!$F$3:$F3996,MOD(ROW()-2,COUNTA(helper!$D$3:$D3996))+1))</f>
        <v/>
      </c>
      <c r="F3898" s="3" t="str">
        <f>IF(B3898="","",SUMIFS('inventory ledger'!$H:$H,'inventory ledger'!$C:$C,C3898,'inventory ledger'!$D:$D,D3898,'inventory ledger'!$E:$E,E3898,'inventory ledger'!$A:$A,"&lt;="&amp;B3898+TIME(23,59,59))-SUMIFS('inventory ledger'!$I:$I,'inventory ledger'!$C:$C,C3898,'inventory ledger'!$D:$D,D3898,'inventory ledger'!$E:$E,E3898,'inventory ledger'!$A:$A,"&lt;="&amp;B3898+TIME(23,59,59)))</f>
        <v/>
      </c>
      <c r="G3898" s="3">
        <f>IFERROR(__xludf.DUMMYFUNCTION("IF(F3898&lt;=0,0,IFERROR(ROUNDUP(F3898/INDEX(FILTER('warehouse config'!$D:$D,('warehouse config'!$B:$B=C3898)*('warehouse config'!$C:$C=D3898)*('warehouse config'!$G:$G&lt;=B3898)*(('warehouse config'!$H:$H&gt;=B3898)+ISBLANK('warehouse config'!$H:$H))),1)),0))"),0.0)</f>
        <v>0</v>
      </c>
      <c r="H3898" s="3">
        <f>IFERROR(__xludf.DUMMYFUNCTION("IFERROR(INDEX(FILTER('cost master'!$E:$E,('cost master'!$B:$B=C3898)*('cost master'!$D:$D=""Storage cost per pallet / week"")*('cost master'!$G:$G&lt;=B3898)*(('cost master'!$H:$H&gt;=B3898)+ISBLANK('cost master'!$H:$H))),1),0)"),0.0)</f>
        <v>0</v>
      </c>
      <c r="I3898" s="3">
        <f t="shared" si="4"/>
        <v>0</v>
      </c>
      <c r="J3898" s="27">
        <f t="shared" si="5"/>
        <v>693947</v>
      </c>
      <c r="K3898" s="27">
        <f t="shared" si="6"/>
        <v>693977</v>
      </c>
    </row>
    <row r="3899" hidden="1">
      <c r="A3899" s="3" t="str">
        <f t="shared" si="3"/>
        <v/>
      </c>
      <c r="B3899" s="2" t="str">
        <f t="array" ref="B3899">INDEX(helper!$A$3:$A3996,ROUNDUP((ROW()-1)/COUNTA(helper!$D$3:$D3996),0))</f>
        <v/>
      </c>
      <c r="C3899" s="5" t="str">
        <f t="array" ref="C3899">IF(B3899="","",INDEX(helper!$D$3:$D3996,MOD(ROW()-2,COUNTA(helper!$D$3:$D3996))+1))</f>
        <v/>
      </c>
      <c r="D3899" s="3" t="str">
        <f t="array" ref="D3899">IF(B3899="","",INDEX(helper!$E$3:$E3996,MOD(ROW()-2,COUNTA(helper!$D$3:$D3996))+1))</f>
        <v/>
      </c>
      <c r="E3899" s="3" t="str">
        <f t="array" ref="E3899">IF(B3899="","",INDEX(helper!$F$3:$F3996,MOD(ROW()-2,COUNTA(helper!$D$3:$D3996))+1))</f>
        <v/>
      </c>
      <c r="F3899" s="3" t="str">
        <f>IF(B3899="","",SUMIFS('inventory ledger'!$H:$H,'inventory ledger'!$C:$C,C3899,'inventory ledger'!$D:$D,D3899,'inventory ledger'!$E:$E,E3899,'inventory ledger'!$A:$A,"&lt;="&amp;B3899+TIME(23,59,59))-SUMIFS('inventory ledger'!$I:$I,'inventory ledger'!$C:$C,C3899,'inventory ledger'!$D:$D,D3899,'inventory ledger'!$E:$E,E3899,'inventory ledger'!$A:$A,"&lt;="&amp;B3899+TIME(23,59,59)))</f>
        <v/>
      </c>
      <c r="G3899" s="3">
        <f>IFERROR(__xludf.DUMMYFUNCTION("IF(F3899&lt;=0,0,IFERROR(ROUNDUP(F3899/INDEX(FILTER('warehouse config'!$D:$D,('warehouse config'!$B:$B=C3899)*('warehouse config'!$C:$C=D3899)*('warehouse config'!$G:$G&lt;=B3899)*(('warehouse config'!$H:$H&gt;=B3899)+ISBLANK('warehouse config'!$H:$H))),1)),0))"),0.0)</f>
        <v>0</v>
      </c>
      <c r="H3899" s="3">
        <f>IFERROR(__xludf.DUMMYFUNCTION("IFERROR(INDEX(FILTER('cost master'!$E:$E,('cost master'!$B:$B=C3899)*('cost master'!$D:$D=""Storage cost per pallet / week"")*('cost master'!$G:$G&lt;=B3899)*(('cost master'!$H:$H&gt;=B3899)+ISBLANK('cost master'!$H:$H))),1),0)"),0.0)</f>
        <v>0</v>
      </c>
      <c r="I3899" s="3">
        <f t="shared" si="4"/>
        <v>0</v>
      </c>
      <c r="J3899" s="27">
        <f t="shared" si="5"/>
        <v>693947</v>
      </c>
      <c r="K3899" s="27">
        <f t="shared" si="6"/>
        <v>693977</v>
      </c>
    </row>
    <row r="3900" hidden="1">
      <c r="A3900" s="3" t="str">
        <f t="shared" si="3"/>
        <v/>
      </c>
      <c r="B3900" s="2" t="str">
        <f t="array" ref="B3900">INDEX(helper!$A$3:$A3996,ROUNDUP((ROW()-1)/COUNTA(helper!$D$3:$D3996),0))</f>
        <v/>
      </c>
      <c r="C3900" s="5" t="str">
        <f t="array" ref="C3900">IF(B3900="","",INDEX(helper!$D$3:$D3996,MOD(ROW()-2,COUNTA(helper!$D$3:$D3996))+1))</f>
        <v/>
      </c>
      <c r="D3900" s="3" t="str">
        <f t="array" ref="D3900">IF(B3900="","",INDEX(helper!$E$3:$E3996,MOD(ROW()-2,COUNTA(helper!$D$3:$D3996))+1))</f>
        <v/>
      </c>
      <c r="E3900" s="3" t="str">
        <f t="array" ref="E3900">IF(B3900="","",INDEX(helper!$F$3:$F3996,MOD(ROW()-2,COUNTA(helper!$D$3:$D3996))+1))</f>
        <v/>
      </c>
      <c r="F3900" s="3" t="str">
        <f>IF(B3900="","",SUMIFS('inventory ledger'!$H:$H,'inventory ledger'!$C:$C,C3900,'inventory ledger'!$D:$D,D3900,'inventory ledger'!$E:$E,E3900,'inventory ledger'!$A:$A,"&lt;="&amp;B3900+TIME(23,59,59))-SUMIFS('inventory ledger'!$I:$I,'inventory ledger'!$C:$C,C3900,'inventory ledger'!$D:$D,D3900,'inventory ledger'!$E:$E,E3900,'inventory ledger'!$A:$A,"&lt;="&amp;B3900+TIME(23,59,59)))</f>
        <v/>
      </c>
      <c r="G3900" s="3">
        <f>IFERROR(__xludf.DUMMYFUNCTION("IF(F3900&lt;=0,0,IFERROR(ROUNDUP(F3900/INDEX(FILTER('warehouse config'!$D:$D,('warehouse config'!$B:$B=C3900)*('warehouse config'!$C:$C=D3900)*('warehouse config'!$G:$G&lt;=B3900)*(('warehouse config'!$H:$H&gt;=B3900)+ISBLANK('warehouse config'!$H:$H))),1)),0))"),0.0)</f>
        <v>0</v>
      </c>
      <c r="H3900" s="3">
        <f>IFERROR(__xludf.DUMMYFUNCTION("IFERROR(INDEX(FILTER('cost master'!$E:$E,('cost master'!$B:$B=C3900)*('cost master'!$D:$D=""Storage cost per pallet / week"")*('cost master'!$G:$G&lt;=B3900)*(('cost master'!$H:$H&gt;=B3900)+ISBLANK('cost master'!$H:$H))),1),0)"),0.0)</f>
        <v>0</v>
      </c>
      <c r="I3900" s="3">
        <f t="shared" si="4"/>
        <v>0</v>
      </c>
      <c r="J3900" s="27">
        <f t="shared" si="5"/>
        <v>693947</v>
      </c>
      <c r="K3900" s="27">
        <f t="shared" si="6"/>
        <v>693977</v>
      </c>
    </row>
    <row r="3901" hidden="1">
      <c r="A3901" s="3" t="str">
        <f t="shared" si="3"/>
        <v/>
      </c>
      <c r="B3901" s="2" t="str">
        <f t="array" ref="B3901">INDEX(helper!$A$3:$A3996,ROUNDUP((ROW()-1)/COUNTA(helper!$D$3:$D3996),0))</f>
        <v/>
      </c>
      <c r="C3901" s="5" t="str">
        <f t="array" ref="C3901">IF(B3901="","",INDEX(helper!$D$3:$D3996,MOD(ROW()-2,COUNTA(helper!$D$3:$D3996))+1))</f>
        <v/>
      </c>
      <c r="D3901" s="3" t="str">
        <f t="array" ref="D3901">IF(B3901="","",INDEX(helper!$E$3:$E3996,MOD(ROW()-2,COUNTA(helper!$D$3:$D3996))+1))</f>
        <v/>
      </c>
      <c r="E3901" s="3" t="str">
        <f t="array" ref="E3901">IF(B3901="","",INDEX(helper!$F$3:$F3996,MOD(ROW()-2,COUNTA(helper!$D$3:$D3996))+1))</f>
        <v/>
      </c>
      <c r="F3901" s="3" t="str">
        <f>IF(B3901="","",SUMIFS('inventory ledger'!$H:$H,'inventory ledger'!$C:$C,C3901,'inventory ledger'!$D:$D,D3901,'inventory ledger'!$E:$E,E3901,'inventory ledger'!$A:$A,"&lt;="&amp;B3901+TIME(23,59,59))-SUMIFS('inventory ledger'!$I:$I,'inventory ledger'!$C:$C,C3901,'inventory ledger'!$D:$D,D3901,'inventory ledger'!$E:$E,E3901,'inventory ledger'!$A:$A,"&lt;="&amp;B3901+TIME(23,59,59)))</f>
        <v/>
      </c>
      <c r="G3901" s="3">
        <f>IFERROR(__xludf.DUMMYFUNCTION("IF(F3901&lt;=0,0,IFERROR(ROUNDUP(F3901/INDEX(FILTER('warehouse config'!$D:$D,('warehouse config'!$B:$B=C3901)*('warehouse config'!$C:$C=D3901)*('warehouse config'!$G:$G&lt;=B3901)*(('warehouse config'!$H:$H&gt;=B3901)+ISBLANK('warehouse config'!$H:$H))),1)),0))"),0.0)</f>
        <v>0</v>
      </c>
      <c r="H3901" s="3">
        <f>IFERROR(__xludf.DUMMYFUNCTION("IFERROR(INDEX(FILTER('cost master'!$E:$E,('cost master'!$B:$B=C3901)*('cost master'!$D:$D=""Storage cost per pallet / week"")*('cost master'!$G:$G&lt;=B3901)*(('cost master'!$H:$H&gt;=B3901)+ISBLANK('cost master'!$H:$H))),1),0)"),0.0)</f>
        <v>0</v>
      </c>
      <c r="I3901" s="3">
        <f t="shared" si="4"/>
        <v>0</v>
      </c>
      <c r="J3901" s="27">
        <f t="shared" si="5"/>
        <v>693947</v>
      </c>
      <c r="K3901" s="27">
        <f t="shared" si="6"/>
        <v>693977</v>
      </c>
    </row>
    <row r="3902" hidden="1">
      <c r="A3902" s="3" t="str">
        <f t="shared" si="3"/>
        <v/>
      </c>
      <c r="B3902" s="2" t="str">
        <f t="array" ref="B3902">INDEX(helper!$A$3:$A3996,ROUNDUP((ROW()-1)/COUNTA(helper!$D$3:$D3996),0))</f>
        <v/>
      </c>
      <c r="C3902" s="5" t="str">
        <f t="array" ref="C3902">IF(B3902="","",INDEX(helper!$D$3:$D3996,MOD(ROW()-2,COUNTA(helper!$D$3:$D3996))+1))</f>
        <v/>
      </c>
      <c r="D3902" s="3" t="str">
        <f t="array" ref="D3902">IF(B3902="","",INDEX(helper!$E$3:$E3996,MOD(ROW()-2,COUNTA(helper!$D$3:$D3996))+1))</f>
        <v/>
      </c>
      <c r="E3902" s="3" t="str">
        <f t="array" ref="E3902">IF(B3902="","",INDEX(helper!$F$3:$F3996,MOD(ROW()-2,COUNTA(helper!$D$3:$D3996))+1))</f>
        <v/>
      </c>
      <c r="F3902" s="3" t="str">
        <f>IF(B3902="","",SUMIFS('inventory ledger'!$H:$H,'inventory ledger'!$C:$C,C3902,'inventory ledger'!$D:$D,D3902,'inventory ledger'!$E:$E,E3902,'inventory ledger'!$A:$A,"&lt;="&amp;B3902+TIME(23,59,59))-SUMIFS('inventory ledger'!$I:$I,'inventory ledger'!$C:$C,C3902,'inventory ledger'!$D:$D,D3902,'inventory ledger'!$E:$E,E3902,'inventory ledger'!$A:$A,"&lt;="&amp;B3902+TIME(23,59,59)))</f>
        <v/>
      </c>
      <c r="G3902" s="3">
        <f>IFERROR(__xludf.DUMMYFUNCTION("IF(F3902&lt;=0,0,IFERROR(ROUNDUP(F3902/INDEX(FILTER('warehouse config'!$D:$D,('warehouse config'!$B:$B=C3902)*('warehouse config'!$C:$C=D3902)*('warehouse config'!$G:$G&lt;=B3902)*(('warehouse config'!$H:$H&gt;=B3902)+ISBLANK('warehouse config'!$H:$H))),1)),0))"),0.0)</f>
        <v>0</v>
      </c>
      <c r="H3902" s="3">
        <f>IFERROR(__xludf.DUMMYFUNCTION("IFERROR(INDEX(FILTER('cost master'!$E:$E,('cost master'!$B:$B=C3902)*('cost master'!$D:$D=""Storage cost per pallet / week"")*('cost master'!$G:$G&lt;=B3902)*(('cost master'!$H:$H&gt;=B3902)+ISBLANK('cost master'!$H:$H))),1),0)"),0.0)</f>
        <v>0</v>
      </c>
      <c r="I3902" s="3">
        <f t="shared" si="4"/>
        <v>0</v>
      </c>
      <c r="J3902" s="27">
        <f t="shared" si="5"/>
        <v>693947</v>
      </c>
      <c r="K3902" s="27">
        <f t="shared" si="6"/>
        <v>693977</v>
      </c>
    </row>
    <row r="3903" hidden="1">
      <c r="A3903" s="3" t="str">
        <f t="shared" si="3"/>
        <v/>
      </c>
      <c r="B3903" s="2" t="str">
        <f t="array" ref="B3903">INDEX(helper!$A$3:$A3996,ROUNDUP((ROW()-1)/COUNTA(helper!$D$3:$D3996),0))</f>
        <v/>
      </c>
      <c r="C3903" s="5" t="str">
        <f t="array" ref="C3903">IF(B3903="","",INDEX(helper!$D$3:$D3996,MOD(ROW()-2,COUNTA(helper!$D$3:$D3996))+1))</f>
        <v/>
      </c>
      <c r="D3903" s="3" t="str">
        <f t="array" ref="D3903">IF(B3903="","",INDEX(helper!$E$3:$E3996,MOD(ROW()-2,COUNTA(helper!$D$3:$D3996))+1))</f>
        <v/>
      </c>
      <c r="E3903" s="3" t="str">
        <f t="array" ref="E3903">IF(B3903="","",INDEX(helper!$F$3:$F3996,MOD(ROW()-2,COUNTA(helper!$D$3:$D3996))+1))</f>
        <v/>
      </c>
      <c r="F3903" s="3" t="str">
        <f>IF(B3903="","",SUMIFS('inventory ledger'!$H:$H,'inventory ledger'!$C:$C,C3903,'inventory ledger'!$D:$D,D3903,'inventory ledger'!$E:$E,E3903,'inventory ledger'!$A:$A,"&lt;="&amp;B3903+TIME(23,59,59))-SUMIFS('inventory ledger'!$I:$I,'inventory ledger'!$C:$C,C3903,'inventory ledger'!$D:$D,D3903,'inventory ledger'!$E:$E,E3903,'inventory ledger'!$A:$A,"&lt;="&amp;B3903+TIME(23,59,59)))</f>
        <v/>
      </c>
      <c r="G3903" s="3">
        <f>IFERROR(__xludf.DUMMYFUNCTION("IF(F3903&lt;=0,0,IFERROR(ROUNDUP(F3903/INDEX(FILTER('warehouse config'!$D:$D,('warehouse config'!$B:$B=C3903)*('warehouse config'!$C:$C=D3903)*('warehouse config'!$G:$G&lt;=B3903)*(('warehouse config'!$H:$H&gt;=B3903)+ISBLANK('warehouse config'!$H:$H))),1)),0))"),0.0)</f>
        <v>0</v>
      </c>
      <c r="H3903" s="3">
        <f>IFERROR(__xludf.DUMMYFUNCTION("IFERROR(INDEX(FILTER('cost master'!$E:$E,('cost master'!$B:$B=C3903)*('cost master'!$D:$D=""Storage cost per pallet / week"")*('cost master'!$G:$G&lt;=B3903)*(('cost master'!$H:$H&gt;=B3903)+ISBLANK('cost master'!$H:$H))),1),0)"),0.0)</f>
        <v>0</v>
      </c>
      <c r="I3903" s="3">
        <f t="shared" si="4"/>
        <v>0</v>
      </c>
      <c r="J3903" s="27">
        <f t="shared" si="5"/>
        <v>693947</v>
      </c>
      <c r="K3903" s="27">
        <f t="shared" si="6"/>
        <v>693977</v>
      </c>
    </row>
    <row r="3904" hidden="1">
      <c r="A3904" s="3" t="str">
        <f t="shared" si="3"/>
        <v/>
      </c>
      <c r="B3904" s="2" t="str">
        <f t="array" ref="B3904">INDEX(helper!$A$3:$A3996,ROUNDUP((ROW()-1)/COUNTA(helper!$D$3:$D3996),0))</f>
        <v/>
      </c>
      <c r="C3904" s="5" t="str">
        <f t="array" ref="C3904">IF(B3904="","",INDEX(helper!$D$3:$D3996,MOD(ROW()-2,COUNTA(helper!$D$3:$D3996))+1))</f>
        <v/>
      </c>
      <c r="D3904" s="3" t="str">
        <f t="array" ref="D3904">IF(B3904="","",INDEX(helper!$E$3:$E3996,MOD(ROW()-2,COUNTA(helper!$D$3:$D3996))+1))</f>
        <v/>
      </c>
      <c r="E3904" s="3" t="str">
        <f t="array" ref="E3904">IF(B3904="","",INDEX(helper!$F$3:$F3996,MOD(ROW()-2,COUNTA(helper!$D$3:$D3996))+1))</f>
        <v/>
      </c>
      <c r="F3904" s="3" t="str">
        <f>IF(B3904="","",SUMIFS('inventory ledger'!$H:$H,'inventory ledger'!$C:$C,C3904,'inventory ledger'!$D:$D,D3904,'inventory ledger'!$E:$E,E3904,'inventory ledger'!$A:$A,"&lt;="&amp;B3904+TIME(23,59,59))-SUMIFS('inventory ledger'!$I:$I,'inventory ledger'!$C:$C,C3904,'inventory ledger'!$D:$D,D3904,'inventory ledger'!$E:$E,E3904,'inventory ledger'!$A:$A,"&lt;="&amp;B3904+TIME(23,59,59)))</f>
        <v/>
      </c>
      <c r="G3904" s="3">
        <f>IFERROR(__xludf.DUMMYFUNCTION("IF(F3904&lt;=0,0,IFERROR(ROUNDUP(F3904/INDEX(FILTER('warehouse config'!$D:$D,('warehouse config'!$B:$B=C3904)*('warehouse config'!$C:$C=D3904)*('warehouse config'!$G:$G&lt;=B3904)*(('warehouse config'!$H:$H&gt;=B3904)+ISBLANK('warehouse config'!$H:$H))),1)),0))"),0.0)</f>
        <v>0</v>
      </c>
      <c r="H3904" s="3">
        <f>IFERROR(__xludf.DUMMYFUNCTION("IFERROR(INDEX(FILTER('cost master'!$E:$E,('cost master'!$B:$B=C3904)*('cost master'!$D:$D=""Storage cost per pallet / week"")*('cost master'!$G:$G&lt;=B3904)*(('cost master'!$H:$H&gt;=B3904)+ISBLANK('cost master'!$H:$H))),1),0)"),0.0)</f>
        <v>0</v>
      </c>
      <c r="I3904" s="3">
        <f t="shared" si="4"/>
        <v>0</v>
      </c>
      <c r="J3904" s="27">
        <f t="shared" si="5"/>
        <v>693947</v>
      </c>
      <c r="K3904" s="27">
        <f t="shared" si="6"/>
        <v>693977</v>
      </c>
    </row>
    <row r="3905" hidden="1">
      <c r="A3905" s="3" t="str">
        <f t="shared" si="3"/>
        <v/>
      </c>
      <c r="B3905" s="2" t="str">
        <f t="array" ref="B3905">INDEX(helper!$A$3:$A3996,ROUNDUP((ROW()-1)/COUNTA(helper!$D$3:$D3996),0))</f>
        <v/>
      </c>
      <c r="C3905" s="5" t="str">
        <f t="array" ref="C3905">IF(B3905="","",INDEX(helper!$D$3:$D3996,MOD(ROW()-2,COUNTA(helper!$D$3:$D3996))+1))</f>
        <v/>
      </c>
      <c r="D3905" s="3" t="str">
        <f t="array" ref="D3905">IF(B3905="","",INDEX(helper!$E$3:$E3996,MOD(ROW()-2,COUNTA(helper!$D$3:$D3996))+1))</f>
        <v/>
      </c>
      <c r="E3905" s="3" t="str">
        <f t="array" ref="E3905">IF(B3905="","",INDEX(helper!$F$3:$F3996,MOD(ROW()-2,COUNTA(helper!$D$3:$D3996))+1))</f>
        <v/>
      </c>
      <c r="F3905" s="3" t="str">
        <f>IF(B3905="","",SUMIFS('inventory ledger'!$H:$H,'inventory ledger'!$C:$C,C3905,'inventory ledger'!$D:$D,D3905,'inventory ledger'!$E:$E,E3905,'inventory ledger'!$A:$A,"&lt;="&amp;B3905+TIME(23,59,59))-SUMIFS('inventory ledger'!$I:$I,'inventory ledger'!$C:$C,C3905,'inventory ledger'!$D:$D,D3905,'inventory ledger'!$E:$E,E3905,'inventory ledger'!$A:$A,"&lt;="&amp;B3905+TIME(23,59,59)))</f>
        <v/>
      </c>
      <c r="G3905" s="3">
        <f>IFERROR(__xludf.DUMMYFUNCTION("IF(F3905&lt;=0,0,IFERROR(ROUNDUP(F3905/INDEX(FILTER('warehouse config'!$D:$D,('warehouse config'!$B:$B=C3905)*('warehouse config'!$C:$C=D3905)*('warehouse config'!$G:$G&lt;=B3905)*(('warehouse config'!$H:$H&gt;=B3905)+ISBLANK('warehouse config'!$H:$H))),1)),0))"),0.0)</f>
        <v>0</v>
      </c>
      <c r="H3905" s="3">
        <f>IFERROR(__xludf.DUMMYFUNCTION("IFERROR(INDEX(FILTER('cost master'!$E:$E,('cost master'!$B:$B=C3905)*('cost master'!$D:$D=""Storage cost per pallet / week"")*('cost master'!$G:$G&lt;=B3905)*(('cost master'!$H:$H&gt;=B3905)+ISBLANK('cost master'!$H:$H))),1),0)"),0.0)</f>
        <v>0</v>
      </c>
      <c r="I3905" s="3">
        <f t="shared" si="4"/>
        <v>0</v>
      </c>
      <c r="J3905" s="27">
        <f t="shared" si="5"/>
        <v>693947</v>
      </c>
      <c r="K3905" s="27">
        <f t="shared" si="6"/>
        <v>693977</v>
      </c>
    </row>
    <row r="3906" hidden="1">
      <c r="A3906" s="3" t="str">
        <f t="shared" si="3"/>
        <v/>
      </c>
      <c r="B3906" s="2" t="str">
        <f t="array" ref="B3906">INDEX(helper!$A$3:$A3996,ROUNDUP((ROW()-1)/COUNTA(helper!$D$3:$D3996),0))</f>
        <v/>
      </c>
      <c r="C3906" s="5" t="str">
        <f t="array" ref="C3906">IF(B3906="","",INDEX(helper!$D$3:$D3996,MOD(ROW()-2,COUNTA(helper!$D$3:$D3996))+1))</f>
        <v/>
      </c>
      <c r="D3906" s="3" t="str">
        <f t="array" ref="D3906">IF(B3906="","",INDEX(helper!$E$3:$E3996,MOD(ROW()-2,COUNTA(helper!$D$3:$D3996))+1))</f>
        <v/>
      </c>
      <c r="E3906" s="3" t="str">
        <f t="array" ref="E3906">IF(B3906="","",INDEX(helper!$F$3:$F3996,MOD(ROW()-2,COUNTA(helper!$D$3:$D3996))+1))</f>
        <v/>
      </c>
      <c r="F3906" s="3" t="str">
        <f>IF(B3906="","",SUMIFS('inventory ledger'!$H:$H,'inventory ledger'!$C:$C,C3906,'inventory ledger'!$D:$D,D3906,'inventory ledger'!$E:$E,E3906,'inventory ledger'!$A:$A,"&lt;="&amp;B3906+TIME(23,59,59))-SUMIFS('inventory ledger'!$I:$I,'inventory ledger'!$C:$C,C3906,'inventory ledger'!$D:$D,D3906,'inventory ledger'!$E:$E,E3906,'inventory ledger'!$A:$A,"&lt;="&amp;B3906+TIME(23,59,59)))</f>
        <v/>
      </c>
      <c r="G3906" s="3">
        <f>IFERROR(__xludf.DUMMYFUNCTION("IF(F3906&lt;=0,0,IFERROR(ROUNDUP(F3906/INDEX(FILTER('warehouse config'!$D:$D,('warehouse config'!$B:$B=C3906)*('warehouse config'!$C:$C=D3906)*('warehouse config'!$G:$G&lt;=B3906)*(('warehouse config'!$H:$H&gt;=B3906)+ISBLANK('warehouse config'!$H:$H))),1)),0))"),0.0)</f>
        <v>0</v>
      </c>
      <c r="H3906" s="3">
        <f>IFERROR(__xludf.DUMMYFUNCTION("IFERROR(INDEX(FILTER('cost master'!$E:$E,('cost master'!$B:$B=C3906)*('cost master'!$D:$D=""Storage cost per pallet / week"")*('cost master'!$G:$G&lt;=B3906)*(('cost master'!$H:$H&gt;=B3906)+ISBLANK('cost master'!$H:$H))),1),0)"),0.0)</f>
        <v>0</v>
      </c>
      <c r="I3906" s="3">
        <f t="shared" si="4"/>
        <v>0</v>
      </c>
      <c r="J3906" s="27">
        <f t="shared" si="5"/>
        <v>693947</v>
      </c>
      <c r="K3906" s="27">
        <f t="shared" si="6"/>
        <v>693977</v>
      </c>
    </row>
    <row r="3907" hidden="1">
      <c r="A3907" s="3" t="str">
        <f t="shared" si="3"/>
        <v/>
      </c>
      <c r="B3907" s="2" t="str">
        <f t="array" ref="B3907">INDEX(helper!$A$3:$A3996,ROUNDUP((ROW()-1)/COUNTA(helper!$D$3:$D3996),0))</f>
        <v/>
      </c>
      <c r="C3907" s="5" t="str">
        <f t="array" ref="C3907">IF(B3907="","",INDEX(helper!$D$3:$D3996,MOD(ROW()-2,COUNTA(helper!$D$3:$D3996))+1))</f>
        <v/>
      </c>
      <c r="D3907" s="3" t="str">
        <f t="array" ref="D3907">IF(B3907="","",INDEX(helper!$E$3:$E3996,MOD(ROW()-2,COUNTA(helper!$D$3:$D3996))+1))</f>
        <v/>
      </c>
      <c r="E3907" s="3" t="str">
        <f t="array" ref="E3907">IF(B3907="","",INDEX(helper!$F$3:$F3996,MOD(ROW()-2,COUNTA(helper!$D$3:$D3996))+1))</f>
        <v/>
      </c>
      <c r="F3907" s="3" t="str">
        <f>IF(B3907="","",SUMIFS('inventory ledger'!$H:$H,'inventory ledger'!$C:$C,C3907,'inventory ledger'!$D:$D,D3907,'inventory ledger'!$E:$E,E3907,'inventory ledger'!$A:$A,"&lt;="&amp;B3907+TIME(23,59,59))-SUMIFS('inventory ledger'!$I:$I,'inventory ledger'!$C:$C,C3907,'inventory ledger'!$D:$D,D3907,'inventory ledger'!$E:$E,E3907,'inventory ledger'!$A:$A,"&lt;="&amp;B3907+TIME(23,59,59)))</f>
        <v/>
      </c>
      <c r="G3907" s="3">
        <f>IFERROR(__xludf.DUMMYFUNCTION("IF(F3907&lt;=0,0,IFERROR(ROUNDUP(F3907/INDEX(FILTER('warehouse config'!$D:$D,('warehouse config'!$B:$B=C3907)*('warehouse config'!$C:$C=D3907)*('warehouse config'!$G:$G&lt;=B3907)*(('warehouse config'!$H:$H&gt;=B3907)+ISBLANK('warehouse config'!$H:$H))),1)),0))"),0.0)</f>
        <v>0</v>
      </c>
      <c r="H3907" s="3">
        <f>IFERROR(__xludf.DUMMYFUNCTION("IFERROR(INDEX(FILTER('cost master'!$E:$E,('cost master'!$B:$B=C3907)*('cost master'!$D:$D=""Storage cost per pallet / week"")*('cost master'!$G:$G&lt;=B3907)*(('cost master'!$H:$H&gt;=B3907)+ISBLANK('cost master'!$H:$H))),1),0)"),0.0)</f>
        <v>0</v>
      </c>
      <c r="I3907" s="3">
        <f t="shared" si="4"/>
        <v>0</v>
      </c>
      <c r="J3907" s="27">
        <f t="shared" si="5"/>
        <v>693947</v>
      </c>
      <c r="K3907" s="27">
        <f t="shared" si="6"/>
        <v>693977</v>
      </c>
    </row>
    <row r="3908" hidden="1">
      <c r="A3908" s="3" t="str">
        <f t="shared" si="3"/>
        <v/>
      </c>
      <c r="B3908" s="2" t="str">
        <f t="array" ref="B3908">INDEX(helper!$A$3:$A3996,ROUNDUP((ROW()-1)/COUNTA(helper!$D$3:$D3996),0))</f>
        <v/>
      </c>
      <c r="C3908" s="5" t="str">
        <f t="array" ref="C3908">IF(B3908="","",INDEX(helper!$D$3:$D3996,MOD(ROW()-2,COUNTA(helper!$D$3:$D3996))+1))</f>
        <v/>
      </c>
      <c r="D3908" s="3" t="str">
        <f t="array" ref="D3908">IF(B3908="","",INDEX(helper!$E$3:$E3996,MOD(ROW()-2,COUNTA(helper!$D$3:$D3996))+1))</f>
        <v/>
      </c>
      <c r="E3908" s="3" t="str">
        <f t="array" ref="E3908">IF(B3908="","",INDEX(helper!$F$3:$F3996,MOD(ROW()-2,COUNTA(helper!$D$3:$D3996))+1))</f>
        <v/>
      </c>
      <c r="F3908" s="3" t="str">
        <f>IF(B3908="","",SUMIFS('inventory ledger'!$H:$H,'inventory ledger'!$C:$C,C3908,'inventory ledger'!$D:$D,D3908,'inventory ledger'!$E:$E,E3908,'inventory ledger'!$A:$A,"&lt;="&amp;B3908+TIME(23,59,59))-SUMIFS('inventory ledger'!$I:$I,'inventory ledger'!$C:$C,C3908,'inventory ledger'!$D:$D,D3908,'inventory ledger'!$E:$E,E3908,'inventory ledger'!$A:$A,"&lt;="&amp;B3908+TIME(23,59,59)))</f>
        <v/>
      </c>
      <c r="G3908" s="3">
        <f>IFERROR(__xludf.DUMMYFUNCTION("IF(F3908&lt;=0,0,IFERROR(ROUNDUP(F3908/INDEX(FILTER('warehouse config'!$D:$D,('warehouse config'!$B:$B=C3908)*('warehouse config'!$C:$C=D3908)*('warehouse config'!$G:$G&lt;=B3908)*(('warehouse config'!$H:$H&gt;=B3908)+ISBLANK('warehouse config'!$H:$H))),1)),0))"),0.0)</f>
        <v>0</v>
      </c>
      <c r="H3908" s="3">
        <f>IFERROR(__xludf.DUMMYFUNCTION("IFERROR(INDEX(FILTER('cost master'!$E:$E,('cost master'!$B:$B=C3908)*('cost master'!$D:$D=""Storage cost per pallet / week"")*('cost master'!$G:$G&lt;=B3908)*(('cost master'!$H:$H&gt;=B3908)+ISBLANK('cost master'!$H:$H))),1),0)"),0.0)</f>
        <v>0</v>
      </c>
      <c r="I3908" s="3">
        <f t="shared" si="4"/>
        <v>0</v>
      </c>
      <c r="J3908" s="27">
        <f t="shared" si="5"/>
        <v>693947</v>
      </c>
      <c r="K3908" s="27">
        <f t="shared" si="6"/>
        <v>693977</v>
      </c>
    </row>
    <row r="3909" hidden="1">
      <c r="A3909" s="3" t="str">
        <f t="shared" si="3"/>
        <v/>
      </c>
      <c r="B3909" s="2" t="str">
        <f t="array" ref="B3909">INDEX(helper!$A$3:$A3996,ROUNDUP((ROW()-1)/COUNTA(helper!$D$3:$D3996),0))</f>
        <v/>
      </c>
      <c r="C3909" s="5" t="str">
        <f t="array" ref="C3909">IF(B3909="","",INDEX(helper!$D$3:$D3996,MOD(ROW()-2,COUNTA(helper!$D$3:$D3996))+1))</f>
        <v/>
      </c>
      <c r="D3909" s="3" t="str">
        <f t="array" ref="D3909">IF(B3909="","",INDEX(helper!$E$3:$E3996,MOD(ROW()-2,COUNTA(helper!$D$3:$D3996))+1))</f>
        <v/>
      </c>
      <c r="E3909" s="3" t="str">
        <f t="array" ref="E3909">IF(B3909="","",INDEX(helper!$F$3:$F3996,MOD(ROW()-2,COUNTA(helper!$D$3:$D3996))+1))</f>
        <v/>
      </c>
      <c r="F3909" s="3" t="str">
        <f>IF(B3909="","",SUMIFS('inventory ledger'!$H:$H,'inventory ledger'!$C:$C,C3909,'inventory ledger'!$D:$D,D3909,'inventory ledger'!$E:$E,E3909,'inventory ledger'!$A:$A,"&lt;="&amp;B3909+TIME(23,59,59))-SUMIFS('inventory ledger'!$I:$I,'inventory ledger'!$C:$C,C3909,'inventory ledger'!$D:$D,D3909,'inventory ledger'!$E:$E,E3909,'inventory ledger'!$A:$A,"&lt;="&amp;B3909+TIME(23,59,59)))</f>
        <v/>
      </c>
      <c r="G3909" s="3">
        <f>IFERROR(__xludf.DUMMYFUNCTION("IF(F3909&lt;=0,0,IFERROR(ROUNDUP(F3909/INDEX(FILTER('warehouse config'!$D:$D,('warehouse config'!$B:$B=C3909)*('warehouse config'!$C:$C=D3909)*('warehouse config'!$G:$G&lt;=B3909)*(('warehouse config'!$H:$H&gt;=B3909)+ISBLANK('warehouse config'!$H:$H))),1)),0))"),0.0)</f>
        <v>0</v>
      </c>
      <c r="H3909" s="3">
        <f>IFERROR(__xludf.DUMMYFUNCTION("IFERROR(INDEX(FILTER('cost master'!$E:$E,('cost master'!$B:$B=C3909)*('cost master'!$D:$D=""Storage cost per pallet / week"")*('cost master'!$G:$G&lt;=B3909)*(('cost master'!$H:$H&gt;=B3909)+ISBLANK('cost master'!$H:$H))),1),0)"),0.0)</f>
        <v>0</v>
      </c>
      <c r="I3909" s="3">
        <f t="shared" si="4"/>
        <v>0</v>
      </c>
      <c r="J3909" s="27">
        <f t="shared" si="5"/>
        <v>693947</v>
      </c>
      <c r="K3909" s="27">
        <f t="shared" si="6"/>
        <v>693977</v>
      </c>
    </row>
    <row r="3910" hidden="1">
      <c r="A3910" s="3" t="str">
        <f t="shared" si="3"/>
        <v/>
      </c>
      <c r="B3910" s="2" t="str">
        <f t="array" ref="B3910">INDEX(helper!$A$3:$A3996,ROUNDUP((ROW()-1)/COUNTA(helper!$D$3:$D3996),0))</f>
        <v/>
      </c>
      <c r="C3910" s="5" t="str">
        <f t="array" ref="C3910">IF(B3910="","",INDEX(helper!$D$3:$D3996,MOD(ROW()-2,COUNTA(helper!$D$3:$D3996))+1))</f>
        <v/>
      </c>
      <c r="D3910" s="3" t="str">
        <f t="array" ref="D3910">IF(B3910="","",INDEX(helper!$E$3:$E3996,MOD(ROW()-2,COUNTA(helper!$D$3:$D3996))+1))</f>
        <v/>
      </c>
      <c r="E3910" s="3" t="str">
        <f t="array" ref="E3910">IF(B3910="","",INDEX(helper!$F$3:$F3996,MOD(ROW()-2,COUNTA(helper!$D$3:$D3996))+1))</f>
        <v/>
      </c>
      <c r="F3910" s="3" t="str">
        <f>IF(B3910="","",SUMIFS('inventory ledger'!$H:$H,'inventory ledger'!$C:$C,C3910,'inventory ledger'!$D:$D,D3910,'inventory ledger'!$E:$E,E3910,'inventory ledger'!$A:$A,"&lt;="&amp;B3910+TIME(23,59,59))-SUMIFS('inventory ledger'!$I:$I,'inventory ledger'!$C:$C,C3910,'inventory ledger'!$D:$D,D3910,'inventory ledger'!$E:$E,E3910,'inventory ledger'!$A:$A,"&lt;="&amp;B3910+TIME(23,59,59)))</f>
        <v/>
      </c>
      <c r="G3910" s="3">
        <f>IFERROR(__xludf.DUMMYFUNCTION("IF(F3910&lt;=0,0,IFERROR(ROUNDUP(F3910/INDEX(FILTER('warehouse config'!$D:$D,('warehouse config'!$B:$B=C3910)*('warehouse config'!$C:$C=D3910)*('warehouse config'!$G:$G&lt;=B3910)*(('warehouse config'!$H:$H&gt;=B3910)+ISBLANK('warehouse config'!$H:$H))),1)),0))"),0.0)</f>
        <v>0</v>
      </c>
      <c r="H3910" s="3">
        <f>IFERROR(__xludf.DUMMYFUNCTION("IFERROR(INDEX(FILTER('cost master'!$E:$E,('cost master'!$B:$B=C3910)*('cost master'!$D:$D=""Storage cost per pallet / week"")*('cost master'!$G:$G&lt;=B3910)*(('cost master'!$H:$H&gt;=B3910)+ISBLANK('cost master'!$H:$H))),1),0)"),0.0)</f>
        <v>0</v>
      </c>
      <c r="I3910" s="3">
        <f t="shared" si="4"/>
        <v>0</v>
      </c>
      <c r="J3910" s="27">
        <f t="shared" si="5"/>
        <v>693947</v>
      </c>
      <c r="K3910" s="27">
        <f t="shared" si="6"/>
        <v>693977</v>
      </c>
    </row>
    <row r="3911" hidden="1">
      <c r="A3911" s="3" t="str">
        <f t="shared" si="3"/>
        <v/>
      </c>
      <c r="B3911" s="2" t="str">
        <f t="array" ref="B3911">INDEX(helper!$A$3:$A3996,ROUNDUP((ROW()-1)/COUNTA(helper!$D$3:$D3996),0))</f>
        <v/>
      </c>
      <c r="C3911" s="5" t="str">
        <f t="array" ref="C3911">IF(B3911="","",INDEX(helper!$D$3:$D3996,MOD(ROW()-2,COUNTA(helper!$D$3:$D3996))+1))</f>
        <v/>
      </c>
      <c r="D3911" s="3" t="str">
        <f t="array" ref="D3911">IF(B3911="","",INDEX(helper!$E$3:$E3996,MOD(ROW()-2,COUNTA(helper!$D$3:$D3996))+1))</f>
        <v/>
      </c>
      <c r="E3911" s="3" t="str">
        <f t="array" ref="E3911">IF(B3911="","",INDEX(helper!$F$3:$F3996,MOD(ROW()-2,COUNTA(helper!$D$3:$D3996))+1))</f>
        <v/>
      </c>
      <c r="F3911" s="3" t="str">
        <f>IF(B3911="","",SUMIFS('inventory ledger'!$H:$H,'inventory ledger'!$C:$C,C3911,'inventory ledger'!$D:$D,D3911,'inventory ledger'!$E:$E,E3911,'inventory ledger'!$A:$A,"&lt;="&amp;B3911+TIME(23,59,59))-SUMIFS('inventory ledger'!$I:$I,'inventory ledger'!$C:$C,C3911,'inventory ledger'!$D:$D,D3911,'inventory ledger'!$E:$E,E3911,'inventory ledger'!$A:$A,"&lt;="&amp;B3911+TIME(23,59,59)))</f>
        <v/>
      </c>
      <c r="G3911" s="3">
        <f>IFERROR(__xludf.DUMMYFUNCTION("IF(F3911&lt;=0,0,IFERROR(ROUNDUP(F3911/INDEX(FILTER('warehouse config'!$D:$D,('warehouse config'!$B:$B=C3911)*('warehouse config'!$C:$C=D3911)*('warehouse config'!$G:$G&lt;=B3911)*(('warehouse config'!$H:$H&gt;=B3911)+ISBLANK('warehouse config'!$H:$H))),1)),0))"),0.0)</f>
        <v>0</v>
      </c>
      <c r="H3911" s="3">
        <f>IFERROR(__xludf.DUMMYFUNCTION("IFERROR(INDEX(FILTER('cost master'!$E:$E,('cost master'!$B:$B=C3911)*('cost master'!$D:$D=""Storage cost per pallet / week"")*('cost master'!$G:$G&lt;=B3911)*(('cost master'!$H:$H&gt;=B3911)+ISBLANK('cost master'!$H:$H))),1),0)"),0.0)</f>
        <v>0</v>
      </c>
      <c r="I3911" s="3">
        <f t="shared" si="4"/>
        <v>0</v>
      </c>
      <c r="J3911" s="27">
        <f t="shared" si="5"/>
        <v>693947</v>
      </c>
      <c r="K3911" s="27">
        <f t="shared" si="6"/>
        <v>693977</v>
      </c>
    </row>
    <row r="3912" hidden="1">
      <c r="A3912" s="3" t="str">
        <f t="shared" si="3"/>
        <v/>
      </c>
      <c r="B3912" s="2" t="str">
        <f t="array" ref="B3912">INDEX(helper!$A$3:$A3996,ROUNDUP((ROW()-1)/COUNTA(helper!$D$3:$D3996),0))</f>
        <v/>
      </c>
      <c r="C3912" s="5" t="str">
        <f t="array" ref="C3912">IF(B3912="","",INDEX(helper!$D$3:$D3996,MOD(ROW()-2,COUNTA(helper!$D$3:$D3996))+1))</f>
        <v/>
      </c>
      <c r="D3912" s="3" t="str">
        <f t="array" ref="D3912">IF(B3912="","",INDEX(helper!$E$3:$E3996,MOD(ROW()-2,COUNTA(helper!$D$3:$D3996))+1))</f>
        <v/>
      </c>
      <c r="E3912" s="3" t="str">
        <f t="array" ref="E3912">IF(B3912="","",INDEX(helper!$F$3:$F3996,MOD(ROW()-2,COUNTA(helper!$D$3:$D3996))+1))</f>
        <v/>
      </c>
      <c r="F3912" s="3" t="str">
        <f>IF(B3912="","",SUMIFS('inventory ledger'!$H:$H,'inventory ledger'!$C:$C,C3912,'inventory ledger'!$D:$D,D3912,'inventory ledger'!$E:$E,E3912,'inventory ledger'!$A:$A,"&lt;="&amp;B3912+TIME(23,59,59))-SUMIFS('inventory ledger'!$I:$I,'inventory ledger'!$C:$C,C3912,'inventory ledger'!$D:$D,D3912,'inventory ledger'!$E:$E,E3912,'inventory ledger'!$A:$A,"&lt;="&amp;B3912+TIME(23,59,59)))</f>
        <v/>
      </c>
      <c r="G3912" s="3">
        <f>IFERROR(__xludf.DUMMYFUNCTION("IF(F3912&lt;=0,0,IFERROR(ROUNDUP(F3912/INDEX(FILTER('warehouse config'!$D:$D,('warehouse config'!$B:$B=C3912)*('warehouse config'!$C:$C=D3912)*('warehouse config'!$G:$G&lt;=B3912)*(('warehouse config'!$H:$H&gt;=B3912)+ISBLANK('warehouse config'!$H:$H))),1)),0))"),0.0)</f>
        <v>0</v>
      </c>
      <c r="H3912" s="3">
        <f>IFERROR(__xludf.DUMMYFUNCTION("IFERROR(INDEX(FILTER('cost master'!$E:$E,('cost master'!$B:$B=C3912)*('cost master'!$D:$D=""Storage cost per pallet / week"")*('cost master'!$G:$G&lt;=B3912)*(('cost master'!$H:$H&gt;=B3912)+ISBLANK('cost master'!$H:$H))),1),0)"),0.0)</f>
        <v>0</v>
      </c>
      <c r="I3912" s="3">
        <f t="shared" si="4"/>
        <v>0</v>
      </c>
      <c r="J3912" s="27">
        <f t="shared" si="5"/>
        <v>693947</v>
      </c>
      <c r="K3912" s="27">
        <f t="shared" si="6"/>
        <v>693977</v>
      </c>
    </row>
    <row r="3913" hidden="1">
      <c r="A3913" s="3" t="str">
        <f t="shared" si="3"/>
        <v/>
      </c>
      <c r="B3913" s="2" t="str">
        <f t="array" ref="B3913">INDEX(helper!$A$3:$A3996,ROUNDUP((ROW()-1)/COUNTA(helper!$D$3:$D3996),0))</f>
        <v/>
      </c>
      <c r="C3913" s="5" t="str">
        <f t="array" ref="C3913">IF(B3913="","",INDEX(helper!$D$3:$D3996,MOD(ROW()-2,COUNTA(helper!$D$3:$D3996))+1))</f>
        <v/>
      </c>
      <c r="D3913" s="3" t="str">
        <f t="array" ref="D3913">IF(B3913="","",INDEX(helper!$E$3:$E3996,MOD(ROW()-2,COUNTA(helper!$D$3:$D3996))+1))</f>
        <v/>
      </c>
      <c r="E3913" s="3" t="str">
        <f t="array" ref="E3913">IF(B3913="","",INDEX(helper!$F$3:$F3996,MOD(ROW()-2,COUNTA(helper!$D$3:$D3996))+1))</f>
        <v/>
      </c>
      <c r="F3913" s="3" t="str">
        <f>IF(B3913="","",SUMIFS('inventory ledger'!$H:$H,'inventory ledger'!$C:$C,C3913,'inventory ledger'!$D:$D,D3913,'inventory ledger'!$E:$E,E3913,'inventory ledger'!$A:$A,"&lt;="&amp;B3913+TIME(23,59,59))-SUMIFS('inventory ledger'!$I:$I,'inventory ledger'!$C:$C,C3913,'inventory ledger'!$D:$D,D3913,'inventory ledger'!$E:$E,E3913,'inventory ledger'!$A:$A,"&lt;="&amp;B3913+TIME(23,59,59)))</f>
        <v/>
      </c>
      <c r="G3913" s="3">
        <f>IFERROR(__xludf.DUMMYFUNCTION("IF(F3913&lt;=0,0,IFERROR(ROUNDUP(F3913/INDEX(FILTER('warehouse config'!$D:$D,('warehouse config'!$B:$B=C3913)*('warehouse config'!$C:$C=D3913)*('warehouse config'!$G:$G&lt;=B3913)*(('warehouse config'!$H:$H&gt;=B3913)+ISBLANK('warehouse config'!$H:$H))),1)),0))"),0.0)</f>
        <v>0</v>
      </c>
      <c r="H3913" s="3">
        <f>IFERROR(__xludf.DUMMYFUNCTION("IFERROR(INDEX(FILTER('cost master'!$E:$E,('cost master'!$B:$B=C3913)*('cost master'!$D:$D=""Storage cost per pallet / week"")*('cost master'!$G:$G&lt;=B3913)*(('cost master'!$H:$H&gt;=B3913)+ISBLANK('cost master'!$H:$H))),1),0)"),0.0)</f>
        <v>0</v>
      </c>
      <c r="I3913" s="3">
        <f t="shared" si="4"/>
        <v>0</v>
      </c>
      <c r="J3913" s="27">
        <f t="shared" si="5"/>
        <v>693947</v>
      </c>
      <c r="K3913" s="27">
        <f t="shared" si="6"/>
        <v>693977</v>
      </c>
    </row>
    <row r="3914" hidden="1">
      <c r="A3914" s="3" t="str">
        <f t="shared" si="3"/>
        <v/>
      </c>
      <c r="B3914" s="2" t="str">
        <f t="array" ref="B3914">INDEX(helper!$A$3:$A3996,ROUNDUP((ROW()-1)/COUNTA(helper!$D$3:$D3996),0))</f>
        <v/>
      </c>
      <c r="C3914" s="5" t="str">
        <f t="array" ref="C3914">IF(B3914="","",INDEX(helper!$D$3:$D3996,MOD(ROW()-2,COUNTA(helper!$D$3:$D3996))+1))</f>
        <v/>
      </c>
      <c r="D3914" s="3" t="str">
        <f t="array" ref="D3914">IF(B3914="","",INDEX(helper!$E$3:$E3996,MOD(ROW()-2,COUNTA(helper!$D$3:$D3996))+1))</f>
        <v/>
      </c>
      <c r="E3914" s="3" t="str">
        <f t="array" ref="E3914">IF(B3914="","",INDEX(helper!$F$3:$F3996,MOD(ROW()-2,COUNTA(helper!$D$3:$D3996))+1))</f>
        <v/>
      </c>
      <c r="F3914" s="3" t="str">
        <f>IF(B3914="","",SUMIFS('inventory ledger'!$H:$H,'inventory ledger'!$C:$C,C3914,'inventory ledger'!$D:$D,D3914,'inventory ledger'!$E:$E,E3914,'inventory ledger'!$A:$A,"&lt;="&amp;B3914+TIME(23,59,59))-SUMIFS('inventory ledger'!$I:$I,'inventory ledger'!$C:$C,C3914,'inventory ledger'!$D:$D,D3914,'inventory ledger'!$E:$E,E3914,'inventory ledger'!$A:$A,"&lt;="&amp;B3914+TIME(23,59,59)))</f>
        <v/>
      </c>
      <c r="G3914" s="3">
        <f>IFERROR(__xludf.DUMMYFUNCTION("IF(F3914&lt;=0,0,IFERROR(ROUNDUP(F3914/INDEX(FILTER('warehouse config'!$D:$D,('warehouse config'!$B:$B=C3914)*('warehouse config'!$C:$C=D3914)*('warehouse config'!$G:$G&lt;=B3914)*(('warehouse config'!$H:$H&gt;=B3914)+ISBLANK('warehouse config'!$H:$H))),1)),0))"),0.0)</f>
        <v>0</v>
      </c>
      <c r="H3914" s="3">
        <f>IFERROR(__xludf.DUMMYFUNCTION("IFERROR(INDEX(FILTER('cost master'!$E:$E,('cost master'!$B:$B=C3914)*('cost master'!$D:$D=""Storage cost per pallet / week"")*('cost master'!$G:$G&lt;=B3914)*(('cost master'!$H:$H&gt;=B3914)+ISBLANK('cost master'!$H:$H))),1),0)"),0.0)</f>
        <v>0</v>
      </c>
      <c r="I3914" s="3">
        <f t="shared" si="4"/>
        <v>0</v>
      </c>
      <c r="J3914" s="27">
        <f t="shared" si="5"/>
        <v>693947</v>
      </c>
      <c r="K3914" s="27">
        <f t="shared" si="6"/>
        <v>693977</v>
      </c>
    </row>
    <row r="3915" hidden="1">
      <c r="A3915" s="3" t="str">
        <f t="shared" si="3"/>
        <v/>
      </c>
      <c r="B3915" s="2" t="str">
        <f t="array" ref="B3915">INDEX(helper!$A$3:$A3996,ROUNDUP((ROW()-1)/COUNTA(helper!$D$3:$D3996),0))</f>
        <v/>
      </c>
      <c r="C3915" s="5" t="str">
        <f t="array" ref="C3915">IF(B3915="","",INDEX(helper!$D$3:$D3996,MOD(ROW()-2,COUNTA(helper!$D$3:$D3996))+1))</f>
        <v/>
      </c>
      <c r="D3915" s="3" t="str">
        <f t="array" ref="D3915">IF(B3915="","",INDEX(helper!$E$3:$E3996,MOD(ROW()-2,COUNTA(helper!$D$3:$D3996))+1))</f>
        <v/>
      </c>
      <c r="E3915" s="3" t="str">
        <f t="array" ref="E3915">IF(B3915="","",INDEX(helper!$F$3:$F3996,MOD(ROW()-2,COUNTA(helper!$D$3:$D3996))+1))</f>
        <v/>
      </c>
      <c r="F3915" s="3" t="str">
        <f>IF(B3915="","",SUMIFS('inventory ledger'!$H:$H,'inventory ledger'!$C:$C,C3915,'inventory ledger'!$D:$D,D3915,'inventory ledger'!$E:$E,E3915,'inventory ledger'!$A:$A,"&lt;="&amp;B3915+TIME(23,59,59))-SUMIFS('inventory ledger'!$I:$I,'inventory ledger'!$C:$C,C3915,'inventory ledger'!$D:$D,D3915,'inventory ledger'!$E:$E,E3915,'inventory ledger'!$A:$A,"&lt;="&amp;B3915+TIME(23,59,59)))</f>
        <v/>
      </c>
      <c r="G3915" s="3">
        <f>IFERROR(__xludf.DUMMYFUNCTION("IF(F3915&lt;=0,0,IFERROR(ROUNDUP(F3915/INDEX(FILTER('warehouse config'!$D:$D,('warehouse config'!$B:$B=C3915)*('warehouse config'!$C:$C=D3915)*('warehouse config'!$G:$G&lt;=B3915)*(('warehouse config'!$H:$H&gt;=B3915)+ISBLANK('warehouse config'!$H:$H))),1)),0))"),0.0)</f>
        <v>0</v>
      </c>
      <c r="H3915" s="3">
        <f>IFERROR(__xludf.DUMMYFUNCTION("IFERROR(INDEX(FILTER('cost master'!$E:$E,('cost master'!$B:$B=C3915)*('cost master'!$D:$D=""Storage cost per pallet / week"")*('cost master'!$G:$G&lt;=B3915)*(('cost master'!$H:$H&gt;=B3915)+ISBLANK('cost master'!$H:$H))),1),0)"),0.0)</f>
        <v>0</v>
      </c>
      <c r="I3915" s="3">
        <f t="shared" si="4"/>
        <v>0</v>
      </c>
      <c r="J3915" s="27">
        <f t="shared" si="5"/>
        <v>693947</v>
      </c>
      <c r="K3915" s="27">
        <f t="shared" si="6"/>
        <v>693977</v>
      </c>
    </row>
    <row r="3916" hidden="1">
      <c r="A3916" s="3" t="str">
        <f t="shared" si="3"/>
        <v/>
      </c>
      <c r="B3916" s="2" t="str">
        <f t="array" ref="B3916">INDEX(helper!$A$3:$A3996,ROUNDUP((ROW()-1)/COUNTA(helper!$D$3:$D3996),0))</f>
        <v/>
      </c>
      <c r="C3916" s="5" t="str">
        <f t="array" ref="C3916">IF(B3916="","",INDEX(helper!$D$3:$D3996,MOD(ROW()-2,COUNTA(helper!$D$3:$D3996))+1))</f>
        <v/>
      </c>
      <c r="D3916" s="3" t="str">
        <f t="array" ref="D3916">IF(B3916="","",INDEX(helper!$E$3:$E3996,MOD(ROW()-2,COUNTA(helper!$D$3:$D3996))+1))</f>
        <v/>
      </c>
      <c r="E3916" s="3" t="str">
        <f t="array" ref="E3916">IF(B3916="","",INDEX(helper!$F$3:$F3996,MOD(ROW()-2,COUNTA(helper!$D$3:$D3996))+1))</f>
        <v/>
      </c>
      <c r="F3916" s="3" t="str">
        <f>IF(B3916="","",SUMIFS('inventory ledger'!$H:$H,'inventory ledger'!$C:$C,C3916,'inventory ledger'!$D:$D,D3916,'inventory ledger'!$E:$E,E3916,'inventory ledger'!$A:$A,"&lt;="&amp;B3916+TIME(23,59,59))-SUMIFS('inventory ledger'!$I:$I,'inventory ledger'!$C:$C,C3916,'inventory ledger'!$D:$D,D3916,'inventory ledger'!$E:$E,E3916,'inventory ledger'!$A:$A,"&lt;="&amp;B3916+TIME(23,59,59)))</f>
        <v/>
      </c>
      <c r="G3916" s="3">
        <f>IFERROR(__xludf.DUMMYFUNCTION("IF(F3916&lt;=0,0,IFERROR(ROUNDUP(F3916/INDEX(FILTER('warehouse config'!$D:$D,('warehouse config'!$B:$B=C3916)*('warehouse config'!$C:$C=D3916)*('warehouse config'!$G:$G&lt;=B3916)*(('warehouse config'!$H:$H&gt;=B3916)+ISBLANK('warehouse config'!$H:$H))),1)),0))"),0.0)</f>
        <v>0</v>
      </c>
      <c r="H3916" s="3">
        <f>IFERROR(__xludf.DUMMYFUNCTION("IFERROR(INDEX(FILTER('cost master'!$E:$E,('cost master'!$B:$B=C3916)*('cost master'!$D:$D=""Storage cost per pallet / week"")*('cost master'!$G:$G&lt;=B3916)*(('cost master'!$H:$H&gt;=B3916)+ISBLANK('cost master'!$H:$H))),1),0)"),0.0)</f>
        <v>0</v>
      </c>
      <c r="I3916" s="3">
        <f t="shared" si="4"/>
        <v>0</v>
      </c>
      <c r="J3916" s="27">
        <f t="shared" si="5"/>
        <v>693947</v>
      </c>
      <c r="K3916" s="27">
        <f t="shared" si="6"/>
        <v>693977</v>
      </c>
    </row>
    <row r="3917" hidden="1">
      <c r="A3917" s="3" t="str">
        <f t="shared" si="3"/>
        <v/>
      </c>
      <c r="B3917" s="2" t="str">
        <f t="array" ref="B3917">INDEX(helper!$A$3:$A3996,ROUNDUP((ROW()-1)/COUNTA(helper!$D$3:$D3996),0))</f>
        <v/>
      </c>
      <c r="C3917" s="5" t="str">
        <f t="array" ref="C3917">IF(B3917="","",INDEX(helper!$D$3:$D3996,MOD(ROW()-2,COUNTA(helper!$D$3:$D3996))+1))</f>
        <v/>
      </c>
      <c r="D3917" s="3" t="str">
        <f t="array" ref="D3917">IF(B3917="","",INDEX(helper!$E$3:$E3996,MOD(ROW()-2,COUNTA(helper!$D$3:$D3996))+1))</f>
        <v/>
      </c>
      <c r="E3917" s="3" t="str">
        <f t="array" ref="E3917">IF(B3917="","",INDEX(helper!$F$3:$F3996,MOD(ROW()-2,COUNTA(helper!$D$3:$D3996))+1))</f>
        <v/>
      </c>
      <c r="F3917" s="3" t="str">
        <f>IF(B3917="","",SUMIFS('inventory ledger'!$H:$H,'inventory ledger'!$C:$C,C3917,'inventory ledger'!$D:$D,D3917,'inventory ledger'!$E:$E,E3917,'inventory ledger'!$A:$A,"&lt;="&amp;B3917+TIME(23,59,59))-SUMIFS('inventory ledger'!$I:$I,'inventory ledger'!$C:$C,C3917,'inventory ledger'!$D:$D,D3917,'inventory ledger'!$E:$E,E3917,'inventory ledger'!$A:$A,"&lt;="&amp;B3917+TIME(23,59,59)))</f>
        <v/>
      </c>
      <c r="G3917" s="3">
        <f>IFERROR(__xludf.DUMMYFUNCTION("IF(F3917&lt;=0,0,IFERROR(ROUNDUP(F3917/INDEX(FILTER('warehouse config'!$D:$D,('warehouse config'!$B:$B=C3917)*('warehouse config'!$C:$C=D3917)*('warehouse config'!$G:$G&lt;=B3917)*(('warehouse config'!$H:$H&gt;=B3917)+ISBLANK('warehouse config'!$H:$H))),1)),0))"),0.0)</f>
        <v>0</v>
      </c>
      <c r="H3917" s="3">
        <f>IFERROR(__xludf.DUMMYFUNCTION("IFERROR(INDEX(FILTER('cost master'!$E:$E,('cost master'!$B:$B=C3917)*('cost master'!$D:$D=""Storage cost per pallet / week"")*('cost master'!$G:$G&lt;=B3917)*(('cost master'!$H:$H&gt;=B3917)+ISBLANK('cost master'!$H:$H))),1),0)"),0.0)</f>
        <v>0</v>
      </c>
      <c r="I3917" s="3">
        <f t="shared" si="4"/>
        <v>0</v>
      </c>
      <c r="J3917" s="27">
        <f t="shared" si="5"/>
        <v>693947</v>
      </c>
      <c r="K3917" s="27">
        <f t="shared" si="6"/>
        <v>693977</v>
      </c>
    </row>
    <row r="3918" hidden="1">
      <c r="A3918" s="3" t="str">
        <f t="shared" si="3"/>
        <v/>
      </c>
      <c r="B3918" s="2" t="str">
        <f t="array" ref="B3918">INDEX(helper!$A$3:$A3996,ROUNDUP((ROW()-1)/COUNTA(helper!$D$3:$D3996),0))</f>
        <v/>
      </c>
      <c r="C3918" s="5" t="str">
        <f t="array" ref="C3918">IF(B3918="","",INDEX(helper!$D$3:$D3996,MOD(ROW()-2,COUNTA(helper!$D$3:$D3996))+1))</f>
        <v/>
      </c>
      <c r="D3918" s="3" t="str">
        <f t="array" ref="D3918">IF(B3918="","",INDEX(helper!$E$3:$E3996,MOD(ROW()-2,COUNTA(helper!$D$3:$D3996))+1))</f>
        <v/>
      </c>
      <c r="E3918" s="3" t="str">
        <f t="array" ref="E3918">IF(B3918="","",INDEX(helper!$F$3:$F3996,MOD(ROW()-2,COUNTA(helper!$D$3:$D3996))+1))</f>
        <v/>
      </c>
      <c r="F3918" s="3" t="str">
        <f>IF(B3918="","",SUMIFS('inventory ledger'!$H:$H,'inventory ledger'!$C:$C,C3918,'inventory ledger'!$D:$D,D3918,'inventory ledger'!$E:$E,E3918,'inventory ledger'!$A:$A,"&lt;="&amp;B3918+TIME(23,59,59))-SUMIFS('inventory ledger'!$I:$I,'inventory ledger'!$C:$C,C3918,'inventory ledger'!$D:$D,D3918,'inventory ledger'!$E:$E,E3918,'inventory ledger'!$A:$A,"&lt;="&amp;B3918+TIME(23,59,59)))</f>
        <v/>
      </c>
      <c r="G3918" s="3">
        <f>IFERROR(__xludf.DUMMYFUNCTION("IF(F3918&lt;=0,0,IFERROR(ROUNDUP(F3918/INDEX(FILTER('warehouse config'!$D:$D,('warehouse config'!$B:$B=C3918)*('warehouse config'!$C:$C=D3918)*('warehouse config'!$G:$G&lt;=B3918)*(('warehouse config'!$H:$H&gt;=B3918)+ISBLANK('warehouse config'!$H:$H))),1)),0))"),0.0)</f>
        <v>0</v>
      </c>
      <c r="H3918" s="3">
        <f>IFERROR(__xludf.DUMMYFUNCTION("IFERROR(INDEX(FILTER('cost master'!$E:$E,('cost master'!$B:$B=C3918)*('cost master'!$D:$D=""Storage cost per pallet / week"")*('cost master'!$G:$G&lt;=B3918)*(('cost master'!$H:$H&gt;=B3918)+ISBLANK('cost master'!$H:$H))),1),0)"),0.0)</f>
        <v>0</v>
      </c>
      <c r="I3918" s="3">
        <f t="shared" si="4"/>
        <v>0</v>
      </c>
      <c r="J3918" s="27">
        <f t="shared" si="5"/>
        <v>693947</v>
      </c>
      <c r="K3918" s="27">
        <f t="shared" si="6"/>
        <v>693977</v>
      </c>
    </row>
    <row r="3919" hidden="1">
      <c r="A3919" s="3" t="str">
        <f t="shared" si="3"/>
        <v/>
      </c>
      <c r="B3919" s="2" t="str">
        <f t="array" ref="B3919">INDEX(helper!$A$3:$A3996,ROUNDUP((ROW()-1)/COUNTA(helper!$D$3:$D3996),0))</f>
        <v/>
      </c>
      <c r="C3919" s="5" t="str">
        <f t="array" ref="C3919">IF(B3919="","",INDEX(helper!$D$3:$D3996,MOD(ROW()-2,COUNTA(helper!$D$3:$D3996))+1))</f>
        <v/>
      </c>
      <c r="D3919" s="3" t="str">
        <f t="array" ref="D3919">IF(B3919="","",INDEX(helper!$E$3:$E3996,MOD(ROW()-2,COUNTA(helper!$D$3:$D3996))+1))</f>
        <v/>
      </c>
      <c r="E3919" s="3" t="str">
        <f t="array" ref="E3919">IF(B3919="","",INDEX(helper!$F$3:$F3996,MOD(ROW()-2,COUNTA(helper!$D$3:$D3996))+1))</f>
        <v/>
      </c>
      <c r="F3919" s="3" t="str">
        <f>IF(B3919="","",SUMIFS('inventory ledger'!$H:$H,'inventory ledger'!$C:$C,C3919,'inventory ledger'!$D:$D,D3919,'inventory ledger'!$E:$E,E3919,'inventory ledger'!$A:$A,"&lt;="&amp;B3919+TIME(23,59,59))-SUMIFS('inventory ledger'!$I:$I,'inventory ledger'!$C:$C,C3919,'inventory ledger'!$D:$D,D3919,'inventory ledger'!$E:$E,E3919,'inventory ledger'!$A:$A,"&lt;="&amp;B3919+TIME(23,59,59)))</f>
        <v/>
      </c>
      <c r="G3919" s="3">
        <f>IFERROR(__xludf.DUMMYFUNCTION("IF(F3919&lt;=0,0,IFERROR(ROUNDUP(F3919/INDEX(FILTER('warehouse config'!$D:$D,('warehouse config'!$B:$B=C3919)*('warehouse config'!$C:$C=D3919)*('warehouse config'!$G:$G&lt;=B3919)*(('warehouse config'!$H:$H&gt;=B3919)+ISBLANK('warehouse config'!$H:$H))),1)),0))"),0.0)</f>
        <v>0</v>
      </c>
      <c r="H3919" s="3">
        <f>IFERROR(__xludf.DUMMYFUNCTION("IFERROR(INDEX(FILTER('cost master'!$E:$E,('cost master'!$B:$B=C3919)*('cost master'!$D:$D=""Storage cost per pallet / week"")*('cost master'!$G:$G&lt;=B3919)*(('cost master'!$H:$H&gt;=B3919)+ISBLANK('cost master'!$H:$H))),1),0)"),0.0)</f>
        <v>0</v>
      </c>
      <c r="I3919" s="3">
        <f t="shared" si="4"/>
        <v>0</v>
      </c>
      <c r="J3919" s="27">
        <f t="shared" si="5"/>
        <v>693947</v>
      </c>
      <c r="K3919" s="27">
        <f t="shared" si="6"/>
        <v>693977</v>
      </c>
    </row>
    <row r="3920" hidden="1">
      <c r="A3920" s="3" t="str">
        <f t="shared" si="3"/>
        <v/>
      </c>
      <c r="B3920" s="2" t="str">
        <f t="array" ref="B3920">INDEX(helper!$A$3:$A3996,ROUNDUP((ROW()-1)/COUNTA(helper!$D$3:$D3996),0))</f>
        <v/>
      </c>
      <c r="C3920" s="5" t="str">
        <f t="array" ref="C3920">IF(B3920="","",INDEX(helper!$D$3:$D3996,MOD(ROW()-2,COUNTA(helper!$D$3:$D3996))+1))</f>
        <v/>
      </c>
      <c r="D3920" s="3" t="str">
        <f t="array" ref="D3920">IF(B3920="","",INDEX(helper!$E$3:$E3996,MOD(ROW()-2,COUNTA(helper!$D$3:$D3996))+1))</f>
        <v/>
      </c>
      <c r="E3920" s="3" t="str">
        <f t="array" ref="E3920">IF(B3920="","",INDEX(helper!$F$3:$F3996,MOD(ROW()-2,COUNTA(helper!$D$3:$D3996))+1))</f>
        <v/>
      </c>
      <c r="F3920" s="3" t="str">
        <f>IF(B3920="","",SUMIFS('inventory ledger'!$H:$H,'inventory ledger'!$C:$C,C3920,'inventory ledger'!$D:$D,D3920,'inventory ledger'!$E:$E,E3920,'inventory ledger'!$A:$A,"&lt;="&amp;B3920+TIME(23,59,59))-SUMIFS('inventory ledger'!$I:$I,'inventory ledger'!$C:$C,C3920,'inventory ledger'!$D:$D,D3920,'inventory ledger'!$E:$E,E3920,'inventory ledger'!$A:$A,"&lt;="&amp;B3920+TIME(23,59,59)))</f>
        <v/>
      </c>
      <c r="G3920" s="3">
        <f>IFERROR(__xludf.DUMMYFUNCTION("IF(F3920&lt;=0,0,IFERROR(ROUNDUP(F3920/INDEX(FILTER('warehouse config'!$D:$D,('warehouse config'!$B:$B=C3920)*('warehouse config'!$C:$C=D3920)*('warehouse config'!$G:$G&lt;=B3920)*(('warehouse config'!$H:$H&gt;=B3920)+ISBLANK('warehouse config'!$H:$H))),1)),0))"),0.0)</f>
        <v>0</v>
      </c>
      <c r="H3920" s="3">
        <f>IFERROR(__xludf.DUMMYFUNCTION("IFERROR(INDEX(FILTER('cost master'!$E:$E,('cost master'!$B:$B=C3920)*('cost master'!$D:$D=""Storage cost per pallet / week"")*('cost master'!$G:$G&lt;=B3920)*(('cost master'!$H:$H&gt;=B3920)+ISBLANK('cost master'!$H:$H))),1),0)"),0.0)</f>
        <v>0</v>
      </c>
      <c r="I3920" s="3">
        <f t="shared" si="4"/>
        <v>0</v>
      </c>
      <c r="J3920" s="27">
        <f t="shared" si="5"/>
        <v>693947</v>
      </c>
      <c r="K3920" s="27">
        <f t="shared" si="6"/>
        <v>693977</v>
      </c>
    </row>
    <row r="3921" hidden="1">
      <c r="A3921" s="3" t="str">
        <f t="shared" si="3"/>
        <v/>
      </c>
      <c r="B3921" s="2" t="str">
        <f t="array" ref="B3921">INDEX(helper!$A$3:$A3996,ROUNDUP((ROW()-1)/COUNTA(helper!$D$3:$D3996),0))</f>
        <v/>
      </c>
      <c r="C3921" s="5" t="str">
        <f t="array" ref="C3921">IF(B3921="","",INDEX(helper!$D$3:$D3996,MOD(ROW()-2,COUNTA(helper!$D$3:$D3996))+1))</f>
        <v/>
      </c>
      <c r="D3921" s="3" t="str">
        <f t="array" ref="D3921">IF(B3921="","",INDEX(helper!$E$3:$E3996,MOD(ROW()-2,COUNTA(helper!$D$3:$D3996))+1))</f>
        <v/>
      </c>
      <c r="E3921" s="3" t="str">
        <f t="array" ref="E3921">IF(B3921="","",INDEX(helper!$F$3:$F3996,MOD(ROW()-2,COUNTA(helper!$D$3:$D3996))+1))</f>
        <v/>
      </c>
      <c r="F3921" s="3" t="str">
        <f>IF(B3921="","",SUMIFS('inventory ledger'!$H:$H,'inventory ledger'!$C:$C,C3921,'inventory ledger'!$D:$D,D3921,'inventory ledger'!$E:$E,E3921,'inventory ledger'!$A:$A,"&lt;="&amp;B3921+TIME(23,59,59))-SUMIFS('inventory ledger'!$I:$I,'inventory ledger'!$C:$C,C3921,'inventory ledger'!$D:$D,D3921,'inventory ledger'!$E:$E,E3921,'inventory ledger'!$A:$A,"&lt;="&amp;B3921+TIME(23,59,59)))</f>
        <v/>
      </c>
      <c r="G3921" s="3">
        <f>IFERROR(__xludf.DUMMYFUNCTION("IF(F3921&lt;=0,0,IFERROR(ROUNDUP(F3921/INDEX(FILTER('warehouse config'!$D:$D,('warehouse config'!$B:$B=C3921)*('warehouse config'!$C:$C=D3921)*('warehouse config'!$G:$G&lt;=B3921)*(('warehouse config'!$H:$H&gt;=B3921)+ISBLANK('warehouse config'!$H:$H))),1)),0))"),0.0)</f>
        <v>0</v>
      </c>
      <c r="H3921" s="3">
        <f>IFERROR(__xludf.DUMMYFUNCTION("IFERROR(INDEX(FILTER('cost master'!$E:$E,('cost master'!$B:$B=C3921)*('cost master'!$D:$D=""Storage cost per pallet / week"")*('cost master'!$G:$G&lt;=B3921)*(('cost master'!$H:$H&gt;=B3921)+ISBLANK('cost master'!$H:$H))),1),0)"),0.0)</f>
        <v>0</v>
      </c>
      <c r="I3921" s="3">
        <f t="shared" si="4"/>
        <v>0</v>
      </c>
      <c r="J3921" s="27">
        <f t="shared" si="5"/>
        <v>693947</v>
      </c>
      <c r="K3921" s="27">
        <f t="shared" si="6"/>
        <v>693977</v>
      </c>
    </row>
    <row r="3922" hidden="1">
      <c r="A3922" s="3" t="str">
        <f t="shared" si="3"/>
        <v/>
      </c>
      <c r="B3922" s="2" t="str">
        <f t="array" ref="B3922">INDEX(helper!$A$3:$A3996,ROUNDUP((ROW()-1)/COUNTA(helper!$D$3:$D3996),0))</f>
        <v/>
      </c>
      <c r="C3922" s="5" t="str">
        <f t="array" ref="C3922">IF(B3922="","",INDEX(helper!$D$3:$D3996,MOD(ROW()-2,COUNTA(helper!$D$3:$D3996))+1))</f>
        <v/>
      </c>
      <c r="D3922" s="3" t="str">
        <f t="array" ref="D3922">IF(B3922="","",INDEX(helper!$E$3:$E3996,MOD(ROW()-2,COUNTA(helper!$D$3:$D3996))+1))</f>
        <v/>
      </c>
      <c r="E3922" s="3" t="str">
        <f t="array" ref="E3922">IF(B3922="","",INDEX(helper!$F$3:$F3996,MOD(ROW()-2,COUNTA(helper!$D$3:$D3996))+1))</f>
        <v/>
      </c>
      <c r="F3922" s="3" t="str">
        <f>IF(B3922="","",SUMIFS('inventory ledger'!$H:$H,'inventory ledger'!$C:$C,C3922,'inventory ledger'!$D:$D,D3922,'inventory ledger'!$E:$E,E3922,'inventory ledger'!$A:$A,"&lt;="&amp;B3922+TIME(23,59,59))-SUMIFS('inventory ledger'!$I:$I,'inventory ledger'!$C:$C,C3922,'inventory ledger'!$D:$D,D3922,'inventory ledger'!$E:$E,E3922,'inventory ledger'!$A:$A,"&lt;="&amp;B3922+TIME(23,59,59)))</f>
        <v/>
      </c>
      <c r="G3922" s="3">
        <f>IFERROR(__xludf.DUMMYFUNCTION("IF(F3922&lt;=0,0,IFERROR(ROUNDUP(F3922/INDEX(FILTER('warehouse config'!$D:$D,('warehouse config'!$B:$B=C3922)*('warehouse config'!$C:$C=D3922)*('warehouse config'!$G:$G&lt;=B3922)*(('warehouse config'!$H:$H&gt;=B3922)+ISBLANK('warehouse config'!$H:$H))),1)),0))"),0.0)</f>
        <v>0</v>
      </c>
      <c r="H3922" s="3">
        <f>IFERROR(__xludf.DUMMYFUNCTION("IFERROR(INDEX(FILTER('cost master'!$E:$E,('cost master'!$B:$B=C3922)*('cost master'!$D:$D=""Storage cost per pallet / week"")*('cost master'!$G:$G&lt;=B3922)*(('cost master'!$H:$H&gt;=B3922)+ISBLANK('cost master'!$H:$H))),1),0)"),0.0)</f>
        <v>0</v>
      </c>
      <c r="I3922" s="3">
        <f t="shared" si="4"/>
        <v>0</v>
      </c>
      <c r="J3922" s="27">
        <f t="shared" si="5"/>
        <v>693947</v>
      </c>
      <c r="K3922" s="27">
        <f t="shared" si="6"/>
        <v>693977</v>
      </c>
    </row>
    <row r="3923" hidden="1">
      <c r="A3923" s="3" t="str">
        <f t="shared" si="3"/>
        <v/>
      </c>
      <c r="B3923" s="2" t="str">
        <f t="array" ref="B3923">INDEX(helper!$A$3:$A3996,ROUNDUP((ROW()-1)/COUNTA(helper!$D$3:$D3996),0))</f>
        <v/>
      </c>
      <c r="C3923" s="5" t="str">
        <f t="array" ref="C3923">IF(B3923="","",INDEX(helper!$D$3:$D3996,MOD(ROW()-2,COUNTA(helper!$D$3:$D3996))+1))</f>
        <v/>
      </c>
      <c r="D3923" s="3" t="str">
        <f t="array" ref="D3923">IF(B3923="","",INDEX(helper!$E$3:$E3996,MOD(ROW()-2,COUNTA(helper!$D$3:$D3996))+1))</f>
        <v/>
      </c>
      <c r="E3923" s="3" t="str">
        <f t="array" ref="E3923">IF(B3923="","",INDEX(helper!$F$3:$F3996,MOD(ROW()-2,COUNTA(helper!$D$3:$D3996))+1))</f>
        <v/>
      </c>
      <c r="F3923" s="3" t="str">
        <f>IF(B3923="","",SUMIFS('inventory ledger'!$H:$H,'inventory ledger'!$C:$C,C3923,'inventory ledger'!$D:$D,D3923,'inventory ledger'!$E:$E,E3923,'inventory ledger'!$A:$A,"&lt;="&amp;B3923+TIME(23,59,59))-SUMIFS('inventory ledger'!$I:$I,'inventory ledger'!$C:$C,C3923,'inventory ledger'!$D:$D,D3923,'inventory ledger'!$E:$E,E3923,'inventory ledger'!$A:$A,"&lt;="&amp;B3923+TIME(23,59,59)))</f>
        <v/>
      </c>
      <c r="G3923" s="3">
        <f>IFERROR(__xludf.DUMMYFUNCTION("IF(F3923&lt;=0,0,IFERROR(ROUNDUP(F3923/INDEX(FILTER('warehouse config'!$D:$D,('warehouse config'!$B:$B=C3923)*('warehouse config'!$C:$C=D3923)*('warehouse config'!$G:$G&lt;=B3923)*(('warehouse config'!$H:$H&gt;=B3923)+ISBLANK('warehouse config'!$H:$H))),1)),0))"),0.0)</f>
        <v>0</v>
      </c>
      <c r="H3923" s="3">
        <f>IFERROR(__xludf.DUMMYFUNCTION("IFERROR(INDEX(FILTER('cost master'!$E:$E,('cost master'!$B:$B=C3923)*('cost master'!$D:$D=""Storage cost per pallet / week"")*('cost master'!$G:$G&lt;=B3923)*(('cost master'!$H:$H&gt;=B3923)+ISBLANK('cost master'!$H:$H))),1),0)"),0.0)</f>
        <v>0</v>
      </c>
      <c r="I3923" s="3">
        <f t="shared" si="4"/>
        <v>0</v>
      </c>
      <c r="J3923" s="27">
        <f t="shared" si="5"/>
        <v>693947</v>
      </c>
      <c r="K3923" s="27">
        <f t="shared" si="6"/>
        <v>693977</v>
      </c>
    </row>
    <row r="3924" hidden="1">
      <c r="A3924" s="3" t="str">
        <f t="shared" si="3"/>
        <v/>
      </c>
      <c r="B3924" s="2" t="str">
        <f t="array" ref="B3924">INDEX(helper!$A$3:$A3996,ROUNDUP((ROW()-1)/COUNTA(helper!$D$3:$D3996),0))</f>
        <v/>
      </c>
      <c r="C3924" s="5" t="str">
        <f t="array" ref="C3924">IF(B3924="","",INDEX(helper!$D$3:$D3996,MOD(ROW()-2,COUNTA(helper!$D$3:$D3996))+1))</f>
        <v/>
      </c>
      <c r="D3924" s="3" t="str">
        <f t="array" ref="D3924">IF(B3924="","",INDEX(helper!$E$3:$E3996,MOD(ROW()-2,COUNTA(helper!$D$3:$D3996))+1))</f>
        <v/>
      </c>
      <c r="E3924" s="3" t="str">
        <f t="array" ref="E3924">IF(B3924="","",INDEX(helper!$F$3:$F3996,MOD(ROW()-2,COUNTA(helper!$D$3:$D3996))+1))</f>
        <v/>
      </c>
      <c r="F3924" s="3" t="str">
        <f>IF(B3924="","",SUMIFS('inventory ledger'!$H:$H,'inventory ledger'!$C:$C,C3924,'inventory ledger'!$D:$D,D3924,'inventory ledger'!$E:$E,E3924,'inventory ledger'!$A:$A,"&lt;="&amp;B3924+TIME(23,59,59))-SUMIFS('inventory ledger'!$I:$I,'inventory ledger'!$C:$C,C3924,'inventory ledger'!$D:$D,D3924,'inventory ledger'!$E:$E,E3924,'inventory ledger'!$A:$A,"&lt;="&amp;B3924+TIME(23,59,59)))</f>
        <v/>
      </c>
      <c r="G3924" s="3">
        <f>IFERROR(__xludf.DUMMYFUNCTION("IF(F3924&lt;=0,0,IFERROR(ROUNDUP(F3924/INDEX(FILTER('warehouse config'!$D:$D,('warehouse config'!$B:$B=C3924)*('warehouse config'!$C:$C=D3924)*('warehouse config'!$G:$G&lt;=B3924)*(('warehouse config'!$H:$H&gt;=B3924)+ISBLANK('warehouse config'!$H:$H))),1)),0))"),0.0)</f>
        <v>0</v>
      </c>
      <c r="H3924" s="3">
        <f>IFERROR(__xludf.DUMMYFUNCTION("IFERROR(INDEX(FILTER('cost master'!$E:$E,('cost master'!$B:$B=C3924)*('cost master'!$D:$D=""Storage cost per pallet / week"")*('cost master'!$G:$G&lt;=B3924)*(('cost master'!$H:$H&gt;=B3924)+ISBLANK('cost master'!$H:$H))),1),0)"),0.0)</f>
        <v>0</v>
      </c>
      <c r="I3924" s="3">
        <f t="shared" si="4"/>
        <v>0</v>
      </c>
      <c r="J3924" s="27">
        <f t="shared" si="5"/>
        <v>693947</v>
      </c>
      <c r="K3924" s="27">
        <f t="shared" si="6"/>
        <v>693977</v>
      </c>
    </row>
    <row r="3925" hidden="1">
      <c r="A3925" s="3" t="str">
        <f t="shared" si="3"/>
        <v/>
      </c>
      <c r="B3925" s="2" t="str">
        <f t="array" ref="B3925">INDEX(helper!$A$3:$A3996,ROUNDUP((ROW()-1)/COUNTA(helper!$D$3:$D3996),0))</f>
        <v/>
      </c>
      <c r="C3925" s="5" t="str">
        <f t="array" ref="C3925">IF(B3925="","",INDEX(helper!$D$3:$D3996,MOD(ROW()-2,COUNTA(helper!$D$3:$D3996))+1))</f>
        <v/>
      </c>
      <c r="D3925" s="3" t="str">
        <f t="array" ref="D3925">IF(B3925="","",INDEX(helper!$E$3:$E3996,MOD(ROW()-2,COUNTA(helper!$D$3:$D3996))+1))</f>
        <v/>
      </c>
      <c r="E3925" s="3" t="str">
        <f t="array" ref="E3925">IF(B3925="","",INDEX(helper!$F$3:$F3996,MOD(ROW()-2,COUNTA(helper!$D$3:$D3996))+1))</f>
        <v/>
      </c>
      <c r="F3925" s="3" t="str">
        <f>IF(B3925="","",SUMIFS('inventory ledger'!$H:$H,'inventory ledger'!$C:$C,C3925,'inventory ledger'!$D:$D,D3925,'inventory ledger'!$E:$E,E3925,'inventory ledger'!$A:$A,"&lt;="&amp;B3925+TIME(23,59,59))-SUMIFS('inventory ledger'!$I:$I,'inventory ledger'!$C:$C,C3925,'inventory ledger'!$D:$D,D3925,'inventory ledger'!$E:$E,E3925,'inventory ledger'!$A:$A,"&lt;="&amp;B3925+TIME(23,59,59)))</f>
        <v/>
      </c>
      <c r="G3925" s="3">
        <f>IFERROR(__xludf.DUMMYFUNCTION("IF(F3925&lt;=0,0,IFERROR(ROUNDUP(F3925/INDEX(FILTER('warehouse config'!$D:$D,('warehouse config'!$B:$B=C3925)*('warehouse config'!$C:$C=D3925)*('warehouse config'!$G:$G&lt;=B3925)*(('warehouse config'!$H:$H&gt;=B3925)+ISBLANK('warehouse config'!$H:$H))),1)),0))"),0.0)</f>
        <v>0</v>
      </c>
      <c r="H3925" s="3">
        <f>IFERROR(__xludf.DUMMYFUNCTION("IFERROR(INDEX(FILTER('cost master'!$E:$E,('cost master'!$B:$B=C3925)*('cost master'!$D:$D=""Storage cost per pallet / week"")*('cost master'!$G:$G&lt;=B3925)*(('cost master'!$H:$H&gt;=B3925)+ISBLANK('cost master'!$H:$H))),1),0)"),0.0)</f>
        <v>0</v>
      </c>
      <c r="I3925" s="3">
        <f t="shared" si="4"/>
        <v>0</v>
      </c>
      <c r="J3925" s="27">
        <f t="shared" si="5"/>
        <v>693947</v>
      </c>
      <c r="K3925" s="27">
        <f t="shared" si="6"/>
        <v>693977</v>
      </c>
    </row>
    <row r="3926" hidden="1">
      <c r="A3926" s="3" t="str">
        <f t="shared" si="3"/>
        <v/>
      </c>
      <c r="B3926" s="2" t="str">
        <f t="array" ref="B3926">INDEX(helper!$A$3:$A3996,ROUNDUP((ROW()-1)/COUNTA(helper!$D$3:$D3996),0))</f>
        <v/>
      </c>
      <c r="C3926" s="5" t="str">
        <f t="array" ref="C3926">IF(B3926="","",INDEX(helper!$D$3:$D3996,MOD(ROW()-2,COUNTA(helper!$D$3:$D3996))+1))</f>
        <v/>
      </c>
      <c r="D3926" s="3" t="str">
        <f t="array" ref="D3926">IF(B3926="","",INDEX(helper!$E$3:$E3996,MOD(ROW()-2,COUNTA(helper!$D$3:$D3996))+1))</f>
        <v/>
      </c>
      <c r="E3926" s="3" t="str">
        <f t="array" ref="E3926">IF(B3926="","",INDEX(helper!$F$3:$F3996,MOD(ROW()-2,COUNTA(helper!$D$3:$D3996))+1))</f>
        <v/>
      </c>
      <c r="F3926" s="3" t="str">
        <f>IF(B3926="","",SUMIFS('inventory ledger'!$H:$H,'inventory ledger'!$C:$C,C3926,'inventory ledger'!$D:$D,D3926,'inventory ledger'!$E:$E,E3926,'inventory ledger'!$A:$A,"&lt;="&amp;B3926+TIME(23,59,59))-SUMIFS('inventory ledger'!$I:$I,'inventory ledger'!$C:$C,C3926,'inventory ledger'!$D:$D,D3926,'inventory ledger'!$E:$E,E3926,'inventory ledger'!$A:$A,"&lt;="&amp;B3926+TIME(23,59,59)))</f>
        <v/>
      </c>
      <c r="G3926" s="3">
        <f>IFERROR(__xludf.DUMMYFUNCTION("IF(F3926&lt;=0,0,IFERROR(ROUNDUP(F3926/INDEX(FILTER('warehouse config'!$D:$D,('warehouse config'!$B:$B=C3926)*('warehouse config'!$C:$C=D3926)*('warehouse config'!$G:$G&lt;=B3926)*(('warehouse config'!$H:$H&gt;=B3926)+ISBLANK('warehouse config'!$H:$H))),1)),0))"),0.0)</f>
        <v>0</v>
      </c>
      <c r="H3926" s="3">
        <f>IFERROR(__xludf.DUMMYFUNCTION("IFERROR(INDEX(FILTER('cost master'!$E:$E,('cost master'!$B:$B=C3926)*('cost master'!$D:$D=""Storage cost per pallet / week"")*('cost master'!$G:$G&lt;=B3926)*(('cost master'!$H:$H&gt;=B3926)+ISBLANK('cost master'!$H:$H))),1),0)"),0.0)</f>
        <v>0</v>
      </c>
      <c r="I3926" s="3">
        <f t="shared" si="4"/>
        <v>0</v>
      </c>
      <c r="J3926" s="27">
        <f t="shared" si="5"/>
        <v>693947</v>
      </c>
      <c r="K3926" s="27">
        <f t="shared" si="6"/>
        <v>693977</v>
      </c>
    </row>
    <row r="3927" hidden="1">
      <c r="A3927" s="3" t="str">
        <f t="shared" si="3"/>
        <v/>
      </c>
      <c r="B3927" s="2" t="str">
        <f t="array" ref="B3927">INDEX(helper!$A$3:$A3996,ROUNDUP((ROW()-1)/COUNTA(helper!$D$3:$D3996),0))</f>
        <v/>
      </c>
      <c r="C3927" s="5" t="str">
        <f t="array" ref="C3927">IF(B3927="","",INDEX(helper!$D$3:$D3996,MOD(ROW()-2,COUNTA(helper!$D$3:$D3996))+1))</f>
        <v/>
      </c>
      <c r="D3927" s="3" t="str">
        <f t="array" ref="D3927">IF(B3927="","",INDEX(helper!$E$3:$E3996,MOD(ROW()-2,COUNTA(helper!$D$3:$D3996))+1))</f>
        <v/>
      </c>
      <c r="E3927" s="3" t="str">
        <f t="array" ref="E3927">IF(B3927="","",INDEX(helper!$F$3:$F3996,MOD(ROW()-2,COUNTA(helper!$D$3:$D3996))+1))</f>
        <v/>
      </c>
      <c r="F3927" s="3" t="str">
        <f>IF(B3927="","",SUMIFS('inventory ledger'!$H:$H,'inventory ledger'!$C:$C,C3927,'inventory ledger'!$D:$D,D3927,'inventory ledger'!$E:$E,E3927,'inventory ledger'!$A:$A,"&lt;="&amp;B3927+TIME(23,59,59))-SUMIFS('inventory ledger'!$I:$I,'inventory ledger'!$C:$C,C3927,'inventory ledger'!$D:$D,D3927,'inventory ledger'!$E:$E,E3927,'inventory ledger'!$A:$A,"&lt;="&amp;B3927+TIME(23,59,59)))</f>
        <v/>
      </c>
      <c r="G3927" s="3">
        <f>IFERROR(__xludf.DUMMYFUNCTION("IF(F3927&lt;=0,0,IFERROR(ROUNDUP(F3927/INDEX(FILTER('warehouse config'!$D:$D,('warehouse config'!$B:$B=C3927)*('warehouse config'!$C:$C=D3927)*('warehouse config'!$G:$G&lt;=B3927)*(('warehouse config'!$H:$H&gt;=B3927)+ISBLANK('warehouse config'!$H:$H))),1)),0))"),0.0)</f>
        <v>0</v>
      </c>
      <c r="H3927" s="3">
        <f>IFERROR(__xludf.DUMMYFUNCTION("IFERROR(INDEX(FILTER('cost master'!$E:$E,('cost master'!$B:$B=C3927)*('cost master'!$D:$D=""Storage cost per pallet / week"")*('cost master'!$G:$G&lt;=B3927)*(('cost master'!$H:$H&gt;=B3927)+ISBLANK('cost master'!$H:$H))),1),0)"),0.0)</f>
        <v>0</v>
      </c>
      <c r="I3927" s="3">
        <f t="shared" si="4"/>
        <v>0</v>
      </c>
      <c r="J3927" s="27">
        <f t="shared" si="5"/>
        <v>693947</v>
      </c>
      <c r="K3927" s="27">
        <f t="shared" si="6"/>
        <v>693977</v>
      </c>
    </row>
    <row r="3928" hidden="1">
      <c r="A3928" s="3" t="str">
        <f t="shared" si="3"/>
        <v/>
      </c>
      <c r="B3928" s="2" t="str">
        <f t="array" ref="B3928">INDEX(helper!$A$3:$A3996,ROUNDUP((ROW()-1)/COUNTA(helper!$D$3:$D3996),0))</f>
        <v/>
      </c>
      <c r="C3928" s="5" t="str">
        <f t="array" ref="C3928">IF(B3928="","",INDEX(helper!$D$3:$D3996,MOD(ROW()-2,COUNTA(helper!$D$3:$D3996))+1))</f>
        <v/>
      </c>
      <c r="D3928" s="3" t="str">
        <f t="array" ref="D3928">IF(B3928="","",INDEX(helper!$E$3:$E3996,MOD(ROW()-2,COUNTA(helper!$D$3:$D3996))+1))</f>
        <v/>
      </c>
      <c r="E3928" s="3" t="str">
        <f t="array" ref="E3928">IF(B3928="","",INDEX(helper!$F$3:$F3996,MOD(ROW()-2,COUNTA(helper!$D$3:$D3996))+1))</f>
        <v/>
      </c>
      <c r="F3928" s="3" t="str">
        <f>IF(B3928="","",SUMIFS('inventory ledger'!$H:$H,'inventory ledger'!$C:$C,C3928,'inventory ledger'!$D:$D,D3928,'inventory ledger'!$E:$E,E3928,'inventory ledger'!$A:$A,"&lt;="&amp;B3928+TIME(23,59,59))-SUMIFS('inventory ledger'!$I:$I,'inventory ledger'!$C:$C,C3928,'inventory ledger'!$D:$D,D3928,'inventory ledger'!$E:$E,E3928,'inventory ledger'!$A:$A,"&lt;="&amp;B3928+TIME(23,59,59)))</f>
        <v/>
      </c>
      <c r="G3928" s="3">
        <f>IFERROR(__xludf.DUMMYFUNCTION("IF(F3928&lt;=0,0,IFERROR(ROUNDUP(F3928/INDEX(FILTER('warehouse config'!$D:$D,('warehouse config'!$B:$B=C3928)*('warehouse config'!$C:$C=D3928)*('warehouse config'!$G:$G&lt;=B3928)*(('warehouse config'!$H:$H&gt;=B3928)+ISBLANK('warehouse config'!$H:$H))),1)),0))"),0.0)</f>
        <v>0</v>
      </c>
      <c r="H3928" s="3">
        <f>IFERROR(__xludf.DUMMYFUNCTION("IFERROR(INDEX(FILTER('cost master'!$E:$E,('cost master'!$B:$B=C3928)*('cost master'!$D:$D=""Storage cost per pallet / week"")*('cost master'!$G:$G&lt;=B3928)*(('cost master'!$H:$H&gt;=B3928)+ISBLANK('cost master'!$H:$H))),1),0)"),0.0)</f>
        <v>0</v>
      </c>
      <c r="I3928" s="3">
        <f t="shared" si="4"/>
        <v>0</v>
      </c>
      <c r="J3928" s="27">
        <f t="shared" si="5"/>
        <v>693947</v>
      </c>
      <c r="K3928" s="27">
        <f t="shared" si="6"/>
        <v>693977</v>
      </c>
    </row>
    <row r="3929" hidden="1">
      <c r="A3929" s="3" t="str">
        <f t="shared" si="3"/>
        <v/>
      </c>
      <c r="B3929" s="2" t="str">
        <f t="array" ref="B3929">INDEX(helper!$A$3:$A3996,ROUNDUP((ROW()-1)/COUNTA(helper!$D$3:$D3996),0))</f>
        <v/>
      </c>
      <c r="C3929" s="5" t="str">
        <f t="array" ref="C3929">IF(B3929="","",INDEX(helper!$D$3:$D3996,MOD(ROW()-2,COUNTA(helper!$D$3:$D3996))+1))</f>
        <v/>
      </c>
      <c r="D3929" s="3" t="str">
        <f t="array" ref="D3929">IF(B3929="","",INDEX(helper!$E$3:$E3996,MOD(ROW()-2,COUNTA(helper!$D$3:$D3996))+1))</f>
        <v/>
      </c>
      <c r="E3929" s="3" t="str">
        <f t="array" ref="E3929">IF(B3929="","",INDEX(helper!$F$3:$F3996,MOD(ROW()-2,COUNTA(helper!$D$3:$D3996))+1))</f>
        <v/>
      </c>
      <c r="F3929" s="3" t="str">
        <f>IF(B3929="","",SUMIFS('inventory ledger'!$H:$H,'inventory ledger'!$C:$C,C3929,'inventory ledger'!$D:$D,D3929,'inventory ledger'!$E:$E,E3929,'inventory ledger'!$A:$A,"&lt;="&amp;B3929+TIME(23,59,59))-SUMIFS('inventory ledger'!$I:$I,'inventory ledger'!$C:$C,C3929,'inventory ledger'!$D:$D,D3929,'inventory ledger'!$E:$E,E3929,'inventory ledger'!$A:$A,"&lt;="&amp;B3929+TIME(23,59,59)))</f>
        <v/>
      </c>
      <c r="G3929" s="3">
        <f>IFERROR(__xludf.DUMMYFUNCTION("IF(F3929&lt;=0,0,IFERROR(ROUNDUP(F3929/INDEX(FILTER('warehouse config'!$D:$D,('warehouse config'!$B:$B=C3929)*('warehouse config'!$C:$C=D3929)*('warehouse config'!$G:$G&lt;=B3929)*(('warehouse config'!$H:$H&gt;=B3929)+ISBLANK('warehouse config'!$H:$H))),1)),0))"),0.0)</f>
        <v>0</v>
      </c>
      <c r="H3929" s="3">
        <f>IFERROR(__xludf.DUMMYFUNCTION("IFERROR(INDEX(FILTER('cost master'!$E:$E,('cost master'!$B:$B=C3929)*('cost master'!$D:$D=""Storage cost per pallet / week"")*('cost master'!$G:$G&lt;=B3929)*(('cost master'!$H:$H&gt;=B3929)+ISBLANK('cost master'!$H:$H))),1),0)"),0.0)</f>
        <v>0</v>
      </c>
      <c r="I3929" s="3">
        <f t="shared" si="4"/>
        <v>0</v>
      </c>
      <c r="J3929" s="27">
        <f t="shared" si="5"/>
        <v>693947</v>
      </c>
      <c r="K3929" s="27">
        <f t="shared" si="6"/>
        <v>693977</v>
      </c>
    </row>
    <row r="3930" hidden="1">
      <c r="A3930" s="3" t="str">
        <f t="shared" si="3"/>
        <v/>
      </c>
      <c r="B3930" s="2" t="str">
        <f t="array" ref="B3930">INDEX(helper!$A$3:$A3996,ROUNDUP((ROW()-1)/COUNTA(helper!$D$3:$D3996),0))</f>
        <v/>
      </c>
      <c r="C3930" s="5" t="str">
        <f t="array" ref="C3930">IF(B3930="","",INDEX(helper!$D$3:$D3996,MOD(ROW()-2,COUNTA(helper!$D$3:$D3996))+1))</f>
        <v/>
      </c>
      <c r="D3930" s="3" t="str">
        <f t="array" ref="D3930">IF(B3930="","",INDEX(helper!$E$3:$E3996,MOD(ROW()-2,COUNTA(helper!$D$3:$D3996))+1))</f>
        <v/>
      </c>
      <c r="E3930" s="3" t="str">
        <f t="array" ref="E3930">IF(B3930="","",INDEX(helper!$F$3:$F3996,MOD(ROW()-2,COUNTA(helper!$D$3:$D3996))+1))</f>
        <v/>
      </c>
      <c r="F3930" s="3" t="str">
        <f>IF(B3930="","",SUMIFS('inventory ledger'!$H:$H,'inventory ledger'!$C:$C,C3930,'inventory ledger'!$D:$D,D3930,'inventory ledger'!$E:$E,E3930,'inventory ledger'!$A:$A,"&lt;="&amp;B3930+TIME(23,59,59))-SUMIFS('inventory ledger'!$I:$I,'inventory ledger'!$C:$C,C3930,'inventory ledger'!$D:$D,D3930,'inventory ledger'!$E:$E,E3930,'inventory ledger'!$A:$A,"&lt;="&amp;B3930+TIME(23,59,59)))</f>
        <v/>
      </c>
      <c r="G3930" s="3">
        <f>IFERROR(__xludf.DUMMYFUNCTION("IF(F3930&lt;=0,0,IFERROR(ROUNDUP(F3930/INDEX(FILTER('warehouse config'!$D:$D,('warehouse config'!$B:$B=C3930)*('warehouse config'!$C:$C=D3930)*('warehouse config'!$G:$G&lt;=B3930)*(('warehouse config'!$H:$H&gt;=B3930)+ISBLANK('warehouse config'!$H:$H))),1)),0))"),0.0)</f>
        <v>0</v>
      </c>
      <c r="H3930" s="3">
        <f>IFERROR(__xludf.DUMMYFUNCTION("IFERROR(INDEX(FILTER('cost master'!$E:$E,('cost master'!$B:$B=C3930)*('cost master'!$D:$D=""Storage cost per pallet / week"")*('cost master'!$G:$G&lt;=B3930)*(('cost master'!$H:$H&gt;=B3930)+ISBLANK('cost master'!$H:$H))),1),0)"),0.0)</f>
        <v>0</v>
      </c>
      <c r="I3930" s="3">
        <f t="shared" si="4"/>
        <v>0</v>
      </c>
      <c r="J3930" s="27">
        <f t="shared" si="5"/>
        <v>693947</v>
      </c>
      <c r="K3930" s="27">
        <f t="shared" si="6"/>
        <v>693977</v>
      </c>
    </row>
    <row r="3931" hidden="1">
      <c r="A3931" s="3" t="str">
        <f t="shared" si="3"/>
        <v/>
      </c>
      <c r="B3931" s="2" t="str">
        <f t="array" ref="B3931">INDEX(helper!$A$3:$A3996,ROUNDUP((ROW()-1)/COUNTA(helper!$D$3:$D3996),0))</f>
        <v/>
      </c>
      <c r="C3931" s="5" t="str">
        <f t="array" ref="C3931">IF(B3931="","",INDEX(helper!$D$3:$D3996,MOD(ROW()-2,COUNTA(helper!$D$3:$D3996))+1))</f>
        <v/>
      </c>
      <c r="D3931" s="3" t="str">
        <f t="array" ref="D3931">IF(B3931="","",INDEX(helper!$E$3:$E3996,MOD(ROW()-2,COUNTA(helper!$D$3:$D3996))+1))</f>
        <v/>
      </c>
      <c r="E3931" s="3" t="str">
        <f t="array" ref="E3931">IF(B3931="","",INDEX(helper!$F$3:$F3996,MOD(ROW()-2,COUNTA(helper!$D$3:$D3996))+1))</f>
        <v/>
      </c>
      <c r="F3931" s="3" t="str">
        <f>IF(B3931="","",SUMIFS('inventory ledger'!$H:$H,'inventory ledger'!$C:$C,C3931,'inventory ledger'!$D:$D,D3931,'inventory ledger'!$E:$E,E3931,'inventory ledger'!$A:$A,"&lt;="&amp;B3931+TIME(23,59,59))-SUMIFS('inventory ledger'!$I:$I,'inventory ledger'!$C:$C,C3931,'inventory ledger'!$D:$D,D3931,'inventory ledger'!$E:$E,E3931,'inventory ledger'!$A:$A,"&lt;="&amp;B3931+TIME(23,59,59)))</f>
        <v/>
      </c>
      <c r="G3931" s="3">
        <f>IFERROR(__xludf.DUMMYFUNCTION("IF(F3931&lt;=0,0,IFERROR(ROUNDUP(F3931/INDEX(FILTER('warehouse config'!$D:$D,('warehouse config'!$B:$B=C3931)*('warehouse config'!$C:$C=D3931)*('warehouse config'!$G:$G&lt;=B3931)*(('warehouse config'!$H:$H&gt;=B3931)+ISBLANK('warehouse config'!$H:$H))),1)),0))"),0.0)</f>
        <v>0</v>
      </c>
      <c r="H3931" s="3">
        <f>IFERROR(__xludf.DUMMYFUNCTION("IFERROR(INDEX(FILTER('cost master'!$E:$E,('cost master'!$B:$B=C3931)*('cost master'!$D:$D=""Storage cost per pallet / week"")*('cost master'!$G:$G&lt;=B3931)*(('cost master'!$H:$H&gt;=B3931)+ISBLANK('cost master'!$H:$H))),1),0)"),0.0)</f>
        <v>0</v>
      </c>
      <c r="I3931" s="3">
        <f t="shared" si="4"/>
        <v>0</v>
      </c>
      <c r="J3931" s="27">
        <f t="shared" si="5"/>
        <v>693947</v>
      </c>
      <c r="K3931" s="27">
        <f t="shared" si="6"/>
        <v>693977</v>
      </c>
    </row>
    <row r="3932" hidden="1">
      <c r="A3932" s="3" t="str">
        <f t="shared" si="3"/>
        <v/>
      </c>
      <c r="B3932" s="2" t="str">
        <f t="array" ref="B3932">INDEX(helper!$A$3:$A3996,ROUNDUP((ROW()-1)/COUNTA(helper!$D$3:$D3996),0))</f>
        <v/>
      </c>
      <c r="C3932" s="5" t="str">
        <f t="array" ref="C3932">IF(B3932="","",INDEX(helper!$D$3:$D3996,MOD(ROW()-2,COUNTA(helper!$D$3:$D3996))+1))</f>
        <v/>
      </c>
      <c r="D3932" s="3" t="str">
        <f t="array" ref="D3932">IF(B3932="","",INDEX(helper!$E$3:$E3996,MOD(ROW()-2,COUNTA(helper!$D$3:$D3996))+1))</f>
        <v/>
      </c>
      <c r="E3932" s="3" t="str">
        <f t="array" ref="E3932">IF(B3932="","",INDEX(helper!$F$3:$F3996,MOD(ROW()-2,COUNTA(helper!$D$3:$D3996))+1))</f>
        <v/>
      </c>
      <c r="F3932" s="3" t="str">
        <f>IF(B3932="","",SUMIFS('inventory ledger'!$H:$H,'inventory ledger'!$C:$C,C3932,'inventory ledger'!$D:$D,D3932,'inventory ledger'!$E:$E,E3932,'inventory ledger'!$A:$A,"&lt;="&amp;B3932+TIME(23,59,59))-SUMIFS('inventory ledger'!$I:$I,'inventory ledger'!$C:$C,C3932,'inventory ledger'!$D:$D,D3932,'inventory ledger'!$E:$E,E3932,'inventory ledger'!$A:$A,"&lt;="&amp;B3932+TIME(23,59,59)))</f>
        <v/>
      </c>
      <c r="G3932" s="3">
        <f>IFERROR(__xludf.DUMMYFUNCTION("IF(F3932&lt;=0,0,IFERROR(ROUNDUP(F3932/INDEX(FILTER('warehouse config'!$D:$D,('warehouse config'!$B:$B=C3932)*('warehouse config'!$C:$C=D3932)*('warehouse config'!$G:$G&lt;=B3932)*(('warehouse config'!$H:$H&gt;=B3932)+ISBLANK('warehouse config'!$H:$H))),1)),0))"),0.0)</f>
        <v>0</v>
      </c>
      <c r="H3932" s="3">
        <f>IFERROR(__xludf.DUMMYFUNCTION("IFERROR(INDEX(FILTER('cost master'!$E:$E,('cost master'!$B:$B=C3932)*('cost master'!$D:$D=""Storage cost per pallet / week"")*('cost master'!$G:$G&lt;=B3932)*(('cost master'!$H:$H&gt;=B3932)+ISBLANK('cost master'!$H:$H))),1),0)"),0.0)</f>
        <v>0</v>
      </c>
      <c r="I3932" s="3">
        <f t="shared" si="4"/>
        <v>0</v>
      </c>
      <c r="J3932" s="27">
        <f t="shared" si="5"/>
        <v>693947</v>
      </c>
      <c r="K3932" s="27">
        <f t="shared" si="6"/>
        <v>693977</v>
      </c>
    </row>
    <row r="3933" hidden="1">
      <c r="A3933" s="3" t="str">
        <f t="shared" si="3"/>
        <v/>
      </c>
      <c r="B3933" s="2" t="str">
        <f t="array" ref="B3933">INDEX(helper!$A$3:$A3996,ROUNDUP((ROW()-1)/COUNTA(helper!$D$3:$D3996),0))</f>
        <v/>
      </c>
      <c r="C3933" s="5" t="str">
        <f t="array" ref="C3933">IF(B3933="","",INDEX(helper!$D$3:$D3996,MOD(ROW()-2,COUNTA(helper!$D$3:$D3996))+1))</f>
        <v/>
      </c>
      <c r="D3933" s="3" t="str">
        <f t="array" ref="D3933">IF(B3933="","",INDEX(helper!$E$3:$E3996,MOD(ROW()-2,COUNTA(helper!$D$3:$D3996))+1))</f>
        <v/>
      </c>
      <c r="E3933" s="3" t="str">
        <f t="array" ref="E3933">IF(B3933="","",INDEX(helper!$F$3:$F3996,MOD(ROW()-2,COUNTA(helper!$D$3:$D3996))+1))</f>
        <v/>
      </c>
      <c r="F3933" s="3" t="str">
        <f>IF(B3933="","",SUMIFS('inventory ledger'!$H:$H,'inventory ledger'!$C:$C,C3933,'inventory ledger'!$D:$D,D3933,'inventory ledger'!$E:$E,E3933,'inventory ledger'!$A:$A,"&lt;="&amp;B3933+TIME(23,59,59))-SUMIFS('inventory ledger'!$I:$I,'inventory ledger'!$C:$C,C3933,'inventory ledger'!$D:$D,D3933,'inventory ledger'!$E:$E,E3933,'inventory ledger'!$A:$A,"&lt;="&amp;B3933+TIME(23,59,59)))</f>
        <v/>
      </c>
      <c r="G3933" s="3">
        <f>IFERROR(__xludf.DUMMYFUNCTION("IF(F3933&lt;=0,0,IFERROR(ROUNDUP(F3933/INDEX(FILTER('warehouse config'!$D:$D,('warehouse config'!$B:$B=C3933)*('warehouse config'!$C:$C=D3933)*('warehouse config'!$G:$G&lt;=B3933)*(('warehouse config'!$H:$H&gt;=B3933)+ISBLANK('warehouse config'!$H:$H))),1)),0))"),0.0)</f>
        <v>0</v>
      </c>
      <c r="H3933" s="3">
        <f>IFERROR(__xludf.DUMMYFUNCTION("IFERROR(INDEX(FILTER('cost master'!$E:$E,('cost master'!$B:$B=C3933)*('cost master'!$D:$D=""Storage cost per pallet / week"")*('cost master'!$G:$G&lt;=B3933)*(('cost master'!$H:$H&gt;=B3933)+ISBLANK('cost master'!$H:$H))),1),0)"),0.0)</f>
        <v>0</v>
      </c>
      <c r="I3933" s="3">
        <f t="shared" si="4"/>
        <v>0</v>
      </c>
      <c r="J3933" s="27">
        <f t="shared" si="5"/>
        <v>693947</v>
      </c>
      <c r="K3933" s="27">
        <f t="shared" si="6"/>
        <v>693977</v>
      </c>
    </row>
    <row r="3934" hidden="1">
      <c r="A3934" s="3" t="str">
        <f t="shared" si="3"/>
        <v/>
      </c>
      <c r="B3934" s="2" t="str">
        <f t="array" ref="B3934">INDEX(helper!$A$3:$A3996,ROUNDUP((ROW()-1)/COUNTA(helper!$D$3:$D3996),0))</f>
        <v/>
      </c>
      <c r="C3934" s="5" t="str">
        <f t="array" ref="C3934">IF(B3934="","",INDEX(helper!$D$3:$D3996,MOD(ROW()-2,COUNTA(helper!$D$3:$D3996))+1))</f>
        <v/>
      </c>
      <c r="D3934" s="3" t="str">
        <f t="array" ref="D3934">IF(B3934="","",INDEX(helper!$E$3:$E3996,MOD(ROW()-2,COUNTA(helper!$D$3:$D3996))+1))</f>
        <v/>
      </c>
      <c r="E3934" s="3" t="str">
        <f t="array" ref="E3934">IF(B3934="","",INDEX(helper!$F$3:$F3996,MOD(ROW()-2,COUNTA(helper!$D$3:$D3996))+1))</f>
        <v/>
      </c>
      <c r="F3934" s="3" t="str">
        <f>IF(B3934="","",SUMIFS('inventory ledger'!$H:$H,'inventory ledger'!$C:$C,C3934,'inventory ledger'!$D:$D,D3934,'inventory ledger'!$E:$E,E3934,'inventory ledger'!$A:$A,"&lt;="&amp;B3934+TIME(23,59,59))-SUMIFS('inventory ledger'!$I:$I,'inventory ledger'!$C:$C,C3934,'inventory ledger'!$D:$D,D3934,'inventory ledger'!$E:$E,E3934,'inventory ledger'!$A:$A,"&lt;="&amp;B3934+TIME(23,59,59)))</f>
        <v/>
      </c>
      <c r="G3934" s="3">
        <f>IFERROR(__xludf.DUMMYFUNCTION("IF(F3934&lt;=0,0,IFERROR(ROUNDUP(F3934/INDEX(FILTER('warehouse config'!$D:$D,('warehouse config'!$B:$B=C3934)*('warehouse config'!$C:$C=D3934)*('warehouse config'!$G:$G&lt;=B3934)*(('warehouse config'!$H:$H&gt;=B3934)+ISBLANK('warehouse config'!$H:$H))),1)),0))"),0.0)</f>
        <v>0</v>
      </c>
      <c r="H3934" s="3">
        <f>IFERROR(__xludf.DUMMYFUNCTION("IFERROR(INDEX(FILTER('cost master'!$E:$E,('cost master'!$B:$B=C3934)*('cost master'!$D:$D=""Storage cost per pallet / week"")*('cost master'!$G:$G&lt;=B3934)*(('cost master'!$H:$H&gt;=B3934)+ISBLANK('cost master'!$H:$H))),1),0)"),0.0)</f>
        <v>0</v>
      </c>
      <c r="I3934" s="3">
        <f t="shared" si="4"/>
        <v>0</v>
      </c>
      <c r="J3934" s="27">
        <f t="shared" si="5"/>
        <v>693947</v>
      </c>
      <c r="K3934" s="27">
        <f t="shared" si="6"/>
        <v>693977</v>
      </c>
    </row>
    <row r="3935" hidden="1">
      <c r="A3935" s="3" t="str">
        <f t="shared" si="3"/>
        <v/>
      </c>
      <c r="B3935" s="2" t="str">
        <f t="array" ref="B3935">INDEX(helper!$A$3:$A3996,ROUNDUP((ROW()-1)/COUNTA(helper!$D$3:$D3996),0))</f>
        <v/>
      </c>
      <c r="C3935" s="5" t="str">
        <f t="array" ref="C3935">IF(B3935="","",INDEX(helper!$D$3:$D3996,MOD(ROW()-2,COUNTA(helper!$D$3:$D3996))+1))</f>
        <v/>
      </c>
      <c r="D3935" s="3" t="str">
        <f t="array" ref="D3935">IF(B3935="","",INDEX(helper!$E$3:$E3996,MOD(ROW()-2,COUNTA(helper!$D$3:$D3996))+1))</f>
        <v/>
      </c>
      <c r="E3935" s="3" t="str">
        <f t="array" ref="E3935">IF(B3935="","",INDEX(helper!$F$3:$F3996,MOD(ROW()-2,COUNTA(helper!$D$3:$D3996))+1))</f>
        <v/>
      </c>
      <c r="F3935" s="3" t="str">
        <f>IF(B3935="","",SUMIFS('inventory ledger'!$H:$H,'inventory ledger'!$C:$C,C3935,'inventory ledger'!$D:$D,D3935,'inventory ledger'!$E:$E,E3935,'inventory ledger'!$A:$A,"&lt;="&amp;B3935+TIME(23,59,59))-SUMIFS('inventory ledger'!$I:$I,'inventory ledger'!$C:$C,C3935,'inventory ledger'!$D:$D,D3935,'inventory ledger'!$E:$E,E3935,'inventory ledger'!$A:$A,"&lt;="&amp;B3935+TIME(23,59,59)))</f>
        <v/>
      </c>
      <c r="G3935" s="3">
        <f>IFERROR(__xludf.DUMMYFUNCTION("IF(F3935&lt;=0,0,IFERROR(ROUNDUP(F3935/INDEX(FILTER('warehouse config'!$D:$D,('warehouse config'!$B:$B=C3935)*('warehouse config'!$C:$C=D3935)*('warehouse config'!$G:$G&lt;=B3935)*(('warehouse config'!$H:$H&gt;=B3935)+ISBLANK('warehouse config'!$H:$H))),1)),0))"),0.0)</f>
        <v>0</v>
      </c>
      <c r="H3935" s="3">
        <f>IFERROR(__xludf.DUMMYFUNCTION("IFERROR(INDEX(FILTER('cost master'!$E:$E,('cost master'!$B:$B=C3935)*('cost master'!$D:$D=""Storage cost per pallet / week"")*('cost master'!$G:$G&lt;=B3935)*(('cost master'!$H:$H&gt;=B3935)+ISBLANK('cost master'!$H:$H))),1),0)"),0.0)</f>
        <v>0</v>
      </c>
      <c r="I3935" s="3">
        <f t="shared" si="4"/>
        <v>0</v>
      </c>
      <c r="J3935" s="27">
        <f t="shared" si="5"/>
        <v>693947</v>
      </c>
      <c r="K3935" s="27">
        <f t="shared" si="6"/>
        <v>693977</v>
      </c>
    </row>
    <row r="3936" hidden="1">
      <c r="A3936" s="3" t="str">
        <f t="shared" si="3"/>
        <v/>
      </c>
      <c r="B3936" s="2" t="str">
        <f t="array" ref="B3936">INDEX(helper!$A$3:$A3996,ROUNDUP((ROW()-1)/COUNTA(helper!$D$3:$D3996),0))</f>
        <v/>
      </c>
      <c r="C3936" s="5" t="str">
        <f t="array" ref="C3936">IF(B3936="","",INDEX(helper!$D$3:$D3996,MOD(ROW()-2,COUNTA(helper!$D$3:$D3996))+1))</f>
        <v/>
      </c>
      <c r="D3936" s="3" t="str">
        <f t="array" ref="D3936">IF(B3936="","",INDEX(helper!$E$3:$E3996,MOD(ROW()-2,COUNTA(helper!$D$3:$D3996))+1))</f>
        <v/>
      </c>
      <c r="E3936" s="3" t="str">
        <f t="array" ref="E3936">IF(B3936="","",INDEX(helper!$F$3:$F3996,MOD(ROW()-2,COUNTA(helper!$D$3:$D3996))+1))</f>
        <v/>
      </c>
      <c r="F3936" s="3" t="str">
        <f>IF(B3936="","",SUMIFS('inventory ledger'!$H:$H,'inventory ledger'!$C:$C,C3936,'inventory ledger'!$D:$D,D3936,'inventory ledger'!$E:$E,E3936,'inventory ledger'!$A:$A,"&lt;="&amp;B3936+TIME(23,59,59))-SUMIFS('inventory ledger'!$I:$I,'inventory ledger'!$C:$C,C3936,'inventory ledger'!$D:$D,D3936,'inventory ledger'!$E:$E,E3936,'inventory ledger'!$A:$A,"&lt;="&amp;B3936+TIME(23,59,59)))</f>
        <v/>
      </c>
      <c r="G3936" s="3">
        <f>IFERROR(__xludf.DUMMYFUNCTION("IF(F3936&lt;=0,0,IFERROR(ROUNDUP(F3936/INDEX(FILTER('warehouse config'!$D:$D,('warehouse config'!$B:$B=C3936)*('warehouse config'!$C:$C=D3936)*('warehouse config'!$G:$G&lt;=B3936)*(('warehouse config'!$H:$H&gt;=B3936)+ISBLANK('warehouse config'!$H:$H))),1)),0))"),0.0)</f>
        <v>0</v>
      </c>
      <c r="H3936" s="3">
        <f>IFERROR(__xludf.DUMMYFUNCTION("IFERROR(INDEX(FILTER('cost master'!$E:$E,('cost master'!$B:$B=C3936)*('cost master'!$D:$D=""Storage cost per pallet / week"")*('cost master'!$G:$G&lt;=B3936)*(('cost master'!$H:$H&gt;=B3936)+ISBLANK('cost master'!$H:$H))),1),0)"),0.0)</f>
        <v>0</v>
      </c>
      <c r="I3936" s="3">
        <f t="shared" si="4"/>
        <v>0</v>
      </c>
      <c r="J3936" s="27">
        <f t="shared" si="5"/>
        <v>693947</v>
      </c>
      <c r="K3936" s="27">
        <f t="shared" si="6"/>
        <v>693977</v>
      </c>
    </row>
    <row r="3937" hidden="1">
      <c r="A3937" s="3" t="str">
        <f t="shared" si="3"/>
        <v/>
      </c>
      <c r="B3937" s="2" t="str">
        <f t="array" ref="B3937">INDEX(helper!$A$3:$A3996,ROUNDUP((ROW()-1)/COUNTA(helper!$D$3:$D3996),0))</f>
        <v/>
      </c>
      <c r="C3937" s="5" t="str">
        <f t="array" ref="C3937">IF(B3937="","",INDEX(helper!$D$3:$D3996,MOD(ROW()-2,COUNTA(helper!$D$3:$D3996))+1))</f>
        <v/>
      </c>
      <c r="D3937" s="3" t="str">
        <f t="array" ref="D3937">IF(B3937="","",INDEX(helper!$E$3:$E3996,MOD(ROW()-2,COUNTA(helper!$D$3:$D3996))+1))</f>
        <v/>
      </c>
      <c r="E3937" s="3" t="str">
        <f t="array" ref="E3937">IF(B3937="","",INDEX(helper!$F$3:$F3996,MOD(ROW()-2,COUNTA(helper!$D$3:$D3996))+1))</f>
        <v/>
      </c>
      <c r="F3937" s="3" t="str">
        <f>IF(B3937="","",SUMIFS('inventory ledger'!$H:$H,'inventory ledger'!$C:$C,C3937,'inventory ledger'!$D:$D,D3937,'inventory ledger'!$E:$E,E3937,'inventory ledger'!$A:$A,"&lt;="&amp;B3937+TIME(23,59,59))-SUMIFS('inventory ledger'!$I:$I,'inventory ledger'!$C:$C,C3937,'inventory ledger'!$D:$D,D3937,'inventory ledger'!$E:$E,E3937,'inventory ledger'!$A:$A,"&lt;="&amp;B3937+TIME(23,59,59)))</f>
        <v/>
      </c>
      <c r="G3937" s="3">
        <f>IFERROR(__xludf.DUMMYFUNCTION("IF(F3937&lt;=0,0,IFERROR(ROUNDUP(F3937/INDEX(FILTER('warehouse config'!$D:$D,('warehouse config'!$B:$B=C3937)*('warehouse config'!$C:$C=D3937)*('warehouse config'!$G:$G&lt;=B3937)*(('warehouse config'!$H:$H&gt;=B3937)+ISBLANK('warehouse config'!$H:$H))),1)),0))"),0.0)</f>
        <v>0</v>
      </c>
      <c r="H3937" s="3">
        <f>IFERROR(__xludf.DUMMYFUNCTION("IFERROR(INDEX(FILTER('cost master'!$E:$E,('cost master'!$B:$B=C3937)*('cost master'!$D:$D=""Storage cost per pallet / week"")*('cost master'!$G:$G&lt;=B3937)*(('cost master'!$H:$H&gt;=B3937)+ISBLANK('cost master'!$H:$H))),1),0)"),0.0)</f>
        <v>0</v>
      </c>
      <c r="I3937" s="3">
        <f t="shared" si="4"/>
        <v>0</v>
      </c>
      <c r="J3937" s="27">
        <f t="shared" si="5"/>
        <v>693947</v>
      </c>
      <c r="K3937" s="27">
        <f t="shared" si="6"/>
        <v>693977</v>
      </c>
    </row>
    <row r="3938" hidden="1">
      <c r="A3938" s="3" t="str">
        <f t="shared" si="3"/>
        <v/>
      </c>
      <c r="B3938" s="2" t="str">
        <f t="array" ref="B3938">INDEX(helper!$A$3:$A3996,ROUNDUP((ROW()-1)/COUNTA(helper!$D$3:$D3996),0))</f>
        <v/>
      </c>
      <c r="C3938" s="5" t="str">
        <f t="array" ref="C3938">IF(B3938="","",INDEX(helper!$D$3:$D3996,MOD(ROW()-2,COUNTA(helper!$D$3:$D3996))+1))</f>
        <v/>
      </c>
      <c r="D3938" s="3" t="str">
        <f t="array" ref="D3938">IF(B3938="","",INDEX(helper!$E$3:$E3996,MOD(ROW()-2,COUNTA(helper!$D$3:$D3996))+1))</f>
        <v/>
      </c>
      <c r="E3938" s="3" t="str">
        <f t="array" ref="E3938">IF(B3938="","",INDEX(helper!$F$3:$F3996,MOD(ROW()-2,COUNTA(helper!$D$3:$D3996))+1))</f>
        <v/>
      </c>
      <c r="F3938" s="3" t="str">
        <f>IF(B3938="","",SUMIFS('inventory ledger'!$H:$H,'inventory ledger'!$C:$C,C3938,'inventory ledger'!$D:$D,D3938,'inventory ledger'!$E:$E,E3938,'inventory ledger'!$A:$A,"&lt;="&amp;B3938+TIME(23,59,59))-SUMIFS('inventory ledger'!$I:$I,'inventory ledger'!$C:$C,C3938,'inventory ledger'!$D:$D,D3938,'inventory ledger'!$E:$E,E3938,'inventory ledger'!$A:$A,"&lt;="&amp;B3938+TIME(23,59,59)))</f>
        <v/>
      </c>
      <c r="G3938" s="3">
        <f>IFERROR(__xludf.DUMMYFUNCTION("IF(F3938&lt;=0,0,IFERROR(ROUNDUP(F3938/INDEX(FILTER('warehouse config'!$D:$D,('warehouse config'!$B:$B=C3938)*('warehouse config'!$C:$C=D3938)*('warehouse config'!$G:$G&lt;=B3938)*(('warehouse config'!$H:$H&gt;=B3938)+ISBLANK('warehouse config'!$H:$H))),1)),0))"),0.0)</f>
        <v>0</v>
      </c>
      <c r="H3938" s="3">
        <f>IFERROR(__xludf.DUMMYFUNCTION("IFERROR(INDEX(FILTER('cost master'!$E:$E,('cost master'!$B:$B=C3938)*('cost master'!$D:$D=""Storage cost per pallet / week"")*('cost master'!$G:$G&lt;=B3938)*(('cost master'!$H:$H&gt;=B3938)+ISBLANK('cost master'!$H:$H))),1),0)"),0.0)</f>
        <v>0</v>
      </c>
      <c r="I3938" s="3">
        <f t="shared" si="4"/>
        <v>0</v>
      </c>
      <c r="J3938" s="27">
        <f t="shared" si="5"/>
        <v>693947</v>
      </c>
      <c r="K3938" s="27">
        <f t="shared" si="6"/>
        <v>693977</v>
      </c>
    </row>
    <row r="3939" hidden="1">
      <c r="A3939" s="3" t="str">
        <f t="shared" si="3"/>
        <v/>
      </c>
      <c r="B3939" s="2" t="str">
        <f t="array" ref="B3939">INDEX(helper!$A$3:$A3996,ROUNDUP((ROW()-1)/COUNTA(helper!$D$3:$D3996),0))</f>
        <v/>
      </c>
      <c r="C3939" s="5" t="str">
        <f t="array" ref="C3939">IF(B3939="","",INDEX(helper!$D$3:$D3996,MOD(ROW()-2,COUNTA(helper!$D$3:$D3996))+1))</f>
        <v/>
      </c>
      <c r="D3939" s="3" t="str">
        <f t="array" ref="D3939">IF(B3939="","",INDEX(helper!$E$3:$E3996,MOD(ROW()-2,COUNTA(helper!$D$3:$D3996))+1))</f>
        <v/>
      </c>
      <c r="E3939" s="3" t="str">
        <f t="array" ref="E3939">IF(B3939="","",INDEX(helper!$F$3:$F3996,MOD(ROW()-2,COUNTA(helper!$D$3:$D3996))+1))</f>
        <v/>
      </c>
      <c r="F3939" s="3" t="str">
        <f>IF(B3939="","",SUMIFS('inventory ledger'!$H:$H,'inventory ledger'!$C:$C,C3939,'inventory ledger'!$D:$D,D3939,'inventory ledger'!$E:$E,E3939,'inventory ledger'!$A:$A,"&lt;="&amp;B3939+TIME(23,59,59))-SUMIFS('inventory ledger'!$I:$I,'inventory ledger'!$C:$C,C3939,'inventory ledger'!$D:$D,D3939,'inventory ledger'!$E:$E,E3939,'inventory ledger'!$A:$A,"&lt;="&amp;B3939+TIME(23,59,59)))</f>
        <v/>
      </c>
      <c r="G3939" s="3">
        <f>IFERROR(__xludf.DUMMYFUNCTION("IF(F3939&lt;=0,0,IFERROR(ROUNDUP(F3939/INDEX(FILTER('warehouse config'!$D:$D,('warehouse config'!$B:$B=C3939)*('warehouse config'!$C:$C=D3939)*('warehouse config'!$G:$G&lt;=B3939)*(('warehouse config'!$H:$H&gt;=B3939)+ISBLANK('warehouse config'!$H:$H))),1)),0))"),0.0)</f>
        <v>0</v>
      </c>
      <c r="H3939" s="3">
        <f>IFERROR(__xludf.DUMMYFUNCTION("IFERROR(INDEX(FILTER('cost master'!$E:$E,('cost master'!$B:$B=C3939)*('cost master'!$D:$D=""Storage cost per pallet / week"")*('cost master'!$G:$G&lt;=B3939)*(('cost master'!$H:$H&gt;=B3939)+ISBLANK('cost master'!$H:$H))),1),0)"),0.0)</f>
        <v>0</v>
      </c>
      <c r="I3939" s="3">
        <f t="shared" si="4"/>
        <v>0</v>
      </c>
      <c r="J3939" s="27">
        <f t="shared" si="5"/>
        <v>693947</v>
      </c>
      <c r="K3939" s="27">
        <f t="shared" si="6"/>
        <v>693977</v>
      </c>
    </row>
    <row r="3940" hidden="1">
      <c r="A3940" s="3" t="str">
        <f t="shared" si="3"/>
        <v/>
      </c>
      <c r="B3940" s="2" t="str">
        <f t="array" ref="B3940">INDEX(helper!$A$3:$A3996,ROUNDUP((ROW()-1)/COUNTA(helper!$D$3:$D3996),0))</f>
        <v/>
      </c>
      <c r="C3940" s="5" t="str">
        <f t="array" ref="C3940">IF(B3940="","",INDEX(helper!$D$3:$D3996,MOD(ROW()-2,COUNTA(helper!$D$3:$D3996))+1))</f>
        <v/>
      </c>
      <c r="D3940" s="3" t="str">
        <f t="array" ref="D3940">IF(B3940="","",INDEX(helper!$E$3:$E3996,MOD(ROW()-2,COUNTA(helper!$D$3:$D3996))+1))</f>
        <v/>
      </c>
      <c r="E3940" s="3" t="str">
        <f t="array" ref="E3940">IF(B3940="","",INDEX(helper!$F$3:$F3996,MOD(ROW()-2,COUNTA(helper!$D$3:$D3996))+1))</f>
        <v/>
      </c>
      <c r="F3940" s="3" t="str">
        <f>IF(B3940="","",SUMIFS('inventory ledger'!$H:$H,'inventory ledger'!$C:$C,C3940,'inventory ledger'!$D:$D,D3940,'inventory ledger'!$E:$E,E3940,'inventory ledger'!$A:$A,"&lt;="&amp;B3940+TIME(23,59,59))-SUMIFS('inventory ledger'!$I:$I,'inventory ledger'!$C:$C,C3940,'inventory ledger'!$D:$D,D3940,'inventory ledger'!$E:$E,E3940,'inventory ledger'!$A:$A,"&lt;="&amp;B3940+TIME(23,59,59)))</f>
        <v/>
      </c>
      <c r="G3940" s="3">
        <f>IFERROR(__xludf.DUMMYFUNCTION("IF(F3940&lt;=0,0,IFERROR(ROUNDUP(F3940/INDEX(FILTER('warehouse config'!$D:$D,('warehouse config'!$B:$B=C3940)*('warehouse config'!$C:$C=D3940)*('warehouse config'!$G:$G&lt;=B3940)*(('warehouse config'!$H:$H&gt;=B3940)+ISBLANK('warehouse config'!$H:$H))),1)),0))"),0.0)</f>
        <v>0</v>
      </c>
      <c r="H3940" s="3">
        <f>IFERROR(__xludf.DUMMYFUNCTION("IFERROR(INDEX(FILTER('cost master'!$E:$E,('cost master'!$B:$B=C3940)*('cost master'!$D:$D=""Storage cost per pallet / week"")*('cost master'!$G:$G&lt;=B3940)*(('cost master'!$H:$H&gt;=B3940)+ISBLANK('cost master'!$H:$H))),1),0)"),0.0)</f>
        <v>0</v>
      </c>
      <c r="I3940" s="3">
        <f t="shared" si="4"/>
        <v>0</v>
      </c>
      <c r="J3940" s="27">
        <f t="shared" si="5"/>
        <v>693947</v>
      </c>
      <c r="K3940" s="27">
        <f t="shared" si="6"/>
        <v>693977</v>
      </c>
    </row>
    <row r="3941" hidden="1">
      <c r="A3941" s="3" t="str">
        <f t="shared" si="3"/>
        <v/>
      </c>
      <c r="B3941" s="2" t="str">
        <f t="array" ref="B3941">INDEX(helper!$A$3:$A3996,ROUNDUP((ROW()-1)/COUNTA(helper!$D$3:$D3996),0))</f>
        <v/>
      </c>
      <c r="C3941" s="5" t="str">
        <f t="array" ref="C3941">IF(B3941="","",INDEX(helper!$D$3:$D3996,MOD(ROW()-2,COUNTA(helper!$D$3:$D3996))+1))</f>
        <v/>
      </c>
      <c r="D3941" s="3" t="str">
        <f t="array" ref="D3941">IF(B3941="","",INDEX(helper!$E$3:$E3996,MOD(ROW()-2,COUNTA(helper!$D$3:$D3996))+1))</f>
        <v/>
      </c>
      <c r="E3941" s="3" t="str">
        <f t="array" ref="E3941">IF(B3941="","",INDEX(helper!$F$3:$F3996,MOD(ROW()-2,COUNTA(helper!$D$3:$D3996))+1))</f>
        <v/>
      </c>
      <c r="F3941" s="3" t="str">
        <f>IF(B3941="","",SUMIFS('inventory ledger'!$H:$H,'inventory ledger'!$C:$C,C3941,'inventory ledger'!$D:$D,D3941,'inventory ledger'!$E:$E,E3941,'inventory ledger'!$A:$A,"&lt;="&amp;B3941+TIME(23,59,59))-SUMIFS('inventory ledger'!$I:$I,'inventory ledger'!$C:$C,C3941,'inventory ledger'!$D:$D,D3941,'inventory ledger'!$E:$E,E3941,'inventory ledger'!$A:$A,"&lt;="&amp;B3941+TIME(23,59,59)))</f>
        <v/>
      </c>
      <c r="G3941" s="3">
        <f>IFERROR(__xludf.DUMMYFUNCTION("IF(F3941&lt;=0,0,IFERROR(ROUNDUP(F3941/INDEX(FILTER('warehouse config'!$D:$D,('warehouse config'!$B:$B=C3941)*('warehouse config'!$C:$C=D3941)*('warehouse config'!$G:$G&lt;=B3941)*(('warehouse config'!$H:$H&gt;=B3941)+ISBLANK('warehouse config'!$H:$H))),1)),0))"),0.0)</f>
        <v>0</v>
      </c>
      <c r="H3941" s="3">
        <f>IFERROR(__xludf.DUMMYFUNCTION("IFERROR(INDEX(FILTER('cost master'!$E:$E,('cost master'!$B:$B=C3941)*('cost master'!$D:$D=""Storage cost per pallet / week"")*('cost master'!$G:$G&lt;=B3941)*(('cost master'!$H:$H&gt;=B3941)+ISBLANK('cost master'!$H:$H))),1),0)"),0.0)</f>
        <v>0</v>
      </c>
      <c r="I3941" s="3">
        <f t="shared" si="4"/>
        <v>0</v>
      </c>
      <c r="J3941" s="27">
        <f t="shared" si="5"/>
        <v>693947</v>
      </c>
      <c r="K3941" s="27">
        <f t="shared" si="6"/>
        <v>693977</v>
      </c>
    </row>
    <row r="3942" hidden="1">
      <c r="A3942" s="3" t="str">
        <f t="shared" si="3"/>
        <v/>
      </c>
      <c r="B3942" s="2" t="str">
        <f t="array" ref="B3942">INDEX(helper!$A$3:$A3996,ROUNDUP((ROW()-1)/COUNTA(helper!$D$3:$D3996),0))</f>
        <v/>
      </c>
      <c r="C3942" s="5" t="str">
        <f t="array" ref="C3942">IF(B3942="","",INDEX(helper!$D$3:$D3996,MOD(ROW()-2,COUNTA(helper!$D$3:$D3996))+1))</f>
        <v/>
      </c>
      <c r="D3942" s="3" t="str">
        <f t="array" ref="D3942">IF(B3942="","",INDEX(helper!$E$3:$E3996,MOD(ROW()-2,COUNTA(helper!$D$3:$D3996))+1))</f>
        <v/>
      </c>
      <c r="E3942" s="3" t="str">
        <f t="array" ref="E3942">IF(B3942="","",INDEX(helper!$F$3:$F3996,MOD(ROW()-2,COUNTA(helper!$D$3:$D3996))+1))</f>
        <v/>
      </c>
      <c r="F3942" s="3" t="str">
        <f>IF(B3942="","",SUMIFS('inventory ledger'!$H:$H,'inventory ledger'!$C:$C,C3942,'inventory ledger'!$D:$D,D3942,'inventory ledger'!$E:$E,E3942,'inventory ledger'!$A:$A,"&lt;="&amp;B3942+TIME(23,59,59))-SUMIFS('inventory ledger'!$I:$I,'inventory ledger'!$C:$C,C3942,'inventory ledger'!$D:$D,D3942,'inventory ledger'!$E:$E,E3942,'inventory ledger'!$A:$A,"&lt;="&amp;B3942+TIME(23,59,59)))</f>
        <v/>
      </c>
      <c r="G3942" s="3">
        <f>IFERROR(__xludf.DUMMYFUNCTION("IF(F3942&lt;=0,0,IFERROR(ROUNDUP(F3942/INDEX(FILTER('warehouse config'!$D:$D,('warehouse config'!$B:$B=C3942)*('warehouse config'!$C:$C=D3942)*('warehouse config'!$G:$G&lt;=B3942)*(('warehouse config'!$H:$H&gt;=B3942)+ISBLANK('warehouse config'!$H:$H))),1)),0))"),0.0)</f>
        <v>0</v>
      </c>
      <c r="H3942" s="3">
        <f>IFERROR(__xludf.DUMMYFUNCTION("IFERROR(INDEX(FILTER('cost master'!$E:$E,('cost master'!$B:$B=C3942)*('cost master'!$D:$D=""Storage cost per pallet / week"")*('cost master'!$G:$G&lt;=B3942)*(('cost master'!$H:$H&gt;=B3942)+ISBLANK('cost master'!$H:$H))),1),0)"),0.0)</f>
        <v>0</v>
      </c>
      <c r="I3942" s="3">
        <f t="shared" si="4"/>
        <v>0</v>
      </c>
      <c r="J3942" s="27">
        <f t="shared" si="5"/>
        <v>693947</v>
      </c>
      <c r="K3942" s="27">
        <f t="shared" si="6"/>
        <v>693977</v>
      </c>
    </row>
    <row r="3943" hidden="1">
      <c r="A3943" s="3" t="str">
        <f t="shared" si="3"/>
        <v/>
      </c>
      <c r="B3943" s="2" t="str">
        <f t="array" ref="B3943">INDEX(helper!$A$3:$A3996,ROUNDUP((ROW()-1)/COUNTA(helper!$D$3:$D3996),0))</f>
        <v/>
      </c>
      <c r="C3943" s="5" t="str">
        <f t="array" ref="C3943">IF(B3943="","",INDEX(helper!$D$3:$D3996,MOD(ROW()-2,COUNTA(helper!$D$3:$D3996))+1))</f>
        <v/>
      </c>
      <c r="D3943" s="3" t="str">
        <f t="array" ref="D3943">IF(B3943="","",INDEX(helper!$E$3:$E3996,MOD(ROW()-2,COUNTA(helper!$D$3:$D3996))+1))</f>
        <v/>
      </c>
      <c r="E3943" s="3" t="str">
        <f t="array" ref="E3943">IF(B3943="","",INDEX(helper!$F$3:$F3996,MOD(ROW()-2,COUNTA(helper!$D$3:$D3996))+1))</f>
        <v/>
      </c>
      <c r="F3943" s="3" t="str">
        <f>IF(B3943="","",SUMIFS('inventory ledger'!$H:$H,'inventory ledger'!$C:$C,C3943,'inventory ledger'!$D:$D,D3943,'inventory ledger'!$E:$E,E3943,'inventory ledger'!$A:$A,"&lt;="&amp;B3943+TIME(23,59,59))-SUMIFS('inventory ledger'!$I:$I,'inventory ledger'!$C:$C,C3943,'inventory ledger'!$D:$D,D3943,'inventory ledger'!$E:$E,E3943,'inventory ledger'!$A:$A,"&lt;="&amp;B3943+TIME(23,59,59)))</f>
        <v/>
      </c>
      <c r="G3943" s="3">
        <f>IFERROR(__xludf.DUMMYFUNCTION("IF(F3943&lt;=0,0,IFERROR(ROUNDUP(F3943/INDEX(FILTER('warehouse config'!$D:$D,('warehouse config'!$B:$B=C3943)*('warehouse config'!$C:$C=D3943)*('warehouse config'!$G:$G&lt;=B3943)*(('warehouse config'!$H:$H&gt;=B3943)+ISBLANK('warehouse config'!$H:$H))),1)),0))"),0.0)</f>
        <v>0</v>
      </c>
      <c r="H3943" s="3">
        <f>IFERROR(__xludf.DUMMYFUNCTION("IFERROR(INDEX(FILTER('cost master'!$E:$E,('cost master'!$B:$B=C3943)*('cost master'!$D:$D=""Storage cost per pallet / week"")*('cost master'!$G:$G&lt;=B3943)*(('cost master'!$H:$H&gt;=B3943)+ISBLANK('cost master'!$H:$H))),1),0)"),0.0)</f>
        <v>0</v>
      </c>
      <c r="I3943" s="3">
        <f t="shared" si="4"/>
        <v>0</v>
      </c>
      <c r="J3943" s="27">
        <f t="shared" si="5"/>
        <v>693947</v>
      </c>
      <c r="K3943" s="27">
        <f t="shared" si="6"/>
        <v>693977</v>
      </c>
    </row>
    <row r="3944" hidden="1">
      <c r="A3944" s="3" t="str">
        <f t="shared" si="3"/>
        <v/>
      </c>
      <c r="B3944" s="2" t="str">
        <f t="array" ref="B3944">INDEX(helper!$A$3:$A3996,ROUNDUP((ROW()-1)/COUNTA(helper!$D$3:$D3996),0))</f>
        <v/>
      </c>
      <c r="C3944" s="5" t="str">
        <f t="array" ref="C3944">IF(B3944="","",INDEX(helper!$D$3:$D3996,MOD(ROW()-2,COUNTA(helper!$D$3:$D3996))+1))</f>
        <v/>
      </c>
      <c r="D3944" s="3" t="str">
        <f t="array" ref="D3944">IF(B3944="","",INDEX(helper!$E$3:$E3996,MOD(ROW()-2,COUNTA(helper!$D$3:$D3996))+1))</f>
        <v/>
      </c>
      <c r="E3944" s="3" t="str">
        <f t="array" ref="E3944">IF(B3944="","",INDEX(helper!$F$3:$F3996,MOD(ROW()-2,COUNTA(helper!$D$3:$D3996))+1))</f>
        <v/>
      </c>
      <c r="F3944" s="3" t="str">
        <f>IF(B3944="","",SUMIFS('inventory ledger'!$H:$H,'inventory ledger'!$C:$C,C3944,'inventory ledger'!$D:$D,D3944,'inventory ledger'!$E:$E,E3944,'inventory ledger'!$A:$A,"&lt;="&amp;B3944+TIME(23,59,59))-SUMIFS('inventory ledger'!$I:$I,'inventory ledger'!$C:$C,C3944,'inventory ledger'!$D:$D,D3944,'inventory ledger'!$E:$E,E3944,'inventory ledger'!$A:$A,"&lt;="&amp;B3944+TIME(23,59,59)))</f>
        <v/>
      </c>
      <c r="G3944" s="3">
        <f>IFERROR(__xludf.DUMMYFUNCTION("IF(F3944&lt;=0,0,IFERROR(ROUNDUP(F3944/INDEX(FILTER('warehouse config'!$D:$D,('warehouse config'!$B:$B=C3944)*('warehouse config'!$C:$C=D3944)*('warehouse config'!$G:$G&lt;=B3944)*(('warehouse config'!$H:$H&gt;=B3944)+ISBLANK('warehouse config'!$H:$H))),1)),0))"),0.0)</f>
        <v>0</v>
      </c>
      <c r="H3944" s="3">
        <f>IFERROR(__xludf.DUMMYFUNCTION("IFERROR(INDEX(FILTER('cost master'!$E:$E,('cost master'!$B:$B=C3944)*('cost master'!$D:$D=""Storage cost per pallet / week"")*('cost master'!$G:$G&lt;=B3944)*(('cost master'!$H:$H&gt;=B3944)+ISBLANK('cost master'!$H:$H))),1),0)"),0.0)</f>
        <v>0</v>
      </c>
      <c r="I3944" s="3">
        <f t="shared" si="4"/>
        <v>0</v>
      </c>
      <c r="J3944" s="27">
        <f t="shared" si="5"/>
        <v>693947</v>
      </c>
      <c r="K3944" s="27">
        <f t="shared" si="6"/>
        <v>693977</v>
      </c>
    </row>
    <row r="3945" hidden="1">
      <c r="A3945" s="3" t="str">
        <f t="shared" si="3"/>
        <v/>
      </c>
      <c r="B3945" s="2" t="str">
        <f t="array" ref="B3945">INDEX(helper!$A$3:$A3996,ROUNDUP((ROW()-1)/COUNTA(helper!$D$3:$D3996),0))</f>
        <v/>
      </c>
      <c r="C3945" s="5" t="str">
        <f t="array" ref="C3945">IF(B3945="","",INDEX(helper!$D$3:$D3996,MOD(ROW()-2,COUNTA(helper!$D$3:$D3996))+1))</f>
        <v/>
      </c>
      <c r="D3945" s="3" t="str">
        <f t="array" ref="D3945">IF(B3945="","",INDEX(helper!$E$3:$E3996,MOD(ROW()-2,COUNTA(helper!$D$3:$D3996))+1))</f>
        <v/>
      </c>
      <c r="E3945" s="3" t="str">
        <f t="array" ref="E3945">IF(B3945="","",INDEX(helper!$F$3:$F3996,MOD(ROW()-2,COUNTA(helper!$D$3:$D3996))+1))</f>
        <v/>
      </c>
      <c r="F3945" s="3" t="str">
        <f>IF(B3945="","",SUMIFS('inventory ledger'!$H:$H,'inventory ledger'!$C:$C,C3945,'inventory ledger'!$D:$D,D3945,'inventory ledger'!$E:$E,E3945,'inventory ledger'!$A:$A,"&lt;="&amp;B3945+TIME(23,59,59))-SUMIFS('inventory ledger'!$I:$I,'inventory ledger'!$C:$C,C3945,'inventory ledger'!$D:$D,D3945,'inventory ledger'!$E:$E,E3945,'inventory ledger'!$A:$A,"&lt;="&amp;B3945+TIME(23,59,59)))</f>
        <v/>
      </c>
      <c r="G3945" s="3">
        <f>IFERROR(__xludf.DUMMYFUNCTION("IF(F3945&lt;=0,0,IFERROR(ROUNDUP(F3945/INDEX(FILTER('warehouse config'!$D:$D,('warehouse config'!$B:$B=C3945)*('warehouse config'!$C:$C=D3945)*('warehouse config'!$G:$G&lt;=B3945)*(('warehouse config'!$H:$H&gt;=B3945)+ISBLANK('warehouse config'!$H:$H))),1)),0))"),0.0)</f>
        <v>0</v>
      </c>
      <c r="H3945" s="3">
        <f>IFERROR(__xludf.DUMMYFUNCTION("IFERROR(INDEX(FILTER('cost master'!$E:$E,('cost master'!$B:$B=C3945)*('cost master'!$D:$D=""Storage cost per pallet / week"")*('cost master'!$G:$G&lt;=B3945)*(('cost master'!$H:$H&gt;=B3945)+ISBLANK('cost master'!$H:$H))),1),0)"),0.0)</f>
        <v>0</v>
      </c>
      <c r="I3945" s="3">
        <f t="shared" si="4"/>
        <v>0</v>
      </c>
      <c r="J3945" s="27">
        <f t="shared" si="5"/>
        <v>693947</v>
      </c>
      <c r="K3945" s="27">
        <f t="shared" si="6"/>
        <v>693977</v>
      </c>
    </row>
    <row r="3946" hidden="1">
      <c r="A3946" s="3" t="str">
        <f t="shared" si="3"/>
        <v/>
      </c>
      <c r="B3946" s="2" t="str">
        <f t="array" ref="B3946">INDEX(helper!$A$3:$A3996,ROUNDUP((ROW()-1)/COUNTA(helper!$D$3:$D3996),0))</f>
        <v/>
      </c>
      <c r="C3946" s="5" t="str">
        <f t="array" ref="C3946">IF(B3946="","",INDEX(helper!$D$3:$D3996,MOD(ROW()-2,COUNTA(helper!$D$3:$D3996))+1))</f>
        <v/>
      </c>
      <c r="D3946" s="3" t="str">
        <f t="array" ref="D3946">IF(B3946="","",INDEX(helper!$E$3:$E3996,MOD(ROW()-2,COUNTA(helper!$D$3:$D3996))+1))</f>
        <v/>
      </c>
      <c r="E3946" s="3" t="str">
        <f t="array" ref="E3946">IF(B3946="","",INDEX(helper!$F$3:$F3996,MOD(ROW()-2,COUNTA(helper!$D$3:$D3996))+1))</f>
        <v/>
      </c>
      <c r="F3946" s="3" t="str">
        <f>IF(B3946="","",SUMIFS('inventory ledger'!$H:$H,'inventory ledger'!$C:$C,C3946,'inventory ledger'!$D:$D,D3946,'inventory ledger'!$E:$E,E3946,'inventory ledger'!$A:$A,"&lt;="&amp;B3946+TIME(23,59,59))-SUMIFS('inventory ledger'!$I:$I,'inventory ledger'!$C:$C,C3946,'inventory ledger'!$D:$D,D3946,'inventory ledger'!$E:$E,E3946,'inventory ledger'!$A:$A,"&lt;="&amp;B3946+TIME(23,59,59)))</f>
        <v/>
      </c>
      <c r="G3946" s="3">
        <f>IFERROR(__xludf.DUMMYFUNCTION("IF(F3946&lt;=0,0,IFERROR(ROUNDUP(F3946/INDEX(FILTER('warehouse config'!$D:$D,('warehouse config'!$B:$B=C3946)*('warehouse config'!$C:$C=D3946)*('warehouse config'!$G:$G&lt;=B3946)*(('warehouse config'!$H:$H&gt;=B3946)+ISBLANK('warehouse config'!$H:$H))),1)),0))"),0.0)</f>
        <v>0</v>
      </c>
      <c r="H3946" s="3">
        <f>IFERROR(__xludf.DUMMYFUNCTION("IFERROR(INDEX(FILTER('cost master'!$E:$E,('cost master'!$B:$B=C3946)*('cost master'!$D:$D=""Storage cost per pallet / week"")*('cost master'!$G:$G&lt;=B3946)*(('cost master'!$H:$H&gt;=B3946)+ISBLANK('cost master'!$H:$H))),1),0)"),0.0)</f>
        <v>0</v>
      </c>
      <c r="I3946" s="3">
        <f t="shared" si="4"/>
        <v>0</v>
      </c>
      <c r="J3946" s="27">
        <f t="shared" si="5"/>
        <v>693947</v>
      </c>
      <c r="K3946" s="27">
        <f t="shared" si="6"/>
        <v>693977</v>
      </c>
    </row>
    <row r="3947" hidden="1">
      <c r="A3947" s="3" t="str">
        <f t="shared" si="3"/>
        <v/>
      </c>
      <c r="B3947" s="2" t="str">
        <f t="array" ref="B3947">INDEX(helper!$A$3:$A3996,ROUNDUP((ROW()-1)/COUNTA(helper!$D$3:$D3996),0))</f>
        <v/>
      </c>
      <c r="C3947" s="5" t="str">
        <f t="array" ref="C3947">IF(B3947="","",INDEX(helper!$D$3:$D3996,MOD(ROW()-2,COUNTA(helper!$D$3:$D3996))+1))</f>
        <v/>
      </c>
      <c r="D3947" s="3" t="str">
        <f t="array" ref="D3947">IF(B3947="","",INDEX(helper!$E$3:$E3996,MOD(ROW()-2,COUNTA(helper!$D$3:$D3996))+1))</f>
        <v/>
      </c>
      <c r="E3947" s="3" t="str">
        <f t="array" ref="E3947">IF(B3947="","",INDEX(helper!$F$3:$F3996,MOD(ROW()-2,COUNTA(helper!$D$3:$D3996))+1))</f>
        <v/>
      </c>
      <c r="F3947" s="3" t="str">
        <f>IF(B3947="","",SUMIFS('inventory ledger'!$H:$H,'inventory ledger'!$C:$C,C3947,'inventory ledger'!$D:$D,D3947,'inventory ledger'!$E:$E,E3947,'inventory ledger'!$A:$A,"&lt;="&amp;B3947+TIME(23,59,59))-SUMIFS('inventory ledger'!$I:$I,'inventory ledger'!$C:$C,C3947,'inventory ledger'!$D:$D,D3947,'inventory ledger'!$E:$E,E3947,'inventory ledger'!$A:$A,"&lt;="&amp;B3947+TIME(23,59,59)))</f>
        <v/>
      </c>
      <c r="G3947" s="3">
        <f>IFERROR(__xludf.DUMMYFUNCTION("IF(F3947&lt;=0,0,IFERROR(ROUNDUP(F3947/INDEX(FILTER('warehouse config'!$D:$D,('warehouse config'!$B:$B=C3947)*('warehouse config'!$C:$C=D3947)*('warehouse config'!$G:$G&lt;=B3947)*(('warehouse config'!$H:$H&gt;=B3947)+ISBLANK('warehouse config'!$H:$H))),1)),0))"),0.0)</f>
        <v>0</v>
      </c>
      <c r="H3947" s="3">
        <f>IFERROR(__xludf.DUMMYFUNCTION("IFERROR(INDEX(FILTER('cost master'!$E:$E,('cost master'!$B:$B=C3947)*('cost master'!$D:$D=""Storage cost per pallet / week"")*('cost master'!$G:$G&lt;=B3947)*(('cost master'!$H:$H&gt;=B3947)+ISBLANK('cost master'!$H:$H))),1),0)"),0.0)</f>
        <v>0</v>
      </c>
      <c r="I3947" s="3">
        <f t="shared" si="4"/>
        <v>0</v>
      </c>
      <c r="J3947" s="27">
        <f t="shared" si="5"/>
        <v>693947</v>
      </c>
      <c r="K3947" s="27">
        <f t="shared" si="6"/>
        <v>693977</v>
      </c>
    </row>
    <row r="3948" hidden="1">
      <c r="A3948" s="3" t="str">
        <f t="shared" si="3"/>
        <v/>
      </c>
      <c r="B3948" s="2" t="str">
        <f t="array" ref="B3948">INDEX(helper!$A$3:$A3996,ROUNDUP((ROW()-1)/COUNTA(helper!$D$3:$D3996),0))</f>
        <v/>
      </c>
      <c r="C3948" s="5" t="str">
        <f t="array" ref="C3948">IF(B3948="","",INDEX(helper!$D$3:$D3996,MOD(ROW()-2,COUNTA(helper!$D$3:$D3996))+1))</f>
        <v/>
      </c>
      <c r="D3948" s="3" t="str">
        <f t="array" ref="D3948">IF(B3948="","",INDEX(helper!$E$3:$E3996,MOD(ROW()-2,COUNTA(helper!$D$3:$D3996))+1))</f>
        <v/>
      </c>
      <c r="E3948" s="3" t="str">
        <f t="array" ref="E3948">IF(B3948="","",INDEX(helper!$F$3:$F3996,MOD(ROW()-2,COUNTA(helper!$D$3:$D3996))+1))</f>
        <v/>
      </c>
      <c r="F3948" s="3" t="str">
        <f>IF(B3948="","",SUMIFS('inventory ledger'!$H:$H,'inventory ledger'!$C:$C,C3948,'inventory ledger'!$D:$D,D3948,'inventory ledger'!$E:$E,E3948,'inventory ledger'!$A:$A,"&lt;="&amp;B3948+TIME(23,59,59))-SUMIFS('inventory ledger'!$I:$I,'inventory ledger'!$C:$C,C3948,'inventory ledger'!$D:$D,D3948,'inventory ledger'!$E:$E,E3948,'inventory ledger'!$A:$A,"&lt;="&amp;B3948+TIME(23,59,59)))</f>
        <v/>
      </c>
      <c r="G3948" s="3">
        <f>IFERROR(__xludf.DUMMYFUNCTION("IF(F3948&lt;=0,0,IFERROR(ROUNDUP(F3948/INDEX(FILTER('warehouse config'!$D:$D,('warehouse config'!$B:$B=C3948)*('warehouse config'!$C:$C=D3948)*('warehouse config'!$G:$G&lt;=B3948)*(('warehouse config'!$H:$H&gt;=B3948)+ISBLANK('warehouse config'!$H:$H))),1)),0))"),0.0)</f>
        <v>0</v>
      </c>
      <c r="H3948" s="3">
        <f>IFERROR(__xludf.DUMMYFUNCTION("IFERROR(INDEX(FILTER('cost master'!$E:$E,('cost master'!$B:$B=C3948)*('cost master'!$D:$D=""Storage cost per pallet / week"")*('cost master'!$G:$G&lt;=B3948)*(('cost master'!$H:$H&gt;=B3948)+ISBLANK('cost master'!$H:$H))),1),0)"),0.0)</f>
        <v>0</v>
      </c>
      <c r="I3948" s="3">
        <f t="shared" si="4"/>
        <v>0</v>
      </c>
      <c r="J3948" s="27">
        <f t="shared" si="5"/>
        <v>693947</v>
      </c>
      <c r="K3948" s="27">
        <f t="shared" si="6"/>
        <v>693977</v>
      </c>
    </row>
    <row r="3949" hidden="1">
      <c r="A3949" s="3" t="str">
        <f t="shared" si="3"/>
        <v/>
      </c>
      <c r="B3949" s="2" t="str">
        <f t="array" ref="B3949">INDEX(helper!$A$3:$A3996,ROUNDUP((ROW()-1)/COUNTA(helper!$D$3:$D3996),0))</f>
        <v/>
      </c>
      <c r="C3949" s="5" t="str">
        <f t="array" ref="C3949">IF(B3949="","",INDEX(helper!$D$3:$D3996,MOD(ROW()-2,COUNTA(helper!$D$3:$D3996))+1))</f>
        <v/>
      </c>
      <c r="D3949" s="3" t="str">
        <f t="array" ref="D3949">IF(B3949="","",INDEX(helper!$E$3:$E3996,MOD(ROW()-2,COUNTA(helper!$D$3:$D3996))+1))</f>
        <v/>
      </c>
      <c r="E3949" s="3" t="str">
        <f t="array" ref="E3949">IF(B3949="","",INDEX(helper!$F$3:$F3996,MOD(ROW()-2,COUNTA(helper!$D$3:$D3996))+1))</f>
        <v/>
      </c>
      <c r="F3949" s="3" t="str">
        <f>IF(B3949="","",SUMIFS('inventory ledger'!$H:$H,'inventory ledger'!$C:$C,C3949,'inventory ledger'!$D:$D,D3949,'inventory ledger'!$E:$E,E3949,'inventory ledger'!$A:$A,"&lt;="&amp;B3949+TIME(23,59,59))-SUMIFS('inventory ledger'!$I:$I,'inventory ledger'!$C:$C,C3949,'inventory ledger'!$D:$D,D3949,'inventory ledger'!$E:$E,E3949,'inventory ledger'!$A:$A,"&lt;="&amp;B3949+TIME(23,59,59)))</f>
        <v/>
      </c>
      <c r="G3949" s="3">
        <f>IFERROR(__xludf.DUMMYFUNCTION("IF(F3949&lt;=0,0,IFERROR(ROUNDUP(F3949/INDEX(FILTER('warehouse config'!$D:$D,('warehouse config'!$B:$B=C3949)*('warehouse config'!$C:$C=D3949)*('warehouse config'!$G:$G&lt;=B3949)*(('warehouse config'!$H:$H&gt;=B3949)+ISBLANK('warehouse config'!$H:$H))),1)),0))"),0.0)</f>
        <v>0</v>
      </c>
      <c r="H3949" s="3">
        <f>IFERROR(__xludf.DUMMYFUNCTION("IFERROR(INDEX(FILTER('cost master'!$E:$E,('cost master'!$B:$B=C3949)*('cost master'!$D:$D=""Storage cost per pallet / week"")*('cost master'!$G:$G&lt;=B3949)*(('cost master'!$H:$H&gt;=B3949)+ISBLANK('cost master'!$H:$H))),1),0)"),0.0)</f>
        <v>0</v>
      </c>
      <c r="I3949" s="3">
        <f t="shared" si="4"/>
        <v>0</v>
      </c>
      <c r="J3949" s="27">
        <f t="shared" si="5"/>
        <v>693947</v>
      </c>
      <c r="K3949" s="27">
        <f t="shared" si="6"/>
        <v>693977</v>
      </c>
    </row>
    <row r="3950" hidden="1">
      <c r="A3950" s="3" t="str">
        <f t="shared" si="3"/>
        <v/>
      </c>
      <c r="B3950" s="2" t="str">
        <f t="array" ref="B3950">INDEX(helper!$A$3:$A3996,ROUNDUP((ROW()-1)/COUNTA(helper!$D$3:$D3996),0))</f>
        <v/>
      </c>
      <c r="C3950" s="5" t="str">
        <f t="array" ref="C3950">IF(B3950="","",INDEX(helper!$D$3:$D3996,MOD(ROW()-2,COUNTA(helper!$D$3:$D3996))+1))</f>
        <v/>
      </c>
      <c r="D3950" s="3" t="str">
        <f t="array" ref="D3950">IF(B3950="","",INDEX(helper!$E$3:$E3996,MOD(ROW()-2,COUNTA(helper!$D$3:$D3996))+1))</f>
        <v/>
      </c>
      <c r="E3950" s="3" t="str">
        <f t="array" ref="E3950">IF(B3950="","",INDEX(helper!$F$3:$F3996,MOD(ROW()-2,COUNTA(helper!$D$3:$D3996))+1))</f>
        <v/>
      </c>
      <c r="F3950" s="3" t="str">
        <f>IF(B3950="","",SUMIFS('inventory ledger'!$H:$H,'inventory ledger'!$C:$C,C3950,'inventory ledger'!$D:$D,D3950,'inventory ledger'!$E:$E,E3950,'inventory ledger'!$A:$A,"&lt;="&amp;B3950+TIME(23,59,59))-SUMIFS('inventory ledger'!$I:$I,'inventory ledger'!$C:$C,C3950,'inventory ledger'!$D:$D,D3950,'inventory ledger'!$E:$E,E3950,'inventory ledger'!$A:$A,"&lt;="&amp;B3950+TIME(23,59,59)))</f>
        <v/>
      </c>
      <c r="G3950" s="3">
        <f>IFERROR(__xludf.DUMMYFUNCTION("IF(F3950&lt;=0,0,IFERROR(ROUNDUP(F3950/INDEX(FILTER('warehouse config'!$D:$D,('warehouse config'!$B:$B=C3950)*('warehouse config'!$C:$C=D3950)*('warehouse config'!$G:$G&lt;=B3950)*(('warehouse config'!$H:$H&gt;=B3950)+ISBLANK('warehouse config'!$H:$H))),1)),0))"),0.0)</f>
        <v>0</v>
      </c>
      <c r="H3950" s="3">
        <f>IFERROR(__xludf.DUMMYFUNCTION("IFERROR(INDEX(FILTER('cost master'!$E:$E,('cost master'!$B:$B=C3950)*('cost master'!$D:$D=""Storage cost per pallet / week"")*('cost master'!$G:$G&lt;=B3950)*(('cost master'!$H:$H&gt;=B3950)+ISBLANK('cost master'!$H:$H))),1),0)"),0.0)</f>
        <v>0</v>
      </c>
      <c r="I3950" s="3">
        <f t="shared" si="4"/>
        <v>0</v>
      </c>
      <c r="J3950" s="27">
        <f t="shared" si="5"/>
        <v>693947</v>
      </c>
      <c r="K3950" s="27">
        <f t="shared" si="6"/>
        <v>693977</v>
      </c>
    </row>
    <row r="3951" hidden="1">
      <c r="A3951" s="3" t="str">
        <f t="shared" si="3"/>
        <v/>
      </c>
      <c r="B3951" s="2" t="str">
        <f t="array" ref="B3951">INDEX(helper!$A$3:$A3996,ROUNDUP((ROW()-1)/COUNTA(helper!$D$3:$D3996),0))</f>
        <v/>
      </c>
      <c r="C3951" s="5" t="str">
        <f t="array" ref="C3951">IF(B3951="","",INDEX(helper!$D$3:$D3996,MOD(ROW()-2,COUNTA(helper!$D$3:$D3996))+1))</f>
        <v/>
      </c>
      <c r="D3951" s="3" t="str">
        <f t="array" ref="D3951">IF(B3951="","",INDEX(helper!$E$3:$E3996,MOD(ROW()-2,COUNTA(helper!$D$3:$D3996))+1))</f>
        <v/>
      </c>
      <c r="E3951" s="3" t="str">
        <f t="array" ref="E3951">IF(B3951="","",INDEX(helper!$F$3:$F3996,MOD(ROW()-2,COUNTA(helper!$D$3:$D3996))+1))</f>
        <v/>
      </c>
      <c r="F3951" s="3" t="str">
        <f>IF(B3951="","",SUMIFS('inventory ledger'!$H:$H,'inventory ledger'!$C:$C,C3951,'inventory ledger'!$D:$D,D3951,'inventory ledger'!$E:$E,E3951,'inventory ledger'!$A:$A,"&lt;="&amp;B3951+TIME(23,59,59))-SUMIFS('inventory ledger'!$I:$I,'inventory ledger'!$C:$C,C3951,'inventory ledger'!$D:$D,D3951,'inventory ledger'!$E:$E,E3951,'inventory ledger'!$A:$A,"&lt;="&amp;B3951+TIME(23,59,59)))</f>
        <v/>
      </c>
      <c r="G3951" s="3">
        <f>IFERROR(__xludf.DUMMYFUNCTION("IF(F3951&lt;=0,0,IFERROR(ROUNDUP(F3951/INDEX(FILTER('warehouse config'!$D:$D,('warehouse config'!$B:$B=C3951)*('warehouse config'!$C:$C=D3951)*('warehouse config'!$G:$G&lt;=B3951)*(('warehouse config'!$H:$H&gt;=B3951)+ISBLANK('warehouse config'!$H:$H))),1)),0))"),0.0)</f>
        <v>0</v>
      </c>
      <c r="H3951" s="3">
        <f>IFERROR(__xludf.DUMMYFUNCTION("IFERROR(INDEX(FILTER('cost master'!$E:$E,('cost master'!$B:$B=C3951)*('cost master'!$D:$D=""Storage cost per pallet / week"")*('cost master'!$G:$G&lt;=B3951)*(('cost master'!$H:$H&gt;=B3951)+ISBLANK('cost master'!$H:$H))),1),0)"),0.0)</f>
        <v>0</v>
      </c>
      <c r="I3951" s="3">
        <f t="shared" si="4"/>
        <v>0</v>
      </c>
      <c r="J3951" s="27">
        <f t="shared" si="5"/>
        <v>693947</v>
      </c>
      <c r="K3951" s="27">
        <f t="shared" si="6"/>
        <v>693977</v>
      </c>
    </row>
    <row r="3952" hidden="1">
      <c r="A3952" s="3" t="str">
        <f t="shared" si="3"/>
        <v/>
      </c>
      <c r="B3952" s="2" t="str">
        <f t="array" ref="B3952">INDEX(helper!$A$3:$A3996,ROUNDUP((ROW()-1)/COUNTA(helper!$D$3:$D3996),0))</f>
        <v/>
      </c>
      <c r="C3952" s="5" t="str">
        <f t="array" ref="C3952">IF(B3952="","",INDEX(helper!$D$3:$D3996,MOD(ROW()-2,COUNTA(helper!$D$3:$D3996))+1))</f>
        <v/>
      </c>
      <c r="D3952" s="3" t="str">
        <f t="array" ref="D3952">IF(B3952="","",INDEX(helper!$E$3:$E3996,MOD(ROW()-2,COUNTA(helper!$D$3:$D3996))+1))</f>
        <v/>
      </c>
      <c r="E3952" s="3" t="str">
        <f t="array" ref="E3952">IF(B3952="","",INDEX(helper!$F$3:$F3996,MOD(ROW()-2,COUNTA(helper!$D$3:$D3996))+1))</f>
        <v/>
      </c>
      <c r="F3952" s="3" t="str">
        <f>IF(B3952="","",SUMIFS('inventory ledger'!$H:$H,'inventory ledger'!$C:$C,C3952,'inventory ledger'!$D:$D,D3952,'inventory ledger'!$E:$E,E3952,'inventory ledger'!$A:$A,"&lt;="&amp;B3952+TIME(23,59,59))-SUMIFS('inventory ledger'!$I:$I,'inventory ledger'!$C:$C,C3952,'inventory ledger'!$D:$D,D3952,'inventory ledger'!$E:$E,E3952,'inventory ledger'!$A:$A,"&lt;="&amp;B3952+TIME(23,59,59)))</f>
        <v/>
      </c>
      <c r="G3952" s="3">
        <f>IFERROR(__xludf.DUMMYFUNCTION("IF(F3952&lt;=0,0,IFERROR(ROUNDUP(F3952/INDEX(FILTER('warehouse config'!$D:$D,('warehouse config'!$B:$B=C3952)*('warehouse config'!$C:$C=D3952)*('warehouse config'!$G:$G&lt;=B3952)*(('warehouse config'!$H:$H&gt;=B3952)+ISBLANK('warehouse config'!$H:$H))),1)),0))"),0.0)</f>
        <v>0</v>
      </c>
      <c r="H3952" s="3">
        <f>IFERROR(__xludf.DUMMYFUNCTION("IFERROR(INDEX(FILTER('cost master'!$E:$E,('cost master'!$B:$B=C3952)*('cost master'!$D:$D=""Storage cost per pallet / week"")*('cost master'!$G:$G&lt;=B3952)*(('cost master'!$H:$H&gt;=B3952)+ISBLANK('cost master'!$H:$H))),1),0)"),0.0)</f>
        <v>0</v>
      </c>
      <c r="I3952" s="3">
        <f t="shared" si="4"/>
        <v>0</v>
      </c>
      <c r="J3952" s="27">
        <f t="shared" si="5"/>
        <v>693947</v>
      </c>
      <c r="K3952" s="27">
        <f t="shared" si="6"/>
        <v>693977</v>
      </c>
    </row>
    <row r="3953" hidden="1">
      <c r="A3953" s="3" t="str">
        <f t="shared" si="3"/>
        <v/>
      </c>
      <c r="B3953" s="2" t="str">
        <f t="array" ref="B3953">INDEX(helper!$A$3:$A3996,ROUNDUP((ROW()-1)/COUNTA(helper!$D$3:$D3996),0))</f>
        <v/>
      </c>
      <c r="C3953" s="5" t="str">
        <f t="array" ref="C3953">IF(B3953="","",INDEX(helper!$D$3:$D3996,MOD(ROW()-2,COUNTA(helper!$D$3:$D3996))+1))</f>
        <v/>
      </c>
      <c r="D3953" s="3" t="str">
        <f t="array" ref="D3953">IF(B3953="","",INDEX(helper!$E$3:$E3996,MOD(ROW()-2,COUNTA(helper!$D$3:$D3996))+1))</f>
        <v/>
      </c>
      <c r="E3953" s="3" t="str">
        <f t="array" ref="E3953">IF(B3953="","",INDEX(helper!$F$3:$F3996,MOD(ROW()-2,COUNTA(helper!$D$3:$D3996))+1))</f>
        <v/>
      </c>
      <c r="F3953" s="3" t="str">
        <f>IF(B3953="","",SUMIFS('inventory ledger'!$H:$H,'inventory ledger'!$C:$C,C3953,'inventory ledger'!$D:$D,D3953,'inventory ledger'!$E:$E,E3953,'inventory ledger'!$A:$A,"&lt;="&amp;B3953+TIME(23,59,59))-SUMIFS('inventory ledger'!$I:$I,'inventory ledger'!$C:$C,C3953,'inventory ledger'!$D:$D,D3953,'inventory ledger'!$E:$E,E3953,'inventory ledger'!$A:$A,"&lt;="&amp;B3953+TIME(23,59,59)))</f>
        <v/>
      </c>
      <c r="G3953" s="3">
        <f>IFERROR(__xludf.DUMMYFUNCTION("IF(F3953&lt;=0,0,IFERROR(ROUNDUP(F3953/INDEX(FILTER('warehouse config'!$D:$D,('warehouse config'!$B:$B=C3953)*('warehouse config'!$C:$C=D3953)*('warehouse config'!$G:$G&lt;=B3953)*(('warehouse config'!$H:$H&gt;=B3953)+ISBLANK('warehouse config'!$H:$H))),1)),0))"),0.0)</f>
        <v>0</v>
      </c>
      <c r="H3953" s="3">
        <f>IFERROR(__xludf.DUMMYFUNCTION("IFERROR(INDEX(FILTER('cost master'!$E:$E,('cost master'!$B:$B=C3953)*('cost master'!$D:$D=""Storage cost per pallet / week"")*('cost master'!$G:$G&lt;=B3953)*(('cost master'!$H:$H&gt;=B3953)+ISBLANK('cost master'!$H:$H))),1),0)"),0.0)</f>
        <v>0</v>
      </c>
      <c r="I3953" s="3">
        <f t="shared" si="4"/>
        <v>0</v>
      </c>
      <c r="J3953" s="27">
        <f t="shared" si="5"/>
        <v>693947</v>
      </c>
      <c r="K3953" s="27">
        <f t="shared" si="6"/>
        <v>693977</v>
      </c>
    </row>
    <row r="3954" hidden="1">
      <c r="A3954" s="3" t="str">
        <f t="shared" si="3"/>
        <v/>
      </c>
      <c r="B3954" s="2" t="str">
        <f t="array" ref="B3954">INDEX(helper!$A$3:$A3996,ROUNDUP((ROW()-1)/COUNTA(helper!$D$3:$D3996),0))</f>
        <v/>
      </c>
      <c r="C3954" s="5" t="str">
        <f t="array" ref="C3954">IF(B3954="","",INDEX(helper!$D$3:$D3996,MOD(ROW()-2,COUNTA(helper!$D$3:$D3996))+1))</f>
        <v/>
      </c>
      <c r="D3954" s="3" t="str">
        <f t="array" ref="D3954">IF(B3954="","",INDEX(helper!$E$3:$E3996,MOD(ROW()-2,COUNTA(helper!$D$3:$D3996))+1))</f>
        <v/>
      </c>
      <c r="E3954" s="3" t="str">
        <f t="array" ref="E3954">IF(B3954="","",INDEX(helper!$F$3:$F3996,MOD(ROW()-2,COUNTA(helper!$D$3:$D3996))+1))</f>
        <v/>
      </c>
      <c r="F3954" s="3" t="str">
        <f>IF(B3954="","",SUMIFS('inventory ledger'!$H:$H,'inventory ledger'!$C:$C,C3954,'inventory ledger'!$D:$D,D3954,'inventory ledger'!$E:$E,E3954,'inventory ledger'!$A:$A,"&lt;="&amp;B3954+TIME(23,59,59))-SUMIFS('inventory ledger'!$I:$I,'inventory ledger'!$C:$C,C3954,'inventory ledger'!$D:$D,D3954,'inventory ledger'!$E:$E,E3954,'inventory ledger'!$A:$A,"&lt;="&amp;B3954+TIME(23,59,59)))</f>
        <v/>
      </c>
      <c r="G3954" s="3">
        <f>IFERROR(__xludf.DUMMYFUNCTION("IF(F3954&lt;=0,0,IFERROR(ROUNDUP(F3954/INDEX(FILTER('warehouse config'!$D:$D,('warehouse config'!$B:$B=C3954)*('warehouse config'!$C:$C=D3954)*('warehouse config'!$G:$G&lt;=B3954)*(('warehouse config'!$H:$H&gt;=B3954)+ISBLANK('warehouse config'!$H:$H))),1)),0))"),0.0)</f>
        <v>0</v>
      </c>
      <c r="H3954" s="3">
        <f>IFERROR(__xludf.DUMMYFUNCTION("IFERROR(INDEX(FILTER('cost master'!$E:$E,('cost master'!$B:$B=C3954)*('cost master'!$D:$D=""Storage cost per pallet / week"")*('cost master'!$G:$G&lt;=B3954)*(('cost master'!$H:$H&gt;=B3954)+ISBLANK('cost master'!$H:$H))),1),0)"),0.0)</f>
        <v>0</v>
      </c>
      <c r="I3954" s="3">
        <f t="shared" si="4"/>
        <v>0</v>
      </c>
      <c r="J3954" s="27">
        <f t="shared" si="5"/>
        <v>693947</v>
      </c>
      <c r="K3954" s="27">
        <f t="shared" si="6"/>
        <v>693977</v>
      </c>
    </row>
    <row r="3955" hidden="1">
      <c r="A3955" s="3" t="str">
        <f t="shared" si="3"/>
        <v/>
      </c>
      <c r="B3955" s="2" t="str">
        <f t="array" ref="B3955">INDEX(helper!$A$3:$A3996,ROUNDUP((ROW()-1)/COUNTA(helper!$D$3:$D3996),0))</f>
        <v/>
      </c>
      <c r="C3955" s="5" t="str">
        <f t="array" ref="C3955">IF(B3955="","",INDEX(helper!$D$3:$D3996,MOD(ROW()-2,COUNTA(helper!$D$3:$D3996))+1))</f>
        <v/>
      </c>
      <c r="D3955" s="3" t="str">
        <f t="array" ref="D3955">IF(B3955="","",INDEX(helper!$E$3:$E3996,MOD(ROW()-2,COUNTA(helper!$D$3:$D3996))+1))</f>
        <v/>
      </c>
      <c r="E3955" s="3" t="str">
        <f t="array" ref="E3955">IF(B3955="","",INDEX(helper!$F$3:$F3996,MOD(ROW()-2,COUNTA(helper!$D$3:$D3996))+1))</f>
        <v/>
      </c>
      <c r="F3955" s="3" t="str">
        <f>IF(B3955="","",SUMIFS('inventory ledger'!$H:$H,'inventory ledger'!$C:$C,C3955,'inventory ledger'!$D:$D,D3955,'inventory ledger'!$E:$E,E3955,'inventory ledger'!$A:$A,"&lt;="&amp;B3955+TIME(23,59,59))-SUMIFS('inventory ledger'!$I:$I,'inventory ledger'!$C:$C,C3955,'inventory ledger'!$D:$D,D3955,'inventory ledger'!$E:$E,E3955,'inventory ledger'!$A:$A,"&lt;="&amp;B3955+TIME(23,59,59)))</f>
        <v/>
      </c>
      <c r="G3955" s="3">
        <f>IFERROR(__xludf.DUMMYFUNCTION("IF(F3955&lt;=0,0,IFERROR(ROUNDUP(F3955/INDEX(FILTER('warehouse config'!$D:$D,('warehouse config'!$B:$B=C3955)*('warehouse config'!$C:$C=D3955)*('warehouse config'!$G:$G&lt;=B3955)*(('warehouse config'!$H:$H&gt;=B3955)+ISBLANK('warehouse config'!$H:$H))),1)),0))"),0.0)</f>
        <v>0</v>
      </c>
      <c r="H3955" s="3">
        <f>IFERROR(__xludf.DUMMYFUNCTION("IFERROR(INDEX(FILTER('cost master'!$E:$E,('cost master'!$B:$B=C3955)*('cost master'!$D:$D=""Storage cost per pallet / week"")*('cost master'!$G:$G&lt;=B3955)*(('cost master'!$H:$H&gt;=B3955)+ISBLANK('cost master'!$H:$H))),1),0)"),0.0)</f>
        <v>0</v>
      </c>
      <c r="I3955" s="3">
        <f t="shared" si="4"/>
        <v>0</v>
      </c>
      <c r="J3955" s="27">
        <f t="shared" si="5"/>
        <v>693947</v>
      </c>
      <c r="K3955" s="27">
        <f t="shared" si="6"/>
        <v>693977</v>
      </c>
    </row>
    <row r="3956" hidden="1">
      <c r="A3956" s="3" t="str">
        <f t="shared" si="3"/>
        <v/>
      </c>
      <c r="B3956" s="2" t="str">
        <f t="array" ref="B3956">INDEX(helper!$A$3:$A3996,ROUNDUP((ROW()-1)/COUNTA(helper!$D$3:$D3996),0))</f>
        <v/>
      </c>
      <c r="C3956" s="5" t="str">
        <f t="array" ref="C3956">IF(B3956="","",INDEX(helper!$D$3:$D3996,MOD(ROW()-2,COUNTA(helper!$D$3:$D3996))+1))</f>
        <v/>
      </c>
      <c r="D3956" s="3" t="str">
        <f t="array" ref="D3956">IF(B3956="","",INDEX(helper!$E$3:$E3996,MOD(ROW()-2,COUNTA(helper!$D$3:$D3996))+1))</f>
        <v/>
      </c>
      <c r="E3956" s="3" t="str">
        <f t="array" ref="E3956">IF(B3956="","",INDEX(helper!$F$3:$F3996,MOD(ROW()-2,COUNTA(helper!$D$3:$D3996))+1))</f>
        <v/>
      </c>
      <c r="F3956" s="3" t="str">
        <f>IF(B3956="","",SUMIFS('inventory ledger'!$H:$H,'inventory ledger'!$C:$C,C3956,'inventory ledger'!$D:$D,D3956,'inventory ledger'!$E:$E,E3956,'inventory ledger'!$A:$A,"&lt;="&amp;B3956+TIME(23,59,59))-SUMIFS('inventory ledger'!$I:$I,'inventory ledger'!$C:$C,C3956,'inventory ledger'!$D:$D,D3956,'inventory ledger'!$E:$E,E3956,'inventory ledger'!$A:$A,"&lt;="&amp;B3956+TIME(23,59,59)))</f>
        <v/>
      </c>
      <c r="G3956" s="3">
        <f>IFERROR(__xludf.DUMMYFUNCTION("IF(F3956&lt;=0,0,IFERROR(ROUNDUP(F3956/INDEX(FILTER('warehouse config'!$D:$D,('warehouse config'!$B:$B=C3956)*('warehouse config'!$C:$C=D3956)*('warehouse config'!$G:$G&lt;=B3956)*(('warehouse config'!$H:$H&gt;=B3956)+ISBLANK('warehouse config'!$H:$H))),1)),0))"),0.0)</f>
        <v>0</v>
      </c>
      <c r="H3956" s="3">
        <f>IFERROR(__xludf.DUMMYFUNCTION("IFERROR(INDEX(FILTER('cost master'!$E:$E,('cost master'!$B:$B=C3956)*('cost master'!$D:$D=""Storage cost per pallet / week"")*('cost master'!$G:$G&lt;=B3956)*(('cost master'!$H:$H&gt;=B3956)+ISBLANK('cost master'!$H:$H))),1),0)"),0.0)</f>
        <v>0</v>
      </c>
      <c r="I3956" s="3">
        <f t="shared" si="4"/>
        <v>0</v>
      </c>
      <c r="J3956" s="27">
        <f t="shared" si="5"/>
        <v>693947</v>
      </c>
      <c r="K3956" s="27">
        <f t="shared" si="6"/>
        <v>693977</v>
      </c>
    </row>
    <row r="3957" hidden="1">
      <c r="A3957" s="3" t="str">
        <f t="shared" si="3"/>
        <v/>
      </c>
      <c r="B3957" s="2" t="str">
        <f t="array" ref="B3957">INDEX(helper!$A$3:$A3996,ROUNDUP((ROW()-1)/COUNTA(helper!$D$3:$D3996),0))</f>
        <v/>
      </c>
      <c r="C3957" s="5" t="str">
        <f t="array" ref="C3957">IF(B3957="","",INDEX(helper!$D$3:$D3996,MOD(ROW()-2,COUNTA(helper!$D$3:$D3996))+1))</f>
        <v/>
      </c>
      <c r="D3957" s="3" t="str">
        <f t="array" ref="D3957">IF(B3957="","",INDEX(helper!$E$3:$E3996,MOD(ROW()-2,COUNTA(helper!$D$3:$D3996))+1))</f>
        <v/>
      </c>
      <c r="E3957" s="3" t="str">
        <f t="array" ref="E3957">IF(B3957="","",INDEX(helper!$F$3:$F3996,MOD(ROW()-2,COUNTA(helper!$D$3:$D3996))+1))</f>
        <v/>
      </c>
      <c r="F3957" s="3" t="str">
        <f>IF(B3957="","",SUMIFS('inventory ledger'!$H:$H,'inventory ledger'!$C:$C,C3957,'inventory ledger'!$D:$D,D3957,'inventory ledger'!$E:$E,E3957,'inventory ledger'!$A:$A,"&lt;="&amp;B3957+TIME(23,59,59))-SUMIFS('inventory ledger'!$I:$I,'inventory ledger'!$C:$C,C3957,'inventory ledger'!$D:$D,D3957,'inventory ledger'!$E:$E,E3957,'inventory ledger'!$A:$A,"&lt;="&amp;B3957+TIME(23,59,59)))</f>
        <v/>
      </c>
      <c r="G3957" s="3">
        <f>IFERROR(__xludf.DUMMYFUNCTION("IF(F3957&lt;=0,0,IFERROR(ROUNDUP(F3957/INDEX(FILTER('warehouse config'!$D:$D,('warehouse config'!$B:$B=C3957)*('warehouse config'!$C:$C=D3957)*('warehouse config'!$G:$G&lt;=B3957)*(('warehouse config'!$H:$H&gt;=B3957)+ISBLANK('warehouse config'!$H:$H))),1)),0))"),0.0)</f>
        <v>0</v>
      </c>
      <c r="H3957" s="3">
        <f>IFERROR(__xludf.DUMMYFUNCTION("IFERROR(INDEX(FILTER('cost master'!$E:$E,('cost master'!$B:$B=C3957)*('cost master'!$D:$D=""Storage cost per pallet / week"")*('cost master'!$G:$G&lt;=B3957)*(('cost master'!$H:$H&gt;=B3957)+ISBLANK('cost master'!$H:$H))),1),0)"),0.0)</f>
        <v>0</v>
      </c>
      <c r="I3957" s="3">
        <f t="shared" si="4"/>
        <v>0</v>
      </c>
      <c r="J3957" s="27">
        <f t="shared" si="5"/>
        <v>693947</v>
      </c>
      <c r="K3957" s="27">
        <f t="shared" si="6"/>
        <v>693977</v>
      </c>
    </row>
    <row r="3958" hidden="1">
      <c r="A3958" s="3" t="str">
        <f t="shared" si="3"/>
        <v/>
      </c>
      <c r="B3958" s="2" t="str">
        <f t="array" ref="B3958">INDEX(helper!$A$3:$A3996,ROUNDUP((ROW()-1)/COUNTA(helper!$D$3:$D3996),0))</f>
        <v/>
      </c>
      <c r="C3958" s="5" t="str">
        <f t="array" ref="C3958">IF(B3958="","",INDEX(helper!$D$3:$D3996,MOD(ROW()-2,COUNTA(helper!$D$3:$D3996))+1))</f>
        <v/>
      </c>
      <c r="D3958" s="3" t="str">
        <f t="array" ref="D3958">IF(B3958="","",INDEX(helper!$E$3:$E3996,MOD(ROW()-2,COUNTA(helper!$D$3:$D3996))+1))</f>
        <v/>
      </c>
      <c r="E3958" s="3" t="str">
        <f t="array" ref="E3958">IF(B3958="","",INDEX(helper!$F$3:$F3996,MOD(ROW()-2,COUNTA(helper!$D$3:$D3996))+1))</f>
        <v/>
      </c>
      <c r="F3958" s="3" t="str">
        <f>IF(B3958="","",SUMIFS('inventory ledger'!$H:$H,'inventory ledger'!$C:$C,C3958,'inventory ledger'!$D:$D,D3958,'inventory ledger'!$E:$E,E3958,'inventory ledger'!$A:$A,"&lt;="&amp;B3958+TIME(23,59,59))-SUMIFS('inventory ledger'!$I:$I,'inventory ledger'!$C:$C,C3958,'inventory ledger'!$D:$D,D3958,'inventory ledger'!$E:$E,E3958,'inventory ledger'!$A:$A,"&lt;="&amp;B3958+TIME(23,59,59)))</f>
        <v/>
      </c>
      <c r="G3958" s="3">
        <f>IFERROR(__xludf.DUMMYFUNCTION("IF(F3958&lt;=0,0,IFERROR(ROUNDUP(F3958/INDEX(FILTER('warehouse config'!$D:$D,('warehouse config'!$B:$B=C3958)*('warehouse config'!$C:$C=D3958)*('warehouse config'!$G:$G&lt;=B3958)*(('warehouse config'!$H:$H&gt;=B3958)+ISBLANK('warehouse config'!$H:$H))),1)),0))"),0.0)</f>
        <v>0</v>
      </c>
      <c r="H3958" s="3">
        <f>IFERROR(__xludf.DUMMYFUNCTION("IFERROR(INDEX(FILTER('cost master'!$E:$E,('cost master'!$B:$B=C3958)*('cost master'!$D:$D=""Storage cost per pallet / week"")*('cost master'!$G:$G&lt;=B3958)*(('cost master'!$H:$H&gt;=B3958)+ISBLANK('cost master'!$H:$H))),1),0)"),0.0)</f>
        <v>0</v>
      </c>
      <c r="I3958" s="3">
        <f t="shared" si="4"/>
        <v>0</v>
      </c>
      <c r="J3958" s="27">
        <f t="shared" si="5"/>
        <v>693947</v>
      </c>
      <c r="K3958" s="27">
        <f t="shared" si="6"/>
        <v>693977</v>
      </c>
    </row>
    <row r="3959" hidden="1">
      <c r="A3959" s="3" t="str">
        <f t="shared" si="3"/>
        <v/>
      </c>
      <c r="B3959" s="2" t="str">
        <f t="array" ref="B3959">INDEX(helper!$A$3:$A3996,ROUNDUP((ROW()-1)/COUNTA(helper!$D$3:$D3996),0))</f>
        <v/>
      </c>
      <c r="C3959" s="5" t="str">
        <f t="array" ref="C3959">IF(B3959="","",INDEX(helper!$D$3:$D3996,MOD(ROW()-2,COUNTA(helper!$D$3:$D3996))+1))</f>
        <v/>
      </c>
      <c r="D3959" s="3" t="str">
        <f t="array" ref="D3959">IF(B3959="","",INDEX(helper!$E$3:$E3996,MOD(ROW()-2,COUNTA(helper!$D$3:$D3996))+1))</f>
        <v/>
      </c>
      <c r="E3959" s="3" t="str">
        <f t="array" ref="E3959">IF(B3959="","",INDEX(helper!$F$3:$F3996,MOD(ROW()-2,COUNTA(helper!$D$3:$D3996))+1))</f>
        <v/>
      </c>
      <c r="F3959" s="3" t="str">
        <f>IF(B3959="","",SUMIFS('inventory ledger'!$H:$H,'inventory ledger'!$C:$C,C3959,'inventory ledger'!$D:$D,D3959,'inventory ledger'!$E:$E,E3959,'inventory ledger'!$A:$A,"&lt;="&amp;B3959+TIME(23,59,59))-SUMIFS('inventory ledger'!$I:$I,'inventory ledger'!$C:$C,C3959,'inventory ledger'!$D:$D,D3959,'inventory ledger'!$E:$E,E3959,'inventory ledger'!$A:$A,"&lt;="&amp;B3959+TIME(23,59,59)))</f>
        <v/>
      </c>
      <c r="G3959" s="3">
        <f>IFERROR(__xludf.DUMMYFUNCTION("IF(F3959&lt;=0,0,IFERROR(ROUNDUP(F3959/INDEX(FILTER('warehouse config'!$D:$D,('warehouse config'!$B:$B=C3959)*('warehouse config'!$C:$C=D3959)*('warehouse config'!$G:$G&lt;=B3959)*(('warehouse config'!$H:$H&gt;=B3959)+ISBLANK('warehouse config'!$H:$H))),1)),0))"),0.0)</f>
        <v>0</v>
      </c>
      <c r="H3959" s="3">
        <f>IFERROR(__xludf.DUMMYFUNCTION("IFERROR(INDEX(FILTER('cost master'!$E:$E,('cost master'!$B:$B=C3959)*('cost master'!$D:$D=""Storage cost per pallet / week"")*('cost master'!$G:$G&lt;=B3959)*(('cost master'!$H:$H&gt;=B3959)+ISBLANK('cost master'!$H:$H))),1),0)"),0.0)</f>
        <v>0</v>
      </c>
      <c r="I3959" s="3">
        <f t="shared" si="4"/>
        <v>0</v>
      </c>
      <c r="J3959" s="27">
        <f t="shared" si="5"/>
        <v>693947</v>
      </c>
      <c r="K3959" s="27">
        <f t="shared" si="6"/>
        <v>693977</v>
      </c>
    </row>
    <row r="3960" hidden="1">
      <c r="A3960" s="3" t="str">
        <f t="shared" si="3"/>
        <v/>
      </c>
      <c r="B3960" s="2" t="str">
        <f t="array" ref="B3960">INDEX(helper!$A$3:$A3996,ROUNDUP((ROW()-1)/COUNTA(helper!$D$3:$D3996),0))</f>
        <v/>
      </c>
      <c r="C3960" s="5" t="str">
        <f t="array" ref="C3960">IF(B3960="","",INDEX(helper!$D$3:$D3996,MOD(ROW()-2,COUNTA(helper!$D$3:$D3996))+1))</f>
        <v/>
      </c>
      <c r="D3960" s="3" t="str">
        <f t="array" ref="D3960">IF(B3960="","",INDEX(helper!$E$3:$E3996,MOD(ROW()-2,COUNTA(helper!$D$3:$D3996))+1))</f>
        <v/>
      </c>
      <c r="E3960" s="3" t="str">
        <f t="array" ref="E3960">IF(B3960="","",INDEX(helper!$F$3:$F3996,MOD(ROW()-2,COUNTA(helper!$D$3:$D3996))+1))</f>
        <v/>
      </c>
      <c r="F3960" s="3" t="str">
        <f>IF(B3960="","",SUMIFS('inventory ledger'!$H:$H,'inventory ledger'!$C:$C,C3960,'inventory ledger'!$D:$D,D3960,'inventory ledger'!$E:$E,E3960,'inventory ledger'!$A:$A,"&lt;="&amp;B3960+TIME(23,59,59))-SUMIFS('inventory ledger'!$I:$I,'inventory ledger'!$C:$C,C3960,'inventory ledger'!$D:$D,D3960,'inventory ledger'!$E:$E,E3960,'inventory ledger'!$A:$A,"&lt;="&amp;B3960+TIME(23,59,59)))</f>
        <v/>
      </c>
      <c r="G3960" s="3">
        <f>IFERROR(__xludf.DUMMYFUNCTION("IF(F3960&lt;=0,0,IFERROR(ROUNDUP(F3960/INDEX(FILTER('warehouse config'!$D:$D,('warehouse config'!$B:$B=C3960)*('warehouse config'!$C:$C=D3960)*('warehouse config'!$G:$G&lt;=B3960)*(('warehouse config'!$H:$H&gt;=B3960)+ISBLANK('warehouse config'!$H:$H))),1)),0))"),0.0)</f>
        <v>0</v>
      </c>
      <c r="H3960" s="3">
        <f>IFERROR(__xludf.DUMMYFUNCTION("IFERROR(INDEX(FILTER('cost master'!$E:$E,('cost master'!$B:$B=C3960)*('cost master'!$D:$D=""Storage cost per pallet / week"")*('cost master'!$G:$G&lt;=B3960)*(('cost master'!$H:$H&gt;=B3960)+ISBLANK('cost master'!$H:$H))),1),0)"),0.0)</f>
        <v>0</v>
      </c>
      <c r="I3960" s="3">
        <f t="shared" si="4"/>
        <v>0</v>
      </c>
      <c r="J3960" s="27">
        <f t="shared" si="5"/>
        <v>693947</v>
      </c>
      <c r="K3960" s="27">
        <f t="shared" si="6"/>
        <v>693977</v>
      </c>
    </row>
    <row r="3961" hidden="1">
      <c r="A3961" s="3" t="str">
        <f t="shared" si="3"/>
        <v/>
      </c>
      <c r="B3961" s="2" t="str">
        <f t="array" ref="B3961">INDEX(helper!$A$3:$A3996,ROUNDUP((ROW()-1)/COUNTA(helper!$D$3:$D3996),0))</f>
        <v/>
      </c>
      <c r="C3961" s="5" t="str">
        <f t="array" ref="C3961">IF(B3961="","",INDEX(helper!$D$3:$D3996,MOD(ROW()-2,COUNTA(helper!$D$3:$D3996))+1))</f>
        <v/>
      </c>
      <c r="D3961" s="3" t="str">
        <f t="array" ref="D3961">IF(B3961="","",INDEX(helper!$E$3:$E3996,MOD(ROW()-2,COUNTA(helper!$D$3:$D3996))+1))</f>
        <v/>
      </c>
      <c r="E3961" s="3" t="str">
        <f t="array" ref="E3961">IF(B3961="","",INDEX(helper!$F$3:$F3996,MOD(ROW()-2,COUNTA(helper!$D$3:$D3996))+1))</f>
        <v/>
      </c>
      <c r="F3961" s="3" t="str">
        <f>IF(B3961="","",SUMIFS('inventory ledger'!$H:$H,'inventory ledger'!$C:$C,C3961,'inventory ledger'!$D:$D,D3961,'inventory ledger'!$E:$E,E3961,'inventory ledger'!$A:$A,"&lt;="&amp;B3961+TIME(23,59,59))-SUMIFS('inventory ledger'!$I:$I,'inventory ledger'!$C:$C,C3961,'inventory ledger'!$D:$D,D3961,'inventory ledger'!$E:$E,E3961,'inventory ledger'!$A:$A,"&lt;="&amp;B3961+TIME(23,59,59)))</f>
        <v/>
      </c>
      <c r="G3961" s="3">
        <f>IFERROR(__xludf.DUMMYFUNCTION("IF(F3961&lt;=0,0,IFERROR(ROUNDUP(F3961/INDEX(FILTER('warehouse config'!$D:$D,('warehouse config'!$B:$B=C3961)*('warehouse config'!$C:$C=D3961)*('warehouse config'!$G:$G&lt;=B3961)*(('warehouse config'!$H:$H&gt;=B3961)+ISBLANK('warehouse config'!$H:$H))),1)),0))"),0.0)</f>
        <v>0</v>
      </c>
      <c r="H3961" s="3">
        <f>IFERROR(__xludf.DUMMYFUNCTION("IFERROR(INDEX(FILTER('cost master'!$E:$E,('cost master'!$B:$B=C3961)*('cost master'!$D:$D=""Storage cost per pallet / week"")*('cost master'!$G:$G&lt;=B3961)*(('cost master'!$H:$H&gt;=B3961)+ISBLANK('cost master'!$H:$H))),1),0)"),0.0)</f>
        <v>0</v>
      </c>
      <c r="I3961" s="3">
        <f t="shared" si="4"/>
        <v>0</v>
      </c>
      <c r="J3961" s="27">
        <f t="shared" si="5"/>
        <v>693947</v>
      </c>
      <c r="K3961" s="27">
        <f t="shared" si="6"/>
        <v>693977</v>
      </c>
    </row>
    <row r="3962" hidden="1">
      <c r="A3962" s="3" t="str">
        <f t="shared" si="3"/>
        <v/>
      </c>
      <c r="B3962" s="2" t="str">
        <f t="array" ref="B3962">INDEX(helper!$A$3:$A3996,ROUNDUP((ROW()-1)/COUNTA(helper!$D$3:$D3996),0))</f>
        <v/>
      </c>
      <c r="C3962" s="5" t="str">
        <f t="array" ref="C3962">IF(B3962="","",INDEX(helper!$D$3:$D3996,MOD(ROW()-2,COUNTA(helper!$D$3:$D3996))+1))</f>
        <v/>
      </c>
      <c r="D3962" s="3" t="str">
        <f t="array" ref="D3962">IF(B3962="","",INDEX(helper!$E$3:$E3996,MOD(ROW()-2,COUNTA(helper!$D$3:$D3996))+1))</f>
        <v/>
      </c>
      <c r="E3962" s="3" t="str">
        <f t="array" ref="E3962">IF(B3962="","",INDEX(helper!$F$3:$F3996,MOD(ROW()-2,COUNTA(helper!$D$3:$D3996))+1))</f>
        <v/>
      </c>
      <c r="F3962" s="3" t="str">
        <f>IF(B3962="","",SUMIFS('inventory ledger'!$H:$H,'inventory ledger'!$C:$C,C3962,'inventory ledger'!$D:$D,D3962,'inventory ledger'!$E:$E,E3962,'inventory ledger'!$A:$A,"&lt;="&amp;B3962+TIME(23,59,59))-SUMIFS('inventory ledger'!$I:$I,'inventory ledger'!$C:$C,C3962,'inventory ledger'!$D:$D,D3962,'inventory ledger'!$E:$E,E3962,'inventory ledger'!$A:$A,"&lt;="&amp;B3962+TIME(23,59,59)))</f>
        <v/>
      </c>
      <c r="G3962" s="3">
        <f>IFERROR(__xludf.DUMMYFUNCTION("IF(F3962&lt;=0,0,IFERROR(ROUNDUP(F3962/INDEX(FILTER('warehouse config'!$D:$D,('warehouse config'!$B:$B=C3962)*('warehouse config'!$C:$C=D3962)*('warehouse config'!$G:$G&lt;=B3962)*(('warehouse config'!$H:$H&gt;=B3962)+ISBLANK('warehouse config'!$H:$H))),1)),0))"),0.0)</f>
        <v>0</v>
      </c>
      <c r="H3962" s="3">
        <f>IFERROR(__xludf.DUMMYFUNCTION("IFERROR(INDEX(FILTER('cost master'!$E:$E,('cost master'!$B:$B=C3962)*('cost master'!$D:$D=""Storage cost per pallet / week"")*('cost master'!$G:$G&lt;=B3962)*(('cost master'!$H:$H&gt;=B3962)+ISBLANK('cost master'!$H:$H))),1),0)"),0.0)</f>
        <v>0</v>
      </c>
      <c r="I3962" s="3">
        <f t="shared" si="4"/>
        <v>0</v>
      </c>
      <c r="J3962" s="27">
        <f t="shared" si="5"/>
        <v>693947</v>
      </c>
      <c r="K3962" s="27">
        <f t="shared" si="6"/>
        <v>693977</v>
      </c>
    </row>
    <row r="3963" hidden="1">
      <c r="A3963" s="3" t="str">
        <f t="shared" si="3"/>
        <v/>
      </c>
      <c r="B3963" s="2" t="str">
        <f t="array" ref="B3963">INDEX(helper!$A$3:$A3996,ROUNDUP((ROW()-1)/COUNTA(helper!$D$3:$D3996),0))</f>
        <v/>
      </c>
      <c r="C3963" s="5" t="str">
        <f t="array" ref="C3963">IF(B3963="","",INDEX(helper!$D$3:$D3996,MOD(ROW()-2,COUNTA(helper!$D$3:$D3996))+1))</f>
        <v/>
      </c>
      <c r="D3963" s="3" t="str">
        <f t="array" ref="D3963">IF(B3963="","",INDEX(helper!$E$3:$E3996,MOD(ROW()-2,COUNTA(helper!$D$3:$D3996))+1))</f>
        <v/>
      </c>
      <c r="E3963" s="3" t="str">
        <f t="array" ref="E3963">IF(B3963="","",INDEX(helper!$F$3:$F3996,MOD(ROW()-2,COUNTA(helper!$D$3:$D3996))+1))</f>
        <v/>
      </c>
      <c r="F3963" s="3" t="str">
        <f>IF(B3963="","",SUMIFS('inventory ledger'!$H:$H,'inventory ledger'!$C:$C,C3963,'inventory ledger'!$D:$D,D3963,'inventory ledger'!$E:$E,E3963,'inventory ledger'!$A:$A,"&lt;="&amp;B3963+TIME(23,59,59))-SUMIFS('inventory ledger'!$I:$I,'inventory ledger'!$C:$C,C3963,'inventory ledger'!$D:$D,D3963,'inventory ledger'!$E:$E,E3963,'inventory ledger'!$A:$A,"&lt;="&amp;B3963+TIME(23,59,59)))</f>
        <v/>
      </c>
      <c r="G3963" s="3">
        <f>IFERROR(__xludf.DUMMYFUNCTION("IF(F3963&lt;=0,0,IFERROR(ROUNDUP(F3963/INDEX(FILTER('warehouse config'!$D:$D,('warehouse config'!$B:$B=C3963)*('warehouse config'!$C:$C=D3963)*('warehouse config'!$G:$G&lt;=B3963)*(('warehouse config'!$H:$H&gt;=B3963)+ISBLANK('warehouse config'!$H:$H))),1)),0))"),0.0)</f>
        <v>0</v>
      </c>
      <c r="H3963" s="3">
        <f>IFERROR(__xludf.DUMMYFUNCTION("IFERROR(INDEX(FILTER('cost master'!$E:$E,('cost master'!$B:$B=C3963)*('cost master'!$D:$D=""Storage cost per pallet / week"")*('cost master'!$G:$G&lt;=B3963)*(('cost master'!$H:$H&gt;=B3963)+ISBLANK('cost master'!$H:$H))),1),0)"),0.0)</f>
        <v>0</v>
      </c>
      <c r="I3963" s="3">
        <f t="shared" si="4"/>
        <v>0</v>
      </c>
      <c r="J3963" s="27">
        <f t="shared" si="5"/>
        <v>693947</v>
      </c>
      <c r="K3963" s="27">
        <f t="shared" si="6"/>
        <v>693977</v>
      </c>
    </row>
    <row r="3964" hidden="1">
      <c r="A3964" s="3" t="str">
        <f t="shared" si="3"/>
        <v/>
      </c>
      <c r="B3964" s="2" t="str">
        <f t="array" ref="B3964">INDEX(helper!$A$3:$A3996,ROUNDUP((ROW()-1)/COUNTA(helper!$D$3:$D3996),0))</f>
        <v/>
      </c>
      <c r="C3964" s="5" t="str">
        <f t="array" ref="C3964">IF(B3964="","",INDEX(helper!$D$3:$D3996,MOD(ROW()-2,COUNTA(helper!$D$3:$D3996))+1))</f>
        <v/>
      </c>
      <c r="D3964" s="3" t="str">
        <f t="array" ref="D3964">IF(B3964="","",INDEX(helper!$E$3:$E3996,MOD(ROW()-2,COUNTA(helper!$D$3:$D3996))+1))</f>
        <v/>
      </c>
      <c r="E3964" s="3" t="str">
        <f t="array" ref="E3964">IF(B3964="","",INDEX(helper!$F$3:$F3996,MOD(ROW()-2,COUNTA(helper!$D$3:$D3996))+1))</f>
        <v/>
      </c>
      <c r="F3964" s="3" t="str">
        <f>IF(B3964="","",SUMIFS('inventory ledger'!$H:$H,'inventory ledger'!$C:$C,C3964,'inventory ledger'!$D:$D,D3964,'inventory ledger'!$E:$E,E3964,'inventory ledger'!$A:$A,"&lt;="&amp;B3964+TIME(23,59,59))-SUMIFS('inventory ledger'!$I:$I,'inventory ledger'!$C:$C,C3964,'inventory ledger'!$D:$D,D3964,'inventory ledger'!$E:$E,E3964,'inventory ledger'!$A:$A,"&lt;="&amp;B3964+TIME(23,59,59)))</f>
        <v/>
      </c>
      <c r="G3964" s="3">
        <f>IFERROR(__xludf.DUMMYFUNCTION("IF(F3964&lt;=0,0,IFERROR(ROUNDUP(F3964/INDEX(FILTER('warehouse config'!$D:$D,('warehouse config'!$B:$B=C3964)*('warehouse config'!$C:$C=D3964)*('warehouse config'!$G:$G&lt;=B3964)*(('warehouse config'!$H:$H&gt;=B3964)+ISBLANK('warehouse config'!$H:$H))),1)),0))"),0.0)</f>
        <v>0</v>
      </c>
      <c r="H3964" s="3">
        <f>IFERROR(__xludf.DUMMYFUNCTION("IFERROR(INDEX(FILTER('cost master'!$E:$E,('cost master'!$B:$B=C3964)*('cost master'!$D:$D=""Storage cost per pallet / week"")*('cost master'!$G:$G&lt;=B3964)*(('cost master'!$H:$H&gt;=B3964)+ISBLANK('cost master'!$H:$H))),1),0)"),0.0)</f>
        <v>0</v>
      </c>
      <c r="I3964" s="3">
        <f t="shared" si="4"/>
        <v>0</v>
      </c>
      <c r="J3964" s="27">
        <f t="shared" si="5"/>
        <v>693947</v>
      </c>
      <c r="K3964" s="27">
        <f t="shared" si="6"/>
        <v>693977</v>
      </c>
    </row>
    <row r="3965" hidden="1">
      <c r="A3965" s="3" t="str">
        <f t="shared" si="3"/>
        <v/>
      </c>
      <c r="B3965" s="2" t="str">
        <f t="array" ref="B3965">INDEX(helper!$A$3:$A3996,ROUNDUP((ROW()-1)/COUNTA(helper!$D$3:$D3996),0))</f>
        <v/>
      </c>
      <c r="C3965" s="5" t="str">
        <f t="array" ref="C3965">IF(B3965="","",INDEX(helper!$D$3:$D3996,MOD(ROW()-2,COUNTA(helper!$D$3:$D3996))+1))</f>
        <v/>
      </c>
      <c r="D3965" s="3" t="str">
        <f t="array" ref="D3965">IF(B3965="","",INDEX(helper!$E$3:$E3996,MOD(ROW()-2,COUNTA(helper!$D$3:$D3996))+1))</f>
        <v/>
      </c>
      <c r="E3965" s="3" t="str">
        <f t="array" ref="E3965">IF(B3965="","",INDEX(helper!$F$3:$F3996,MOD(ROW()-2,COUNTA(helper!$D$3:$D3996))+1))</f>
        <v/>
      </c>
      <c r="F3965" s="3" t="str">
        <f>IF(B3965="","",SUMIFS('inventory ledger'!$H:$H,'inventory ledger'!$C:$C,C3965,'inventory ledger'!$D:$D,D3965,'inventory ledger'!$E:$E,E3965,'inventory ledger'!$A:$A,"&lt;="&amp;B3965+TIME(23,59,59))-SUMIFS('inventory ledger'!$I:$I,'inventory ledger'!$C:$C,C3965,'inventory ledger'!$D:$D,D3965,'inventory ledger'!$E:$E,E3965,'inventory ledger'!$A:$A,"&lt;="&amp;B3965+TIME(23,59,59)))</f>
        <v/>
      </c>
      <c r="G3965" s="3">
        <f>IFERROR(__xludf.DUMMYFUNCTION("IF(F3965&lt;=0,0,IFERROR(ROUNDUP(F3965/INDEX(FILTER('warehouse config'!$D:$D,('warehouse config'!$B:$B=C3965)*('warehouse config'!$C:$C=D3965)*('warehouse config'!$G:$G&lt;=B3965)*(('warehouse config'!$H:$H&gt;=B3965)+ISBLANK('warehouse config'!$H:$H))),1)),0))"),0.0)</f>
        <v>0</v>
      </c>
      <c r="H3965" s="3">
        <f>IFERROR(__xludf.DUMMYFUNCTION("IFERROR(INDEX(FILTER('cost master'!$E:$E,('cost master'!$B:$B=C3965)*('cost master'!$D:$D=""Storage cost per pallet / week"")*('cost master'!$G:$G&lt;=B3965)*(('cost master'!$H:$H&gt;=B3965)+ISBLANK('cost master'!$H:$H))),1),0)"),0.0)</f>
        <v>0</v>
      </c>
      <c r="I3965" s="3">
        <f t="shared" si="4"/>
        <v>0</v>
      </c>
      <c r="J3965" s="27">
        <f t="shared" si="5"/>
        <v>693947</v>
      </c>
      <c r="K3965" s="27">
        <f t="shared" si="6"/>
        <v>693977</v>
      </c>
    </row>
    <row r="3966" hidden="1">
      <c r="A3966" s="3" t="str">
        <f t="shared" si="3"/>
        <v/>
      </c>
      <c r="B3966" s="2" t="str">
        <f t="array" ref="B3966">INDEX(helper!$A$3:$A3996,ROUNDUP((ROW()-1)/COUNTA(helper!$D$3:$D3996),0))</f>
        <v/>
      </c>
      <c r="C3966" s="5" t="str">
        <f t="array" ref="C3966">IF(B3966="","",INDEX(helper!$D$3:$D3996,MOD(ROW()-2,COUNTA(helper!$D$3:$D3996))+1))</f>
        <v/>
      </c>
      <c r="D3966" s="3" t="str">
        <f t="array" ref="D3966">IF(B3966="","",INDEX(helper!$E$3:$E3996,MOD(ROW()-2,COUNTA(helper!$D$3:$D3996))+1))</f>
        <v/>
      </c>
      <c r="E3966" s="3" t="str">
        <f t="array" ref="E3966">IF(B3966="","",INDEX(helper!$F$3:$F3996,MOD(ROW()-2,COUNTA(helper!$D$3:$D3996))+1))</f>
        <v/>
      </c>
      <c r="F3966" s="3" t="str">
        <f>IF(B3966="","",SUMIFS('inventory ledger'!$H:$H,'inventory ledger'!$C:$C,C3966,'inventory ledger'!$D:$D,D3966,'inventory ledger'!$E:$E,E3966,'inventory ledger'!$A:$A,"&lt;="&amp;B3966+TIME(23,59,59))-SUMIFS('inventory ledger'!$I:$I,'inventory ledger'!$C:$C,C3966,'inventory ledger'!$D:$D,D3966,'inventory ledger'!$E:$E,E3966,'inventory ledger'!$A:$A,"&lt;="&amp;B3966+TIME(23,59,59)))</f>
        <v/>
      </c>
      <c r="G3966" s="3">
        <f>IFERROR(__xludf.DUMMYFUNCTION("IF(F3966&lt;=0,0,IFERROR(ROUNDUP(F3966/INDEX(FILTER('warehouse config'!$D:$D,('warehouse config'!$B:$B=C3966)*('warehouse config'!$C:$C=D3966)*('warehouse config'!$G:$G&lt;=B3966)*(('warehouse config'!$H:$H&gt;=B3966)+ISBLANK('warehouse config'!$H:$H))),1)),0))"),0.0)</f>
        <v>0</v>
      </c>
      <c r="H3966" s="3">
        <f>IFERROR(__xludf.DUMMYFUNCTION("IFERROR(INDEX(FILTER('cost master'!$E:$E,('cost master'!$B:$B=C3966)*('cost master'!$D:$D=""Storage cost per pallet / week"")*('cost master'!$G:$G&lt;=B3966)*(('cost master'!$H:$H&gt;=B3966)+ISBLANK('cost master'!$H:$H))),1),0)"),0.0)</f>
        <v>0</v>
      </c>
      <c r="I3966" s="3">
        <f t="shared" si="4"/>
        <v>0</v>
      </c>
      <c r="J3966" s="27">
        <f t="shared" si="5"/>
        <v>693947</v>
      </c>
      <c r="K3966" s="27">
        <f t="shared" si="6"/>
        <v>693977</v>
      </c>
    </row>
    <row r="3967" hidden="1">
      <c r="A3967" s="3" t="str">
        <f t="shared" si="3"/>
        <v/>
      </c>
      <c r="B3967" s="2" t="str">
        <f t="array" ref="B3967">INDEX(helper!$A$3:$A3996,ROUNDUP((ROW()-1)/COUNTA(helper!$D$3:$D3996),0))</f>
        <v/>
      </c>
      <c r="C3967" s="5" t="str">
        <f t="array" ref="C3967">IF(B3967="","",INDEX(helper!$D$3:$D3996,MOD(ROW()-2,COUNTA(helper!$D$3:$D3996))+1))</f>
        <v/>
      </c>
      <c r="D3967" s="3" t="str">
        <f t="array" ref="D3967">IF(B3967="","",INDEX(helper!$E$3:$E3996,MOD(ROW()-2,COUNTA(helper!$D$3:$D3996))+1))</f>
        <v/>
      </c>
      <c r="E3967" s="3" t="str">
        <f t="array" ref="E3967">IF(B3967="","",INDEX(helper!$F$3:$F3996,MOD(ROW()-2,COUNTA(helper!$D$3:$D3996))+1))</f>
        <v/>
      </c>
      <c r="F3967" s="3" t="str">
        <f>IF(B3967="","",SUMIFS('inventory ledger'!$H:$H,'inventory ledger'!$C:$C,C3967,'inventory ledger'!$D:$D,D3967,'inventory ledger'!$E:$E,E3967,'inventory ledger'!$A:$A,"&lt;="&amp;B3967+TIME(23,59,59))-SUMIFS('inventory ledger'!$I:$I,'inventory ledger'!$C:$C,C3967,'inventory ledger'!$D:$D,D3967,'inventory ledger'!$E:$E,E3967,'inventory ledger'!$A:$A,"&lt;="&amp;B3967+TIME(23,59,59)))</f>
        <v/>
      </c>
      <c r="G3967" s="3">
        <f>IFERROR(__xludf.DUMMYFUNCTION("IF(F3967&lt;=0,0,IFERROR(ROUNDUP(F3967/INDEX(FILTER('warehouse config'!$D:$D,('warehouse config'!$B:$B=C3967)*('warehouse config'!$C:$C=D3967)*('warehouse config'!$G:$G&lt;=B3967)*(('warehouse config'!$H:$H&gt;=B3967)+ISBLANK('warehouse config'!$H:$H))),1)),0))"),0.0)</f>
        <v>0</v>
      </c>
      <c r="H3967" s="3">
        <f>IFERROR(__xludf.DUMMYFUNCTION("IFERROR(INDEX(FILTER('cost master'!$E:$E,('cost master'!$B:$B=C3967)*('cost master'!$D:$D=""Storage cost per pallet / week"")*('cost master'!$G:$G&lt;=B3967)*(('cost master'!$H:$H&gt;=B3967)+ISBLANK('cost master'!$H:$H))),1),0)"),0.0)</f>
        <v>0</v>
      </c>
      <c r="I3967" s="3">
        <f t="shared" si="4"/>
        <v>0</v>
      </c>
      <c r="J3967" s="27">
        <f t="shared" si="5"/>
        <v>693947</v>
      </c>
      <c r="K3967" s="27">
        <f t="shared" si="6"/>
        <v>693977</v>
      </c>
    </row>
    <row r="3968" hidden="1">
      <c r="A3968" s="3" t="str">
        <f t="shared" si="3"/>
        <v/>
      </c>
      <c r="B3968" s="2" t="str">
        <f t="array" ref="B3968">INDEX(helper!$A$3:$A3996,ROUNDUP((ROW()-1)/COUNTA(helper!$D$3:$D3996),0))</f>
        <v/>
      </c>
      <c r="C3968" s="5" t="str">
        <f t="array" ref="C3968">IF(B3968="","",INDEX(helper!$D$3:$D3996,MOD(ROW()-2,COUNTA(helper!$D$3:$D3996))+1))</f>
        <v/>
      </c>
      <c r="D3968" s="3" t="str">
        <f t="array" ref="D3968">IF(B3968="","",INDEX(helper!$E$3:$E3996,MOD(ROW()-2,COUNTA(helper!$D$3:$D3996))+1))</f>
        <v/>
      </c>
      <c r="E3968" s="3" t="str">
        <f t="array" ref="E3968">IF(B3968="","",INDEX(helper!$F$3:$F3996,MOD(ROW()-2,COUNTA(helper!$D$3:$D3996))+1))</f>
        <v/>
      </c>
      <c r="F3968" s="3" t="str">
        <f>IF(B3968="","",SUMIFS('inventory ledger'!$H:$H,'inventory ledger'!$C:$C,C3968,'inventory ledger'!$D:$D,D3968,'inventory ledger'!$E:$E,E3968,'inventory ledger'!$A:$A,"&lt;="&amp;B3968+TIME(23,59,59))-SUMIFS('inventory ledger'!$I:$I,'inventory ledger'!$C:$C,C3968,'inventory ledger'!$D:$D,D3968,'inventory ledger'!$E:$E,E3968,'inventory ledger'!$A:$A,"&lt;="&amp;B3968+TIME(23,59,59)))</f>
        <v/>
      </c>
      <c r="G3968" s="3">
        <f>IFERROR(__xludf.DUMMYFUNCTION("IF(F3968&lt;=0,0,IFERROR(ROUNDUP(F3968/INDEX(FILTER('warehouse config'!$D:$D,('warehouse config'!$B:$B=C3968)*('warehouse config'!$C:$C=D3968)*('warehouse config'!$G:$G&lt;=B3968)*(('warehouse config'!$H:$H&gt;=B3968)+ISBLANK('warehouse config'!$H:$H))),1)),0))"),0.0)</f>
        <v>0</v>
      </c>
      <c r="H3968" s="3">
        <f>IFERROR(__xludf.DUMMYFUNCTION("IFERROR(INDEX(FILTER('cost master'!$E:$E,('cost master'!$B:$B=C3968)*('cost master'!$D:$D=""Storage cost per pallet / week"")*('cost master'!$G:$G&lt;=B3968)*(('cost master'!$H:$H&gt;=B3968)+ISBLANK('cost master'!$H:$H))),1),0)"),0.0)</f>
        <v>0</v>
      </c>
      <c r="I3968" s="3">
        <f t="shared" si="4"/>
        <v>0</v>
      </c>
      <c r="J3968" s="27">
        <f t="shared" si="5"/>
        <v>693947</v>
      </c>
      <c r="K3968" s="27">
        <f t="shared" si="6"/>
        <v>693977</v>
      </c>
    </row>
    <row r="3969" hidden="1">
      <c r="A3969" s="3" t="str">
        <f t="shared" si="3"/>
        <v/>
      </c>
      <c r="B3969" s="2" t="str">
        <f t="array" ref="B3969">INDEX(helper!$A$3:$A3996,ROUNDUP((ROW()-1)/COUNTA(helper!$D$3:$D3996),0))</f>
        <v/>
      </c>
      <c r="C3969" s="5" t="str">
        <f t="array" ref="C3969">IF(B3969="","",INDEX(helper!$D$3:$D3996,MOD(ROW()-2,COUNTA(helper!$D$3:$D3996))+1))</f>
        <v/>
      </c>
      <c r="D3969" s="3" t="str">
        <f t="array" ref="D3969">IF(B3969="","",INDEX(helper!$E$3:$E3996,MOD(ROW()-2,COUNTA(helper!$D$3:$D3996))+1))</f>
        <v/>
      </c>
      <c r="E3969" s="3" t="str">
        <f t="array" ref="E3969">IF(B3969="","",INDEX(helper!$F$3:$F3996,MOD(ROW()-2,COUNTA(helper!$D$3:$D3996))+1))</f>
        <v/>
      </c>
      <c r="F3969" s="3" t="str">
        <f>IF(B3969="","",SUMIFS('inventory ledger'!$H:$H,'inventory ledger'!$C:$C,C3969,'inventory ledger'!$D:$D,D3969,'inventory ledger'!$E:$E,E3969,'inventory ledger'!$A:$A,"&lt;="&amp;B3969+TIME(23,59,59))-SUMIFS('inventory ledger'!$I:$I,'inventory ledger'!$C:$C,C3969,'inventory ledger'!$D:$D,D3969,'inventory ledger'!$E:$E,E3969,'inventory ledger'!$A:$A,"&lt;="&amp;B3969+TIME(23,59,59)))</f>
        <v/>
      </c>
      <c r="G3969" s="3">
        <f>IFERROR(__xludf.DUMMYFUNCTION("IF(F3969&lt;=0,0,IFERROR(ROUNDUP(F3969/INDEX(FILTER('warehouse config'!$D:$D,('warehouse config'!$B:$B=C3969)*('warehouse config'!$C:$C=D3969)*('warehouse config'!$G:$G&lt;=B3969)*(('warehouse config'!$H:$H&gt;=B3969)+ISBLANK('warehouse config'!$H:$H))),1)),0))"),0.0)</f>
        <v>0</v>
      </c>
      <c r="H3969" s="3">
        <f>IFERROR(__xludf.DUMMYFUNCTION("IFERROR(INDEX(FILTER('cost master'!$E:$E,('cost master'!$B:$B=C3969)*('cost master'!$D:$D=""Storage cost per pallet / week"")*('cost master'!$G:$G&lt;=B3969)*(('cost master'!$H:$H&gt;=B3969)+ISBLANK('cost master'!$H:$H))),1),0)"),0.0)</f>
        <v>0</v>
      </c>
      <c r="I3969" s="3">
        <f t="shared" si="4"/>
        <v>0</v>
      </c>
      <c r="J3969" s="27">
        <f t="shared" si="5"/>
        <v>693947</v>
      </c>
      <c r="K3969" s="27">
        <f t="shared" si="6"/>
        <v>693977</v>
      </c>
    </row>
    <row r="3970" hidden="1">
      <c r="A3970" s="3" t="str">
        <f t="shared" si="3"/>
        <v/>
      </c>
      <c r="B3970" s="2" t="str">
        <f t="array" ref="B3970">INDEX(helper!$A$3:$A3996,ROUNDUP((ROW()-1)/COUNTA(helper!$D$3:$D3996),0))</f>
        <v/>
      </c>
      <c r="C3970" s="5" t="str">
        <f t="array" ref="C3970">IF(B3970="","",INDEX(helper!$D$3:$D3996,MOD(ROW()-2,COUNTA(helper!$D$3:$D3996))+1))</f>
        <v/>
      </c>
      <c r="D3970" s="3" t="str">
        <f t="array" ref="D3970">IF(B3970="","",INDEX(helper!$E$3:$E3996,MOD(ROW()-2,COUNTA(helper!$D$3:$D3996))+1))</f>
        <v/>
      </c>
      <c r="E3970" s="3" t="str">
        <f t="array" ref="E3970">IF(B3970="","",INDEX(helper!$F$3:$F3996,MOD(ROW()-2,COUNTA(helper!$D$3:$D3996))+1))</f>
        <v/>
      </c>
      <c r="F3970" s="3" t="str">
        <f>IF(B3970="","",SUMIFS('inventory ledger'!$H:$H,'inventory ledger'!$C:$C,C3970,'inventory ledger'!$D:$D,D3970,'inventory ledger'!$E:$E,E3970,'inventory ledger'!$A:$A,"&lt;="&amp;B3970+TIME(23,59,59))-SUMIFS('inventory ledger'!$I:$I,'inventory ledger'!$C:$C,C3970,'inventory ledger'!$D:$D,D3970,'inventory ledger'!$E:$E,E3970,'inventory ledger'!$A:$A,"&lt;="&amp;B3970+TIME(23,59,59)))</f>
        <v/>
      </c>
      <c r="G3970" s="3">
        <f>IFERROR(__xludf.DUMMYFUNCTION("IF(F3970&lt;=0,0,IFERROR(ROUNDUP(F3970/INDEX(FILTER('warehouse config'!$D:$D,('warehouse config'!$B:$B=C3970)*('warehouse config'!$C:$C=D3970)*('warehouse config'!$G:$G&lt;=B3970)*(('warehouse config'!$H:$H&gt;=B3970)+ISBLANK('warehouse config'!$H:$H))),1)),0))"),0.0)</f>
        <v>0</v>
      </c>
      <c r="H3970" s="3">
        <f>IFERROR(__xludf.DUMMYFUNCTION("IFERROR(INDEX(FILTER('cost master'!$E:$E,('cost master'!$B:$B=C3970)*('cost master'!$D:$D=""Storage cost per pallet / week"")*('cost master'!$G:$G&lt;=B3970)*(('cost master'!$H:$H&gt;=B3970)+ISBLANK('cost master'!$H:$H))),1),0)"),0.0)</f>
        <v>0</v>
      </c>
      <c r="I3970" s="3">
        <f t="shared" si="4"/>
        <v>0</v>
      </c>
      <c r="J3970" s="27">
        <f t="shared" si="5"/>
        <v>693947</v>
      </c>
      <c r="K3970" s="27">
        <f t="shared" si="6"/>
        <v>693977</v>
      </c>
    </row>
    <row r="3971" hidden="1">
      <c r="A3971" s="3" t="str">
        <f t="shared" si="3"/>
        <v/>
      </c>
      <c r="B3971" s="2" t="str">
        <f t="array" ref="B3971">INDEX(helper!$A$3:$A3996,ROUNDUP((ROW()-1)/COUNTA(helper!$D$3:$D3996),0))</f>
        <v/>
      </c>
      <c r="C3971" s="5" t="str">
        <f t="array" ref="C3971">IF(B3971="","",INDEX(helper!$D$3:$D3996,MOD(ROW()-2,COUNTA(helper!$D$3:$D3996))+1))</f>
        <v/>
      </c>
      <c r="D3971" s="3" t="str">
        <f t="array" ref="D3971">IF(B3971="","",INDEX(helper!$E$3:$E3996,MOD(ROW()-2,COUNTA(helper!$D$3:$D3996))+1))</f>
        <v/>
      </c>
      <c r="E3971" s="3" t="str">
        <f t="array" ref="E3971">IF(B3971="","",INDEX(helper!$F$3:$F3996,MOD(ROW()-2,COUNTA(helper!$D$3:$D3996))+1))</f>
        <v/>
      </c>
      <c r="F3971" s="3" t="str">
        <f>IF(B3971="","",SUMIFS('inventory ledger'!$H:$H,'inventory ledger'!$C:$C,C3971,'inventory ledger'!$D:$D,D3971,'inventory ledger'!$E:$E,E3971,'inventory ledger'!$A:$A,"&lt;="&amp;B3971+TIME(23,59,59))-SUMIFS('inventory ledger'!$I:$I,'inventory ledger'!$C:$C,C3971,'inventory ledger'!$D:$D,D3971,'inventory ledger'!$E:$E,E3971,'inventory ledger'!$A:$A,"&lt;="&amp;B3971+TIME(23,59,59)))</f>
        <v/>
      </c>
      <c r="G3971" s="3">
        <f>IFERROR(__xludf.DUMMYFUNCTION("IF(F3971&lt;=0,0,IFERROR(ROUNDUP(F3971/INDEX(FILTER('warehouse config'!$D:$D,('warehouse config'!$B:$B=C3971)*('warehouse config'!$C:$C=D3971)*('warehouse config'!$G:$G&lt;=B3971)*(('warehouse config'!$H:$H&gt;=B3971)+ISBLANK('warehouse config'!$H:$H))),1)),0))"),0.0)</f>
        <v>0</v>
      </c>
      <c r="H3971" s="3">
        <f>IFERROR(__xludf.DUMMYFUNCTION("IFERROR(INDEX(FILTER('cost master'!$E:$E,('cost master'!$B:$B=C3971)*('cost master'!$D:$D=""Storage cost per pallet / week"")*('cost master'!$G:$G&lt;=B3971)*(('cost master'!$H:$H&gt;=B3971)+ISBLANK('cost master'!$H:$H))),1),0)"),0.0)</f>
        <v>0</v>
      </c>
      <c r="I3971" s="3">
        <f t="shared" si="4"/>
        <v>0</v>
      </c>
      <c r="J3971" s="27">
        <f t="shared" si="5"/>
        <v>693947</v>
      </c>
      <c r="K3971" s="27">
        <f t="shared" si="6"/>
        <v>693977</v>
      </c>
    </row>
    <row r="3972" hidden="1">
      <c r="A3972" s="3" t="str">
        <f t="shared" si="3"/>
        <v/>
      </c>
      <c r="B3972" s="2" t="str">
        <f t="array" ref="B3972">INDEX(helper!$A$3:$A3996,ROUNDUP((ROW()-1)/COUNTA(helper!$D$3:$D3996),0))</f>
        <v/>
      </c>
      <c r="C3972" s="5" t="str">
        <f t="array" ref="C3972">IF(B3972="","",INDEX(helper!$D$3:$D3996,MOD(ROW()-2,COUNTA(helper!$D$3:$D3996))+1))</f>
        <v/>
      </c>
      <c r="D3972" s="3" t="str">
        <f t="array" ref="D3972">IF(B3972="","",INDEX(helper!$E$3:$E3996,MOD(ROW()-2,COUNTA(helper!$D$3:$D3996))+1))</f>
        <v/>
      </c>
      <c r="E3972" s="3" t="str">
        <f t="array" ref="E3972">IF(B3972="","",INDEX(helper!$F$3:$F3996,MOD(ROW()-2,COUNTA(helper!$D$3:$D3996))+1))</f>
        <v/>
      </c>
      <c r="F3972" s="3" t="str">
        <f>IF(B3972="","",SUMIFS('inventory ledger'!$H:$H,'inventory ledger'!$C:$C,C3972,'inventory ledger'!$D:$D,D3972,'inventory ledger'!$E:$E,E3972,'inventory ledger'!$A:$A,"&lt;="&amp;B3972+TIME(23,59,59))-SUMIFS('inventory ledger'!$I:$I,'inventory ledger'!$C:$C,C3972,'inventory ledger'!$D:$D,D3972,'inventory ledger'!$E:$E,E3972,'inventory ledger'!$A:$A,"&lt;="&amp;B3972+TIME(23,59,59)))</f>
        <v/>
      </c>
      <c r="G3972" s="3">
        <f>IFERROR(__xludf.DUMMYFUNCTION("IF(F3972&lt;=0,0,IFERROR(ROUNDUP(F3972/INDEX(FILTER('warehouse config'!$D:$D,('warehouse config'!$B:$B=C3972)*('warehouse config'!$C:$C=D3972)*('warehouse config'!$G:$G&lt;=B3972)*(('warehouse config'!$H:$H&gt;=B3972)+ISBLANK('warehouse config'!$H:$H))),1)),0))"),0.0)</f>
        <v>0</v>
      </c>
      <c r="H3972" s="3">
        <f>IFERROR(__xludf.DUMMYFUNCTION("IFERROR(INDEX(FILTER('cost master'!$E:$E,('cost master'!$B:$B=C3972)*('cost master'!$D:$D=""Storage cost per pallet / week"")*('cost master'!$G:$G&lt;=B3972)*(('cost master'!$H:$H&gt;=B3972)+ISBLANK('cost master'!$H:$H))),1),0)"),0.0)</f>
        <v>0</v>
      </c>
      <c r="I3972" s="3">
        <f t="shared" si="4"/>
        <v>0</v>
      </c>
      <c r="J3972" s="27">
        <f t="shared" si="5"/>
        <v>693947</v>
      </c>
      <c r="K3972" s="27">
        <f t="shared" si="6"/>
        <v>693977</v>
      </c>
    </row>
    <row r="3973" hidden="1">
      <c r="A3973" s="3" t="str">
        <f t="shared" si="3"/>
        <v/>
      </c>
      <c r="B3973" s="2" t="str">
        <f t="array" ref="B3973">INDEX(helper!$A$3:$A3996,ROUNDUP((ROW()-1)/COUNTA(helper!$D$3:$D3996),0))</f>
        <v/>
      </c>
      <c r="C3973" s="5" t="str">
        <f t="array" ref="C3973">IF(B3973="","",INDEX(helper!$D$3:$D3996,MOD(ROW()-2,COUNTA(helper!$D$3:$D3996))+1))</f>
        <v/>
      </c>
      <c r="D3973" s="3" t="str">
        <f t="array" ref="D3973">IF(B3973="","",INDEX(helper!$E$3:$E3996,MOD(ROW()-2,COUNTA(helper!$D$3:$D3996))+1))</f>
        <v/>
      </c>
      <c r="E3973" s="3" t="str">
        <f t="array" ref="E3973">IF(B3973="","",INDEX(helper!$F$3:$F3996,MOD(ROW()-2,COUNTA(helper!$D$3:$D3996))+1))</f>
        <v/>
      </c>
      <c r="F3973" s="3" t="str">
        <f>IF(B3973="","",SUMIFS('inventory ledger'!$H:$H,'inventory ledger'!$C:$C,C3973,'inventory ledger'!$D:$D,D3973,'inventory ledger'!$E:$E,E3973,'inventory ledger'!$A:$A,"&lt;="&amp;B3973+TIME(23,59,59))-SUMIFS('inventory ledger'!$I:$I,'inventory ledger'!$C:$C,C3973,'inventory ledger'!$D:$D,D3973,'inventory ledger'!$E:$E,E3973,'inventory ledger'!$A:$A,"&lt;="&amp;B3973+TIME(23,59,59)))</f>
        <v/>
      </c>
      <c r="G3973" s="3">
        <f>IFERROR(__xludf.DUMMYFUNCTION("IF(F3973&lt;=0,0,IFERROR(ROUNDUP(F3973/INDEX(FILTER('warehouse config'!$D:$D,('warehouse config'!$B:$B=C3973)*('warehouse config'!$C:$C=D3973)*('warehouse config'!$G:$G&lt;=B3973)*(('warehouse config'!$H:$H&gt;=B3973)+ISBLANK('warehouse config'!$H:$H))),1)),0))"),0.0)</f>
        <v>0</v>
      </c>
      <c r="H3973" s="3">
        <f>IFERROR(__xludf.DUMMYFUNCTION("IFERROR(INDEX(FILTER('cost master'!$E:$E,('cost master'!$B:$B=C3973)*('cost master'!$D:$D=""Storage cost per pallet / week"")*('cost master'!$G:$G&lt;=B3973)*(('cost master'!$H:$H&gt;=B3973)+ISBLANK('cost master'!$H:$H))),1),0)"),0.0)</f>
        <v>0</v>
      </c>
      <c r="I3973" s="3">
        <f t="shared" si="4"/>
        <v>0</v>
      </c>
      <c r="J3973" s="27">
        <f t="shared" si="5"/>
        <v>693947</v>
      </c>
      <c r="K3973" s="27">
        <f t="shared" si="6"/>
        <v>693977</v>
      </c>
    </row>
    <row r="3974" hidden="1">
      <c r="A3974" s="3" t="str">
        <f t="shared" si="3"/>
        <v/>
      </c>
      <c r="B3974" s="2" t="str">
        <f t="array" ref="B3974">INDEX(helper!$A$3:$A3996,ROUNDUP((ROW()-1)/COUNTA(helper!$D$3:$D3996),0))</f>
        <v/>
      </c>
      <c r="C3974" s="5" t="str">
        <f t="array" ref="C3974">IF(B3974="","",INDEX(helper!$D$3:$D3996,MOD(ROW()-2,COUNTA(helper!$D$3:$D3996))+1))</f>
        <v/>
      </c>
      <c r="D3974" s="3" t="str">
        <f t="array" ref="D3974">IF(B3974="","",INDEX(helper!$E$3:$E3996,MOD(ROW()-2,COUNTA(helper!$D$3:$D3996))+1))</f>
        <v/>
      </c>
      <c r="E3974" s="3" t="str">
        <f t="array" ref="E3974">IF(B3974="","",INDEX(helper!$F$3:$F3996,MOD(ROW()-2,COUNTA(helper!$D$3:$D3996))+1))</f>
        <v/>
      </c>
      <c r="F3974" s="3" t="str">
        <f>IF(B3974="","",SUMIFS('inventory ledger'!$H:$H,'inventory ledger'!$C:$C,C3974,'inventory ledger'!$D:$D,D3974,'inventory ledger'!$E:$E,E3974,'inventory ledger'!$A:$A,"&lt;="&amp;B3974+TIME(23,59,59))-SUMIFS('inventory ledger'!$I:$I,'inventory ledger'!$C:$C,C3974,'inventory ledger'!$D:$D,D3974,'inventory ledger'!$E:$E,E3974,'inventory ledger'!$A:$A,"&lt;="&amp;B3974+TIME(23,59,59)))</f>
        <v/>
      </c>
      <c r="G3974" s="3">
        <f>IFERROR(__xludf.DUMMYFUNCTION("IF(F3974&lt;=0,0,IFERROR(ROUNDUP(F3974/INDEX(FILTER('warehouse config'!$D:$D,('warehouse config'!$B:$B=C3974)*('warehouse config'!$C:$C=D3974)*('warehouse config'!$G:$G&lt;=B3974)*(('warehouse config'!$H:$H&gt;=B3974)+ISBLANK('warehouse config'!$H:$H))),1)),0))"),0.0)</f>
        <v>0</v>
      </c>
      <c r="H3974" s="3">
        <f>IFERROR(__xludf.DUMMYFUNCTION("IFERROR(INDEX(FILTER('cost master'!$E:$E,('cost master'!$B:$B=C3974)*('cost master'!$D:$D=""Storage cost per pallet / week"")*('cost master'!$G:$G&lt;=B3974)*(('cost master'!$H:$H&gt;=B3974)+ISBLANK('cost master'!$H:$H))),1),0)"),0.0)</f>
        <v>0</v>
      </c>
      <c r="I3974" s="3">
        <f t="shared" si="4"/>
        <v>0</v>
      </c>
      <c r="J3974" s="27">
        <f t="shared" si="5"/>
        <v>693947</v>
      </c>
      <c r="K3974" s="27">
        <f t="shared" si="6"/>
        <v>693977</v>
      </c>
    </row>
    <row r="3975" hidden="1">
      <c r="A3975" s="3" t="str">
        <f t="shared" si="3"/>
        <v/>
      </c>
      <c r="B3975" s="2" t="str">
        <f t="array" ref="B3975">INDEX(helper!$A$3:$A3996,ROUNDUP((ROW()-1)/COUNTA(helper!$D$3:$D3996),0))</f>
        <v/>
      </c>
      <c r="C3975" s="5" t="str">
        <f t="array" ref="C3975">IF(B3975="","",INDEX(helper!$D$3:$D3996,MOD(ROW()-2,COUNTA(helper!$D$3:$D3996))+1))</f>
        <v/>
      </c>
      <c r="D3975" s="3" t="str">
        <f t="array" ref="D3975">IF(B3975="","",INDEX(helper!$E$3:$E3996,MOD(ROW()-2,COUNTA(helper!$D$3:$D3996))+1))</f>
        <v/>
      </c>
      <c r="E3975" s="3" t="str">
        <f t="array" ref="E3975">IF(B3975="","",INDEX(helper!$F$3:$F3996,MOD(ROW()-2,COUNTA(helper!$D$3:$D3996))+1))</f>
        <v/>
      </c>
      <c r="F3975" s="3" t="str">
        <f>IF(B3975="","",SUMIFS('inventory ledger'!$H:$H,'inventory ledger'!$C:$C,C3975,'inventory ledger'!$D:$D,D3975,'inventory ledger'!$E:$E,E3975,'inventory ledger'!$A:$A,"&lt;="&amp;B3975+TIME(23,59,59))-SUMIFS('inventory ledger'!$I:$I,'inventory ledger'!$C:$C,C3975,'inventory ledger'!$D:$D,D3975,'inventory ledger'!$E:$E,E3975,'inventory ledger'!$A:$A,"&lt;="&amp;B3975+TIME(23,59,59)))</f>
        <v/>
      </c>
      <c r="G3975" s="3">
        <f>IFERROR(__xludf.DUMMYFUNCTION("IF(F3975&lt;=0,0,IFERROR(ROUNDUP(F3975/INDEX(FILTER('warehouse config'!$D:$D,('warehouse config'!$B:$B=C3975)*('warehouse config'!$C:$C=D3975)*('warehouse config'!$G:$G&lt;=B3975)*(('warehouse config'!$H:$H&gt;=B3975)+ISBLANK('warehouse config'!$H:$H))),1)),0))"),0.0)</f>
        <v>0</v>
      </c>
      <c r="H3975" s="3">
        <f>IFERROR(__xludf.DUMMYFUNCTION("IFERROR(INDEX(FILTER('cost master'!$E:$E,('cost master'!$B:$B=C3975)*('cost master'!$D:$D=""Storage cost per pallet / week"")*('cost master'!$G:$G&lt;=B3975)*(('cost master'!$H:$H&gt;=B3975)+ISBLANK('cost master'!$H:$H))),1),0)"),0.0)</f>
        <v>0</v>
      </c>
      <c r="I3975" s="3">
        <f t="shared" si="4"/>
        <v>0</v>
      </c>
      <c r="J3975" s="27">
        <f t="shared" si="5"/>
        <v>693947</v>
      </c>
      <c r="K3975" s="27">
        <f t="shared" si="6"/>
        <v>693977</v>
      </c>
    </row>
    <row r="3976" hidden="1">
      <c r="A3976" s="3" t="str">
        <f t="shared" si="3"/>
        <v/>
      </c>
      <c r="B3976" s="2" t="str">
        <f t="array" ref="B3976">INDEX(helper!$A$3:$A3996,ROUNDUP((ROW()-1)/COUNTA(helper!$D$3:$D3996),0))</f>
        <v/>
      </c>
      <c r="C3976" s="5" t="str">
        <f t="array" ref="C3976">IF(B3976="","",INDEX(helper!$D$3:$D3996,MOD(ROW()-2,COUNTA(helper!$D$3:$D3996))+1))</f>
        <v/>
      </c>
      <c r="D3976" s="3" t="str">
        <f t="array" ref="D3976">IF(B3976="","",INDEX(helper!$E$3:$E3996,MOD(ROW()-2,COUNTA(helper!$D$3:$D3996))+1))</f>
        <v/>
      </c>
      <c r="E3976" s="3" t="str">
        <f t="array" ref="E3976">IF(B3976="","",INDEX(helper!$F$3:$F3996,MOD(ROW()-2,COUNTA(helper!$D$3:$D3996))+1))</f>
        <v/>
      </c>
      <c r="F3976" s="3" t="str">
        <f>IF(B3976="","",SUMIFS('inventory ledger'!$H:$H,'inventory ledger'!$C:$C,C3976,'inventory ledger'!$D:$D,D3976,'inventory ledger'!$E:$E,E3976,'inventory ledger'!$A:$A,"&lt;="&amp;B3976+TIME(23,59,59))-SUMIFS('inventory ledger'!$I:$I,'inventory ledger'!$C:$C,C3976,'inventory ledger'!$D:$D,D3976,'inventory ledger'!$E:$E,E3976,'inventory ledger'!$A:$A,"&lt;="&amp;B3976+TIME(23,59,59)))</f>
        <v/>
      </c>
      <c r="G3976" s="3">
        <f>IFERROR(__xludf.DUMMYFUNCTION("IF(F3976&lt;=0,0,IFERROR(ROUNDUP(F3976/INDEX(FILTER('warehouse config'!$D:$D,('warehouse config'!$B:$B=C3976)*('warehouse config'!$C:$C=D3976)*('warehouse config'!$G:$G&lt;=B3976)*(('warehouse config'!$H:$H&gt;=B3976)+ISBLANK('warehouse config'!$H:$H))),1)),0))"),0.0)</f>
        <v>0</v>
      </c>
      <c r="H3976" s="3">
        <f>IFERROR(__xludf.DUMMYFUNCTION("IFERROR(INDEX(FILTER('cost master'!$E:$E,('cost master'!$B:$B=C3976)*('cost master'!$D:$D=""Storage cost per pallet / week"")*('cost master'!$G:$G&lt;=B3976)*(('cost master'!$H:$H&gt;=B3976)+ISBLANK('cost master'!$H:$H))),1),0)"),0.0)</f>
        <v>0</v>
      </c>
      <c r="I3976" s="3">
        <f t="shared" si="4"/>
        <v>0</v>
      </c>
      <c r="J3976" s="27">
        <f t="shared" si="5"/>
        <v>693947</v>
      </c>
      <c r="K3976" s="27">
        <f t="shared" si="6"/>
        <v>693977</v>
      </c>
    </row>
    <row r="3977" hidden="1">
      <c r="A3977" s="3" t="str">
        <f t="shared" si="3"/>
        <v/>
      </c>
      <c r="B3977" s="2" t="str">
        <f t="array" ref="B3977">INDEX(helper!$A$3:$A3996,ROUNDUP((ROW()-1)/COUNTA(helper!$D$3:$D3996),0))</f>
        <v/>
      </c>
      <c r="C3977" s="5" t="str">
        <f t="array" ref="C3977">IF(B3977="","",INDEX(helper!$D$3:$D3996,MOD(ROW()-2,COUNTA(helper!$D$3:$D3996))+1))</f>
        <v/>
      </c>
      <c r="D3977" s="3" t="str">
        <f t="array" ref="D3977">IF(B3977="","",INDEX(helper!$E$3:$E3996,MOD(ROW()-2,COUNTA(helper!$D$3:$D3996))+1))</f>
        <v/>
      </c>
      <c r="E3977" s="3" t="str">
        <f t="array" ref="E3977">IF(B3977="","",INDEX(helper!$F$3:$F3996,MOD(ROW()-2,COUNTA(helper!$D$3:$D3996))+1))</f>
        <v/>
      </c>
      <c r="F3977" s="3" t="str">
        <f>IF(B3977="","",SUMIFS('inventory ledger'!$H:$H,'inventory ledger'!$C:$C,C3977,'inventory ledger'!$D:$D,D3977,'inventory ledger'!$E:$E,E3977,'inventory ledger'!$A:$A,"&lt;="&amp;B3977+TIME(23,59,59))-SUMIFS('inventory ledger'!$I:$I,'inventory ledger'!$C:$C,C3977,'inventory ledger'!$D:$D,D3977,'inventory ledger'!$E:$E,E3977,'inventory ledger'!$A:$A,"&lt;="&amp;B3977+TIME(23,59,59)))</f>
        <v/>
      </c>
      <c r="G3977" s="3">
        <f>IFERROR(__xludf.DUMMYFUNCTION("IF(F3977&lt;=0,0,IFERROR(ROUNDUP(F3977/INDEX(FILTER('warehouse config'!$D:$D,('warehouse config'!$B:$B=C3977)*('warehouse config'!$C:$C=D3977)*('warehouse config'!$G:$G&lt;=B3977)*(('warehouse config'!$H:$H&gt;=B3977)+ISBLANK('warehouse config'!$H:$H))),1)),0))"),0.0)</f>
        <v>0</v>
      </c>
      <c r="H3977" s="3">
        <f>IFERROR(__xludf.DUMMYFUNCTION("IFERROR(INDEX(FILTER('cost master'!$E:$E,('cost master'!$B:$B=C3977)*('cost master'!$D:$D=""Storage cost per pallet / week"")*('cost master'!$G:$G&lt;=B3977)*(('cost master'!$H:$H&gt;=B3977)+ISBLANK('cost master'!$H:$H))),1),0)"),0.0)</f>
        <v>0</v>
      </c>
      <c r="I3977" s="3">
        <f t="shared" si="4"/>
        <v>0</v>
      </c>
      <c r="J3977" s="27">
        <f t="shared" si="5"/>
        <v>693947</v>
      </c>
      <c r="K3977" s="27">
        <f t="shared" si="6"/>
        <v>693977</v>
      </c>
    </row>
    <row r="3978" hidden="1">
      <c r="A3978" s="3" t="str">
        <f t="shared" si="3"/>
        <v/>
      </c>
      <c r="B3978" s="2" t="str">
        <f t="array" ref="B3978">INDEX(helper!$A$3:$A3996,ROUNDUP((ROW()-1)/COUNTA(helper!$D$3:$D3996),0))</f>
        <v/>
      </c>
      <c r="C3978" s="5" t="str">
        <f t="array" ref="C3978">IF(B3978="","",INDEX(helper!$D$3:$D3996,MOD(ROW()-2,COUNTA(helper!$D$3:$D3996))+1))</f>
        <v/>
      </c>
      <c r="D3978" s="3" t="str">
        <f t="array" ref="D3978">IF(B3978="","",INDEX(helper!$E$3:$E3996,MOD(ROW()-2,COUNTA(helper!$D$3:$D3996))+1))</f>
        <v/>
      </c>
      <c r="E3978" s="3" t="str">
        <f t="array" ref="E3978">IF(B3978="","",INDEX(helper!$F$3:$F3996,MOD(ROW()-2,COUNTA(helper!$D$3:$D3996))+1))</f>
        <v/>
      </c>
      <c r="F3978" s="3" t="str">
        <f>IF(B3978="","",SUMIFS('inventory ledger'!$H:$H,'inventory ledger'!$C:$C,C3978,'inventory ledger'!$D:$D,D3978,'inventory ledger'!$E:$E,E3978,'inventory ledger'!$A:$A,"&lt;="&amp;B3978+TIME(23,59,59))-SUMIFS('inventory ledger'!$I:$I,'inventory ledger'!$C:$C,C3978,'inventory ledger'!$D:$D,D3978,'inventory ledger'!$E:$E,E3978,'inventory ledger'!$A:$A,"&lt;="&amp;B3978+TIME(23,59,59)))</f>
        <v/>
      </c>
      <c r="G3978" s="3">
        <f>IFERROR(__xludf.DUMMYFUNCTION("IF(F3978&lt;=0,0,IFERROR(ROUNDUP(F3978/INDEX(FILTER('warehouse config'!$D:$D,('warehouse config'!$B:$B=C3978)*('warehouse config'!$C:$C=D3978)*('warehouse config'!$G:$G&lt;=B3978)*(('warehouse config'!$H:$H&gt;=B3978)+ISBLANK('warehouse config'!$H:$H))),1)),0))"),0.0)</f>
        <v>0</v>
      </c>
      <c r="H3978" s="3">
        <f>IFERROR(__xludf.DUMMYFUNCTION("IFERROR(INDEX(FILTER('cost master'!$E:$E,('cost master'!$B:$B=C3978)*('cost master'!$D:$D=""Storage cost per pallet / week"")*('cost master'!$G:$G&lt;=B3978)*(('cost master'!$H:$H&gt;=B3978)+ISBLANK('cost master'!$H:$H))),1),0)"),0.0)</f>
        <v>0</v>
      </c>
      <c r="I3978" s="3">
        <f t="shared" si="4"/>
        <v>0</v>
      </c>
      <c r="J3978" s="27">
        <f t="shared" si="5"/>
        <v>693947</v>
      </c>
      <c r="K3978" s="27">
        <f t="shared" si="6"/>
        <v>693977</v>
      </c>
    </row>
    <row r="3979" hidden="1">
      <c r="A3979" s="3" t="str">
        <f t="shared" si="3"/>
        <v/>
      </c>
      <c r="B3979" s="2" t="str">
        <f t="array" ref="B3979">INDEX(helper!$A$3:$A3996,ROUNDUP((ROW()-1)/COUNTA(helper!$D$3:$D3996),0))</f>
        <v/>
      </c>
      <c r="C3979" s="5" t="str">
        <f t="array" ref="C3979">IF(B3979="","",INDEX(helper!$D$3:$D3996,MOD(ROW()-2,COUNTA(helper!$D$3:$D3996))+1))</f>
        <v/>
      </c>
      <c r="D3979" s="3" t="str">
        <f t="array" ref="D3979">IF(B3979="","",INDEX(helper!$E$3:$E3996,MOD(ROW()-2,COUNTA(helper!$D$3:$D3996))+1))</f>
        <v/>
      </c>
      <c r="E3979" s="3" t="str">
        <f t="array" ref="E3979">IF(B3979="","",INDEX(helper!$F$3:$F3996,MOD(ROW()-2,COUNTA(helper!$D$3:$D3996))+1))</f>
        <v/>
      </c>
      <c r="F3979" s="3" t="str">
        <f>IF(B3979="","",SUMIFS('inventory ledger'!$H:$H,'inventory ledger'!$C:$C,C3979,'inventory ledger'!$D:$D,D3979,'inventory ledger'!$E:$E,E3979,'inventory ledger'!$A:$A,"&lt;="&amp;B3979+TIME(23,59,59))-SUMIFS('inventory ledger'!$I:$I,'inventory ledger'!$C:$C,C3979,'inventory ledger'!$D:$D,D3979,'inventory ledger'!$E:$E,E3979,'inventory ledger'!$A:$A,"&lt;="&amp;B3979+TIME(23,59,59)))</f>
        <v/>
      </c>
      <c r="G3979" s="3">
        <f>IFERROR(__xludf.DUMMYFUNCTION("IF(F3979&lt;=0,0,IFERROR(ROUNDUP(F3979/INDEX(FILTER('warehouse config'!$D:$D,('warehouse config'!$B:$B=C3979)*('warehouse config'!$C:$C=D3979)*('warehouse config'!$G:$G&lt;=B3979)*(('warehouse config'!$H:$H&gt;=B3979)+ISBLANK('warehouse config'!$H:$H))),1)),0))"),0.0)</f>
        <v>0</v>
      </c>
      <c r="H3979" s="3">
        <f>IFERROR(__xludf.DUMMYFUNCTION("IFERROR(INDEX(FILTER('cost master'!$E:$E,('cost master'!$B:$B=C3979)*('cost master'!$D:$D=""Storage cost per pallet / week"")*('cost master'!$G:$G&lt;=B3979)*(('cost master'!$H:$H&gt;=B3979)+ISBLANK('cost master'!$H:$H))),1),0)"),0.0)</f>
        <v>0</v>
      </c>
      <c r="I3979" s="3">
        <f t="shared" si="4"/>
        <v>0</v>
      </c>
      <c r="J3979" s="27">
        <f t="shared" si="5"/>
        <v>693947</v>
      </c>
      <c r="K3979" s="27">
        <f t="shared" si="6"/>
        <v>693977</v>
      </c>
    </row>
    <row r="3980" hidden="1">
      <c r="A3980" s="3" t="str">
        <f t="shared" si="3"/>
        <v/>
      </c>
      <c r="B3980" s="2" t="str">
        <f t="array" ref="B3980">INDEX(helper!$A$3:$A3996,ROUNDUP((ROW()-1)/COUNTA(helper!$D$3:$D3996),0))</f>
        <v/>
      </c>
      <c r="C3980" s="5" t="str">
        <f t="array" ref="C3980">IF(B3980="","",INDEX(helper!$D$3:$D3996,MOD(ROW()-2,COUNTA(helper!$D$3:$D3996))+1))</f>
        <v/>
      </c>
      <c r="D3980" s="3" t="str">
        <f t="array" ref="D3980">IF(B3980="","",INDEX(helper!$E$3:$E3996,MOD(ROW()-2,COUNTA(helper!$D$3:$D3996))+1))</f>
        <v/>
      </c>
      <c r="E3980" s="3" t="str">
        <f t="array" ref="E3980">IF(B3980="","",INDEX(helper!$F$3:$F3996,MOD(ROW()-2,COUNTA(helper!$D$3:$D3996))+1))</f>
        <v/>
      </c>
      <c r="F3980" s="3" t="str">
        <f>IF(B3980="","",SUMIFS('inventory ledger'!$H:$H,'inventory ledger'!$C:$C,C3980,'inventory ledger'!$D:$D,D3980,'inventory ledger'!$E:$E,E3980,'inventory ledger'!$A:$A,"&lt;="&amp;B3980+TIME(23,59,59))-SUMIFS('inventory ledger'!$I:$I,'inventory ledger'!$C:$C,C3980,'inventory ledger'!$D:$D,D3980,'inventory ledger'!$E:$E,E3980,'inventory ledger'!$A:$A,"&lt;="&amp;B3980+TIME(23,59,59)))</f>
        <v/>
      </c>
      <c r="G3980" s="3">
        <f>IFERROR(__xludf.DUMMYFUNCTION("IF(F3980&lt;=0,0,IFERROR(ROUNDUP(F3980/INDEX(FILTER('warehouse config'!$D:$D,('warehouse config'!$B:$B=C3980)*('warehouse config'!$C:$C=D3980)*('warehouse config'!$G:$G&lt;=B3980)*(('warehouse config'!$H:$H&gt;=B3980)+ISBLANK('warehouse config'!$H:$H))),1)),0))"),0.0)</f>
        <v>0</v>
      </c>
      <c r="H3980" s="3">
        <f>IFERROR(__xludf.DUMMYFUNCTION("IFERROR(INDEX(FILTER('cost master'!$E:$E,('cost master'!$B:$B=C3980)*('cost master'!$D:$D=""Storage cost per pallet / week"")*('cost master'!$G:$G&lt;=B3980)*(('cost master'!$H:$H&gt;=B3980)+ISBLANK('cost master'!$H:$H))),1),0)"),0.0)</f>
        <v>0</v>
      </c>
      <c r="I3980" s="3">
        <f t="shared" si="4"/>
        <v>0</v>
      </c>
      <c r="J3980" s="27">
        <f t="shared" si="5"/>
        <v>693947</v>
      </c>
      <c r="K3980" s="27">
        <f t="shared" si="6"/>
        <v>693977</v>
      </c>
    </row>
    <row r="3981" hidden="1">
      <c r="A3981" s="3" t="str">
        <f t="shared" si="3"/>
        <v/>
      </c>
      <c r="B3981" s="2" t="str">
        <f t="array" ref="B3981">INDEX(helper!$A$3:$A3996,ROUNDUP((ROW()-1)/COUNTA(helper!$D$3:$D3996),0))</f>
        <v/>
      </c>
      <c r="C3981" s="5" t="str">
        <f t="array" ref="C3981">IF(B3981="","",INDEX(helper!$D$3:$D3996,MOD(ROW()-2,COUNTA(helper!$D$3:$D3996))+1))</f>
        <v/>
      </c>
      <c r="D3981" s="3" t="str">
        <f t="array" ref="D3981">IF(B3981="","",INDEX(helper!$E$3:$E3996,MOD(ROW()-2,COUNTA(helper!$D$3:$D3996))+1))</f>
        <v/>
      </c>
      <c r="E3981" s="3" t="str">
        <f t="array" ref="E3981">IF(B3981="","",INDEX(helper!$F$3:$F3996,MOD(ROW()-2,COUNTA(helper!$D$3:$D3996))+1))</f>
        <v/>
      </c>
      <c r="F3981" s="3" t="str">
        <f>IF(B3981="","",SUMIFS('inventory ledger'!$H:$H,'inventory ledger'!$C:$C,C3981,'inventory ledger'!$D:$D,D3981,'inventory ledger'!$E:$E,E3981,'inventory ledger'!$A:$A,"&lt;="&amp;B3981+TIME(23,59,59))-SUMIFS('inventory ledger'!$I:$I,'inventory ledger'!$C:$C,C3981,'inventory ledger'!$D:$D,D3981,'inventory ledger'!$E:$E,E3981,'inventory ledger'!$A:$A,"&lt;="&amp;B3981+TIME(23,59,59)))</f>
        <v/>
      </c>
      <c r="G3981" s="3">
        <f>IFERROR(__xludf.DUMMYFUNCTION("IF(F3981&lt;=0,0,IFERROR(ROUNDUP(F3981/INDEX(FILTER('warehouse config'!$D:$D,('warehouse config'!$B:$B=C3981)*('warehouse config'!$C:$C=D3981)*('warehouse config'!$G:$G&lt;=B3981)*(('warehouse config'!$H:$H&gt;=B3981)+ISBLANK('warehouse config'!$H:$H))),1)),0))"),0.0)</f>
        <v>0</v>
      </c>
      <c r="H3981" s="3">
        <f>IFERROR(__xludf.DUMMYFUNCTION("IFERROR(INDEX(FILTER('cost master'!$E:$E,('cost master'!$B:$B=C3981)*('cost master'!$D:$D=""Storage cost per pallet / week"")*('cost master'!$G:$G&lt;=B3981)*(('cost master'!$H:$H&gt;=B3981)+ISBLANK('cost master'!$H:$H))),1),0)"),0.0)</f>
        <v>0</v>
      </c>
      <c r="I3981" s="3">
        <f t="shared" si="4"/>
        <v>0</v>
      </c>
      <c r="J3981" s="27">
        <f t="shared" si="5"/>
        <v>693947</v>
      </c>
      <c r="K3981" s="27">
        <f t="shared" si="6"/>
        <v>693977</v>
      </c>
    </row>
    <row r="3982" hidden="1">
      <c r="A3982" s="3" t="str">
        <f t="shared" si="3"/>
        <v/>
      </c>
      <c r="B3982" s="2" t="str">
        <f t="array" ref="B3982">INDEX(helper!$A$3:$A3996,ROUNDUP((ROW()-1)/COUNTA(helper!$D$3:$D3996),0))</f>
        <v/>
      </c>
      <c r="C3982" s="5" t="str">
        <f t="array" ref="C3982">IF(B3982="","",INDEX(helper!$D$3:$D3996,MOD(ROW()-2,COUNTA(helper!$D$3:$D3996))+1))</f>
        <v/>
      </c>
      <c r="D3982" s="3" t="str">
        <f t="array" ref="D3982">IF(B3982="","",INDEX(helper!$E$3:$E3996,MOD(ROW()-2,COUNTA(helper!$D$3:$D3996))+1))</f>
        <v/>
      </c>
      <c r="E3982" s="3" t="str">
        <f t="array" ref="E3982">IF(B3982="","",INDEX(helper!$F$3:$F3996,MOD(ROW()-2,COUNTA(helper!$D$3:$D3996))+1))</f>
        <v/>
      </c>
      <c r="F3982" s="3" t="str">
        <f>IF(B3982="","",SUMIFS('inventory ledger'!$H:$H,'inventory ledger'!$C:$C,C3982,'inventory ledger'!$D:$D,D3982,'inventory ledger'!$E:$E,E3982,'inventory ledger'!$A:$A,"&lt;="&amp;B3982+TIME(23,59,59))-SUMIFS('inventory ledger'!$I:$I,'inventory ledger'!$C:$C,C3982,'inventory ledger'!$D:$D,D3982,'inventory ledger'!$E:$E,E3982,'inventory ledger'!$A:$A,"&lt;="&amp;B3982+TIME(23,59,59)))</f>
        <v/>
      </c>
      <c r="G3982" s="3">
        <f>IFERROR(__xludf.DUMMYFUNCTION("IF(F3982&lt;=0,0,IFERROR(ROUNDUP(F3982/INDEX(FILTER('warehouse config'!$D:$D,('warehouse config'!$B:$B=C3982)*('warehouse config'!$C:$C=D3982)*('warehouse config'!$G:$G&lt;=B3982)*(('warehouse config'!$H:$H&gt;=B3982)+ISBLANK('warehouse config'!$H:$H))),1)),0))"),0.0)</f>
        <v>0</v>
      </c>
      <c r="H3982" s="3">
        <f>IFERROR(__xludf.DUMMYFUNCTION("IFERROR(INDEX(FILTER('cost master'!$E:$E,('cost master'!$B:$B=C3982)*('cost master'!$D:$D=""Storage cost per pallet / week"")*('cost master'!$G:$G&lt;=B3982)*(('cost master'!$H:$H&gt;=B3982)+ISBLANK('cost master'!$H:$H))),1),0)"),0.0)</f>
        <v>0</v>
      </c>
      <c r="I3982" s="3">
        <f t="shared" si="4"/>
        <v>0</v>
      </c>
      <c r="J3982" s="27">
        <f t="shared" si="5"/>
        <v>693947</v>
      </c>
      <c r="K3982" s="27">
        <f t="shared" si="6"/>
        <v>693977</v>
      </c>
    </row>
    <row r="3983" hidden="1">
      <c r="A3983" s="3" t="str">
        <f t="shared" si="3"/>
        <v/>
      </c>
      <c r="B3983" s="2" t="str">
        <f t="array" ref="B3983">INDEX(helper!$A$3:$A3996,ROUNDUP((ROW()-1)/COUNTA(helper!$D$3:$D3996),0))</f>
        <v/>
      </c>
      <c r="C3983" s="5" t="str">
        <f t="array" ref="C3983">IF(B3983="","",INDEX(helper!$D$3:$D3996,MOD(ROW()-2,COUNTA(helper!$D$3:$D3996))+1))</f>
        <v/>
      </c>
      <c r="D3983" s="3" t="str">
        <f t="array" ref="D3983">IF(B3983="","",INDEX(helper!$E$3:$E3996,MOD(ROW()-2,COUNTA(helper!$D$3:$D3996))+1))</f>
        <v/>
      </c>
      <c r="E3983" s="3" t="str">
        <f t="array" ref="E3983">IF(B3983="","",INDEX(helper!$F$3:$F3996,MOD(ROW()-2,COUNTA(helper!$D$3:$D3996))+1))</f>
        <v/>
      </c>
      <c r="F3983" s="3" t="str">
        <f>IF(B3983="","",SUMIFS('inventory ledger'!$H:$H,'inventory ledger'!$C:$C,C3983,'inventory ledger'!$D:$D,D3983,'inventory ledger'!$E:$E,E3983,'inventory ledger'!$A:$A,"&lt;="&amp;B3983+TIME(23,59,59))-SUMIFS('inventory ledger'!$I:$I,'inventory ledger'!$C:$C,C3983,'inventory ledger'!$D:$D,D3983,'inventory ledger'!$E:$E,E3983,'inventory ledger'!$A:$A,"&lt;="&amp;B3983+TIME(23,59,59)))</f>
        <v/>
      </c>
      <c r="G3983" s="3">
        <f>IFERROR(__xludf.DUMMYFUNCTION("IF(F3983&lt;=0,0,IFERROR(ROUNDUP(F3983/INDEX(FILTER('warehouse config'!$D:$D,('warehouse config'!$B:$B=C3983)*('warehouse config'!$C:$C=D3983)*('warehouse config'!$G:$G&lt;=B3983)*(('warehouse config'!$H:$H&gt;=B3983)+ISBLANK('warehouse config'!$H:$H))),1)),0))"),0.0)</f>
        <v>0</v>
      </c>
      <c r="H3983" s="3">
        <f>IFERROR(__xludf.DUMMYFUNCTION("IFERROR(INDEX(FILTER('cost master'!$E:$E,('cost master'!$B:$B=C3983)*('cost master'!$D:$D=""Storage cost per pallet / week"")*('cost master'!$G:$G&lt;=B3983)*(('cost master'!$H:$H&gt;=B3983)+ISBLANK('cost master'!$H:$H))),1),0)"),0.0)</f>
        <v>0</v>
      </c>
      <c r="I3983" s="3">
        <f t="shared" si="4"/>
        <v>0</v>
      </c>
      <c r="J3983" s="27">
        <f t="shared" si="5"/>
        <v>693947</v>
      </c>
      <c r="K3983" s="27">
        <f t="shared" si="6"/>
        <v>693977</v>
      </c>
    </row>
    <row r="3984" hidden="1">
      <c r="A3984" s="3" t="str">
        <f t="shared" si="3"/>
        <v/>
      </c>
      <c r="B3984" s="2" t="str">
        <f t="array" ref="B3984">INDEX(helper!$A$3:$A3996,ROUNDUP((ROW()-1)/COUNTA(helper!$D$3:$D3996),0))</f>
        <v/>
      </c>
      <c r="C3984" s="5" t="str">
        <f t="array" ref="C3984">IF(B3984="","",INDEX(helper!$D$3:$D3996,MOD(ROW()-2,COUNTA(helper!$D$3:$D3996))+1))</f>
        <v/>
      </c>
      <c r="D3984" s="3" t="str">
        <f t="array" ref="D3984">IF(B3984="","",INDEX(helper!$E$3:$E3996,MOD(ROW()-2,COUNTA(helper!$D$3:$D3996))+1))</f>
        <v/>
      </c>
      <c r="E3984" s="3" t="str">
        <f t="array" ref="E3984">IF(B3984="","",INDEX(helper!$F$3:$F3996,MOD(ROW()-2,COUNTA(helper!$D$3:$D3996))+1))</f>
        <v/>
      </c>
      <c r="F3984" s="3" t="str">
        <f>IF(B3984="","",SUMIFS('inventory ledger'!$H:$H,'inventory ledger'!$C:$C,C3984,'inventory ledger'!$D:$D,D3984,'inventory ledger'!$E:$E,E3984,'inventory ledger'!$A:$A,"&lt;="&amp;B3984+TIME(23,59,59))-SUMIFS('inventory ledger'!$I:$I,'inventory ledger'!$C:$C,C3984,'inventory ledger'!$D:$D,D3984,'inventory ledger'!$E:$E,E3984,'inventory ledger'!$A:$A,"&lt;="&amp;B3984+TIME(23,59,59)))</f>
        <v/>
      </c>
      <c r="G3984" s="3">
        <f>IFERROR(__xludf.DUMMYFUNCTION("IF(F3984&lt;=0,0,IFERROR(ROUNDUP(F3984/INDEX(FILTER('warehouse config'!$D:$D,('warehouse config'!$B:$B=C3984)*('warehouse config'!$C:$C=D3984)*('warehouse config'!$G:$G&lt;=B3984)*(('warehouse config'!$H:$H&gt;=B3984)+ISBLANK('warehouse config'!$H:$H))),1)),0))"),0.0)</f>
        <v>0</v>
      </c>
      <c r="H3984" s="3">
        <f>IFERROR(__xludf.DUMMYFUNCTION("IFERROR(INDEX(FILTER('cost master'!$E:$E,('cost master'!$B:$B=C3984)*('cost master'!$D:$D=""Storage cost per pallet / week"")*('cost master'!$G:$G&lt;=B3984)*(('cost master'!$H:$H&gt;=B3984)+ISBLANK('cost master'!$H:$H))),1),0)"),0.0)</f>
        <v>0</v>
      </c>
      <c r="I3984" s="3">
        <f t="shared" si="4"/>
        <v>0</v>
      </c>
      <c r="J3984" s="27">
        <f t="shared" si="5"/>
        <v>693947</v>
      </c>
      <c r="K3984" s="27">
        <f t="shared" si="6"/>
        <v>693977</v>
      </c>
    </row>
    <row r="3985" hidden="1">
      <c r="A3985" s="3" t="str">
        <f t="shared" si="3"/>
        <v/>
      </c>
      <c r="B3985" s="2" t="str">
        <f t="array" ref="B3985">INDEX(helper!$A$3:$A3996,ROUNDUP((ROW()-1)/COUNTA(helper!$D$3:$D3996),0))</f>
        <v/>
      </c>
      <c r="C3985" s="5" t="str">
        <f t="array" ref="C3985">IF(B3985="","",INDEX(helper!$D$3:$D3996,MOD(ROW()-2,COUNTA(helper!$D$3:$D3996))+1))</f>
        <v/>
      </c>
      <c r="D3985" s="3" t="str">
        <f t="array" ref="D3985">IF(B3985="","",INDEX(helper!$E$3:$E3996,MOD(ROW()-2,COUNTA(helper!$D$3:$D3996))+1))</f>
        <v/>
      </c>
      <c r="E3985" s="3" t="str">
        <f t="array" ref="E3985">IF(B3985="","",INDEX(helper!$F$3:$F3996,MOD(ROW()-2,COUNTA(helper!$D$3:$D3996))+1))</f>
        <v/>
      </c>
      <c r="F3985" s="3" t="str">
        <f>IF(B3985="","",SUMIFS('inventory ledger'!$H:$H,'inventory ledger'!$C:$C,C3985,'inventory ledger'!$D:$D,D3985,'inventory ledger'!$E:$E,E3985,'inventory ledger'!$A:$A,"&lt;="&amp;B3985+TIME(23,59,59))-SUMIFS('inventory ledger'!$I:$I,'inventory ledger'!$C:$C,C3985,'inventory ledger'!$D:$D,D3985,'inventory ledger'!$E:$E,E3985,'inventory ledger'!$A:$A,"&lt;="&amp;B3985+TIME(23,59,59)))</f>
        <v/>
      </c>
      <c r="G3985" s="3">
        <f>IFERROR(__xludf.DUMMYFUNCTION("IF(F3985&lt;=0,0,IFERROR(ROUNDUP(F3985/INDEX(FILTER('warehouse config'!$D:$D,('warehouse config'!$B:$B=C3985)*('warehouse config'!$C:$C=D3985)*('warehouse config'!$G:$G&lt;=B3985)*(('warehouse config'!$H:$H&gt;=B3985)+ISBLANK('warehouse config'!$H:$H))),1)),0))"),0.0)</f>
        <v>0</v>
      </c>
      <c r="H3985" s="3">
        <f>IFERROR(__xludf.DUMMYFUNCTION("IFERROR(INDEX(FILTER('cost master'!$E:$E,('cost master'!$B:$B=C3985)*('cost master'!$D:$D=""Storage cost per pallet / week"")*('cost master'!$G:$G&lt;=B3985)*(('cost master'!$H:$H&gt;=B3985)+ISBLANK('cost master'!$H:$H))),1),0)"),0.0)</f>
        <v>0</v>
      </c>
      <c r="I3985" s="3">
        <f t="shared" si="4"/>
        <v>0</v>
      </c>
      <c r="J3985" s="27">
        <f t="shared" si="5"/>
        <v>693947</v>
      </c>
      <c r="K3985" s="27">
        <f t="shared" si="6"/>
        <v>693977</v>
      </c>
    </row>
    <row r="3986" hidden="1">
      <c r="A3986" s="3" t="str">
        <f t="shared" si="3"/>
        <v/>
      </c>
      <c r="B3986" s="2" t="str">
        <f t="array" ref="B3986">INDEX(helper!$A$3:$A3996,ROUNDUP((ROW()-1)/COUNTA(helper!$D$3:$D3996),0))</f>
        <v/>
      </c>
      <c r="C3986" s="5" t="str">
        <f t="array" ref="C3986">IF(B3986="","",INDEX(helper!$D$3:$D3996,MOD(ROW()-2,COUNTA(helper!$D$3:$D3996))+1))</f>
        <v/>
      </c>
      <c r="D3986" s="3" t="str">
        <f t="array" ref="D3986">IF(B3986="","",INDEX(helper!$E$3:$E3996,MOD(ROW()-2,COUNTA(helper!$D$3:$D3996))+1))</f>
        <v/>
      </c>
      <c r="E3986" s="3" t="str">
        <f t="array" ref="E3986">IF(B3986="","",INDEX(helper!$F$3:$F3996,MOD(ROW()-2,COUNTA(helper!$D$3:$D3996))+1))</f>
        <v/>
      </c>
      <c r="F3986" s="3" t="str">
        <f>IF(B3986="","",SUMIFS('inventory ledger'!$H:$H,'inventory ledger'!$C:$C,C3986,'inventory ledger'!$D:$D,D3986,'inventory ledger'!$E:$E,E3986,'inventory ledger'!$A:$A,"&lt;="&amp;B3986+TIME(23,59,59))-SUMIFS('inventory ledger'!$I:$I,'inventory ledger'!$C:$C,C3986,'inventory ledger'!$D:$D,D3986,'inventory ledger'!$E:$E,E3986,'inventory ledger'!$A:$A,"&lt;="&amp;B3986+TIME(23,59,59)))</f>
        <v/>
      </c>
      <c r="G3986" s="3">
        <f>IFERROR(__xludf.DUMMYFUNCTION("IF(F3986&lt;=0,0,IFERROR(ROUNDUP(F3986/INDEX(FILTER('warehouse config'!$D:$D,('warehouse config'!$B:$B=C3986)*('warehouse config'!$C:$C=D3986)*('warehouse config'!$G:$G&lt;=B3986)*(('warehouse config'!$H:$H&gt;=B3986)+ISBLANK('warehouse config'!$H:$H))),1)),0))"),0.0)</f>
        <v>0</v>
      </c>
      <c r="H3986" s="3">
        <f>IFERROR(__xludf.DUMMYFUNCTION("IFERROR(INDEX(FILTER('cost master'!$E:$E,('cost master'!$B:$B=C3986)*('cost master'!$D:$D=""Storage cost per pallet / week"")*('cost master'!$G:$G&lt;=B3986)*(('cost master'!$H:$H&gt;=B3986)+ISBLANK('cost master'!$H:$H))),1),0)"),0.0)</f>
        <v>0</v>
      </c>
      <c r="I3986" s="3">
        <f t="shared" si="4"/>
        <v>0</v>
      </c>
      <c r="J3986" s="27">
        <f t="shared" si="5"/>
        <v>693947</v>
      </c>
      <c r="K3986" s="27">
        <f t="shared" si="6"/>
        <v>693977</v>
      </c>
    </row>
    <row r="3987" hidden="1">
      <c r="A3987" s="3" t="str">
        <f t="shared" si="3"/>
        <v/>
      </c>
      <c r="B3987" s="2" t="str">
        <f t="array" ref="B3987">INDEX(helper!$A$3:$A3996,ROUNDUP((ROW()-1)/COUNTA(helper!$D$3:$D3996),0))</f>
        <v/>
      </c>
      <c r="C3987" s="5" t="str">
        <f t="array" ref="C3987">IF(B3987="","",INDEX(helper!$D$3:$D3996,MOD(ROW()-2,COUNTA(helper!$D$3:$D3996))+1))</f>
        <v/>
      </c>
      <c r="D3987" s="3" t="str">
        <f t="array" ref="D3987">IF(B3987="","",INDEX(helper!$E$3:$E3996,MOD(ROW()-2,COUNTA(helper!$D$3:$D3996))+1))</f>
        <v/>
      </c>
      <c r="E3987" s="3" t="str">
        <f t="array" ref="E3987">IF(B3987="","",INDEX(helper!$F$3:$F3996,MOD(ROW()-2,COUNTA(helper!$D$3:$D3996))+1))</f>
        <v/>
      </c>
      <c r="F3987" s="3" t="str">
        <f>IF(B3987="","",SUMIFS('inventory ledger'!$H:$H,'inventory ledger'!$C:$C,C3987,'inventory ledger'!$D:$D,D3987,'inventory ledger'!$E:$E,E3987,'inventory ledger'!$A:$A,"&lt;="&amp;B3987+TIME(23,59,59))-SUMIFS('inventory ledger'!$I:$I,'inventory ledger'!$C:$C,C3987,'inventory ledger'!$D:$D,D3987,'inventory ledger'!$E:$E,E3987,'inventory ledger'!$A:$A,"&lt;="&amp;B3987+TIME(23,59,59)))</f>
        <v/>
      </c>
      <c r="G3987" s="3">
        <f>IFERROR(__xludf.DUMMYFUNCTION("IF(F3987&lt;=0,0,IFERROR(ROUNDUP(F3987/INDEX(FILTER('warehouse config'!$D:$D,('warehouse config'!$B:$B=C3987)*('warehouse config'!$C:$C=D3987)*('warehouse config'!$G:$G&lt;=B3987)*(('warehouse config'!$H:$H&gt;=B3987)+ISBLANK('warehouse config'!$H:$H))),1)),0))"),0.0)</f>
        <v>0</v>
      </c>
      <c r="H3987" s="3">
        <f>IFERROR(__xludf.DUMMYFUNCTION("IFERROR(INDEX(FILTER('cost master'!$E:$E,('cost master'!$B:$B=C3987)*('cost master'!$D:$D=""Storage cost per pallet / week"")*('cost master'!$G:$G&lt;=B3987)*(('cost master'!$H:$H&gt;=B3987)+ISBLANK('cost master'!$H:$H))),1),0)"),0.0)</f>
        <v>0</v>
      </c>
      <c r="I3987" s="3">
        <f t="shared" si="4"/>
        <v>0</v>
      </c>
      <c r="J3987" s="27">
        <f t="shared" si="5"/>
        <v>693947</v>
      </c>
      <c r="K3987" s="27">
        <f t="shared" si="6"/>
        <v>693977</v>
      </c>
    </row>
    <row r="3988" hidden="1">
      <c r="A3988" s="3" t="str">
        <f t="shared" si="3"/>
        <v/>
      </c>
      <c r="B3988" s="2" t="str">
        <f t="array" ref="B3988">INDEX(helper!$A$3:$A3996,ROUNDUP((ROW()-1)/COUNTA(helper!$D$3:$D3996),0))</f>
        <v/>
      </c>
      <c r="C3988" s="5" t="str">
        <f t="array" ref="C3988">IF(B3988="","",INDEX(helper!$D$3:$D3996,MOD(ROW()-2,COUNTA(helper!$D$3:$D3996))+1))</f>
        <v/>
      </c>
      <c r="D3988" s="3" t="str">
        <f t="array" ref="D3988">IF(B3988="","",INDEX(helper!$E$3:$E3996,MOD(ROW()-2,COUNTA(helper!$D$3:$D3996))+1))</f>
        <v/>
      </c>
      <c r="E3988" s="3" t="str">
        <f t="array" ref="E3988">IF(B3988="","",INDEX(helper!$F$3:$F3996,MOD(ROW()-2,COUNTA(helper!$D$3:$D3996))+1))</f>
        <v/>
      </c>
      <c r="F3988" s="3" t="str">
        <f>IF(B3988="","",SUMIFS('inventory ledger'!$H:$H,'inventory ledger'!$C:$C,C3988,'inventory ledger'!$D:$D,D3988,'inventory ledger'!$E:$E,E3988,'inventory ledger'!$A:$A,"&lt;="&amp;B3988+TIME(23,59,59))-SUMIFS('inventory ledger'!$I:$I,'inventory ledger'!$C:$C,C3988,'inventory ledger'!$D:$D,D3988,'inventory ledger'!$E:$E,E3988,'inventory ledger'!$A:$A,"&lt;="&amp;B3988+TIME(23,59,59)))</f>
        <v/>
      </c>
      <c r="G3988" s="3">
        <f>IFERROR(__xludf.DUMMYFUNCTION("IF(F3988&lt;=0,0,IFERROR(ROUNDUP(F3988/INDEX(FILTER('warehouse config'!$D:$D,('warehouse config'!$B:$B=C3988)*('warehouse config'!$C:$C=D3988)*('warehouse config'!$G:$G&lt;=B3988)*(('warehouse config'!$H:$H&gt;=B3988)+ISBLANK('warehouse config'!$H:$H))),1)),0))"),0.0)</f>
        <v>0</v>
      </c>
      <c r="H3988" s="3">
        <f>IFERROR(__xludf.DUMMYFUNCTION("IFERROR(INDEX(FILTER('cost master'!$E:$E,('cost master'!$B:$B=C3988)*('cost master'!$D:$D=""Storage cost per pallet / week"")*('cost master'!$G:$G&lt;=B3988)*(('cost master'!$H:$H&gt;=B3988)+ISBLANK('cost master'!$H:$H))),1),0)"),0.0)</f>
        <v>0</v>
      </c>
      <c r="I3988" s="3">
        <f t="shared" si="4"/>
        <v>0</v>
      </c>
      <c r="J3988" s="27">
        <f t="shared" si="5"/>
        <v>693947</v>
      </c>
      <c r="K3988" s="27">
        <f t="shared" si="6"/>
        <v>693977</v>
      </c>
    </row>
    <row r="3989" hidden="1">
      <c r="A3989" s="3" t="str">
        <f t="shared" si="3"/>
        <v/>
      </c>
      <c r="B3989" s="2" t="str">
        <f t="array" ref="B3989">INDEX(helper!$A$3:$A3996,ROUNDUP((ROW()-1)/COUNTA(helper!$D$3:$D3996),0))</f>
        <v/>
      </c>
      <c r="C3989" s="5" t="str">
        <f t="array" ref="C3989">IF(B3989="","",INDEX(helper!$D$3:$D3996,MOD(ROW()-2,COUNTA(helper!$D$3:$D3996))+1))</f>
        <v/>
      </c>
      <c r="D3989" s="3" t="str">
        <f t="array" ref="D3989">IF(B3989="","",INDEX(helper!$E$3:$E3996,MOD(ROW()-2,COUNTA(helper!$D$3:$D3996))+1))</f>
        <v/>
      </c>
      <c r="E3989" s="3" t="str">
        <f t="array" ref="E3989">IF(B3989="","",INDEX(helper!$F$3:$F3996,MOD(ROW()-2,COUNTA(helper!$D$3:$D3996))+1))</f>
        <v/>
      </c>
      <c r="F3989" s="3" t="str">
        <f>IF(B3989="","",SUMIFS('inventory ledger'!$H:$H,'inventory ledger'!$C:$C,C3989,'inventory ledger'!$D:$D,D3989,'inventory ledger'!$E:$E,E3989,'inventory ledger'!$A:$A,"&lt;="&amp;B3989+TIME(23,59,59))-SUMIFS('inventory ledger'!$I:$I,'inventory ledger'!$C:$C,C3989,'inventory ledger'!$D:$D,D3989,'inventory ledger'!$E:$E,E3989,'inventory ledger'!$A:$A,"&lt;="&amp;B3989+TIME(23,59,59)))</f>
        <v/>
      </c>
      <c r="G3989" s="3">
        <f>IFERROR(__xludf.DUMMYFUNCTION("IF(F3989&lt;=0,0,IFERROR(ROUNDUP(F3989/INDEX(FILTER('warehouse config'!$D:$D,('warehouse config'!$B:$B=C3989)*('warehouse config'!$C:$C=D3989)*('warehouse config'!$G:$G&lt;=B3989)*(('warehouse config'!$H:$H&gt;=B3989)+ISBLANK('warehouse config'!$H:$H))),1)),0))"),0.0)</f>
        <v>0</v>
      </c>
      <c r="H3989" s="3">
        <f>IFERROR(__xludf.DUMMYFUNCTION("IFERROR(INDEX(FILTER('cost master'!$E:$E,('cost master'!$B:$B=C3989)*('cost master'!$D:$D=""Storage cost per pallet / week"")*('cost master'!$G:$G&lt;=B3989)*(('cost master'!$H:$H&gt;=B3989)+ISBLANK('cost master'!$H:$H))),1),0)"),0.0)</f>
        <v>0</v>
      </c>
      <c r="I3989" s="3">
        <f t="shared" si="4"/>
        <v>0</v>
      </c>
      <c r="J3989" s="27">
        <f t="shared" si="5"/>
        <v>693947</v>
      </c>
      <c r="K3989" s="27">
        <f t="shared" si="6"/>
        <v>693977</v>
      </c>
    </row>
    <row r="3990" hidden="1">
      <c r="A3990" s="3" t="str">
        <f t="shared" si="3"/>
        <v/>
      </c>
      <c r="B3990" s="2" t="str">
        <f t="array" ref="B3990">INDEX(helper!$A$3:$A3996,ROUNDUP((ROW()-1)/COUNTA(helper!$D$3:$D3996),0))</f>
        <v/>
      </c>
      <c r="C3990" s="5" t="str">
        <f t="array" ref="C3990">IF(B3990="","",INDEX(helper!$D$3:$D3996,MOD(ROW()-2,COUNTA(helper!$D$3:$D3996))+1))</f>
        <v/>
      </c>
      <c r="D3990" s="3" t="str">
        <f t="array" ref="D3990">IF(B3990="","",INDEX(helper!$E$3:$E3996,MOD(ROW()-2,COUNTA(helper!$D$3:$D3996))+1))</f>
        <v/>
      </c>
      <c r="E3990" s="3" t="str">
        <f t="array" ref="E3990">IF(B3990="","",INDEX(helper!$F$3:$F3996,MOD(ROW()-2,COUNTA(helper!$D$3:$D3996))+1))</f>
        <v/>
      </c>
      <c r="F3990" s="3" t="str">
        <f>IF(B3990="","",SUMIFS('inventory ledger'!$H:$H,'inventory ledger'!$C:$C,C3990,'inventory ledger'!$D:$D,D3990,'inventory ledger'!$E:$E,E3990,'inventory ledger'!$A:$A,"&lt;="&amp;B3990+TIME(23,59,59))-SUMIFS('inventory ledger'!$I:$I,'inventory ledger'!$C:$C,C3990,'inventory ledger'!$D:$D,D3990,'inventory ledger'!$E:$E,E3990,'inventory ledger'!$A:$A,"&lt;="&amp;B3990+TIME(23,59,59)))</f>
        <v/>
      </c>
      <c r="G3990" s="3">
        <f>IFERROR(__xludf.DUMMYFUNCTION("IF(F3990&lt;=0,0,IFERROR(ROUNDUP(F3990/INDEX(FILTER('warehouse config'!$D:$D,('warehouse config'!$B:$B=C3990)*('warehouse config'!$C:$C=D3990)*('warehouse config'!$G:$G&lt;=B3990)*(('warehouse config'!$H:$H&gt;=B3990)+ISBLANK('warehouse config'!$H:$H))),1)),0))"),0.0)</f>
        <v>0</v>
      </c>
      <c r="H3990" s="3">
        <f>IFERROR(__xludf.DUMMYFUNCTION("IFERROR(INDEX(FILTER('cost master'!$E:$E,('cost master'!$B:$B=C3990)*('cost master'!$D:$D=""Storage cost per pallet / week"")*('cost master'!$G:$G&lt;=B3990)*(('cost master'!$H:$H&gt;=B3990)+ISBLANK('cost master'!$H:$H))),1),0)"),0.0)</f>
        <v>0</v>
      </c>
      <c r="I3990" s="3">
        <f t="shared" si="4"/>
        <v>0</v>
      </c>
      <c r="J3990" s="27">
        <f t="shared" si="5"/>
        <v>693947</v>
      </c>
      <c r="K3990" s="27">
        <f t="shared" si="6"/>
        <v>693977</v>
      </c>
    </row>
    <row r="3991" hidden="1">
      <c r="A3991" s="3" t="str">
        <f t="shared" si="3"/>
        <v/>
      </c>
      <c r="B3991" s="2" t="str">
        <f t="array" ref="B3991">INDEX(helper!$A$3:$A3996,ROUNDUP((ROW()-1)/COUNTA(helper!$D$3:$D3996),0))</f>
        <v/>
      </c>
      <c r="C3991" s="5" t="str">
        <f t="array" ref="C3991">IF(B3991="","",INDEX(helper!$D$3:$D3996,MOD(ROW()-2,COUNTA(helper!$D$3:$D3996))+1))</f>
        <v/>
      </c>
      <c r="D3991" s="3" t="str">
        <f t="array" ref="D3991">IF(B3991="","",INDEX(helper!$E$3:$E3996,MOD(ROW()-2,COUNTA(helper!$D$3:$D3996))+1))</f>
        <v/>
      </c>
      <c r="E3991" s="3" t="str">
        <f t="array" ref="E3991">IF(B3991="","",INDEX(helper!$F$3:$F3996,MOD(ROW()-2,COUNTA(helper!$D$3:$D3996))+1))</f>
        <v/>
      </c>
      <c r="F3991" s="3" t="str">
        <f>IF(B3991="","",SUMIFS('inventory ledger'!$H:$H,'inventory ledger'!$C:$C,C3991,'inventory ledger'!$D:$D,D3991,'inventory ledger'!$E:$E,E3991,'inventory ledger'!$A:$A,"&lt;="&amp;B3991+TIME(23,59,59))-SUMIFS('inventory ledger'!$I:$I,'inventory ledger'!$C:$C,C3991,'inventory ledger'!$D:$D,D3991,'inventory ledger'!$E:$E,E3991,'inventory ledger'!$A:$A,"&lt;="&amp;B3991+TIME(23,59,59)))</f>
        <v/>
      </c>
      <c r="G3991" s="3">
        <f>IFERROR(__xludf.DUMMYFUNCTION("IF(F3991&lt;=0,0,IFERROR(ROUNDUP(F3991/INDEX(FILTER('warehouse config'!$D:$D,('warehouse config'!$B:$B=C3991)*('warehouse config'!$C:$C=D3991)*('warehouse config'!$G:$G&lt;=B3991)*(('warehouse config'!$H:$H&gt;=B3991)+ISBLANK('warehouse config'!$H:$H))),1)),0))"),0.0)</f>
        <v>0</v>
      </c>
      <c r="H3991" s="3">
        <f>IFERROR(__xludf.DUMMYFUNCTION("IFERROR(INDEX(FILTER('cost master'!$E:$E,('cost master'!$B:$B=C3991)*('cost master'!$D:$D=""Storage cost per pallet / week"")*('cost master'!$G:$G&lt;=B3991)*(('cost master'!$H:$H&gt;=B3991)+ISBLANK('cost master'!$H:$H))),1),0)"),0.0)</f>
        <v>0</v>
      </c>
      <c r="I3991" s="3">
        <f t="shared" si="4"/>
        <v>0</v>
      </c>
      <c r="J3991" s="27">
        <f t="shared" si="5"/>
        <v>693947</v>
      </c>
      <c r="K3991" s="27">
        <f t="shared" si="6"/>
        <v>693977</v>
      </c>
    </row>
    <row r="3992" hidden="1">
      <c r="A3992" s="3" t="str">
        <f t="shared" si="3"/>
        <v/>
      </c>
      <c r="B3992" s="2" t="str">
        <f t="array" ref="B3992">INDEX(helper!$A$3:$A3996,ROUNDUP((ROW()-1)/COUNTA(helper!$D$3:$D3996),0))</f>
        <v/>
      </c>
      <c r="C3992" s="5" t="str">
        <f t="array" ref="C3992">IF(B3992="","",INDEX(helper!$D$3:$D3996,MOD(ROW()-2,COUNTA(helper!$D$3:$D3996))+1))</f>
        <v/>
      </c>
      <c r="D3992" s="3" t="str">
        <f t="array" ref="D3992">IF(B3992="","",INDEX(helper!$E$3:$E3996,MOD(ROW()-2,COUNTA(helper!$D$3:$D3996))+1))</f>
        <v/>
      </c>
      <c r="E3992" s="3" t="str">
        <f t="array" ref="E3992">IF(B3992="","",INDEX(helper!$F$3:$F3996,MOD(ROW()-2,COUNTA(helper!$D$3:$D3996))+1))</f>
        <v/>
      </c>
      <c r="F3992" s="3" t="str">
        <f>IF(B3992="","",SUMIFS('inventory ledger'!$H:$H,'inventory ledger'!$C:$C,C3992,'inventory ledger'!$D:$D,D3992,'inventory ledger'!$E:$E,E3992,'inventory ledger'!$A:$A,"&lt;="&amp;B3992+TIME(23,59,59))-SUMIFS('inventory ledger'!$I:$I,'inventory ledger'!$C:$C,C3992,'inventory ledger'!$D:$D,D3992,'inventory ledger'!$E:$E,E3992,'inventory ledger'!$A:$A,"&lt;="&amp;B3992+TIME(23,59,59)))</f>
        <v/>
      </c>
      <c r="G3992" s="3">
        <f>IFERROR(__xludf.DUMMYFUNCTION("IF(F3992&lt;=0,0,IFERROR(ROUNDUP(F3992/INDEX(FILTER('warehouse config'!$D:$D,('warehouse config'!$B:$B=C3992)*('warehouse config'!$C:$C=D3992)*('warehouse config'!$G:$G&lt;=B3992)*(('warehouse config'!$H:$H&gt;=B3992)+ISBLANK('warehouse config'!$H:$H))),1)),0))"),0.0)</f>
        <v>0</v>
      </c>
      <c r="H3992" s="3">
        <f>IFERROR(__xludf.DUMMYFUNCTION("IFERROR(INDEX(FILTER('cost master'!$E:$E,('cost master'!$B:$B=C3992)*('cost master'!$D:$D=""Storage cost per pallet / week"")*('cost master'!$G:$G&lt;=B3992)*(('cost master'!$H:$H&gt;=B3992)+ISBLANK('cost master'!$H:$H))),1),0)"),0.0)</f>
        <v>0</v>
      </c>
      <c r="I3992" s="3">
        <f t="shared" si="4"/>
        <v>0</v>
      </c>
      <c r="J3992" s="27">
        <f t="shared" si="5"/>
        <v>693947</v>
      </c>
      <c r="K3992" s="27">
        <f t="shared" si="6"/>
        <v>693977</v>
      </c>
    </row>
    <row r="3993" hidden="1">
      <c r="A3993" s="3" t="str">
        <f t="shared" si="3"/>
        <v/>
      </c>
      <c r="B3993" s="2" t="str">
        <f t="array" ref="B3993">INDEX(helper!$A$3:$A3996,ROUNDUP((ROW()-1)/COUNTA(helper!$D$3:$D3996),0))</f>
        <v/>
      </c>
      <c r="C3993" s="5" t="str">
        <f t="array" ref="C3993">IF(B3993="","",INDEX(helper!$D$3:$D3996,MOD(ROW()-2,COUNTA(helper!$D$3:$D3996))+1))</f>
        <v/>
      </c>
      <c r="D3993" s="3" t="str">
        <f t="array" ref="D3993">IF(B3993="","",INDEX(helper!$E$3:$E3996,MOD(ROW()-2,COUNTA(helper!$D$3:$D3996))+1))</f>
        <v/>
      </c>
      <c r="E3993" s="3" t="str">
        <f t="array" ref="E3993">IF(B3993="","",INDEX(helper!$F$3:$F3996,MOD(ROW()-2,COUNTA(helper!$D$3:$D3996))+1))</f>
        <v/>
      </c>
      <c r="F3993" s="3" t="str">
        <f>IF(B3993="","",SUMIFS('inventory ledger'!$H:$H,'inventory ledger'!$C:$C,C3993,'inventory ledger'!$D:$D,D3993,'inventory ledger'!$E:$E,E3993,'inventory ledger'!$A:$A,"&lt;="&amp;B3993+TIME(23,59,59))-SUMIFS('inventory ledger'!$I:$I,'inventory ledger'!$C:$C,C3993,'inventory ledger'!$D:$D,D3993,'inventory ledger'!$E:$E,E3993,'inventory ledger'!$A:$A,"&lt;="&amp;B3993+TIME(23,59,59)))</f>
        <v/>
      </c>
      <c r="G3993" s="3">
        <f>IFERROR(__xludf.DUMMYFUNCTION("IF(F3993&lt;=0,0,IFERROR(ROUNDUP(F3993/INDEX(FILTER('warehouse config'!$D:$D,('warehouse config'!$B:$B=C3993)*('warehouse config'!$C:$C=D3993)*('warehouse config'!$G:$G&lt;=B3993)*(('warehouse config'!$H:$H&gt;=B3993)+ISBLANK('warehouse config'!$H:$H))),1)),0))"),0.0)</f>
        <v>0</v>
      </c>
      <c r="H3993" s="3">
        <f>IFERROR(__xludf.DUMMYFUNCTION("IFERROR(INDEX(FILTER('cost master'!$E:$E,('cost master'!$B:$B=C3993)*('cost master'!$D:$D=""Storage cost per pallet / week"")*('cost master'!$G:$G&lt;=B3993)*(('cost master'!$H:$H&gt;=B3993)+ISBLANK('cost master'!$H:$H))),1),0)"),0.0)</f>
        <v>0</v>
      </c>
      <c r="I3993" s="3">
        <f t="shared" si="4"/>
        <v>0</v>
      </c>
      <c r="J3993" s="27">
        <f t="shared" si="5"/>
        <v>693947</v>
      </c>
      <c r="K3993" s="27">
        <f t="shared" si="6"/>
        <v>693977</v>
      </c>
    </row>
    <row r="3994" hidden="1">
      <c r="A3994" s="3" t="str">
        <f t="shared" si="3"/>
        <v/>
      </c>
      <c r="B3994" s="2" t="str">
        <f t="array" ref="B3994">INDEX(helper!$A$3:$A3996,ROUNDUP((ROW()-1)/COUNTA(helper!$D$3:$D3996),0))</f>
        <v/>
      </c>
      <c r="C3994" s="5" t="str">
        <f t="array" ref="C3994">IF(B3994="","",INDEX(helper!$D$3:$D3996,MOD(ROW()-2,COUNTA(helper!$D$3:$D3996))+1))</f>
        <v/>
      </c>
      <c r="D3994" s="3" t="str">
        <f t="array" ref="D3994">IF(B3994="","",INDEX(helper!$E$3:$E3996,MOD(ROW()-2,COUNTA(helper!$D$3:$D3996))+1))</f>
        <v/>
      </c>
      <c r="E3994" s="3" t="str">
        <f t="array" ref="E3994">IF(B3994="","",INDEX(helper!$F$3:$F3996,MOD(ROW()-2,COUNTA(helper!$D$3:$D3996))+1))</f>
        <v/>
      </c>
      <c r="F3994" s="3" t="str">
        <f>IF(B3994="","",SUMIFS('inventory ledger'!$H:$H,'inventory ledger'!$C:$C,C3994,'inventory ledger'!$D:$D,D3994,'inventory ledger'!$E:$E,E3994,'inventory ledger'!$A:$A,"&lt;="&amp;B3994+TIME(23,59,59))-SUMIFS('inventory ledger'!$I:$I,'inventory ledger'!$C:$C,C3994,'inventory ledger'!$D:$D,D3994,'inventory ledger'!$E:$E,E3994,'inventory ledger'!$A:$A,"&lt;="&amp;B3994+TIME(23,59,59)))</f>
        <v/>
      </c>
      <c r="G3994" s="3">
        <f>IFERROR(__xludf.DUMMYFUNCTION("IF(F3994&lt;=0,0,IFERROR(ROUNDUP(F3994/INDEX(FILTER('warehouse config'!$D:$D,('warehouse config'!$B:$B=C3994)*('warehouse config'!$C:$C=D3994)*('warehouse config'!$G:$G&lt;=B3994)*(('warehouse config'!$H:$H&gt;=B3994)+ISBLANK('warehouse config'!$H:$H))),1)),0))"),0.0)</f>
        <v>0</v>
      </c>
      <c r="H3994" s="3">
        <f>IFERROR(__xludf.DUMMYFUNCTION("IFERROR(INDEX(FILTER('cost master'!$E:$E,('cost master'!$B:$B=C3994)*('cost master'!$D:$D=""Storage cost per pallet / week"")*('cost master'!$G:$G&lt;=B3994)*(('cost master'!$H:$H&gt;=B3994)+ISBLANK('cost master'!$H:$H))),1),0)"),0.0)</f>
        <v>0</v>
      </c>
      <c r="I3994" s="3">
        <f t="shared" si="4"/>
        <v>0</v>
      </c>
      <c r="J3994" s="27">
        <f t="shared" si="5"/>
        <v>693947</v>
      </c>
      <c r="K3994" s="27">
        <f t="shared" si="6"/>
        <v>693977</v>
      </c>
    </row>
    <row r="3995" hidden="1">
      <c r="A3995" s="3" t="str">
        <f t="shared" si="3"/>
        <v/>
      </c>
      <c r="B3995" s="2" t="str">
        <f t="array" ref="B3995">INDEX(helper!$A$3:$A3996,ROUNDUP((ROW()-1)/COUNTA(helper!$D$3:$D3996),0))</f>
        <v/>
      </c>
      <c r="C3995" s="5" t="str">
        <f t="array" ref="C3995">IF(B3995="","",INDEX(helper!$D$3:$D3996,MOD(ROW()-2,COUNTA(helper!$D$3:$D3996))+1))</f>
        <v/>
      </c>
      <c r="D3995" s="3" t="str">
        <f t="array" ref="D3995">IF(B3995="","",INDEX(helper!$E$3:$E3996,MOD(ROW()-2,COUNTA(helper!$D$3:$D3996))+1))</f>
        <v/>
      </c>
      <c r="E3995" s="3" t="str">
        <f t="array" ref="E3995">IF(B3995="","",INDEX(helper!$F$3:$F3996,MOD(ROW()-2,COUNTA(helper!$D$3:$D3996))+1))</f>
        <v/>
      </c>
      <c r="F3995" s="3" t="str">
        <f>IF(B3995="","",SUMIFS('inventory ledger'!$H:$H,'inventory ledger'!$C:$C,C3995,'inventory ledger'!$D:$D,D3995,'inventory ledger'!$E:$E,E3995,'inventory ledger'!$A:$A,"&lt;="&amp;B3995+TIME(23,59,59))-SUMIFS('inventory ledger'!$I:$I,'inventory ledger'!$C:$C,C3995,'inventory ledger'!$D:$D,D3995,'inventory ledger'!$E:$E,E3995,'inventory ledger'!$A:$A,"&lt;="&amp;B3995+TIME(23,59,59)))</f>
        <v/>
      </c>
      <c r="G3995" s="3">
        <f>IFERROR(__xludf.DUMMYFUNCTION("IF(F3995&lt;=0,0,IFERROR(ROUNDUP(F3995/INDEX(FILTER('warehouse config'!$D:$D,('warehouse config'!$B:$B=C3995)*('warehouse config'!$C:$C=D3995)*('warehouse config'!$G:$G&lt;=B3995)*(('warehouse config'!$H:$H&gt;=B3995)+ISBLANK('warehouse config'!$H:$H))),1)),0))"),0.0)</f>
        <v>0</v>
      </c>
      <c r="H3995" s="3">
        <f>IFERROR(__xludf.DUMMYFUNCTION("IFERROR(INDEX(FILTER('cost master'!$E:$E,('cost master'!$B:$B=C3995)*('cost master'!$D:$D=""Storage cost per pallet / week"")*('cost master'!$G:$G&lt;=B3995)*(('cost master'!$H:$H&gt;=B3995)+ISBLANK('cost master'!$H:$H))),1),0)"),0.0)</f>
        <v>0</v>
      </c>
      <c r="I3995" s="3">
        <f t="shared" si="4"/>
        <v>0</v>
      </c>
      <c r="J3995" s="27">
        <f t="shared" si="5"/>
        <v>693947</v>
      </c>
      <c r="K3995" s="27">
        <f t="shared" si="6"/>
        <v>693977</v>
      </c>
    </row>
    <row r="3996" hidden="1">
      <c r="A3996" s="3" t="str">
        <f t="shared" si="3"/>
        <v/>
      </c>
      <c r="B3996" s="2" t="str">
        <f t="array" ref="B3996">INDEX(helper!$A$3:$A3996,ROUNDUP((ROW()-1)/COUNTA(helper!$D$3:$D3996),0))</f>
        <v/>
      </c>
      <c r="C3996" s="5" t="str">
        <f t="array" ref="C3996">IF(B3996="","",INDEX(helper!$D$3:$D3996,MOD(ROW()-2,COUNTA(helper!$D$3:$D3996))+1))</f>
        <v/>
      </c>
      <c r="D3996" s="3" t="str">
        <f t="array" ref="D3996">IF(B3996="","",INDEX(helper!$E$3:$E3996,MOD(ROW()-2,COUNTA(helper!$D$3:$D3996))+1))</f>
        <v/>
      </c>
      <c r="E3996" s="3" t="str">
        <f t="array" ref="E3996">IF(B3996="","",INDEX(helper!$F$3:$F3996,MOD(ROW()-2,COUNTA(helper!$D$3:$D3996))+1))</f>
        <v/>
      </c>
      <c r="F3996" s="3" t="str">
        <f>IF(B3996="","",SUMIFS('inventory ledger'!$H:$H,'inventory ledger'!$C:$C,C3996,'inventory ledger'!$D:$D,D3996,'inventory ledger'!$E:$E,E3996,'inventory ledger'!$A:$A,"&lt;="&amp;B3996+TIME(23,59,59))-SUMIFS('inventory ledger'!$I:$I,'inventory ledger'!$C:$C,C3996,'inventory ledger'!$D:$D,D3996,'inventory ledger'!$E:$E,E3996,'inventory ledger'!$A:$A,"&lt;="&amp;B3996+TIME(23,59,59)))</f>
        <v/>
      </c>
      <c r="G3996" s="3">
        <f>IFERROR(__xludf.DUMMYFUNCTION("IF(F3996&lt;=0,0,IFERROR(ROUNDUP(F3996/INDEX(FILTER('warehouse config'!$D:$D,('warehouse config'!$B:$B=C3996)*('warehouse config'!$C:$C=D3996)*('warehouse config'!$G:$G&lt;=B3996)*(('warehouse config'!$H:$H&gt;=B3996)+ISBLANK('warehouse config'!$H:$H))),1)),0))"),0.0)</f>
        <v>0</v>
      </c>
      <c r="H3996" s="3">
        <f>IFERROR(__xludf.DUMMYFUNCTION("IFERROR(INDEX(FILTER('cost master'!$E:$E,('cost master'!$B:$B=C3996)*('cost master'!$D:$D=""Storage cost per pallet / week"")*('cost master'!$G:$G&lt;=B3996)*(('cost master'!$H:$H&gt;=B3996)+ISBLANK('cost master'!$H:$H))),1),0)"),0.0)</f>
        <v>0</v>
      </c>
      <c r="I3996" s="3">
        <f t="shared" si="4"/>
        <v>0</v>
      </c>
      <c r="J3996" s="27">
        <f t="shared" si="5"/>
        <v>693947</v>
      </c>
      <c r="K3996" s="27">
        <f t="shared" si="6"/>
        <v>693977</v>
      </c>
    </row>
  </sheetData>
  <autoFilter ref="$A$1:$K$3996">
    <filterColumn colId="5">
      <filters>
        <filter val="-1"/>
        <filter val="-2"/>
      </filters>
    </filterColumn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4.75"/>
    <col customWidth="1" min="3" max="3" width="13.0"/>
    <col customWidth="1" min="4" max="4" width="11.88"/>
    <col customWidth="1" min="5" max="5" width="9.38"/>
    <col customWidth="1" min="6" max="6" width="14.88"/>
    <col customWidth="1" min="7" max="7" width="17.88"/>
    <col customWidth="1" min="8" max="8" width="9.88"/>
    <col customWidth="1" min="9" max="9" width="6.5"/>
    <col customWidth="1" min="10" max="10" width="9.13"/>
    <col customWidth="1" min="11" max="11" width="19.75"/>
    <col customWidth="1" min="12" max="12" width="15.5"/>
    <col customWidth="1" min="13" max="14" width="14.0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>
      <c r="F2" s="14"/>
    </row>
    <row r="3">
      <c r="F3" s="14"/>
    </row>
    <row r="4">
      <c r="F4" s="14"/>
    </row>
    <row r="5">
      <c r="F5" s="14"/>
    </row>
    <row r="6">
      <c r="F6" s="14"/>
    </row>
    <row r="7">
      <c r="F7" s="14"/>
    </row>
    <row r="8">
      <c r="F8" s="14"/>
    </row>
    <row r="9">
      <c r="F9" s="14"/>
    </row>
    <row r="10">
      <c r="F10" s="14"/>
    </row>
    <row r="11">
      <c r="F11" s="14"/>
    </row>
    <row r="12">
      <c r="F12" s="14"/>
    </row>
    <row r="13">
      <c r="F13" s="14"/>
    </row>
    <row r="14">
      <c r="F14" s="14"/>
    </row>
    <row r="15">
      <c r="F15" s="14"/>
    </row>
    <row r="16">
      <c r="F16" s="14"/>
    </row>
    <row r="17">
      <c r="F17" s="14"/>
    </row>
    <row r="18">
      <c r="F18" s="14"/>
    </row>
    <row r="19">
      <c r="F19" s="14"/>
    </row>
    <row r="20">
      <c r="F20" s="14"/>
    </row>
    <row r="21">
      <c r="F21" s="14"/>
    </row>
    <row r="22">
      <c r="F22" s="14"/>
    </row>
    <row r="23">
      <c r="F23" s="14"/>
    </row>
    <row r="24">
      <c r="F24" s="14"/>
    </row>
    <row r="25">
      <c r="F25" s="14"/>
    </row>
    <row r="26">
      <c r="F26" s="1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3.13"/>
    <col customWidth="1" min="3" max="3" width="9.5"/>
    <col customWidth="1" min="4" max="4" width="15.63"/>
    <col customWidth="1" min="5" max="5" width="15.13"/>
    <col customWidth="1" min="6" max="6" width="31.75"/>
    <col customWidth="1" min="7" max="7" width="14.38"/>
    <col customWidth="1" min="8" max="8" width="13.88"/>
    <col customWidth="1" min="9" max="9" width="5.38"/>
  </cols>
  <sheetData>
    <row r="2">
      <c r="A2" s="5"/>
      <c r="D2" s="5"/>
      <c r="E2" s="5"/>
    </row>
    <row r="3">
      <c r="A3" s="5"/>
      <c r="D3" s="5"/>
      <c r="E3" s="5"/>
    </row>
    <row r="4">
      <c r="A4" s="5"/>
      <c r="D4" s="5"/>
      <c r="E4" s="5"/>
    </row>
    <row r="5">
      <c r="A5" s="5"/>
      <c r="D5" s="5"/>
      <c r="E5" s="5"/>
    </row>
    <row r="6">
      <c r="A6" s="5"/>
      <c r="D6" s="5"/>
      <c r="E6" s="5"/>
    </row>
    <row r="7">
      <c r="A7" s="5"/>
      <c r="D7" s="5"/>
      <c r="E7" s="5"/>
    </row>
    <row r="8">
      <c r="A8" s="5"/>
      <c r="D8" s="5"/>
      <c r="E8" s="5"/>
    </row>
    <row r="9">
      <c r="A9" s="5"/>
      <c r="D9" s="5"/>
      <c r="E9" s="5"/>
    </row>
    <row r="10">
      <c r="A10" s="5"/>
      <c r="D10" s="5"/>
      <c r="E10" s="5"/>
    </row>
    <row r="11">
      <c r="A11" s="5"/>
      <c r="D11" s="5"/>
      <c r="E11" s="5"/>
    </row>
    <row r="12">
      <c r="A12" s="5"/>
      <c r="D12" s="5"/>
      <c r="E12" s="5"/>
    </row>
    <row r="13">
      <c r="A13" s="5"/>
      <c r="D13" s="5"/>
      <c r="E13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9.5"/>
    <col customWidth="1" min="3" max="3" width="15.63"/>
    <col customWidth="1" min="4" max="4" width="15.13"/>
    <col customWidth="1" min="5" max="5" width="12.13"/>
    <col customWidth="1" min="6" max="6" width="23.0"/>
    <col customWidth="1" min="7" max="7" width="14.63"/>
    <col customWidth="1" min="8" max="8" width="13.88"/>
    <col customWidth="1" min="9" max="9" width="8.63"/>
    <col customWidth="1" min="10" max="10" width="8.5"/>
    <col customWidth="1" min="11" max="11" width="5.38"/>
  </cols>
  <sheetData>
    <row r="1">
      <c r="A1" s="1" t="s">
        <v>481</v>
      </c>
      <c r="B1" s="1" t="s">
        <v>6</v>
      </c>
      <c r="C1" s="1" t="s">
        <v>462</v>
      </c>
      <c r="D1" s="1" t="s">
        <v>463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26</v>
      </c>
    </row>
    <row r="2">
      <c r="A2" s="1" t="s">
        <v>488</v>
      </c>
      <c r="B2" s="1" t="s">
        <v>87</v>
      </c>
      <c r="C2" s="5">
        <v>45717.0</v>
      </c>
      <c r="D2" s="5">
        <v>45747.0</v>
      </c>
      <c r="E2" s="1" t="s">
        <v>114</v>
      </c>
      <c r="F2" s="1" t="s">
        <v>118</v>
      </c>
      <c r="G2" s="1" t="str">
        <f>SUMIFS('calculated costs ledger'!$M:$M, 'calculated costs ledger'!$G:$G, B2, 'calculated costs ledger'!$C:$C, E2, #REF!, F2, 'calculated costs ledger'!$F:$F, "&gt;="&amp;C2, 'calculated costs ledger'!$F:$F, "&lt;="&amp;D2)</f>
        <v>#VALUE!</v>
      </c>
      <c r="H2" s="1" t="str">
        <f>SUMIFS('invoice input'!$H:$H, 'invoice input'!$B:$B, A2, 'invoice input'!$C:$C, B2, #REF!, E2, 'invoice input'!$F:$F, F2, 'invoice input'!$D:$D, C2, 'invoice input'!$E:$E, D2)</f>
        <v>#VALUE!</v>
      </c>
      <c r="I2" s="1" t="str">
        <f t="shared" ref="I2:I6" si="1">H2-G2</f>
        <v>#VALUE!</v>
      </c>
      <c r="J2" s="1" t="str">
        <f t="shared" ref="J2:J6" si="2">IF(ABS(I2)&lt;0.01, "Match", IF(I2&gt;0, "Overbilled", "Underbilled"))</f>
        <v>#VALUE!</v>
      </c>
      <c r="K2" s="1"/>
    </row>
    <row r="3">
      <c r="A3" s="1" t="s">
        <v>488</v>
      </c>
      <c r="B3" s="1" t="s">
        <v>87</v>
      </c>
      <c r="C3" s="5">
        <v>45717.0</v>
      </c>
      <c r="D3" s="5">
        <v>45747.0</v>
      </c>
      <c r="E3" s="1" t="s">
        <v>120</v>
      </c>
      <c r="F3" s="1" t="s">
        <v>139</v>
      </c>
      <c r="G3" s="1" t="str">
        <f>SUMIFS('calculated costs ledger'!$M:$M, 'calculated costs ledger'!$G:$G, B3, 'calculated costs ledger'!$C:$C, E3, #REF!, F3, 'calculated costs ledger'!$F:$F, "&gt;="&amp;C3, 'calculated costs ledger'!$F:$F, "&lt;="&amp;D3)</f>
        <v>#VALUE!</v>
      </c>
      <c r="H3" s="1" t="str">
        <f>SUMIFS('invoice input'!$H:$H, 'invoice input'!$B:$B, A3, 'invoice input'!$C:$C, B3, #REF!, E3, 'invoice input'!$F:$F, F3, 'invoice input'!$D:$D, C3, 'invoice input'!$E:$E, D3)</f>
        <v>#VALUE!</v>
      </c>
      <c r="I3" s="1" t="str">
        <f t="shared" si="1"/>
        <v>#VALUE!</v>
      </c>
      <c r="J3" s="1" t="str">
        <f t="shared" si="2"/>
        <v>#VALUE!</v>
      </c>
      <c r="K3" s="1"/>
    </row>
    <row r="4">
      <c r="A4" s="1" t="s">
        <v>488</v>
      </c>
      <c r="B4" s="1" t="s">
        <v>87</v>
      </c>
      <c r="C4" s="5">
        <v>45717.0</v>
      </c>
      <c r="D4" s="5">
        <v>45747.0</v>
      </c>
      <c r="E4" s="1" t="s">
        <v>128</v>
      </c>
      <c r="F4" s="1" t="s">
        <v>129</v>
      </c>
      <c r="G4" s="1" t="str">
        <f>SUMIFS('calculated costs ledger'!$M:$M, 'calculated costs ledger'!$G:$G, B4, 'calculated costs ledger'!$C:$C, E4, #REF!, F4, 'calculated costs ledger'!$F:$F, "&gt;="&amp;C4, 'calculated costs ledger'!$F:$F, "&lt;="&amp;D4)</f>
        <v>#VALUE!</v>
      </c>
      <c r="H4" s="1" t="str">
        <f>SUMIFS('invoice input'!$H:$H, 'invoice input'!$B:$B, A4, 'invoice input'!$C:$C, B4, #REF!, E4, 'invoice input'!$F:$F, F4, 'invoice input'!$D:$D, C4, 'invoice input'!$E:$E, D4)</f>
        <v>#VALUE!</v>
      </c>
      <c r="I4" s="1" t="str">
        <f t="shared" si="1"/>
        <v>#VALUE!</v>
      </c>
      <c r="J4" s="1" t="str">
        <f t="shared" si="2"/>
        <v>#VALUE!</v>
      </c>
      <c r="K4" s="1"/>
    </row>
    <row r="5">
      <c r="A5" s="1" t="s">
        <v>488</v>
      </c>
      <c r="B5" s="1" t="s">
        <v>87</v>
      </c>
      <c r="C5" s="5">
        <v>45717.0</v>
      </c>
      <c r="D5" s="5">
        <v>45747.0</v>
      </c>
      <c r="E5" s="1" t="s">
        <v>120</v>
      </c>
      <c r="F5" s="1" t="s">
        <v>121</v>
      </c>
      <c r="G5" s="1" t="str">
        <f>SUMIFS('calculated costs ledger'!$M:$M, 'calculated costs ledger'!$G:$G, B5, 'calculated costs ledger'!$C:$C, E5, #REF!, F5, 'calculated costs ledger'!$F:$F, "&gt;="&amp;C5, 'calculated costs ledger'!$F:$F, "&lt;="&amp;D5)</f>
        <v>#VALUE!</v>
      </c>
      <c r="H5" s="1" t="str">
        <f>SUMIFS('invoice input'!$H:$H, 'invoice input'!$B:$B, A5, 'invoice input'!$C:$C, B5, #REF!, E5, 'invoice input'!$F:$F, F5, 'invoice input'!$D:$D, C5, 'invoice input'!$E:$E, D5)</f>
        <v>#VALUE!</v>
      </c>
      <c r="I5" s="1" t="str">
        <f t="shared" si="1"/>
        <v>#VALUE!</v>
      </c>
      <c r="J5" s="1" t="str">
        <f t="shared" si="2"/>
        <v>#VALUE!</v>
      </c>
      <c r="K5" s="1"/>
    </row>
    <row r="6">
      <c r="A6" s="1" t="s">
        <v>488</v>
      </c>
      <c r="B6" s="1" t="s">
        <v>87</v>
      </c>
      <c r="C6" s="5">
        <v>45717.0</v>
      </c>
      <c r="D6" s="5">
        <v>45747.0</v>
      </c>
      <c r="E6" s="1" t="s">
        <v>124</v>
      </c>
      <c r="F6" s="1" t="s">
        <v>132</v>
      </c>
      <c r="G6" s="1" t="str">
        <f>SUMIFS('calculated costs ledger'!$M:$M, 'calculated costs ledger'!$G:$G, B6, 'calculated costs ledger'!$C:$C, E6, #REF!, F6, 'calculated costs ledger'!$F:$F, "&gt;="&amp;C6, 'calculated costs ledger'!$F:$F, "&lt;="&amp;D6)</f>
        <v>#VALUE!</v>
      </c>
      <c r="H6" s="1" t="str">
        <f>SUMIFS('invoice input'!$H:$H, 'invoice input'!$B:$B, A6, 'invoice input'!$C:$C, B6, #REF!, E6, 'invoice input'!$F:$F, F6, 'invoice input'!$D:$D, C6, 'invoice input'!$E:$E, D6)</f>
        <v>#VALUE!</v>
      </c>
      <c r="I6" s="1" t="str">
        <f t="shared" si="1"/>
        <v>#VALUE!</v>
      </c>
      <c r="J6" s="1" t="str">
        <f t="shared" si="2"/>
        <v>#VALUE!</v>
      </c>
      <c r="K6" s="1"/>
    </row>
  </sheetData>
  <drawing r:id="rId1"/>
</worksheet>
</file>